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/>
  <workbookPr filterPrivacy="1" codeName="ThisWorkbook" defaultThemeVersion="124226"/>
  <xr:revisionPtr revIDLastSave="0" documentId="13_ncr:1_{448BB1B0-67F6-472B-93BA-459FD33F2EFE}" xr6:coauthVersionLast="47" xr6:coauthVersionMax="47" xr10:uidLastSave="{00000000-0000-0000-0000-000000000000}"/>
  <bookViews>
    <workbookView xWindow="-120" yWindow="-120" windowWidth="20730" windowHeight="11160" tabRatio="675" firstSheet="12" activeTab="15" xr2:uid="{00000000-000D-0000-FFFF-FFFF00000000}"/>
  </bookViews>
  <sheets>
    <sheet name="PANEL RENAULT TRAFIC" sheetId="86" r:id="rId1"/>
    <sheet name=" CAMIONETA DMAX" sheetId="41" r:id="rId2"/>
    <sheet name="CAMIONETA NISSAN DIESEL" sheetId="42" r:id="rId3"/>
    <sheet name="CAMIONETA NISSAN GASOLINA" sheetId="45" r:id="rId4"/>
    <sheet name="CAMIONETA NISS FRONTIER NP-300" sheetId="80" r:id="rId5"/>
    <sheet name="Hoja2" sheetId="89" state="hidden" r:id="rId6"/>
    <sheet name="Hoja3" sheetId="90" state="hidden" r:id="rId7"/>
    <sheet name="CAMIONETA TOYOTA 4X4 " sheetId="91" r:id="rId8"/>
    <sheet name="TOYOTA FORTUNER" sheetId="92" r:id="rId9"/>
    <sheet name="CAMPERO RENAULT DUSTER" sheetId="57" r:id="rId10"/>
    <sheet name="CAMION, CAMA BAJA Y BUSETA NPR" sheetId="59" r:id="rId11"/>
    <sheet name="CAMION Y C.A.I HYUNDAI" sheetId="93" r:id="rId12"/>
    <sheet name="AUTOMOVIL AVEO" sheetId="94" r:id="rId13"/>
    <sheet name="AUTOMOVIL HYUNDAI" sheetId="95" r:id="rId14"/>
    <sheet name="AUTOMOVIL CHEVROLET BEAT" sheetId="96" r:id="rId15"/>
    <sheet name="AUTOMOVIL LOGAN" sheetId="97" r:id="rId16"/>
    <sheet name="AUTOMOVIL HYUNDAI " sheetId="72" state="hidden" r:id="rId17"/>
  </sheets>
  <definedNames>
    <definedName name="_xlnm._FilterDatabase" localSheetId="12" hidden="1">'AUTOMOVIL AVEO'!$A$3:$F$215</definedName>
    <definedName name="_xlnm._FilterDatabase" localSheetId="14" hidden="1">'AUTOMOVIL CHEVROLET BEAT'!$A$3:$F$216</definedName>
    <definedName name="_xlnm._FilterDatabase" localSheetId="16" hidden="1">'AUTOMOVIL HYUNDAI '!$A$4:$C$217</definedName>
    <definedName name="_xlnm._FilterDatabase" localSheetId="11" hidden="1">'CAMION Y C.A.I HYUNDAI'!$A$3:$F$263</definedName>
    <definedName name="_xlnm._FilterDatabase" localSheetId="10" hidden="1">'CAMION, CAMA BAJA Y BUSETA NPR'!$A$4:$P$252</definedName>
    <definedName name="_xlnm._FilterDatabase" localSheetId="4" hidden="1">'CAMIONETA NISS FRONTIER NP-300'!$A$4:$C$259</definedName>
    <definedName name="_xlnm._FilterDatabase" localSheetId="7" hidden="1">'CAMIONETA TOYOTA 4X4 '!$A$3:$F$246</definedName>
    <definedName name="_xlnm._FilterDatabase" localSheetId="9" hidden="1">'CAMPERO RENAULT DUSTER'!$A$4:$C$233</definedName>
    <definedName name="_xlnm._FilterDatabase" localSheetId="0" hidden="1">'PANEL RENAULT TRAFIC'!$A$5:$M$235</definedName>
    <definedName name="_xlnm._FilterDatabase" localSheetId="8" hidden="1">'TOYOTA FORTUNER'!$A$3:$F$273</definedName>
    <definedName name="_xlnm.Print_Area" localSheetId="0">'PANEL RENAULT TRAFIC'!$A$1:$C$233</definedName>
  </definedNames>
  <calcPr calcId="191029"/>
</workbook>
</file>

<file path=xl/calcChain.xml><?xml version="1.0" encoding="utf-8"?>
<calcChain xmlns="http://schemas.openxmlformats.org/spreadsheetml/2006/main">
  <c r="Q6" i="80" l="1"/>
  <c r="R6" i="80"/>
  <c r="S6" i="80" s="1"/>
  <c r="Q7" i="80"/>
  <c r="R7" i="80"/>
  <c r="S7" i="80" s="1"/>
  <c r="Q8" i="80"/>
  <c r="R8" i="80"/>
  <c r="S8" i="80" s="1"/>
  <c r="Q9" i="80"/>
  <c r="S9" i="80" s="1"/>
  <c r="R9" i="80"/>
  <c r="Q10" i="80"/>
  <c r="R10" i="80"/>
  <c r="S10" i="80" s="1"/>
  <c r="Q11" i="80"/>
  <c r="S11" i="80" s="1"/>
  <c r="R11" i="80"/>
  <c r="Q12" i="80"/>
  <c r="R12" i="80"/>
  <c r="S12" i="80"/>
  <c r="Q13" i="80"/>
  <c r="R13" i="80"/>
  <c r="S13" i="80"/>
  <c r="Q14" i="80"/>
  <c r="R14" i="80"/>
  <c r="S14" i="80" s="1"/>
  <c r="Q15" i="80"/>
  <c r="R15" i="80"/>
  <c r="S15" i="80" s="1"/>
  <c r="Q16" i="80"/>
  <c r="R16" i="80"/>
  <c r="S16" i="80" s="1"/>
  <c r="Q17" i="80"/>
  <c r="S17" i="80" s="1"/>
  <c r="R17" i="80"/>
  <c r="Q18" i="80"/>
  <c r="R18" i="80"/>
  <c r="S18" i="80" s="1"/>
  <c r="Q19" i="80"/>
  <c r="S19" i="80" s="1"/>
  <c r="R19" i="80"/>
  <c r="Q20" i="80"/>
  <c r="R20" i="80"/>
  <c r="S20" i="80"/>
  <c r="Q21" i="80"/>
  <c r="R21" i="80"/>
  <c r="S21" i="80"/>
  <c r="Q22" i="80"/>
  <c r="R22" i="80"/>
  <c r="S22" i="80" s="1"/>
  <c r="Q23" i="80"/>
  <c r="R23" i="80"/>
  <c r="S23" i="80" s="1"/>
  <c r="Q24" i="80"/>
  <c r="R24" i="80"/>
  <c r="S24" i="80" s="1"/>
  <c r="Q25" i="80"/>
  <c r="S25" i="80" s="1"/>
  <c r="R25" i="80"/>
  <c r="Q26" i="80"/>
  <c r="R26" i="80"/>
  <c r="S26" i="80" s="1"/>
  <c r="Q27" i="80"/>
  <c r="S27" i="80" s="1"/>
  <c r="R27" i="80"/>
  <c r="Q28" i="80"/>
  <c r="R28" i="80"/>
  <c r="S28" i="80"/>
  <c r="Q29" i="80"/>
  <c r="R29" i="80"/>
  <c r="S29" i="80"/>
  <c r="Q30" i="80"/>
  <c r="R30" i="80"/>
  <c r="S30" i="80" s="1"/>
  <c r="Q31" i="80"/>
  <c r="R31" i="80"/>
  <c r="S31" i="80" s="1"/>
  <c r="Q32" i="80"/>
  <c r="R32" i="80"/>
  <c r="S32" i="80" s="1"/>
  <c r="Q33" i="80"/>
  <c r="S33" i="80" s="1"/>
  <c r="R33" i="80"/>
  <c r="Q34" i="80"/>
  <c r="R34" i="80"/>
  <c r="S34" i="80" s="1"/>
  <c r="Q35" i="80"/>
  <c r="S35" i="80" s="1"/>
  <c r="R35" i="80"/>
  <c r="Q36" i="80"/>
  <c r="R36" i="80"/>
  <c r="S36" i="80"/>
  <c r="Q37" i="80"/>
  <c r="R37" i="80"/>
  <c r="S37" i="80"/>
  <c r="Q38" i="80"/>
  <c r="R38" i="80"/>
  <c r="S38" i="80" s="1"/>
  <c r="Q39" i="80"/>
  <c r="R39" i="80"/>
  <c r="S39" i="80" s="1"/>
  <c r="Q40" i="80"/>
  <c r="R40" i="80"/>
  <c r="S40" i="80" s="1"/>
  <c r="Q41" i="80"/>
  <c r="S41" i="80" s="1"/>
  <c r="R41" i="80"/>
  <c r="Q42" i="80"/>
  <c r="R42" i="80"/>
  <c r="S42" i="80" s="1"/>
  <c r="Q43" i="80"/>
  <c r="S43" i="80" s="1"/>
  <c r="R43" i="80"/>
  <c r="Q44" i="80"/>
  <c r="R44" i="80"/>
  <c r="S44" i="80"/>
  <c r="Q45" i="80"/>
  <c r="R45" i="80"/>
  <c r="S45" i="80"/>
  <c r="Q46" i="80"/>
  <c r="R46" i="80"/>
  <c r="S46" i="80" s="1"/>
  <c r="Q47" i="80"/>
  <c r="R47" i="80"/>
  <c r="S47" i="80" s="1"/>
  <c r="Q48" i="80"/>
  <c r="R48" i="80"/>
  <c r="S48" i="80" s="1"/>
  <c r="Q49" i="80"/>
  <c r="S49" i="80" s="1"/>
  <c r="R49" i="80"/>
  <c r="Q50" i="80"/>
  <c r="R50" i="80"/>
  <c r="S50" i="80" s="1"/>
  <c r="Q51" i="80"/>
  <c r="S51" i="80" s="1"/>
  <c r="R51" i="80"/>
  <c r="Q52" i="80"/>
  <c r="R52" i="80"/>
  <c r="S52" i="80"/>
  <c r="Q53" i="80"/>
  <c r="R53" i="80"/>
  <c r="S53" i="80"/>
  <c r="Q54" i="80"/>
  <c r="R54" i="80"/>
  <c r="S54" i="80" s="1"/>
  <c r="Q55" i="80"/>
  <c r="R55" i="80"/>
  <c r="S55" i="80" s="1"/>
  <c r="Q56" i="80"/>
  <c r="R56" i="80"/>
  <c r="S56" i="80" s="1"/>
  <c r="Q57" i="80"/>
  <c r="S57" i="80" s="1"/>
  <c r="R57" i="80"/>
  <c r="Q58" i="80"/>
  <c r="R58" i="80"/>
  <c r="S58" i="80" s="1"/>
  <c r="Q59" i="80"/>
  <c r="S59" i="80" s="1"/>
  <c r="R59" i="80"/>
  <c r="Q60" i="80"/>
  <c r="R60" i="80"/>
  <c r="S60" i="80"/>
  <c r="Q61" i="80"/>
  <c r="R61" i="80"/>
  <c r="S61" i="80"/>
  <c r="Q62" i="80"/>
  <c r="R62" i="80"/>
  <c r="S62" i="80" s="1"/>
  <c r="Q63" i="80"/>
  <c r="R63" i="80"/>
  <c r="S63" i="80" s="1"/>
  <c r="Q64" i="80"/>
  <c r="R64" i="80"/>
  <c r="S64" i="80" s="1"/>
  <c r="Q65" i="80"/>
  <c r="S65" i="80" s="1"/>
  <c r="R65" i="80"/>
  <c r="Q66" i="80"/>
  <c r="R66" i="80"/>
  <c r="S66" i="80" s="1"/>
  <c r="Q67" i="80"/>
  <c r="S67" i="80" s="1"/>
  <c r="R67" i="80"/>
  <c r="Q68" i="80"/>
  <c r="R68" i="80"/>
  <c r="S68" i="80"/>
  <c r="Q69" i="80"/>
  <c r="R69" i="80"/>
  <c r="S69" i="80"/>
  <c r="Q70" i="80"/>
  <c r="R70" i="80"/>
  <c r="S70" i="80" s="1"/>
  <c r="Q71" i="80"/>
  <c r="R71" i="80"/>
  <c r="S71" i="80" s="1"/>
  <c r="Q72" i="80"/>
  <c r="R72" i="80"/>
  <c r="S72" i="80" s="1"/>
  <c r="Q73" i="80"/>
  <c r="S73" i="80" s="1"/>
  <c r="R73" i="80"/>
  <c r="Q74" i="80"/>
  <c r="R74" i="80"/>
  <c r="S74" i="80" s="1"/>
  <c r="Q75" i="80"/>
  <c r="S75" i="80" s="1"/>
  <c r="R75" i="80"/>
  <c r="Q76" i="80"/>
  <c r="R76" i="80"/>
  <c r="S76" i="80"/>
  <c r="Q77" i="80"/>
  <c r="R77" i="80"/>
  <c r="S77" i="80"/>
  <c r="Q78" i="80"/>
  <c r="R78" i="80"/>
  <c r="S78" i="80" s="1"/>
  <c r="Q79" i="80"/>
  <c r="R79" i="80"/>
  <c r="S79" i="80" s="1"/>
  <c r="Q80" i="80"/>
  <c r="R80" i="80"/>
  <c r="S80" i="80" s="1"/>
  <c r="Q81" i="80"/>
  <c r="S81" i="80" s="1"/>
  <c r="R81" i="80"/>
  <c r="Q82" i="80"/>
  <c r="R82" i="80"/>
  <c r="S82" i="80" s="1"/>
  <c r="Q83" i="80"/>
  <c r="S83" i="80" s="1"/>
  <c r="R83" i="80"/>
  <c r="Q84" i="80"/>
  <c r="R84" i="80"/>
  <c r="S84" i="80"/>
  <c r="Q85" i="80"/>
  <c r="R85" i="80"/>
  <c r="S85" i="80"/>
  <c r="Q86" i="80"/>
  <c r="R86" i="80"/>
  <c r="S86" i="80" s="1"/>
  <c r="Q87" i="80"/>
  <c r="R87" i="80"/>
  <c r="S87" i="80" s="1"/>
  <c r="Q88" i="80"/>
  <c r="R88" i="80"/>
  <c r="S88" i="80" s="1"/>
  <c r="Q89" i="80"/>
  <c r="S89" i="80" s="1"/>
  <c r="R89" i="80"/>
  <c r="Q90" i="80"/>
  <c r="R90" i="80"/>
  <c r="S90" i="80" s="1"/>
  <c r="Q91" i="80"/>
  <c r="S91" i="80" s="1"/>
  <c r="R91" i="80"/>
  <c r="Q92" i="80"/>
  <c r="R92" i="80"/>
  <c r="S92" i="80"/>
  <c r="Q93" i="80"/>
  <c r="R93" i="80"/>
  <c r="S93" i="80"/>
  <c r="Q94" i="80"/>
  <c r="R94" i="80"/>
  <c r="S94" i="80" s="1"/>
  <c r="Q95" i="80"/>
  <c r="R95" i="80"/>
  <c r="S95" i="80" s="1"/>
  <c r="Q96" i="80"/>
  <c r="R96" i="80"/>
  <c r="S96" i="80" s="1"/>
  <c r="Q97" i="80"/>
  <c r="S97" i="80" s="1"/>
  <c r="R97" i="80"/>
  <c r="Q98" i="80"/>
  <c r="R98" i="80"/>
  <c r="S98" i="80" s="1"/>
  <c r="Q99" i="80"/>
  <c r="S99" i="80" s="1"/>
  <c r="R99" i="80"/>
  <c r="Q100" i="80"/>
  <c r="R100" i="80"/>
  <c r="S100" i="80"/>
  <c r="Q101" i="80"/>
  <c r="R101" i="80"/>
  <c r="S101" i="80"/>
  <c r="Q102" i="80"/>
  <c r="R102" i="80"/>
  <c r="S102" i="80" s="1"/>
  <c r="Q103" i="80"/>
  <c r="R103" i="80"/>
  <c r="S103" i="80" s="1"/>
  <c r="Q104" i="80"/>
  <c r="R104" i="80"/>
  <c r="S104" i="80" s="1"/>
  <c r="Q105" i="80"/>
  <c r="S105" i="80" s="1"/>
  <c r="R105" i="80"/>
  <c r="Q106" i="80"/>
  <c r="R106" i="80"/>
  <c r="S106" i="80" s="1"/>
  <c r="Q107" i="80"/>
  <c r="S107" i="80" s="1"/>
  <c r="R107" i="80"/>
  <c r="Q108" i="80"/>
  <c r="R108" i="80"/>
  <c r="S108" i="80"/>
  <c r="Q109" i="80"/>
  <c r="R109" i="80"/>
  <c r="S109" i="80"/>
  <c r="Q110" i="80"/>
  <c r="R110" i="80"/>
  <c r="S110" i="80" s="1"/>
  <c r="Q111" i="80"/>
  <c r="R111" i="80"/>
  <c r="S111" i="80" s="1"/>
  <c r="Q112" i="80"/>
  <c r="R112" i="80"/>
  <c r="S112" i="80" s="1"/>
  <c r="Q113" i="80"/>
  <c r="S113" i="80" s="1"/>
  <c r="R113" i="80"/>
  <c r="Q114" i="80"/>
  <c r="R114" i="80"/>
  <c r="S114" i="80" s="1"/>
  <c r="Q115" i="80"/>
  <c r="S115" i="80" s="1"/>
  <c r="R115" i="80"/>
  <c r="Q116" i="80"/>
  <c r="R116" i="80"/>
  <c r="S116" i="80"/>
  <c r="Q117" i="80"/>
  <c r="R117" i="80"/>
  <c r="S117" i="80"/>
  <c r="Q118" i="80"/>
  <c r="R118" i="80"/>
  <c r="S118" i="80" s="1"/>
  <c r="Q119" i="80"/>
  <c r="R119" i="80"/>
  <c r="S119" i="80" s="1"/>
  <c r="Q120" i="80"/>
  <c r="R120" i="80"/>
  <c r="S120" i="80" s="1"/>
  <c r="Q121" i="80"/>
  <c r="S121" i="80" s="1"/>
  <c r="R121" i="80"/>
  <c r="Q122" i="80"/>
  <c r="R122" i="80"/>
  <c r="S122" i="80" s="1"/>
  <c r="Q123" i="80"/>
  <c r="S123" i="80" s="1"/>
  <c r="R123" i="80"/>
  <c r="Q124" i="80"/>
  <c r="R124" i="80"/>
  <c r="S124" i="80"/>
  <c r="Q125" i="80"/>
  <c r="R125" i="80"/>
  <c r="S125" i="80"/>
  <c r="Q126" i="80"/>
  <c r="R126" i="80"/>
  <c r="S126" i="80" s="1"/>
  <c r="Q127" i="80"/>
  <c r="R127" i="80"/>
  <c r="S127" i="80" s="1"/>
  <c r="Q128" i="80"/>
  <c r="R128" i="80"/>
  <c r="S128" i="80" s="1"/>
  <c r="Q129" i="80"/>
  <c r="S129" i="80" s="1"/>
  <c r="R129" i="80"/>
  <c r="Q130" i="80"/>
  <c r="R130" i="80"/>
  <c r="S130" i="80" s="1"/>
  <c r="Q131" i="80"/>
  <c r="S131" i="80" s="1"/>
  <c r="R131" i="80"/>
  <c r="Q132" i="80"/>
  <c r="R132" i="80"/>
  <c r="S132" i="80"/>
  <c r="Q133" i="80"/>
  <c r="R133" i="80"/>
  <c r="S133" i="80"/>
  <c r="Q134" i="80"/>
  <c r="R134" i="80"/>
  <c r="S134" i="80" s="1"/>
  <c r="Q135" i="80"/>
  <c r="R135" i="80"/>
  <c r="S135" i="80" s="1"/>
  <c r="Q136" i="80"/>
  <c r="R136" i="80"/>
  <c r="S136" i="80" s="1"/>
  <c r="Q137" i="80"/>
  <c r="S137" i="80" s="1"/>
  <c r="R137" i="80"/>
  <c r="Q138" i="80"/>
  <c r="R138" i="80"/>
  <c r="S138" i="80" s="1"/>
  <c r="Q139" i="80"/>
  <c r="S139" i="80" s="1"/>
  <c r="R139" i="80"/>
  <c r="Q140" i="80"/>
  <c r="R140" i="80"/>
  <c r="S140" i="80"/>
  <c r="Q141" i="80"/>
  <c r="R141" i="80"/>
  <c r="S141" i="80"/>
  <c r="Q142" i="80"/>
  <c r="R142" i="80"/>
  <c r="S142" i="80" s="1"/>
  <c r="Q143" i="80"/>
  <c r="R143" i="80"/>
  <c r="S143" i="80" s="1"/>
  <c r="Q144" i="80"/>
  <c r="R144" i="80"/>
  <c r="S144" i="80" s="1"/>
  <c r="Q145" i="80"/>
  <c r="S145" i="80" s="1"/>
  <c r="R145" i="80"/>
  <c r="Q146" i="80"/>
  <c r="R146" i="80"/>
  <c r="S146" i="80" s="1"/>
  <c r="Q147" i="80"/>
  <c r="S147" i="80" s="1"/>
  <c r="R147" i="80"/>
  <c r="Q148" i="80"/>
  <c r="R148" i="80"/>
  <c r="S148" i="80"/>
  <c r="Q149" i="80"/>
  <c r="R149" i="80"/>
  <c r="S149" i="80"/>
  <c r="Q150" i="80"/>
  <c r="R150" i="80"/>
  <c r="S150" i="80" s="1"/>
  <c r="Q151" i="80"/>
  <c r="R151" i="80"/>
  <c r="S151" i="80" s="1"/>
  <c r="Q152" i="80"/>
  <c r="R152" i="80"/>
  <c r="S152" i="80" s="1"/>
  <c r="Q153" i="80"/>
  <c r="S153" i="80" s="1"/>
  <c r="R153" i="80"/>
  <c r="Q154" i="80"/>
  <c r="R154" i="80"/>
  <c r="S154" i="80" s="1"/>
  <c r="Q155" i="80"/>
  <c r="S155" i="80" s="1"/>
  <c r="R155" i="80"/>
  <c r="Q156" i="80"/>
  <c r="R156" i="80"/>
  <c r="S156" i="80"/>
  <c r="Q157" i="80"/>
  <c r="R157" i="80"/>
  <c r="S157" i="80"/>
  <c r="Q158" i="80"/>
  <c r="R158" i="80"/>
  <c r="S158" i="80" s="1"/>
  <c r="Q159" i="80"/>
  <c r="R159" i="80"/>
  <c r="S159" i="80" s="1"/>
  <c r="Q160" i="80"/>
  <c r="R160" i="80"/>
  <c r="S160" i="80" s="1"/>
  <c r="Q161" i="80"/>
  <c r="S161" i="80" s="1"/>
  <c r="R161" i="80"/>
  <c r="Q162" i="80"/>
  <c r="R162" i="80"/>
  <c r="S162" i="80" s="1"/>
  <c r="Q163" i="80"/>
  <c r="S163" i="80" s="1"/>
  <c r="R163" i="80"/>
  <c r="Q164" i="80"/>
  <c r="R164" i="80"/>
  <c r="S164" i="80"/>
  <c r="Q165" i="80"/>
  <c r="R165" i="80"/>
  <c r="S165" i="80"/>
  <c r="Q166" i="80"/>
  <c r="R166" i="80"/>
  <c r="S166" i="80" s="1"/>
  <c r="Q167" i="80"/>
  <c r="R167" i="80"/>
  <c r="S167" i="80" s="1"/>
  <c r="Q168" i="80"/>
  <c r="R168" i="80"/>
  <c r="S168" i="80" s="1"/>
  <c r="Q169" i="80"/>
  <c r="S169" i="80" s="1"/>
  <c r="R169" i="80"/>
  <c r="Q170" i="80"/>
  <c r="R170" i="80"/>
  <c r="S170" i="80" s="1"/>
  <c r="Q171" i="80"/>
  <c r="S171" i="80" s="1"/>
  <c r="R171" i="80"/>
  <c r="Q172" i="80"/>
  <c r="R172" i="80"/>
  <c r="S172" i="80"/>
  <c r="Q173" i="80"/>
  <c r="R173" i="80"/>
  <c r="S173" i="80"/>
  <c r="Q174" i="80"/>
  <c r="R174" i="80"/>
  <c r="S174" i="80" s="1"/>
  <c r="Q175" i="80"/>
  <c r="R175" i="80"/>
  <c r="S175" i="80" s="1"/>
  <c r="Q176" i="80"/>
  <c r="R176" i="80"/>
  <c r="S176" i="80" s="1"/>
  <c r="Q177" i="80"/>
  <c r="S177" i="80" s="1"/>
  <c r="R177" i="80"/>
  <c r="Q178" i="80"/>
  <c r="R178" i="80"/>
  <c r="S178" i="80" s="1"/>
  <c r="Q179" i="80"/>
  <c r="S179" i="80" s="1"/>
  <c r="R179" i="80"/>
  <c r="Q180" i="80"/>
  <c r="R180" i="80"/>
  <c r="S180" i="80"/>
  <c r="Q181" i="80"/>
  <c r="R181" i="80"/>
  <c r="S181" i="80"/>
  <c r="Q182" i="80"/>
  <c r="R182" i="80"/>
  <c r="S182" i="80" s="1"/>
  <c r="Q183" i="80"/>
  <c r="R183" i="80"/>
  <c r="S183" i="80" s="1"/>
  <c r="Q184" i="80"/>
  <c r="R184" i="80"/>
  <c r="S184" i="80" s="1"/>
  <c r="Q185" i="80"/>
  <c r="S185" i="80" s="1"/>
  <c r="R185" i="80"/>
  <c r="Q186" i="80"/>
  <c r="R186" i="80"/>
  <c r="S186" i="80" s="1"/>
  <c r="Q187" i="80"/>
  <c r="S187" i="80" s="1"/>
  <c r="R187" i="80"/>
  <c r="Q188" i="80"/>
  <c r="R188" i="80"/>
  <c r="S188" i="80"/>
  <c r="Q189" i="80"/>
  <c r="R189" i="80"/>
  <c r="S189" i="80"/>
  <c r="Q190" i="80"/>
  <c r="R190" i="80"/>
  <c r="S190" i="80" s="1"/>
  <c r="Q191" i="80"/>
  <c r="R191" i="80"/>
  <c r="S191" i="80" s="1"/>
  <c r="Q192" i="80"/>
  <c r="R192" i="80"/>
  <c r="S192" i="80" s="1"/>
  <c r="Q193" i="80"/>
  <c r="S193" i="80" s="1"/>
  <c r="R193" i="80"/>
  <c r="Q194" i="80"/>
  <c r="R194" i="80"/>
  <c r="S194" i="80" s="1"/>
  <c r="Q195" i="80"/>
  <c r="S195" i="80" s="1"/>
  <c r="R195" i="80"/>
  <c r="Q196" i="80"/>
  <c r="R196" i="80"/>
  <c r="S196" i="80"/>
  <c r="Q197" i="80"/>
  <c r="R197" i="80"/>
  <c r="S197" i="80"/>
  <c r="Q198" i="80"/>
  <c r="R198" i="80"/>
  <c r="S198" i="80" s="1"/>
  <c r="Q199" i="80"/>
  <c r="R199" i="80"/>
  <c r="S199" i="80" s="1"/>
  <c r="Q200" i="80"/>
  <c r="R200" i="80"/>
  <c r="S200" i="80" s="1"/>
  <c r="Q201" i="80"/>
  <c r="S201" i="80" s="1"/>
  <c r="R201" i="80"/>
  <c r="Q202" i="80"/>
  <c r="R202" i="80"/>
  <c r="S202" i="80" s="1"/>
  <c r="Q203" i="80"/>
  <c r="S203" i="80" s="1"/>
  <c r="R203" i="80"/>
  <c r="Q204" i="80"/>
  <c r="R204" i="80"/>
  <c r="S204" i="80"/>
  <c r="Q205" i="80"/>
  <c r="R205" i="80"/>
  <c r="S205" i="80"/>
  <c r="Q206" i="80"/>
  <c r="R206" i="80"/>
  <c r="S206" i="80" s="1"/>
  <c r="Q207" i="80"/>
  <c r="R207" i="80"/>
  <c r="S207" i="80" s="1"/>
  <c r="Q208" i="80"/>
  <c r="R208" i="80"/>
  <c r="S208" i="80" s="1"/>
  <c r="Q209" i="80"/>
  <c r="S209" i="80" s="1"/>
  <c r="R209" i="80"/>
  <c r="Q210" i="80"/>
  <c r="R210" i="80"/>
  <c r="S210" i="80" s="1"/>
  <c r="Q211" i="80"/>
  <c r="S211" i="80" s="1"/>
  <c r="R211" i="80"/>
  <c r="Q212" i="80"/>
  <c r="R212" i="80"/>
  <c r="S212" i="80"/>
  <c r="Q213" i="80"/>
  <c r="R213" i="80"/>
  <c r="S213" i="80"/>
  <c r="Q214" i="80"/>
  <c r="R214" i="80"/>
  <c r="S214" i="80" s="1"/>
  <c r="Q215" i="80"/>
  <c r="R215" i="80"/>
  <c r="S215" i="80" s="1"/>
  <c r="Q216" i="80"/>
  <c r="R216" i="80"/>
  <c r="S216" i="80" s="1"/>
  <c r="Q217" i="80"/>
  <c r="S217" i="80" s="1"/>
  <c r="R217" i="80"/>
  <c r="Q218" i="80"/>
  <c r="R218" i="80"/>
  <c r="S218" i="80" s="1"/>
  <c r="Q219" i="80"/>
  <c r="S219" i="80" s="1"/>
  <c r="R219" i="80"/>
  <c r="Q220" i="80"/>
  <c r="R220" i="80"/>
  <c r="S220" i="80"/>
  <c r="Q221" i="80"/>
  <c r="R221" i="80"/>
  <c r="S221" i="80"/>
  <c r="Q222" i="80"/>
  <c r="R222" i="80"/>
  <c r="S222" i="80" s="1"/>
  <c r="Q223" i="80"/>
  <c r="R223" i="80"/>
  <c r="S223" i="80" s="1"/>
  <c r="Q224" i="80"/>
  <c r="R224" i="80"/>
  <c r="S224" i="80" s="1"/>
  <c r="Q225" i="80"/>
  <c r="S225" i="80" s="1"/>
  <c r="R225" i="80"/>
  <c r="Q226" i="80"/>
  <c r="R226" i="80"/>
  <c r="S226" i="80" s="1"/>
  <c r="Q227" i="80"/>
  <c r="S227" i="80" s="1"/>
  <c r="R227" i="80"/>
  <c r="Q228" i="80"/>
  <c r="R228" i="80"/>
  <c r="S228" i="80"/>
  <c r="Q229" i="80"/>
  <c r="R229" i="80"/>
  <c r="S229" i="80"/>
  <c r="Q230" i="80"/>
  <c r="R230" i="80"/>
  <c r="S230" i="80" s="1"/>
  <c r="Q231" i="80"/>
  <c r="R231" i="80"/>
  <c r="S231" i="80" s="1"/>
  <c r="Q232" i="80"/>
  <c r="R232" i="80"/>
  <c r="S232" i="80" s="1"/>
  <c r="Q233" i="80"/>
  <c r="S233" i="80" s="1"/>
  <c r="R233" i="80"/>
  <c r="Q234" i="80"/>
  <c r="R234" i="80"/>
  <c r="S234" i="80" s="1"/>
  <c r="Q235" i="80"/>
  <c r="S235" i="80" s="1"/>
  <c r="R235" i="80"/>
  <c r="Q236" i="80"/>
  <c r="R236" i="80"/>
  <c r="S236" i="80"/>
  <c r="Q237" i="80"/>
  <c r="R237" i="80"/>
  <c r="S237" i="80"/>
  <c r="Q238" i="80"/>
  <c r="R238" i="80"/>
  <c r="S238" i="80" s="1"/>
  <c r="Q239" i="80"/>
  <c r="R239" i="80"/>
  <c r="S239" i="80" s="1"/>
  <c r="Q240" i="80"/>
  <c r="R240" i="80"/>
  <c r="S240" i="80" s="1"/>
  <c r="Q241" i="80"/>
  <c r="S241" i="80" s="1"/>
  <c r="R241" i="80"/>
  <c r="Q242" i="80"/>
  <c r="R242" i="80"/>
  <c r="S242" i="80" s="1"/>
  <c r="Q243" i="80"/>
  <c r="S243" i="80" s="1"/>
  <c r="R243" i="80"/>
  <c r="Q244" i="80"/>
  <c r="R244" i="80"/>
  <c r="S244" i="80"/>
  <c r="Q245" i="80"/>
  <c r="R245" i="80"/>
  <c r="S245" i="80"/>
  <c r="Q246" i="80"/>
  <c r="R246" i="80"/>
  <c r="S246" i="80" s="1"/>
  <c r="Q247" i="80"/>
  <c r="R247" i="80"/>
  <c r="S247" i="80" s="1"/>
  <c r="Q248" i="80"/>
  <c r="R248" i="80"/>
  <c r="S248" i="80" s="1"/>
  <c r="Q249" i="80"/>
  <c r="S249" i="80" s="1"/>
  <c r="R249" i="80"/>
  <c r="Q250" i="80"/>
  <c r="R250" i="80"/>
  <c r="S250" i="80" s="1"/>
  <c r="Q251" i="80"/>
  <c r="S251" i="80" s="1"/>
  <c r="R251" i="80"/>
  <c r="Q252" i="80"/>
  <c r="R252" i="80"/>
  <c r="S252" i="80"/>
  <c r="Q253" i="80"/>
  <c r="R253" i="80"/>
  <c r="S253" i="80"/>
  <c r="Q254" i="80"/>
  <c r="R254" i="80"/>
  <c r="S254" i="80" s="1"/>
  <c r="Q255" i="80"/>
  <c r="R255" i="80"/>
  <c r="S255" i="80" s="1"/>
  <c r="Q256" i="80"/>
  <c r="R256" i="80"/>
  <c r="S256" i="80" s="1"/>
  <c r="Q257" i="80"/>
  <c r="S257" i="80" s="1"/>
  <c r="R257" i="80"/>
  <c r="Q258" i="80"/>
  <c r="R258" i="80"/>
  <c r="S258" i="80" s="1"/>
  <c r="Q259" i="80"/>
  <c r="S259" i="80" s="1"/>
  <c r="R259" i="80"/>
  <c r="Q260" i="80"/>
  <c r="R260" i="80"/>
  <c r="S260" i="80"/>
  <c r="Q6" i="45"/>
  <c r="R6" i="45"/>
  <c r="S6" i="45" s="1"/>
  <c r="Q7" i="45"/>
  <c r="R7" i="45"/>
  <c r="S7" i="45" s="1"/>
  <c r="Q8" i="45"/>
  <c r="R8" i="45"/>
  <c r="S8" i="45" s="1"/>
  <c r="Q9" i="45"/>
  <c r="R9" i="45"/>
  <c r="S9" i="45" s="1"/>
  <c r="Q10" i="45"/>
  <c r="R10" i="45"/>
  <c r="S10" i="45" s="1"/>
  <c r="Q11" i="45"/>
  <c r="R11" i="45"/>
  <c r="S11" i="45" s="1"/>
  <c r="Q12" i="45"/>
  <c r="R12" i="45"/>
  <c r="S12" i="45" s="1"/>
  <c r="Q13" i="45"/>
  <c r="R13" i="45"/>
  <c r="S13" i="45"/>
  <c r="Q14" i="45"/>
  <c r="R14" i="45"/>
  <c r="S14" i="45" s="1"/>
  <c r="Q15" i="45"/>
  <c r="R15" i="45"/>
  <c r="S15" i="45"/>
  <c r="Q16" i="45"/>
  <c r="R16" i="45"/>
  <c r="S16" i="45" s="1"/>
  <c r="Q17" i="45"/>
  <c r="S17" i="45" s="1"/>
  <c r="R17" i="45"/>
  <c r="Q18" i="45"/>
  <c r="R18" i="45"/>
  <c r="S18" i="45" s="1"/>
  <c r="Q19" i="45"/>
  <c r="R19" i="45"/>
  <c r="S19" i="45" s="1"/>
  <c r="Q20" i="45"/>
  <c r="R20" i="45"/>
  <c r="S20" i="45" s="1"/>
  <c r="Q21" i="45"/>
  <c r="R21" i="45"/>
  <c r="S21" i="45"/>
  <c r="Q22" i="45"/>
  <c r="R22" i="45"/>
  <c r="S22" i="45" s="1"/>
  <c r="Q23" i="45"/>
  <c r="R23" i="45"/>
  <c r="S23" i="45"/>
  <c r="Q24" i="45"/>
  <c r="R24" i="45"/>
  <c r="S24" i="45" s="1"/>
  <c r="Q25" i="45"/>
  <c r="S25" i="45" s="1"/>
  <c r="R25" i="45"/>
  <c r="Q26" i="45"/>
  <c r="R26" i="45"/>
  <c r="S26" i="45" s="1"/>
  <c r="Q27" i="45"/>
  <c r="R27" i="45"/>
  <c r="S27" i="45" s="1"/>
  <c r="Q28" i="45"/>
  <c r="R28" i="45"/>
  <c r="S28" i="45" s="1"/>
  <c r="Q29" i="45"/>
  <c r="R29" i="45"/>
  <c r="S29" i="45"/>
  <c r="Q30" i="45"/>
  <c r="R30" i="45"/>
  <c r="S30" i="45" s="1"/>
  <c r="Q31" i="45"/>
  <c r="R31" i="45"/>
  <c r="S31" i="45"/>
  <c r="Q32" i="45"/>
  <c r="R32" i="45"/>
  <c r="S32" i="45" s="1"/>
  <c r="Q33" i="45"/>
  <c r="S33" i="45" s="1"/>
  <c r="R33" i="45"/>
  <c r="Q34" i="45"/>
  <c r="R34" i="45"/>
  <c r="S34" i="45" s="1"/>
  <c r="Q35" i="45"/>
  <c r="R35" i="45"/>
  <c r="S35" i="45" s="1"/>
  <c r="Q36" i="45"/>
  <c r="R36" i="45"/>
  <c r="S36" i="45" s="1"/>
  <c r="Q37" i="45"/>
  <c r="R37" i="45"/>
  <c r="S37" i="45"/>
  <c r="Q38" i="45"/>
  <c r="R38" i="45"/>
  <c r="S38" i="45" s="1"/>
  <c r="Q39" i="45"/>
  <c r="R39" i="45"/>
  <c r="S39" i="45"/>
  <c r="Q40" i="45"/>
  <c r="R40" i="45"/>
  <c r="S40" i="45" s="1"/>
  <c r="Q41" i="45"/>
  <c r="S41" i="45" s="1"/>
  <c r="R41" i="45"/>
  <c r="Q42" i="45"/>
  <c r="R42" i="45"/>
  <c r="S42" i="45" s="1"/>
  <c r="Q43" i="45"/>
  <c r="R43" i="45"/>
  <c r="S43" i="45" s="1"/>
  <c r="Q44" i="45"/>
  <c r="R44" i="45"/>
  <c r="S44" i="45" s="1"/>
  <c r="Q45" i="45"/>
  <c r="R45" i="45"/>
  <c r="S45" i="45"/>
  <c r="Q46" i="45"/>
  <c r="R46" i="45"/>
  <c r="S46" i="45" s="1"/>
  <c r="Q47" i="45"/>
  <c r="R47" i="45"/>
  <c r="S47" i="45"/>
  <c r="Q48" i="45"/>
  <c r="R48" i="45"/>
  <c r="S48" i="45" s="1"/>
  <c r="Q49" i="45"/>
  <c r="S49" i="45" s="1"/>
  <c r="R49" i="45"/>
  <c r="Q50" i="45"/>
  <c r="R50" i="45"/>
  <c r="S50" i="45" s="1"/>
  <c r="Q51" i="45"/>
  <c r="R51" i="45"/>
  <c r="S51" i="45" s="1"/>
  <c r="Q52" i="45"/>
  <c r="R52" i="45"/>
  <c r="S52" i="45" s="1"/>
  <c r="Q53" i="45"/>
  <c r="R53" i="45"/>
  <c r="S53" i="45"/>
  <c r="Q54" i="45"/>
  <c r="R54" i="45"/>
  <c r="S54" i="45" s="1"/>
  <c r="Q55" i="45"/>
  <c r="R55" i="45"/>
  <c r="S55" i="45"/>
  <c r="Q56" i="45"/>
  <c r="R56" i="45"/>
  <c r="S56" i="45" s="1"/>
  <c r="Q57" i="45"/>
  <c r="S57" i="45" s="1"/>
  <c r="R57" i="45"/>
  <c r="Q58" i="45"/>
  <c r="R58" i="45"/>
  <c r="S58" i="45" s="1"/>
  <c r="Q59" i="45"/>
  <c r="R59" i="45"/>
  <c r="S59" i="45" s="1"/>
  <c r="Q60" i="45"/>
  <c r="R60" i="45"/>
  <c r="S60" i="45" s="1"/>
  <c r="Q61" i="45"/>
  <c r="R61" i="45"/>
  <c r="S61" i="45"/>
  <c r="Q62" i="45"/>
  <c r="R62" i="45"/>
  <c r="S62" i="45" s="1"/>
  <c r="Q63" i="45"/>
  <c r="R63" i="45"/>
  <c r="S63" i="45"/>
  <c r="Q64" i="45"/>
  <c r="R64" i="45"/>
  <c r="S64" i="45" s="1"/>
  <c r="Q65" i="45"/>
  <c r="S65" i="45" s="1"/>
  <c r="R65" i="45"/>
  <c r="Q66" i="45"/>
  <c r="R66" i="45"/>
  <c r="S66" i="45" s="1"/>
  <c r="Q67" i="45"/>
  <c r="R67" i="45"/>
  <c r="S67" i="45" s="1"/>
  <c r="Q68" i="45"/>
  <c r="R68" i="45"/>
  <c r="S68" i="45" s="1"/>
  <c r="Q69" i="45"/>
  <c r="R69" i="45"/>
  <c r="S69" i="45"/>
  <c r="Q70" i="45"/>
  <c r="R70" i="45"/>
  <c r="S70" i="45" s="1"/>
  <c r="Q71" i="45"/>
  <c r="R71" i="45"/>
  <c r="S71" i="45"/>
  <c r="Q72" i="45"/>
  <c r="R72" i="45"/>
  <c r="S72" i="45" s="1"/>
  <c r="Q73" i="45"/>
  <c r="S73" i="45" s="1"/>
  <c r="R73" i="45"/>
  <c r="Q74" i="45"/>
  <c r="R74" i="45"/>
  <c r="S74" i="45" s="1"/>
  <c r="Q75" i="45"/>
  <c r="R75" i="45"/>
  <c r="S75" i="45" s="1"/>
  <c r="Q76" i="45"/>
  <c r="R76" i="45"/>
  <c r="S76" i="45" s="1"/>
  <c r="Q77" i="45"/>
  <c r="R77" i="45"/>
  <c r="S77" i="45"/>
  <c r="Q78" i="45"/>
  <c r="R78" i="45"/>
  <c r="S78" i="45" s="1"/>
  <c r="Q79" i="45"/>
  <c r="R79" i="45"/>
  <c r="S79" i="45"/>
  <c r="Q80" i="45"/>
  <c r="R80" i="45"/>
  <c r="S80" i="45" s="1"/>
  <c r="Q81" i="45"/>
  <c r="S81" i="45" s="1"/>
  <c r="R81" i="45"/>
  <c r="Q82" i="45"/>
  <c r="R82" i="45"/>
  <c r="S82" i="45" s="1"/>
  <c r="Q83" i="45"/>
  <c r="R83" i="45"/>
  <c r="S83" i="45" s="1"/>
  <c r="Q84" i="45"/>
  <c r="R84" i="45"/>
  <c r="S84" i="45" s="1"/>
  <c r="Q85" i="45"/>
  <c r="R85" i="45"/>
  <c r="S85" i="45"/>
  <c r="Q86" i="45"/>
  <c r="R86" i="45"/>
  <c r="S86" i="45" s="1"/>
  <c r="Q87" i="45"/>
  <c r="R87" i="45"/>
  <c r="S87" i="45"/>
  <c r="Q88" i="45"/>
  <c r="R88" i="45"/>
  <c r="S88" i="45" s="1"/>
  <c r="Q89" i="45"/>
  <c r="S89" i="45" s="1"/>
  <c r="R89" i="45"/>
  <c r="Q90" i="45"/>
  <c r="R90" i="45"/>
  <c r="S90" i="45" s="1"/>
  <c r="Q91" i="45"/>
  <c r="R91" i="45"/>
  <c r="S91" i="45" s="1"/>
  <c r="Q92" i="45"/>
  <c r="R92" i="45"/>
  <c r="S92" i="45" s="1"/>
  <c r="Q93" i="45"/>
  <c r="R93" i="45"/>
  <c r="S93" i="45"/>
  <c r="Q94" i="45"/>
  <c r="R94" i="45"/>
  <c r="S94" i="45" s="1"/>
  <c r="Q95" i="45"/>
  <c r="R95" i="45"/>
  <c r="S95" i="45"/>
  <c r="Q96" i="45"/>
  <c r="R96" i="45"/>
  <c r="S96" i="45" s="1"/>
  <c r="Q97" i="45"/>
  <c r="S97" i="45" s="1"/>
  <c r="R97" i="45"/>
  <c r="Q98" i="45"/>
  <c r="R98" i="45"/>
  <c r="S98" i="45" s="1"/>
  <c r="Q99" i="45"/>
  <c r="R99" i="45"/>
  <c r="S99" i="45" s="1"/>
  <c r="Q100" i="45"/>
  <c r="R100" i="45"/>
  <c r="S100" i="45" s="1"/>
  <c r="Q101" i="45"/>
  <c r="R101" i="45"/>
  <c r="S101" i="45"/>
  <c r="Q102" i="45"/>
  <c r="R102" i="45"/>
  <c r="S102" i="45" s="1"/>
  <c r="Q103" i="45"/>
  <c r="R103" i="45"/>
  <c r="S103" i="45"/>
  <c r="Q104" i="45"/>
  <c r="R104" i="45"/>
  <c r="S104" i="45" s="1"/>
  <c r="Q105" i="45"/>
  <c r="S105" i="45" s="1"/>
  <c r="R105" i="45"/>
  <c r="Q106" i="45"/>
  <c r="R106" i="45"/>
  <c r="S106" i="45" s="1"/>
  <c r="Q107" i="45"/>
  <c r="R107" i="45"/>
  <c r="S107" i="45" s="1"/>
  <c r="Q108" i="45"/>
  <c r="R108" i="45"/>
  <c r="S108" i="45" s="1"/>
  <c r="Q109" i="45"/>
  <c r="R109" i="45"/>
  <c r="S109" i="45"/>
  <c r="Q110" i="45"/>
  <c r="R110" i="45"/>
  <c r="S110" i="45" s="1"/>
  <c r="Q111" i="45"/>
  <c r="R111" i="45"/>
  <c r="S111" i="45"/>
  <c r="Q112" i="45"/>
  <c r="R112" i="45"/>
  <c r="S112" i="45" s="1"/>
  <c r="Q113" i="45"/>
  <c r="S113" i="45" s="1"/>
  <c r="R113" i="45"/>
  <c r="Q114" i="45"/>
  <c r="R114" i="45"/>
  <c r="S114" i="45" s="1"/>
  <c r="Q115" i="45"/>
  <c r="R115" i="45"/>
  <c r="S115" i="45" s="1"/>
  <c r="Q116" i="45"/>
  <c r="R116" i="45"/>
  <c r="S116" i="45" s="1"/>
  <c r="Q117" i="45"/>
  <c r="R117" i="45"/>
  <c r="S117" i="45"/>
  <c r="Q118" i="45"/>
  <c r="R118" i="45"/>
  <c r="S118" i="45" s="1"/>
  <c r="Q119" i="45"/>
  <c r="R119" i="45"/>
  <c r="S119" i="45"/>
  <c r="Q120" i="45"/>
  <c r="R120" i="45"/>
  <c r="S120" i="45" s="1"/>
  <c r="Q121" i="45"/>
  <c r="S121" i="45" s="1"/>
  <c r="R121" i="45"/>
  <c r="Q122" i="45"/>
  <c r="R122" i="45"/>
  <c r="S122" i="45" s="1"/>
  <c r="Q123" i="45"/>
  <c r="R123" i="45"/>
  <c r="S123" i="45" s="1"/>
  <c r="Q124" i="45"/>
  <c r="R124" i="45"/>
  <c r="S124" i="45" s="1"/>
  <c r="Q125" i="45"/>
  <c r="R125" i="45"/>
  <c r="S125" i="45"/>
  <c r="Q126" i="45"/>
  <c r="R126" i="45"/>
  <c r="S126" i="45" s="1"/>
  <c r="Q127" i="45"/>
  <c r="R127" i="45"/>
  <c r="S127" i="45"/>
  <c r="Q128" i="45"/>
  <c r="R128" i="45"/>
  <c r="S128" i="45" s="1"/>
  <c r="Q129" i="45"/>
  <c r="S129" i="45" s="1"/>
  <c r="R129" i="45"/>
  <c r="Q130" i="45"/>
  <c r="R130" i="45"/>
  <c r="S130" i="45" s="1"/>
  <c r="Q131" i="45"/>
  <c r="R131" i="45"/>
  <c r="S131" i="45" s="1"/>
  <c r="Q132" i="45"/>
  <c r="R132" i="45"/>
  <c r="S132" i="45" s="1"/>
  <c r="Q133" i="45"/>
  <c r="R133" i="45"/>
  <c r="S133" i="45"/>
  <c r="Q134" i="45"/>
  <c r="R134" i="45"/>
  <c r="S134" i="45" s="1"/>
  <c r="Q135" i="45"/>
  <c r="R135" i="45"/>
  <c r="S135" i="45"/>
  <c r="Q136" i="45"/>
  <c r="R136" i="45"/>
  <c r="S136" i="45" s="1"/>
  <c r="Q137" i="45"/>
  <c r="S137" i="45" s="1"/>
  <c r="R137" i="45"/>
  <c r="Q138" i="45"/>
  <c r="R138" i="45"/>
  <c r="S138" i="45" s="1"/>
  <c r="Q139" i="45"/>
  <c r="R139" i="45"/>
  <c r="S139" i="45" s="1"/>
  <c r="Q140" i="45"/>
  <c r="R140" i="45"/>
  <c r="S140" i="45" s="1"/>
  <c r="Q141" i="45"/>
  <c r="R141" i="45"/>
  <c r="S141" i="45"/>
  <c r="Q142" i="45"/>
  <c r="R142" i="45"/>
  <c r="S142" i="45" s="1"/>
  <c r="Q143" i="45"/>
  <c r="R143" i="45"/>
  <c r="S143" i="45"/>
  <c r="Q144" i="45"/>
  <c r="R144" i="45"/>
  <c r="S144" i="45" s="1"/>
  <c r="Q145" i="45"/>
  <c r="S145" i="45" s="1"/>
  <c r="R145" i="45"/>
  <c r="Q146" i="45"/>
  <c r="R146" i="45"/>
  <c r="S146" i="45" s="1"/>
  <c r="Q147" i="45"/>
  <c r="R147" i="45"/>
  <c r="S147" i="45" s="1"/>
  <c r="Q148" i="45"/>
  <c r="R148" i="45"/>
  <c r="S148" i="45" s="1"/>
  <c r="Q149" i="45"/>
  <c r="R149" i="45"/>
  <c r="S149" i="45"/>
  <c r="Q150" i="45"/>
  <c r="R150" i="45"/>
  <c r="S150" i="45" s="1"/>
  <c r="Q151" i="45"/>
  <c r="R151" i="45"/>
  <c r="S151" i="45"/>
  <c r="Q152" i="45"/>
  <c r="R152" i="45"/>
  <c r="S152" i="45" s="1"/>
  <c r="Q153" i="45"/>
  <c r="S153" i="45" s="1"/>
  <c r="R153" i="45"/>
  <c r="Q154" i="45"/>
  <c r="R154" i="45"/>
  <c r="S154" i="45" s="1"/>
  <c r="Q155" i="45"/>
  <c r="R155" i="45"/>
  <c r="S155" i="45" s="1"/>
  <c r="Q156" i="45"/>
  <c r="R156" i="45"/>
  <c r="S156" i="45" s="1"/>
  <c r="Q157" i="45"/>
  <c r="R157" i="45"/>
  <c r="S157" i="45"/>
  <c r="Q158" i="45"/>
  <c r="R158" i="45"/>
  <c r="S158" i="45" s="1"/>
  <c r="Q159" i="45"/>
  <c r="R159" i="45"/>
  <c r="S159" i="45"/>
  <c r="Q160" i="45"/>
  <c r="R160" i="45"/>
  <c r="S160" i="45" s="1"/>
  <c r="Q161" i="45"/>
  <c r="S161" i="45" s="1"/>
  <c r="R161" i="45"/>
  <c r="Q162" i="45"/>
  <c r="R162" i="45"/>
  <c r="S162" i="45" s="1"/>
  <c r="Q163" i="45"/>
  <c r="R163" i="45"/>
  <c r="S163" i="45" s="1"/>
  <c r="Q164" i="45"/>
  <c r="R164" i="45"/>
  <c r="S164" i="45" s="1"/>
  <c r="Q165" i="45"/>
  <c r="R165" i="45"/>
  <c r="S165" i="45"/>
  <c r="Q166" i="45"/>
  <c r="R166" i="45"/>
  <c r="S166" i="45" s="1"/>
  <c r="Q167" i="45"/>
  <c r="R167" i="45"/>
  <c r="S167" i="45"/>
  <c r="Q168" i="45"/>
  <c r="R168" i="45"/>
  <c r="S168" i="45" s="1"/>
  <c r="Q169" i="45"/>
  <c r="S169" i="45" s="1"/>
  <c r="R169" i="45"/>
  <c r="Q170" i="45"/>
  <c r="R170" i="45"/>
  <c r="S170" i="45" s="1"/>
  <c r="Q171" i="45"/>
  <c r="R171" i="45"/>
  <c r="S171" i="45" s="1"/>
  <c r="Q172" i="45"/>
  <c r="R172" i="45"/>
  <c r="S172" i="45" s="1"/>
  <c r="Q173" i="45"/>
  <c r="R173" i="45"/>
  <c r="S173" i="45"/>
  <c r="Q174" i="45"/>
  <c r="R174" i="45"/>
  <c r="S174" i="45" s="1"/>
  <c r="Q175" i="45"/>
  <c r="R175" i="45"/>
  <c r="S175" i="45"/>
  <c r="Q176" i="45"/>
  <c r="R176" i="45"/>
  <c r="S176" i="45" s="1"/>
  <c r="Q177" i="45"/>
  <c r="S177" i="45" s="1"/>
  <c r="R177" i="45"/>
  <c r="Q178" i="45"/>
  <c r="R178" i="45"/>
  <c r="S178" i="45" s="1"/>
  <c r="Q179" i="45"/>
  <c r="R179" i="45"/>
  <c r="S179" i="45" s="1"/>
  <c r="Q180" i="45"/>
  <c r="R180" i="45"/>
  <c r="S180" i="45" s="1"/>
  <c r="Q181" i="45"/>
  <c r="R181" i="45"/>
  <c r="S181" i="45"/>
  <c r="Q182" i="45"/>
  <c r="R182" i="45"/>
  <c r="S182" i="45" s="1"/>
  <c r="Q183" i="45"/>
  <c r="R183" i="45"/>
  <c r="S183" i="45"/>
  <c r="Q184" i="45"/>
  <c r="R184" i="45"/>
  <c r="S184" i="45" s="1"/>
  <c r="Q185" i="45"/>
  <c r="S185" i="45" s="1"/>
  <c r="R185" i="45"/>
  <c r="Q186" i="45"/>
  <c r="R186" i="45"/>
  <c r="S186" i="45" s="1"/>
  <c r="Q187" i="45"/>
  <c r="R187" i="45"/>
  <c r="S187" i="45" s="1"/>
  <c r="Q188" i="45"/>
  <c r="R188" i="45"/>
  <c r="S188" i="45" s="1"/>
  <c r="Q189" i="45"/>
  <c r="R189" i="45"/>
  <c r="S189" i="45"/>
  <c r="Q190" i="45"/>
  <c r="R190" i="45"/>
  <c r="S190" i="45" s="1"/>
  <c r="Q191" i="45"/>
  <c r="R191" i="45"/>
  <c r="S191" i="45"/>
  <c r="Q192" i="45"/>
  <c r="R192" i="45"/>
  <c r="S192" i="45" s="1"/>
  <c r="Q193" i="45"/>
  <c r="S193" i="45" s="1"/>
  <c r="R193" i="45"/>
  <c r="Q194" i="45"/>
  <c r="R194" i="45"/>
  <c r="S194" i="45" s="1"/>
  <c r="Q195" i="45"/>
  <c r="R195" i="45"/>
  <c r="S195" i="45" s="1"/>
  <c r="Q196" i="45"/>
  <c r="R196" i="45"/>
  <c r="S196" i="45" s="1"/>
  <c r="Q197" i="45"/>
  <c r="R197" i="45"/>
  <c r="S197" i="45"/>
  <c r="Q198" i="45"/>
  <c r="R198" i="45"/>
  <c r="S198" i="45" s="1"/>
  <c r="Q199" i="45"/>
  <c r="R199" i="45"/>
  <c r="S199" i="45"/>
  <c r="Q200" i="45"/>
  <c r="R200" i="45"/>
  <c r="S200" i="45" s="1"/>
  <c r="Q201" i="45"/>
  <c r="S201" i="45" s="1"/>
  <c r="R201" i="45"/>
  <c r="Q202" i="45"/>
  <c r="R202" i="45"/>
  <c r="S202" i="45" s="1"/>
  <c r="Q203" i="45"/>
  <c r="R203" i="45"/>
  <c r="S203" i="45" s="1"/>
  <c r="Q204" i="45"/>
  <c r="R204" i="45"/>
  <c r="S204" i="45" s="1"/>
  <c r="Q205" i="45"/>
  <c r="R205" i="45"/>
  <c r="S205" i="45"/>
  <c r="Q206" i="45"/>
  <c r="R206" i="45"/>
  <c r="S206" i="45" s="1"/>
  <c r="Q207" i="45"/>
  <c r="R207" i="45"/>
  <c r="S207" i="45"/>
  <c r="Q208" i="45"/>
  <c r="R208" i="45"/>
  <c r="S208" i="45" s="1"/>
  <c r="Q209" i="45"/>
  <c r="S209" i="45" s="1"/>
  <c r="R209" i="45"/>
  <c r="Q210" i="45"/>
  <c r="R210" i="45"/>
  <c r="S210" i="45" s="1"/>
  <c r="Q211" i="45"/>
  <c r="R211" i="45"/>
  <c r="S211" i="45" s="1"/>
  <c r="Q212" i="45"/>
  <c r="R212" i="45"/>
  <c r="S212" i="45" s="1"/>
  <c r="Q213" i="45"/>
  <c r="R213" i="45"/>
  <c r="S213" i="45"/>
  <c r="Q214" i="45"/>
  <c r="R214" i="45"/>
  <c r="S214" i="45" s="1"/>
  <c r="Q215" i="45"/>
  <c r="R215" i="45"/>
  <c r="S215" i="45"/>
  <c r="Q216" i="45"/>
  <c r="R216" i="45"/>
  <c r="S216" i="45" s="1"/>
  <c r="Q217" i="45"/>
  <c r="S217" i="45" s="1"/>
  <c r="R217" i="45"/>
  <c r="Q218" i="45"/>
  <c r="R218" i="45"/>
  <c r="S218" i="45" s="1"/>
  <c r="Q219" i="45"/>
  <c r="R219" i="45"/>
  <c r="S219" i="45" s="1"/>
  <c r="Q220" i="45"/>
  <c r="R220" i="45"/>
  <c r="S220" i="45" s="1"/>
  <c r="Q221" i="45"/>
  <c r="R221" i="45"/>
  <c r="S221" i="45"/>
  <c r="Q222" i="45"/>
  <c r="R222" i="45"/>
  <c r="S222" i="45" s="1"/>
  <c r="Q223" i="45"/>
  <c r="R223" i="45"/>
  <c r="S223" i="45"/>
  <c r="Q224" i="45"/>
  <c r="R224" i="45"/>
  <c r="S224" i="45" s="1"/>
  <c r="Q225" i="45"/>
  <c r="S225" i="45" s="1"/>
  <c r="R225" i="45"/>
  <c r="Q226" i="45"/>
  <c r="R226" i="45"/>
  <c r="S226" i="45" s="1"/>
  <c r="Q227" i="45"/>
  <c r="R227" i="45"/>
  <c r="S227" i="45" s="1"/>
  <c r="Q228" i="45"/>
  <c r="R228" i="45"/>
  <c r="S228" i="45" s="1"/>
  <c r="Q229" i="45"/>
  <c r="R229" i="45"/>
  <c r="S229" i="45"/>
  <c r="Q230" i="45"/>
  <c r="R230" i="45"/>
  <c r="S230" i="45" s="1"/>
  <c r="Q231" i="45"/>
  <c r="R231" i="45"/>
  <c r="S231" i="45"/>
  <c r="Q232" i="45"/>
  <c r="R232" i="45"/>
  <c r="S232" i="45" s="1"/>
  <c r="Q233" i="45"/>
  <c r="S233" i="45" s="1"/>
  <c r="R233" i="45"/>
  <c r="Q234" i="45"/>
  <c r="R234" i="45"/>
  <c r="S234" i="45" s="1"/>
  <c r="Q235" i="45"/>
  <c r="R235" i="45"/>
  <c r="S235" i="45" s="1"/>
  <c r="Q236" i="45"/>
  <c r="R236" i="45"/>
  <c r="S236" i="45" s="1"/>
  <c r="Q237" i="45"/>
  <c r="R237" i="45"/>
  <c r="S237" i="45"/>
  <c r="Q238" i="45"/>
  <c r="R238" i="45"/>
  <c r="S238" i="45" s="1"/>
  <c r="Q239" i="45"/>
  <c r="R239" i="45"/>
  <c r="S239" i="45"/>
  <c r="Q240" i="45"/>
  <c r="R240" i="45"/>
  <c r="S240" i="45" s="1"/>
  <c r="Q241" i="45"/>
  <c r="S241" i="45" s="1"/>
  <c r="R241" i="45"/>
  <c r="Q242" i="45"/>
  <c r="R242" i="45"/>
  <c r="S242" i="45" s="1"/>
  <c r="Q243" i="45"/>
  <c r="R243" i="45"/>
  <c r="S243" i="45" s="1"/>
  <c r="Q244" i="45"/>
  <c r="R244" i="45"/>
  <c r="S244" i="45" s="1"/>
  <c r="Q245" i="45"/>
  <c r="R245" i="45"/>
  <c r="S245" i="45"/>
  <c r="Q246" i="45"/>
  <c r="R246" i="45"/>
  <c r="S246" i="45" s="1"/>
  <c r="Q247" i="45"/>
  <c r="R247" i="45"/>
  <c r="S247" i="45"/>
  <c r="Q248" i="45"/>
  <c r="R248" i="45"/>
  <c r="S248" i="45" s="1"/>
  <c r="Q249" i="45"/>
  <c r="S249" i="45" s="1"/>
  <c r="R249" i="45"/>
  <c r="Q250" i="45"/>
  <c r="R250" i="45"/>
  <c r="S250" i="45" s="1"/>
  <c r="Q251" i="45"/>
  <c r="R251" i="45"/>
  <c r="S251" i="45" s="1"/>
  <c r="Q252" i="45"/>
  <c r="R252" i="45"/>
  <c r="S252" i="45" s="1"/>
  <c r="Q253" i="45"/>
  <c r="R253" i="45"/>
  <c r="S253" i="45"/>
  <c r="Q254" i="45"/>
  <c r="R254" i="45"/>
  <c r="S254" i="45" s="1"/>
  <c r="Q255" i="45"/>
  <c r="R255" i="45"/>
  <c r="S255" i="45"/>
  <c r="Q7" i="42"/>
  <c r="R7" i="42"/>
  <c r="S7" i="42" s="1"/>
  <c r="Q8" i="42"/>
  <c r="R8" i="42"/>
  <c r="S8" i="42" s="1"/>
  <c r="Q9" i="42"/>
  <c r="R9" i="42"/>
  <c r="S9" i="42" s="1"/>
  <c r="Q10" i="42"/>
  <c r="R10" i="42"/>
  <c r="S10" i="42"/>
  <c r="Q11" i="42"/>
  <c r="S11" i="42" s="1"/>
  <c r="R11" i="42"/>
  <c r="Q12" i="42"/>
  <c r="S12" i="42" s="1"/>
  <c r="R12" i="42"/>
  <c r="Q13" i="42"/>
  <c r="R13" i="42"/>
  <c r="S13" i="42"/>
  <c r="Q14" i="42"/>
  <c r="R14" i="42"/>
  <c r="S14" i="42"/>
  <c r="Q15" i="42"/>
  <c r="R15" i="42"/>
  <c r="S15" i="42" s="1"/>
  <c r="Q16" i="42"/>
  <c r="R16" i="42"/>
  <c r="S16" i="42" s="1"/>
  <c r="Q17" i="42"/>
  <c r="R17" i="42"/>
  <c r="S17" i="42" s="1"/>
  <c r="Q18" i="42"/>
  <c r="R18" i="42"/>
  <c r="S18" i="42"/>
  <c r="Q19" i="42"/>
  <c r="S19" i="42" s="1"/>
  <c r="R19" i="42"/>
  <c r="Q20" i="42"/>
  <c r="S20" i="42" s="1"/>
  <c r="R20" i="42"/>
  <c r="Q21" i="42"/>
  <c r="R21" i="42"/>
  <c r="S21" i="42"/>
  <c r="Q22" i="42"/>
  <c r="R22" i="42"/>
  <c r="S22" i="42"/>
  <c r="Q23" i="42"/>
  <c r="R23" i="42"/>
  <c r="S23" i="42" s="1"/>
  <c r="Q24" i="42"/>
  <c r="R24" i="42"/>
  <c r="S24" i="42" s="1"/>
  <c r="Q25" i="42"/>
  <c r="R25" i="42"/>
  <c r="S25" i="42" s="1"/>
  <c r="Q26" i="42"/>
  <c r="R26" i="42"/>
  <c r="S26" i="42"/>
  <c r="Q27" i="42"/>
  <c r="S27" i="42" s="1"/>
  <c r="R27" i="42"/>
  <c r="Q28" i="42"/>
  <c r="S28" i="42" s="1"/>
  <c r="R28" i="42"/>
  <c r="Q29" i="42"/>
  <c r="R29" i="42"/>
  <c r="S29" i="42"/>
  <c r="Q30" i="42"/>
  <c r="R30" i="42"/>
  <c r="S30" i="42"/>
  <c r="Q31" i="42"/>
  <c r="R31" i="42"/>
  <c r="S31" i="42" s="1"/>
  <c r="Q32" i="42"/>
  <c r="R32" i="42"/>
  <c r="S32" i="42" s="1"/>
  <c r="Q33" i="42"/>
  <c r="R33" i="42"/>
  <c r="S33" i="42" s="1"/>
  <c r="Q34" i="42"/>
  <c r="R34" i="42"/>
  <c r="S34" i="42"/>
  <c r="Q35" i="42"/>
  <c r="S35" i="42" s="1"/>
  <c r="R35" i="42"/>
  <c r="Q36" i="42"/>
  <c r="S36" i="42" s="1"/>
  <c r="R36" i="42"/>
  <c r="Q37" i="42"/>
  <c r="R37" i="42"/>
  <c r="S37" i="42"/>
  <c r="Q38" i="42"/>
  <c r="R38" i="42"/>
  <c r="S38" i="42"/>
  <c r="Q39" i="42"/>
  <c r="R39" i="42"/>
  <c r="S39" i="42" s="1"/>
  <c r="Q40" i="42"/>
  <c r="R40" i="42"/>
  <c r="S40" i="42" s="1"/>
  <c r="Q41" i="42"/>
  <c r="R41" i="42"/>
  <c r="S41" i="42" s="1"/>
  <c r="Q42" i="42"/>
  <c r="R42" i="42"/>
  <c r="S42" i="42"/>
  <c r="Q43" i="42"/>
  <c r="S43" i="42" s="1"/>
  <c r="R43" i="42"/>
  <c r="Q44" i="42"/>
  <c r="S44" i="42" s="1"/>
  <c r="R44" i="42"/>
  <c r="Q45" i="42"/>
  <c r="R45" i="42"/>
  <c r="S45" i="42"/>
  <c r="Q46" i="42"/>
  <c r="R46" i="42"/>
  <c r="S46" i="42"/>
  <c r="Q47" i="42"/>
  <c r="R47" i="42"/>
  <c r="S47" i="42" s="1"/>
  <c r="Q48" i="42"/>
  <c r="R48" i="42"/>
  <c r="S48" i="42" s="1"/>
  <c r="Q49" i="42"/>
  <c r="R49" i="42"/>
  <c r="S49" i="42" s="1"/>
  <c r="Q50" i="42"/>
  <c r="R50" i="42"/>
  <c r="S50" i="42"/>
  <c r="Q51" i="42"/>
  <c r="S51" i="42" s="1"/>
  <c r="R51" i="42"/>
  <c r="Q52" i="42"/>
  <c r="S52" i="42" s="1"/>
  <c r="R52" i="42"/>
  <c r="Q53" i="42"/>
  <c r="R53" i="42"/>
  <c r="S53" i="42"/>
  <c r="Q54" i="42"/>
  <c r="R54" i="42"/>
  <c r="S54" i="42"/>
  <c r="Q55" i="42"/>
  <c r="R55" i="42"/>
  <c r="S55" i="42" s="1"/>
  <c r="Q56" i="42"/>
  <c r="R56" i="42"/>
  <c r="S56" i="42" s="1"/>
  <c r="Q57" i="42"/>
  <c r="R57" i="42"/>
  <c r="S57" i="42" s="1"/>
  <c r="Q58" i="42"/>
  <c r="R58" i="42"/>
  <c r="S58" i="42"/>
  <c r="Q59" i="42"/>
  <c r="S59" i="42" s="1"/>
  <c r="R59" i="42"/>
  <c r="Q60" i="42"/>
  <c r="S60" i="42" s="1"/>
  <c r="R60" i="42"/>
  <c r="Q61" i="42"/>
  <c r="R61" i="42"/>
  <c r="S61" i="42"/>
  <c r="Q62" i="42"/>
  <c r="R62" i="42"/>
  <c r="S62" i="42"/>
  <c r="Q63" i="42"/>
  <c r="R63" i="42"/>
  <c r="S63" i="42" s="1"/>
  <c r="Q64" i="42"/>
  <c r="R64" i="42"/>
  <c r="S64" i="42" s="1"/>
  <c r="Q65" i="42"/>
  <c r="R65" i="42"/>
  <c r="S65" i="42" s="1"/>
  <c r="Q66" i="42"/>
  <c r="R66" i="42"/>
  <c r="S66" i="42"/>
  <c r="Q67" i="42"/>
  <c r="S67" i="42" s="1"/>
  <c r="R67" i="42"/>
  <c r="Q68" i="42"/>
  <c r="S68" i="42" s="1"/>
  <c r="R68" i="42"/>
  <c r="Q69" i="42"/>
  <c r="R69" i="42"/>
  <c r="S69" i="42"/>
  <c r="Q70" i="42"/>
  <c r="R70" i="42"/>
  <c r="S70" i="42"/>
  <c r="Q71" i="42"/>
  <c r="R71" i="42"/>
  <c r="S71" i="42" s="1"/>
  <c r="Q72" i="42"/>
  <c r="R72" i="42"/>
  <c r="S72" i="42" s="1"/>
  <c r="Q73" i="42"/>
  <c r="R73" i="42"/>
  <c r="S73" i="42" s="1"/>
  <c r="Q74" i="42"/>
  <c r="R74" i="42"/>
  <c r="S74" i="42"/>
  <c r="Q75" i="42"/>
  <c r="S75" i="42" s="1"/>
  <c r="R75" i="42"/>
  <c r="Q76" i="42"/>
  <c r="S76" i="42" s="1"/>
  <c r="R76" i="42"/>
  <c r="Q77" i="42"/>
  <c r="R77" i="42"/>
  <c r="S77" i="42"/>
  <c r="Q78" i="42"/>
  <c r="R78" i="42"/>
  <c r="S78" i="42"/>
  <c r="Q79" i="42"/>
  <c r="R79" i="42"/>
  <c r="S79" i="42" s="1"/>
  <c r="Q80" i="42"/>
  <c r="R80" i="42"/>
  <c r="S80" i="42" s="1"/>
  <c r="Q81" i="42"/>
  <c r="R81" i="42"/>
  <c r="S81" i="42" s="1"/>
  <c r="Q82" i="42"/>
  <c r="R82" i="42"/>
  <c r="S82" i="42"/>
  <c r="Q83" i="42"/>
  <c r="S83" i="42" s="1"/>
  <c r="R83" i="42"/>
  <c r="Q84" i="42"/>
  <c r="S84" i="42" s="1"/>
  <c r="R84" i="42"/>
  <c r="Q85" i="42"/>
  <c r="R85" i="42"/>
  <c r="S85" i="42"/>
  <c r="Q86" i="42"/>
  <c r="R86" i="42"/>
  <c r="S86" i="42"/>
  <c r="Q87" i="42"/>
  <c r="R87" i="42"/>
  <c r="S87" i="42" s="1"/>
  <c r="Q88" i="42"/>
  <c r="R88" i="42"/>
  <c r="S88" i="42" s="1"/>
  <c r="Q89" i="42"/>
  <c r="R89" i="42"/>
  <c r="S89" i="42" s="1"/>
  <c r="Q90" i="42"/>
  <c r="R90" i="42"/>
  <c r="S90" i="42"/>
  <c r="Q91" i="42"/>
  <c r="S91" i="42" s="1"/>
  <c r="R91" i="42"/>
  <c r="Q92" i="42"/>
  <c r="S92" i="42" s="1"/>
  <c r="R92" i="42"/>
  <c r="Q93" i="42"/>
  <c r="R93" i="42"/>
  <c r="S93" i="42"/>
  <c r="Q94" i="42"/>
  <c r="R94" i="42"/>
  <c r="S94" i="42"/>
  <c r="Q95" i="42"/>
  <c r="R95" i="42"/>
  <c r="S95" i="42" s="1"/>
  <c r="Q96" i="42"/>
  <c r="R96" i="42"/>
  <c r="S96" i="42" s="1"/>
  <c r="Q97" i="42"/>
  <c r="R97" i="42"/>
  <c r="S97" i="42" s="1"/>
  <c r="Q98" i="42"/>
  <c r="R98" i="42"/>
  <c r="S98" i="42"/>
  <c r="Q99" i="42"/>
  <c r="S99" i="42" s="1"/>
  <c r="R99" i="42"/>
  <c r="Q100" i="42"/>
  <c r="S100" i="42" s="1"/>
  <c r="R100" i="42"/>
  <c r="Q101" i="42"/>
  <c r="R101" i="42"/>
  <c r="S101" i="42"/>
  <c r="Q102" i="42"/>
  <c r="R102" i="42"/>
  <c r="S102" i="42"/>
  <c r="Q103" i="42"/>
  <c r="R103" i="42"/>
  <c r="S103" i="42" s="1"/>
  <c r="Q104" i="42"/>
  <c r="R104" i="42"/>
  <c r="S104" i="42" s="1"/>
  <c r="Q105" i="42"/>
  <c r="R105" i="42"/>
  <c r="S105" i="42" s="1"/>
  <c r="Q106" i="42"/>
  <c r="R106" i="42"/>
  <c r="S106" i="42"/>
  <c r="Q107" i="42"/>
  <c r="R107" i="42"/>
  <c r="S107" i="42" s="1"/>
  <c r="Q108" i="42"/>
  <c r="S108" i="42" s="1"/>
  <c r="R108" i="42"/>
  <c r="Q109" i="42"/>
  <c r="R109" i="42"/>
  <c r="S109" i="42"/>
  <c r="Q110" i="42"/>
  <c r="R110" i="42"/>
  <c r="S110" i="42"/>
  <c r="Q111" i="42"/>
  <c r="R111" i="42"/>
  <c r="S111" i="42" s="1"/>
  <c r="Q112" i="42"/>
  <c r="R112" i="42"/>
  <c r="S112" i="42" s="1"/>
  <c r="Q113" i="42"/>
  <c r="R113" i="42"/>
  <c r="S113" i="42" s="1"/>
  <c r="Q114" i="42"/>
  <c r="R114" i="42"/>
  <c r="S114" i="42"/>
  <c r="Q115" i="42"/>
  <c r="R115" i="42"/>
  <c r="S115" i="42" s="1"/>
  <c r="Q116" i="42"/>
  <c r="S116" i="42" s="1"/>
  <c r="R116" i="42"/>
  <c r="Q117" i="42"/>
  <c r="R117" i="42"/>
  <c r="S117" i="42"/>
  <c r="Q118" i="42"/>
  <c r="R118" i="42"/>
  <c r="S118" i="42"/>
  <c r="Q119" i="42"/>
  <c r="R119" i="42"/>
  <c r="S119" i="42" s="1"/>
  <c r="Q120" i="42"/>
  <c r="R120" i="42"/>
  <c r="S120" i="42" s="1"/>
  <c r="Q121" i="42"/>
  <c r="R121" i="42"/>
  <c r="S121" i="42" s="1"/>
  <c r="Q122" i="42"/>
  <c r="R122" i="42"/>
  <c r="S122" i="42"/>
  <c r="Q123" i="42"/>
  <c r="R123" i="42"/>
  <c r="S123" i="42" s="1"/>
  <c r="Q124" i="42"/>
  <c r="S124" i="42" s="1"/>
  <c r="R124" i="42"/>
  <c r="Q125" i="42"/>
  <c r="R125" i="42"/>
  <c r="S125" i="42"/>
  <c r="Q126" i="42"/>
  <c r="R126" i="42"/>
  <c r="S126" i="42"/>
  <c r="Q127" i="42"/>
  <c r="R127" i="42"/>
  <c r="S127" i="42" s="1"/>
  <c r="Q128" i="42"/>
  <c r="R128" i="42"/>
  <c r="S128" i="42" s="1"/>
  <c r="Q129" i="42"/>
  <c r="R129" i="42"/>
  <c r="S129" i="42" s="1"/>
  <c r="Q130" i="42"/>
  <c r="R130" i="42"/>
  <c r="S130" i="42"/>
  <c r="Q131" i="42"/>
  <c r="R131" i="42"/>
  <c r="S131" i="42" s="1"/>
  <c r="Q132" i="42"/>
  <c r="S132" i="42" s="1"/>
  <c r="R132" i="42"/>
  <c r="Q133" i="42"/>
  <c r="R133" i="42"/>
  <c r="S133" i="42"/>
  <c r="Q134" i="42"/>
  <c r="R134" i="42"/>
  <c r="S134" i="42"/>
  <c r="Q135" i="42"/>
  <c r="R135" i="42"/>
  <c r="S135" i="42" s="1"/>
  <c r="Q136" i="42"/>
  <c r="R136" i="42"/>
  <c r="S136" i="42" s="1"/>
  <c r="Q137" i="42"/>
  <c r="R137" i="42"/>
  <c r="S137" i="42" s="1"/>
  <c r="Q138" i="42"/>
  <c r="R138" i="42"/>
  <c r="S138" i="42"/>
  <c r="Q139" i="42"/>
  <c r="R139" i="42"/>
  <c r="S139" i="42" s="1"/>
  <c r="Q140" i="42"/>
  <c r="S140" i="42" s="1"/>
  <c r="R140" i="42"/>
  <c r="Q141" i="42"/>
  <c r="R141" i="42"/>
  <c r="S141" i="42"/>
  <c r="Q142" i="42"/>
  <c r="R142" i="42"/>
  <c r="S142" i="42"/>
  <c r="Q143" i="42"/>
  <c r="R143" i="42"/>
  <c r="S143" i="42" s="1"/>
  <c r="Q144" i="42"/>
  <c r="R144" i="42"/>
  <c r="S144" i="42" s="1"/>
  <c r="Q145" i="42"/>
  <c r="R145" i="42"/>
  <c r="S145" i="42" s="1"/>
  <c r="Q146" i="42"/>
  <c r="R146" i="42"/>
  <c r="S146" i="42"/>
  <c r="Q147" i="42"/>
  <c r="S147" i="42" s="1"/>
  <c r="R147" i="42"/>
  <c r="Q148" i="42"/>
  <c r="S148" i="42" s="1"/>
  <c r="R148" i="42"/>
  <c r="Q149" i="42"/>
  <c r="R149" i="42"/>
  <c r="S149" i="42"/>
  <c r="Q150" i="42"/>
  <c r="R150" i="42"/>
  <c r="S150" i="42"/>
  <c r="Q151" i="42"/>
  <c r="R151" i="42"/>
  <c r="S151" i="42" s="1"/>
  <c r="Q152" i="42"/>
  <c r="R152" i="42"/>
  <c r="S152" i="42" s="1"/>
  <c r="Q153" i="42"/>
  <c r="R153" i="42"/>
  <c r="S153" i="42" s="1"/>
  <c r="Q154" i="42"/>
  <c r="R154" i="42"/>
  <c r="S154" i="42"/>
  <c r="Q155" i="42"/>
  <c r="S155" i="42" s="1"/>
  <c r="R155" i="42"/>
  <c r="Q156" i="42"/>
  <c r="S156" i="42" s="1"/>
  <c r="R156" i="42"/>
  <c r="Q157" i="42"/>
  <c r="R157" i="42"/>
  <c r="S157" i="42"/>
  <c r="Q158" i="42"/>
  <c r="R158" i="42"/>
  <c r="S158" i="42"/>
  <c r="Q159" i="42"/>
  <c r="R159" i="42"/>
  <c r="S159" i="42" s="1"/>
  <c r="Q160" i="42"/>
  <c r="R160" i="42"/>
  <c r="S160" i="42" s="1"/>
  <c r="Q161" i="42"/>
  <c r="R161" i="42"/>
  <c r="S161" i="42" s="1"/>
  <c r="Q162" i="42"/>
  <c r="R162" i="42"/>
  <c r="S162" i="42"/>
  <c r="Q163" i="42"/>
  <c r="S163" i="42" s="1"/>
  <c r="R163" i="42"/>
  <c r="Q164" i="42"/>
  <c r="S164" i="42" s="1"/>
  <c r="R164" i="42"/>
  <c r="Q165" i="42"/>
  <c r="R165" i="42"/>
  <c r="S165" i="42"/>
  <c r="Q166" i="42"/>
  <c r="R166" i="42"/>
  <c r="S166" i="42"/>
  <c r="Q167" i="42"/>
  <c r="R167" i="42"/>
  <c r="S167" i="42" s="1"/>
  <c r="Q168" i="42"/>
  <c r="R168" i="42"/>
  <c r="S168" i="42" s="1"/>
  <c r="Q169" i="42"/>
  <c r="R169" i="42"/>
  <c r="S169" i="42" s="1"/>
  <c r="Q170" i="42"/>
  <c r="R170" i="42"/>
  <c r="S170" i="42"/>
  <c r="Q171" i="42"/>
  <c r="R171" i="42"/>
  <c r="S171" i="42" s="1"/>
  <c r="Q172" i="42"/>
  <c r="S172" i="42" s="1"/>
  <c r="R172" i="42"/>
  <c r="Q173" i="42"/>
  <c r="R173" i="42"/>
  <c r="S173" i="42"/>
  <c r="Q174" i="42"/>
  <c r="R174" i="42"/>
  <c r="S174" i="42"/>
  <c r="Q175" i="42"/>
  <c r="R175" i="42"/>
  <c r="S175" i="42" s="1"/>
  <c r="Q176" i="42"/>
  <c r="R176" i="42"/>
  <c r="S176" i="42" s="1"/>
  <c r="Q177" i="42"/>
  <c r="R177" i="42"/>
  <c r="S177" i="42" s="1"/>
  <c r="Q178" i="42"/>
  <c r="R178" i="42"/>
  <c r="S178" i="42"/>
  <c r="Q179" i="42"/>
  <c r="S179" i="42" s="1"/>
  <c r="R179" i="42"/>
  <c r="Q180" i="42"/>
  <c r="S180" i="42" s="1"/>
  <c r="R180" i="42"/>
  <c r="Q181" i="42"/>
  <c r="R181" i="42"/>
  <c r="S181" i="42"/>
  <c r="Q182" i="42"/>
  <c r="R182" i="42"/>
  <c r="S182" i="42"/>
  <c r="Q183" i="42"/>
  <c r="R183" i="42"/>
  <c r="S183" i="42" s="1"/>
  <c r="Q184" i="42"/>
  <c r="R184" i="42"/>
  <c r="S184" i="42" s="1"/>
  <c r="Q185" i="42"/>
  <c r="R185" i="42"/>
  <c r="S185" i="42" s="1"/>
  <c r="Q186" i="42"/>
  <c r="R186" i="42"/>
  <c r="S186" i="42"/>
  <c r="Q187" i="42"/>
  <c r="R187" i="42"/>
  <c r="S187" i="42" s="1"/>
  <c r="Q188" i="42"/>
  <c r="S188" i="42" s="1"/>
  <c r="R188" i="42"/>
  <c r="Q189" i="42"/>
  <c r="R189" i="42"/>
  <c r="S189" i="42"/>
  <c r="Q190" i="42"/>
  <c r="R190" i="42"/>
  <c r="S190" i="42"/>
  <c r="Q191" i="42"/>
  <c r="R191" i="42"/>
  <c r="S191" i="42" s="1"/>
  <c r="Q192" i="42"/>
  <c r="R192" i="42"/>
  <c r="S192" i="42" s="1"/>
  <c r="Q193" i="42"/>
  <c r="R193" i="42"/>
  <c r="S193" i="42" s="1"/>
  <c r="Q194" i="42"/>
  <c r="R194" i="42"/>
  <c r="S194" i="42"/>
  <c r="Q195" i="42"/>
  <c r="R195" i="42"/>
  <c r="S195" i="42" s="1"/>
  <c r="Q196" i="42"/>
  <c r="S196" i="42" s="1"/>
  <c r="R196" i="42"/>
  <c r="Q197" i="42"/>
  <c r="R197" i="42"/>
  <c r="S197" i="42"/>
  <c r="Q198" i="42"/>
  <c r="R198" i="42"/>
  <c r="S198" i="42"/>
  <c r="Q199" i="42"/>
  <c r="R199" i="42"/>
  <c r="S199" i="42" s="1"/>
  <c r="Q200" i="42"/>
  <c r="R200" i="42"/>
  <c r="S200" i="42" s="1"/>
  <c r="Q201" i="42"/>
  <c r="R201" i="42"/>
  <c r="S201" i="42" s="1"/>
  <c r="Q202" i="42"/>
  <c r="R202" i="42"/>
  <c r="S202" i="42"/>
  <c r="Q203" i="42"/>
  <c r="R203" i="42"/>
  <c r="S203" i="42" s="1"/>
  <c r="Q204" i="42"/>
  <c r="S204" i="42" s="1"/>
  <c r="R204" i="42"/>
  <c r="Q205" i="42"/>
  <c r="R205" i="42"/>
  <c r="S205" i="42"/>
  <c r="Q206" i="42"/>
  <c r="R206" i="42"/>
  <c r="S206" i="42"/>
  <c r="Q207" i="42"/>
  <c r="R207" i="42"/>
  <c r="S207" i="42" s="1"/>
  <c r="Q208" i="42"/>
  <c r="R208" i="42"/>
  <c r="S208" i="42" s="1"/>
  <c r="Q209" i="42"/>
  <c r="R209" i="42"/>
  <c r="S209" i="42" s="1"/>
  <c r="Q210" i="42"/>
  <c r="R210" i="42"/>
  <c r="S210" i="42"/>
  <c r="Q211" i="42"/>
  <c r="R211" i="42"/>
  <c r="S211" i="42" s="1"/>
  <c r="Q212" i="42"/>
  <c r="S212" i="42" s="1"/>
  <c r="R212" i="42"/>
  <c r="Q213" i="42"/>
  <c r="R213" i="42"/>
  <c r="S213" i="42"/>
  <c r="Q214" i="42"/>
  <c r="R214" i="42"/>
  <c r="S214" i="42"/>
  <c r="Q215" i="42"/>
  <c r="R215" i="42"/>
  <c r="S215" i="42" s="1"/>
  <c r="Q216" i="42"/>
  <c r="R216" i="42"/>
  <c r="S216" i="42" s="1"/>
  <c r="Q217" i="42"/>
  <c r="R217" i="42"/>
  <c r="S217" i="42" s="1"/>
  <c r="Q218" i="42"/>
  <c r="R218" i="42"/>
  <c r="S218" i="42"/>
  <c r="Q219" i="42"/>
  <c r="R219" i="42"/>
  <c r="S219" i="42" s="1"/>
  <c r="Q220" i="42"/>
  <c r="S220" i="42" s="1"/>
  <c r="R220" i="42"/>
  <c r="Q221" i="42"/>
  <c r="R221" i="42"/>
  <c r="S221" i="42"/>
  <c r="Q222" i="42"/>
  <c r="R222" i="42"/>
  <c r="S222" i="42"/>
  <c r="Q223" i="42"/>
  <c r="R223" i="42"/>
  <c r="S223" i="42" s="1"/>
  <c r="Q224" i="42"/>
  <c r="R224" i="42"/>
  <c r="S224" i="42" s="1"/>
  <c r="Q225" i="42"/>
  <c r="R225" i="42"/>
  <c r="S225" i="42" s="1"/>
  <c r="Q226" i="42"/>
  <c r="R226" i="42"/>
  <c r="S226" i="42"/>
  <c r="Q227" i="42"/>
  <c r="R227" i="42"/>
  <c r="S227" i="42" s="1"/>
  <c r="Q228" i="42"/>
  <c r="S228" i="42" s="1"/>
  <c r="R228" i="42"/>
  <c r="Q229" i="42"/>
  <c r="R229" i="42"/>
  <c r="S229" i="42"/>
  <c r="Q230" i="42"/>
  <c r="R230" i="42"/>
  <c r="S230" i="42"/>
  <c r="Q231" i="42"/>
  <c r="R231" i="42"/>
  <c r="S231" i="42" s="1"/>
  <c r="Q232" i="42"/>
  <c r="R232" i="42"/>
  <c r="S232" i="42" s="1"/>
  <c r="Q233" i="42"/>
  <c r="R233" i="42"/>
  <c r="S233" i="42" s="1"/>
  <c r="Q234" i="42"/>
  <c r="R234" i="42"/>
  <c r="S234" i="42"/>
  <c r="Q235" i="42"/>
  <c r="R235" i="42"/>
  <c r="S235" i="42" s="1"/>
  <c r="Q236" i="42"/>
  <c r="S236" i="42" s="1"/>
  <c r="R236" i="42"/>
  <c r="Q237" i="42"/>
  <c r="R237" i="42"/>
  <c r="S237" i="42"/>
  <c r="Q238" i="42"/>
  <c r="R238" i="42"/>
  <c r="S238" i="42"/>
  <c r="Q239" i="42"/>
  <c r="R239" i="42"/>
  <c r="S239" i="42" s="1"/>
  <c r="Q240" i="42"/>
  <c r="R240" i="42"/>
  <c r="S240" i="42" s="1"/>
  <c r="Q241" i="42"/>
  <c r="R241" i="42"/>
  <c r="S241" i="42" s="1"/>
  <c r="Q242" i="42"/>
  <c r="R242" i="42"/>
  <c r="S242" i="42"/>
  <c r="Q243" i="42"/>
  <c r="R243" i="42"/>
  <c r="S243" i="42" s="1"/>
  <c r="Q244" i="42"/>
  <c r="S244" i="42" s="1"/>
  <c r="R244" i="42"/>
  <c r="Q245" i="42"/>
  <c r="R245" i="42"/>
  <c r="S245" i="42"/>
  <c r="Q246" i="42"/>
  <c r="R246" i="42"/>
  <c r="S246" i="42"/>
  <c r="Q247" i="42"/>
  <c r="R247" i="42"/>
  <c r="S247" i="42" s="1"/>
  <c r="Q248" i="42"/>
  <c r="R248" i="42"/>
  <c r="S248" i="42" s="1"/>
  <c r="Q249" i="42"/>
  <c r="R249" i="42"/>
  <c r="S249" i="42" s="1"/>
  <c r="Q250" i="42"/>
  <c r="R250" i="42"/>
  <c r="S250" i="42"/>
  <c r="Q251" i="42"/>
  <c r="R251" i="42"/>
  <c r="S251" i="42" s="1"/>
  <c r="Q252" i="42"/>
  <c r="S252" i="42" s="1"/>
  <c r="R252" i="42"/>
  <c r="Q253" i="42"/>
  <c r="R253" i="42"/>
  <c r="S253" i="42"/>
  <c r="Q254" i="42"/>
  <c r="R254" i="42"/>
  <c r="S254" i="42"/>
  <c r="Q255" i="42"/>
  <c r="R255" i="42"/>
  <c r="S255" i="42" s="1"/>
  <c r="Q256" i="42"/>
  <c r="R256" i="42"/>
  <c r="S256" i="42" s="1"/>
  <c r="Q257" i="42"/>
  <c r="R257" i="42"/>
  <c r="S257" i="42" s="1"/>
  <c r="Q258" i="42"/>
  <c r="R258" i="42"/>
  <c r="S258" i="42"/>
  <c r="Q259" i="42"/>
  <c r="R259" i="42"/>
  <c r="S259" i="42" s="1"/>
  <c r="Q260" i="42"/>
  <c r="S260" i="42" s="1"/>
  <c r="R260" i="42"/>
  <c r="Q261" i="42"/>
  <c r="R261" i="42"/>
  <c r="S261" i="42"/>
  <c r="Q262" i="42"/>
  <c r="R262" i="42"/>
  <c r="S262" i="42"/>
  <c r="Q263" i="42"/>
  <c r="R263" i="42"/>
  <c r="S263" i="42" s="1"/>
  <c r="Q264" i="42"/>
  <c r="R264" i="42"/>
  <c r="S264" i="42" s="1"/>
  <c r="Q265" i="42"/>
  <c r="R265" i="42"/>
  <c r="S265" i="42" s="1"/>
  <c r="Q266" i="42"/>
  <c r="R266" i="42"/>
  <c r="S266" i="42"/>
  <c r="Q267" i="42"/>
  <c r="R267" i="42"/>
  <c r="S267" i="42" s="1"/>
  <c r="Q268" i="42"/>
  <c r="S268" i="42" s="1"/>
  <c r="R268" i="42"/>
  <c r="Q6" i="41"/>
  <c r="R6" i="41"/>
  <c r="S6" i="41" s="1"/>
  <c r="Q7" i="41"/>
  <c r="R7" i="41"/>
  <c r="S7" i="41"/>
  <c r="Q8" i="41"/>
  <c r="R8" i="41"/>
  <c r="S8" i="41"/>
  <c r="Q9" i="41"/>
  <c r="R9" i="41"/>
  <c r="S9" i="41" s="1"/>
  <c r="Q10" i="41"/>
  <c r="R10" i="41"/>
  <c r="S10" i="41"/>
  <c r="Q11" i="41"/>
  <c r="R11" i="41"/>
  <c r="S11" i="41" s="1"/>
  <c r="Q12" i="41"/>
  <c r="R12" i="41"/>
  <c r="S12" i="41" s="1"/>
  <c r="Q13" i="41"/>
  <c r="R13" i="41"/>
  <c r="S13" i="41" s="1"/>
  <c r="Q14" i="41"/>
  <c r="R14" i="41"/>
  <c r="S14" i="41" s="1"/>
  <c r="Q15" i="41"/>
  <c r="R15" i="41"/>
  <c r="S15" i="41"/>
  <c r="Q16" i="41"/>
  <c r="R16" i="41"/>
  <c r="S16" i="41"/>
  <c r="Q17" i="41"/>
  <c r="R17" i="41"/>
  <c r="S17" i="41" s="1"/>
  <c r="Q18" i="41"/>
  <c r="R18" i="41"/>
  <c r="S18" i="41"/>
  <c r="Q19" i="41"/>
  <c r="R19" i="41"/>
  <c r="S19" i="41" s="1"/>
  <c r="Q20" i="41"/>
  <c r="R20" i="41"/>
  <c r="S20" i="41" s="1"/>
  <c r="Q21" i="41"/>
  <c r="R21" i="41"/>
  <c r="S21" i="41" s="1"/>
  <c r="Q22" i="41"/>
  <c r="R22" i="41"/>
  <c r="S22" i="41" s="1"/>
  <c r="Q23" i="41"/>
  <c r="R23" i="41"/>
  <c r="S23" i="41"/>
  <c r="Q24" i="41"/>
  <c r="R24" i="41"/>
  <c r="S24" i="41"/>
  <c r="Q25" i="41"/>
  <c r="R25" i="41"/>
  <c r="S25" i="41" s="1"/>
  <c r="Q26" i="41"/>
  <c r="R26" i="41"/>
  <c r="S26" i="41"/>
  <c r="Q27" i="41"/>
  <c r="R27" i="41"/>
  <c r="S27" i="41" s="1"/>
  <c r="Q28" i="41"/>
  <c r="R28" i="41"/>
  <c r="S28" i="41" s="1"/>
  <c r="Q29" i="41"/>
  <c r="R29" i="41"/>
  <c r="S29" i="41" s="1"/>
  <c r="Q30" i="41"/>
  <c r="R30" i="41"/>
  <c r="S30" i="41" s="1"/>
  <c r="Q31" i="41"/>
  <c r="R31" i="41"/>
  <c r="S31" i="41"/>
  <c r="Q32" i="41"/>
  <c r="R32" i="41"/>
  <c r="S32" i="41"/>
  <c r="Q33" i="41"/>
  <c r="R33" i="41"/>
  <c r="S33" i="41" s="1"/>
  <c r="Q34" i="41"/>
  <c r="R34" i="41"/>
  <c r="S34" i="41"/>
  <c r="Q35" i="41"/>
  <c r="R35" i="41"/>
  <c r="S35" i="41" s="1"/>
  <c r="Q36" i="41"/>
  <c r="S36" i="41" s="1"/>
  <c r="R36" i="41"/>
  <c r="Q37" i="41"/>
  <c r="R37" i="41"/>
  <c r="S37" i="41" s="1"/>
  <c r="Q38" i="41"/>
  <c r="R38" i="41"/>
  <c r="S38" i="41" s="1"/>
  <c r="Q39" i="41"/>
  <c r="R39" i="41"/>
  <c r="S39" i="41"/>
  <c r="Q40" i="41"/>
  <c r="R40" i="41"/>
  <c r="S40" i="41"/>
  <c r="Q41" i="41"/>
  <c r="R41" i="41"/>
  <c r="S41" i="41" s="1"/>
  <c r="Q42" i="41"/>
  <c r="R42" i="41"/>
  <c r="S42" i="41"/>
  <c r="Q43" i="41"/>
  <c r="R43" i="41"/>
  <c r="S43" i="41" s="1"/>
  <c r="Q44" i="41"/>
  <c r="S44" i="41" s="1"/>
  <c r="R44" i="41"/>
  <c r="Q45" i="41"/>
  <c r="R45" i="41"/>
  <c r="S45" i="41" s="1"/>
  <c r="Q46" i="41"/>
  <c r="R46" i="41"/>
  <c r="S46" i="41" s="1"/>
  <c r="Q47" i="41"/>
  <c r="R47" i="41"/>
  <c r="S47" i="41"/>
  <c r="Q48" i="41"/>
  <c r="R48" i="41"/>
  <c r="S48" i="41"/>
  <c r="Q49" i="41"/>
  <c r="R49" i="41"/>
  <c r="S49" i="41" s="1"/>
  <c r="Q50" i="41"/>
  <c r="R50" i="41"/>
  <c r="S50" i="41"/>
  <c r="Q51" i="41"/>
  <c r="R51" i="41"/>
  <c r="S51" i="41" s="1"/>
  <c r="Q52" i="41"/>
  <c r="S52" i="41" s="1"/>
  <c r="R52" i="41"/>
  <c r="Q53" i="41"/>
  <c r="R53" i="41"/>
  <c r="S53" i="41" s="1"/>
  <c r="Q54" i="41"/>
  <c r="R54" i="41"/>
  <c r="S54" i="41" s="1"/>
  <c r="Q55" i="41"/>
  <c r="R55" i="41"/>
  <c r="S55" i="41"/>
  <c r="Q56" i="41"/>
  <c r="R56" i="41"/>
  <c r="S56" i="41"/>
  <c r="Q57" i="41"/>
  <c r="R57" i="41"/>
  <c r="S57" i="41" s="1"/>
  <c r="Q58" i="41"/>
  <c r="R58" i="41"/>
  <c r="S58" i="41"/>
  <c r="Q59" i="41"/>
  <c r="R59" i="41"/>
  <c r="S59" i="41" s="1"/>
  <c r="Q60" i="41"/>
  <c r="S60" i="41" s="1"/>
  <c r="R60" i="41"/>
  <c r="Q61" i="41"/>
  <c r="R61" i="41"/>
  <c r="S61" i="41" s="1"/>
  <c r="Q62" i="41"/>
  <c r="R62" i="41"/>
  <c r="S62" i="41" s="1"/>
  <c r="Q63" i="41"/>
  <c r="R63" i="41"/>
  <c r="S63" i="41"/>
  <c r="Q64" i="41"/>
  <c r="R64" i="41"/>
  <c r="S64" i="41"/>
  <c r="Q65" i="41"/>
  <c r="R65" i="41"/>
  <c r="S65" i="41" s="1"/>
  <c r="Q66" i="41"/>
  <c r="R66" i="41"/>
  <c r="S66" i="41"/>
  <c r="Q67" i="41"/>
  <c r="R67" i="41"/>
  <c r="S67" i="41" s="1"/>
  <c r="Q68" i="41"/>
  <c r="S68" i="41" s="1"/>
  <c r="R68" i="41"/>
  <c r="Q69" i="41"/>
  <c r="R69" i="41"/>
  <c r="S69" i="41" s="1"/>
  <c r="Q70" i="41"/>
  <c r="R70" i="41"/>
  <c r="S70" i="41" s="1"/>
  <c r="Q71" i="41"/>
  <c r="R71" i="41"/>
  <c r="S71" i="41"/>
  <c r="Q72" i="41"/>
  <c r="R72" i="41"/>
  <c r="S72" i="41"/>
  <c r="Q73" i="41"/>
  <c r="R73" i="41"/>
  <c r="S73" i="41" s="1"/>
  <c r="Q74" i="41"/>
  <c r="R74" i="41"/>
  <c r="S74" i="41"/>
  <c r="Q75" i="41"/>
  <c r="R75" i="41"/>
  <c r="S75" i="41" s="1"/>
  <c r="Q76" i="41"/>
  <c r="S76" i="41" s="1"/>
  <c r="R76" i="41"/>
  <c r="Q77" i="41"/>
  <c r="R77" i="41"/>
  <c r="S77" i="41" s="1"/>
  <c r="Q78" i="41"/>
  <c r="R78" i="41"/>
  <c r="S78" i="41" s="1"/>
  <c r="Q79" i="41"/>
  <c r="R79" i="41"/>
  <c r="S79" i="41"/>
  <c r="Q80" i="41"/>
  <c r="R80" i="41"/>
  <c r="S80" i="41"/>
  <c r="Q81" i="41"/>
  <c r="R81" i="41"/>
  <c r="S81" i="41" s="1"/>
  <c r="Q82" i="41"/>
  <c r="R82" i="41"/>
  <c r="S82" i="41"/>
  <c r="Q83" i="41"/>
  <c r="R83" i="41"/>
  <c r="S83" i="41" s="1"/>
  <c r="Q84" i="41"/>
  <c r="S84" i="41" s="1"/>
  <c r="R84" i="41"/>
  <c r="Q85" i="41"/>
  <c r="R85" i="41"/>
  <c r="S85" i="41" s="1"/>
  <c r="Q86" i="41"/>
  <c r="R86" i="41"/>
  <c r="S86" i="41" s="1"/>
  <c r="Q87" i="41"/>
  <c r="R87" i="41"/>
  <c r="S87" i="41"/>
  <c r="Q88" i="41"/>
  <c r="R88" i="41"/>
  <c r="S88" i="41"/>
  <c r="Q89" i="41"/>
  <c r="R89" i="41"/>
  <c r="S89" i="41" s="1"/>
  <c r="Q90" i="41"/>
  <c r="R90" i="41"/>
  <c r="S90" i="41"/>
  <c r="Q91" i="41"/>
  <c r="R91" i="41"/>
  <c r="S91" i="41" s="1"/>
  <c r="Q92" i="41"/>
  <c r="S92" i="41" s="1"/>
  <c r="R92" i="41"/>
  <c r="Q93" i="41"/>
  <c r="R93" i="41"/>
  <c r="S93" i="41" s="1"/>
  <c r="Q94" i="41"/>
  <c r="R94" i="41"/>
  <c r="S94" i="41" s="1"/>
  <c r="Q95" i="41"/>
  <c r="R95" i="41"/>
  <c r="S95" i="41"/>
  <c r="Q96" i="41"/>
  <c r="R96" i="41"/>
  <c r="S96" i="41"/>
  <c r="Q97" i="41"/>
  <c r="R97" i="41"/>
  <c r="S97" i="41" s="1"/>
  <c r="Q98" i="41"/>
  <c r="R98" i="41"/>
  <c r="S98" i="41"/>
  <c r="Q99" i="41"/>
  <c r="R99" i="41"/>
  <c r="S99" i="41" s="1"/>
  <c r="Q100" i="41"/>
  <c r="S100" i="41" s="1"/>
  <c r="R100" i="41"/>
  <c r="Q101" i="41"/>
  <c r="R101" i="41"/>
  <c r="S101" i="41" s="1"/>
  <c r="Q102" i="41"/>
  <c r="R102" i="41"/>
  <c r="S102" i="41" s="1"/>
  <c r="Q103" i="41"/>
  <c r="R103" i="41"/>
  <c r="S103" i="41"/>
  <c r="Q104" i="41"/>
  <c r="R104" i="41"/>
  <c r="S104" i="41"/>
  <c r="Q105" i="41"/>
  <c r="R105" i="41"/>
  <c r="S105" i="41" s="1"/>
  <c r="Q106" i="41"/>
  <c r="R106" i="41"/>
  <c r="S106" i="41"/>
  <c r="Q107" i="41"/>
  <c r="R107" i="41"/>
  <c r="S107" i="41" s="1"/>
  <c r="Q108" i="41"/>
  <c r="S108" i="41" s="1"/>
  <c r="R108" i="41"/>
  <c r="Q109" i="41"/>
  <c r="R109" i="41"/>
  <c r="S109" i="41" s="1"/>
  <c r="Q110" i="41"/>
  <c r="R110" i="41"/>
  <c r="S110" i="41" s="1"/>
  <c r="Q111" i="41"/>
  <c r="R111" i="41"/>
  <c r="S111" i="41"/>
  <c r="Q112" i="41"/>
  <c r="R112" i="41"/>
  <c r="S112" i="41"/>
  <c r="Q113" i="41"/>
  <c r="R113" i="41"/>
  <c r="S113" i="41" s="1"/>
  <c r="Q114" i="41"/>
  <c r="R114" i="41"/>
  <c r="S114" i="41"/>
  <c r="Q115" i="41"/>
  <c r="R115" i="41"/>
  <c r="S115" i="41" s="1"/>
  <c r="Q116" i="41"/>
  <c r="S116" i="41" s="1"/>
  <c r="R116" i="41"/>
  <c r="Q117" i="41"/>
  <c r="R117" i="41"/>
  <c r="S117" i="41" s="1"/>
  <c r="Q118" i="41"/>
  <c r="R118" i="41"/>
  <c r="S118" i="41" s="1"/>
  <c r="Q119" i="41"/>
  <c r="R119" i="41"/>
  <c r="S119" i="41"/>
  <c r="Q120" i="41"/>
  <c r="R120" i="41"/>
  <c r="S120" i="41"/>
  <c r="Q121" i="41"/>
  <c r="R121" i="41"/>
  <c r="S121" i="41" s="1"/>
  <c r="Q122" i="41"/>
  <c r="R122" i="41"/>
  <c r="S122" i="41"/>
  <c r="Q123" i="41"/>
  <c r="R123" i="41"/>
  <c r="S123" i="41" s="1"/>
  <c r="Q124" i="41"/>
  <c r="S124" i="41" s="1"/>
  <c r="R124" i="41"/>
  <c r="Q125" i="41"/>
  <c r="R125" i="41"/>
  <c r="S125" i="41" s="1"/>
  <c r="Q126" i="41"/>
  <c r="R126" i="41"/>
  <c r="S126" i="41" s="1"/>
  <c r="Q127" i="41"/>
  <c r="R127" i="41"/>
  <c r="S127" i="41"/>
  <c r="Q128" i="41"/>
  <c r="R128" i="41"/>
  <c r="S128" i="41"/>
  <c r="Q129" i="41"/>
  <c r="R129" i="41"/>
  <c r="S129" i="41" s="1"/>
  <c r="Q130" i="41"/>
  <c r="R130" i="41"/>
  <c r="S130" i="41"/>
  <c r="Q131" i="41"/>
  <c r="R131" i="41"/>
  <c r="S131" i="41" s="1"/>
  <c r="Q132" i="41"/>
  <c r="S132" i="41" s="1"/>
  <c r="R132" i="41"/>
  <c r="Q133" i="41"/>
  <c r="R133" i="41"/>
  <c r="S133" i="41" s="1"/>
  <c r="Q134" i="41"/>
  <c r="R134" i="41"/>
  <c r="S134" i="41" s="1"/>
  <c r="Q135" i="41"/>
  <c r="R135" i="41"/>
  <c r="S135" i="41"/>
  <c r="Q136" i="41"/>
  <c r="R136" i="41"/>
  <c r="S136" i="41"/>
  <c r="Q137" i="41"/>
  <c r="R137" i="41"/>
  <c r="S137" i="41" s="1"/>
  <c r="Q138" i="41"/>
  <c r="R138" i="41"/>
  <c r="S138" i="41"/>
  <c r="Q139" i="41"/>
  <c r="R139" i="41"/>
  <c r="S139" i="41" s="1"/>
  <c r="Q140" i="41"/>
  <c r="S140" i="41" s="1"/>
  <c r="R140" i="41"/>
  <c r="Q141" i="41"/>
  <c r="R141" i="41"/>
  <c r="S141" i="41" s="1"/>
  <c r="Q142" i="41"/>
  <c r="R142" i="41"/>
  <c r="S142" i="41" s="1"/>
  <c r="Q143" i="41"/>
  <c r="R143" i="41"/>
  <c r="S143" i="41"/>
  <c r="Q144" i="41"/>
  <c r="R144" i="41"/>
  <c r="S144" i="41"/>
  <c r="Q145" i="41"/>
  <c r="R145" i="41"/>
  <c r="S145" i="41" s="1"/>
  <c r="Q146" i="41"/>
  <c r="R146" i="41"/>
  <c r="S146" i="41"/>
  <c r="Q147" i="41"/>
  <c r="R147" i="41"/>
  <c r="S147" i="41" s="1"/>
  <c r="Q148" i="41"/>
  <c r="S148" i="41" s="1"/>
  <c r="R148" i="41"/>
  <c r="Q149" i="41"/>
  <c r="R149" i="41"/>
  <c r="S149" i="41" s="1"/>
  <c r="Q150" i="41"/>
  <c r="R150" i="41"/>
  <c r="S150" i="41" s="1"/>
  <c r="Q151" i="41"/>
  <c r="R151" i="41"/>
  <c r="S151" i="41"/>
  <c r="Q152" i="41"/>
  <c r="R152" i="41"/>
  <c r="S152" i="41"/>
  <c r="Q153" i="41"/>
  <c r="R153" i="41"/>
  <c r="S153" i="41" s="1"/>
  <c r="Q154" i="41"/>
  <c r="R154" i="41"/>
  <c r="S154" i="41"/>
  <c r="Q155" i="41"/>
  <c r="R155" i="41"/>
  <c r="S155" i="41" s="1"/>
  <c r="Q156" i="41"/>
  <c r="S156" i="41" s="1"/>
  <c r="R156" i="41"/>
  <c r="Q157" i="41"/>
  <c r="R157" i="41"/>
  <c r="S157" i="41" s="1"/>
  <c r="Q158" i="41"/>
  <c r="R158" i="41"/>
  <c r="S158" i="41" s="1"/>
  <c r="Q159" i="41"/>
  <c r="R159" i="41"/>
  <c r="S159" i="41"/>
  <c r="Q160" i="41"/>
  <c r="R160" i="41"/>
  <c r="S160" i="41"/>
  <c r="Q161" i="41"/>
  <c r="R161" i="41"/>
  <c r="S161" i="41" s="1"/>
  <c r="Q162" i="41"/>
  <c r="R162" i="41"/>
  <c r="S162" i="41"/>
  <c r="Q163" i="41"/>
  <c r="R163" i="41"/>
  <c r="S163" i="41" s="1"/>
  <c r="Q164" i="41"/>
  <c r="S164" i="41" s="1"/>
  <c r="R164" i="41"/>
  <c r="Q165" i="41"/>
  <c r="R165" i="41"/>
  <c r="S165" i="41" s="1"/>
  <c r="Q166" i="41"/>
  <c r="R166" i="41"/>
  <c r="S166" i="41" s="1"/>
  <c r="Q167" i="41"/>
  <c r="R167" i="41"/>
  <c r="S167" i="41"/>
  <c r="Q168" i="41"/>
  <c r="R168" i="41"/>
  <c r="S168" i="41"/>
  <c r="Q169" i="41"/>
  <c r="R169" i="41"/>
  <c r="S169" i="41" s="1"/>
  <c r="Q170" i="41"/>
  <c r="R170" i="41"/>
  <c r="S170" i="41"/>
  <c r="Q171" i="41"/>
  <c r="R171" i="41"/>
  <c r="S171" i="41" s="1"/>
  <c r="Q172" i="41"/>
  <c r="S172" i="41" s="1"/>
  <c r="R172" i="41"/>
  <c r="Q173" i="41"/>
  <c r="R173" i="41"/>
  <c r="S173" i="41" s="1"/>
  <c r="Q174" i="41"/>
  <c r="R174" i="41"/>
  <c r="S174" i="41" s="1"/>
  <c r="Q175" i="41"/>
  <c r="R175" i="41"/>
  <c r="S175" i="41"/>
  <c r="Q176" i="41"/>
  <c r="R176" i="41"/>
  <c r="S176" i="41"/>
  <c r="Q177" i="41"/>
  <c r="R177" i="41"/>
  <c r="S177" i="41" s="1"/>
  <c r="Q178" i="41"/>
  <c r="R178" i="41"/>
  <c r="S178" i="41"/>
  <c r="Q179" i="41"/>
  <c r="R179" i="41"/>
  <c r="S179" i="41" s="1"/>
  <c r="Q180" i="41"/>
  <c r="S180" i="41" s="1"/>
  <c r="R180" i="41"/>
  <c r="Q181" i="41"/>
  <c r="R181" i="41"/>
  <c r="S181" i="41" s="1"/>
  <c r="Q182" i="41"/>
  <c r="R182" i="41"/>
  <c r="S182" i="41" s="1"/>
  <c r="Q183" i="41"/>
  <c r="R183" i="41"/>
  <c r="S183" i="41"/>
  <c r="Q184" i="41"/>
  <c r="R184" i="41"/>
  <c r="S184" i="41"/>
  <c r="Q185" i="41"/>
  <c r="R185" i="41"/>
  <c r="S185" i="41" s="1"/>
  <c r="Q186" i="41"/>
  <c r="R186" i="41"/>
  <c r="S186" i="41"/>
  <c r="Q187" i="41"/>
  <c r="R187" i="41"/>
  <c r="S187" i="41" s="1"/>
  <c r="Q188" i="41"/>
  <c r="S188" i="41" s="1"/>
  <c r="R188" i="41"/>
  <c r="Q189" i="41"/>
  <c r="R189" i="41"/>
  <c r="S189" i="41" s="1"/>
  <c r="Q190" i="41"/>
  <c r="R190" i="41"/>
  <c r="S190" i="41" s="1"/>
  <c r="Q191" i="41"/>
  <c r="R191" i="41"/>
  <c r="S191" i="41"/>
  <c r="Q192" i="41"/>
  <c r="R192" i="41"/>
  <c r="S192" i="41"/>
  <c r="Q193" i="41"/>
  <c r="R193" i="41"/>
  <c r="S193" i="41" s="1"/>
  <c r="Q194" i="41"/>
  <c r="R194" i="41"/>
  <c r="S194" i="41"/>
  <c r="Q195" i="41"/>
  <c r="R195" i="41"/>
  <c r="S195" i="41" s="1"/>
  <c r="Q196" i="41"/>
  <c r="S196" i="41" s="1"/>
  <c r="R196" i="41"/>
  <c r="Q197" i="41"/>
  <c r="R197" i="41"/>
  <c r="S197" i="41" s="1"/>
  <c r="Q198" i="41"/>
  <c r="R198" i="41"/>
  <c r="S198" i="41" s="1"/>
  <c r="Q199" i="41"/>
  <c r="R199" i="41"/>
  <c r="S199" i="41"/>
  <c r="Q200" i="41"/>
  <c r="R200" i="41"/>
  <c r="S200" i="41"/>
  <c r="Q201" i="41"/>
  <c r="R201" i="41"/>
  <c r="S201" i="41" s="1"/>
  <c r="Q202" i="41"/>
  <c r="R202" i="41"/>
  <c r="S202" i="41"/>
  <c r="Q203" i="41"/>
  <c r="R203" i="41"/>
  <c r="S203" i="41" s="1"/>
  <c r="Q204" i="41"/>
  <c r="S204" i="41" s="1"/>
  <c r="R204" i="41"/>
  <c r="Q205" i="41"/>
  <c r="R205" i="41"/>
  <c r="S205" i="41" s="1"/>
  <c r="Q206" i="41"/>
  <c r="R206" i="41"/>
  <c r="S206" i="41" s="1"/>
  <c r="Q207" i="41"/>
  <c r="R207" i="41"/>
  <c r="S207" i="41"/>
  <c r="Q208" i="41"/>
  <c r="R208" i="41"/>
  <c r="S208" i="41"/>
  <c r="Q209" i="41"/>
  <c r="R209" i="41"/>
  <c r="S209" i="41" s="1"/>
  <c r="Q210" i="41"/>
  <c r="R210" i="41"/>
  <c r="S210" i="41"/>
  <c r="Q211" i="41"/>
  <c r="R211" i="41"/>
  <c r="S211" i="41" s="1"/>
  <c r="Q212" i="41"/>
  <c r="S212" i="41" s="1"/>
  <c r="R212" i="41"/>
  <c r="Q213" i="41"/>
  <c r="R213" i="41"/>
  <c r="S213" i="41" s="1"/>
  <c r="Q214" i="41"/>
  <c r="R214" i="41"/>
  <c r="S214" i="41" s="1"/>
  <c r="Q215" i="41"/>
  <c r="R215" i="41"/>
  <c r="S215" i="41"/>
  <c r="Q216" i="41"/>
  <c r="R216" i="41"/>
  <c r="S216" i="41"/>
  <c r="Q217" i="41"/>
  <c r="R217" i="41"/>
  <c r="S217" i="41" s="1"/>
  <c r="Q218" i="41"/>
  <c r="R218" i="41"/>
  <c r="S218" i="41"/>
  <c r="Q219" i="41"/>
  <c r="R219" i="41"/>
  <c r="S219" i="41" s="1"/>
  <c r="Q220" i="41"/>
  <c r="S220" i="41" s="1"/>
  <c r="R220" i="41"/>
  <c r="Q221" i="41"/>
  <c r="R221" i="41"/>
  <c r="S221" i="41" s="1"/>
  <c r="Q222" i="41"/>
  <c r="R222" i="41"/>
  <c r="S222" i="41" s="1"/>
  <c r="Q223" i="41"/>
  <c r="R223" i="41"/>
  <c r="S223" i="41"/>
  <c r="Q224" i="41"/>
  <c r="R224" i="41"/>
  <c r="S224" i="41"/>
  <c r="Q225" i="41"/>
  <c r="R225" i="41"/>
  <c r="S225" i="41" s="1"/>
  <c r="Q226" i="41"/>
  <c r="R226" i="41"/>
  <c r="S226" i="41"/>
  <c r="Q227" i="41"/>
  <c r="R227" i="41"/>
  <c r="S227" i="41" s="1"/>
  <c r="Q228" i="41"/>
  <c r="S228" i="41" s="1"/>
  <c r="R228" i="41"/>
  <c r="Q229" i="41"/>
  <c r="R229" i="41"/>
  <c r="S229" i="41" s="1"/>
  <c r="Q230" i="41"/>
  <c r="R230" i="41"/>
  <c r="S230" i="41" s="1"/>
  <c r="Q231" i="41"/>
  <c r="R231" i="41"/>
  <c r="S231" i="41"/>
  <c r="Q232" i="41"/>
  <c r="R232" i="41"/>
  <c r="S232" i="41"/>
  <c r="Q233" i="41"/>
  <c r="R233" i="41"/>
  <c r="S233" i="41" s="1"/>
  <c r="Q234" i="41"/>
  <c r="R234" i="41"/>
  <c r="S234" i="41"/>
  <c r="Q235" i="41"/>
  <c r="R235" i="41"/>
  <c r="S235" i="41" s="1"/>
  <c r="Q236" i="41"/>
  <c r="S236" i="41" s="1"/>
  <c r="R236" i="41"/>
  <c r="Q237" i="41"/>
  <c r="R237" i="41"/>
  <c r="S237" i="41" s="1"/>
  <c r="Q238" i="41"/>
  <c r="S238" i="41" s="1"/>
  <c r="R238" i="41"/>
  <c r="Q239" i="41"/>
  <c r="R239" i="41"/>
  <c r="S239" i="41"/>
  <c r="Q240" i="41"/>
  <c r="R240" i="41"/>
  <c r="S240" i="41"/>
  <c r="Q241" i="41"/>
  <c r="R241" i="41"/>
  <c r="S241" i="41" s="1"/>
  <c r="Q242" i="41"/>
  <c r="R242" i="41"/>
  <c r="S242" i="41"/>
  <c r="Q243" i="41"/>
  <c r="R243" i="41"/>
  <c r="S243" i="41" s="1"/>
  <c r="Q244" i="41"/>
  <c r="S244" i="41" s="1"/>
  <c r="R244" i="41"/>
  <c r="Q245" i="41"/>
  <c r="R245" i="41"/>
  <c r="S245" i="41" s="1"/>
  <c r="Q246" i="41"/>
  <c r="S246" i="41" s="1"/>
  <c r="R246" i="41"/>
  <c r="Q247" i="41"/>
  <c r="R247" i="41"/>
  <c r="S247" i="41"/>
  <c r="Q248" i="41"/>
  <c r="R248" i="41"/>
  <c r="S248" i="41"/>
  <c r="Q249" i="41"/>
  <c r="R249" i="41"/>
  <c r="S249" i="41" s="1"/>
  <c r="Q250" i="41"/>
  <c r="R250" i="41"/>
  <c r="S250" i="41"/>
  <c r="Q251" i="41"/>
  <c r="R251" i="41"/>
  <c r="S251" i="41" s="1"/>
  <c r="Q252" i="41"/>
  <c r="S252" i="41" s="1"/>
  <c r="R252" i="41"/>
  <c r="Q253" i="41"/>
  <c r="R253" i="41"/>
  <c r="S253" i="41" s="1"/>
  <c r="Q254" i="41"/>
  <c r="S254" i="41" s="1"/>
  <c r="R254" i="41"/>
  <c r="Q255" i="41"/>
  <c r="R255" i="41"/>
  <c r="S255" i="41"/>
  <c r="Q256" i="41"/>
  <c r="R256" i="41"/>
  <c r="S256" i="41"/>
  <c r="Q257" i="41"/>
  <c r="R257" i="41"/>
  <c r="S257" i="41" s="1"/>
  <c r="Q258" i="41"/>
  <c r="R258" i="41"/>
  <c r="S258" i="41"/>
  <c r="Q259" i="41"/>
  <c r="R259" i="41"/>
  <c r="S259" i="41" s="1"/>
  <c r="Q260" i="41"/>
  <c r="S260" i="41" s="1"/>
  <c r="R260" i="41"/>
  <c r="Q261" i="41"/>
  <c r="R261" i="41"/>
  <c r="S261" i="41" s="1"/>
  <c r="Q262" i="41"/>
  <c r="S262" i="41" s="1"/>
  <c r="R262" i="41"/>
  <c r="M217" i="97"/>
  <c r="N217" i="97"/>
  <c r="O217" i="97" s="1"/>
  <c r="M5" i="97"/>
  <c r="N5" i="97"/>
  <c r="O5" i="97" s="1"/>
  <c r="M6" i="97"/>
  <c r="N6" i="97"/>
  <c r="O6" i="97" s="1"/>
  <c r="M7" i="97"/>
  <c r="O7" i="97" s="1"/>
  <c r="N7" i="97"/>
  <c r="M8" i="97"/>
  <c r="N8" i="97"/>
  <c r="O8" i="97" s="1"/>
  <c r="M9" i="97"/>
  <c r="N9" i="97"/>
  <c r="O9" i="97"/>
  <c r="M10" i="97"/>
  <c r="N10" i="97"/>
  <c r="O10" i="97" s="1"/>
  <c r="M11" i="97"/>
  <c r="N11" i="97"/>
  <c r="O11" i="97"/>
  <c r="M12" i="97"/>
  <c r="N12" i="97"/>
  <c r="O12" i="97" s="1"/>
  <c r="M13" i="97"/>
  <c r="N13" i="97"/>
  <c r="O13" i="97" s="1"/>
  <c r="M14" i="97"/>
  <c r="N14" i="97"/>
  <c r="O14" i="97" s="1"/>
  <c r="M15" i="97"/>
  <c r="O15" i="97" s="1"/>
  <c r="N15" i="97"/>
  <c r="M16" i="97"/>
  <c r="N16" i="97"/>
  <c r="O16" i="97" s="1"/>
  <c r="M17" i="97"/>
  <c r="N17" i="97"/>
  <c r="O17" i="97"/>
  <c r="M18" i="97"/>
  <c r="N18" i="97"/>
  <c r="O18" i="97" s="1"/>
  <c r="M19" i="97"/>
  <c r="N19" i="97"/>
  <c r="O19" i="97"/>
  <c r="M20" i="97"/>
  <c r="N20" i="97"/>
  <c r="O20" i="97" s="1"/>
  <c r="M21" i="97"/>
  <c r="N21" i="97"/>
  <c r="O21" i="97" s="1"/>
  <c r="M22" i="97"/>
  <c r="N22" i="97"/>
  <c r="O22" i="97" s="1"/>
  <c r="M23" i="97"/>
  <c r="O23" i="97" s="1"/>
  <c r="N23" i="97"/>
  <c r="M24" i="97"/>
  <c r="N24" i="97"/>
  <c r="O24" i="97" s="1"/>
  <c r="M25" i="97"/>
  <c r="N25" i="97"/>
  <c r="O25" i="97"/>
  <c r="M26" i="97"/>
  <c r="N26" i="97"/>
  <c r="O26" i="97" s="1"/>
  <c r="M27" i="97"/>
  <c r="N27" i="97"/>
  <c r="O27" i="97"/>
  <c r="M28" i="97"/>
  <c r="N28" i="97"/>
  <c r="O28" i="97" s="1"/>
  <c r="M29" i="97"/>
  <c r="N29" i="97"/>
  <c r="O29" i="97" s="1"/>
  <c r="M30" i="97"/>
  <c r="N30" i="97"/>
  <c r="O30" i="97" s="1"/>
  <c r="M31" i="97"/>
  <c r="O31" i="97" s="1"/>
  <c r="N31" i="97"/>
  <c r="M32" i="97"/>
  <c r="N32" i="97"/>
  <c r="O32" i="97" s="1"/>
  <c r="M33" i="97"/>
  <c r="N33" i="97"/>
  <c r="O33" i="97"/>
  <c r="M34" i="97"/>
  <c r="N34" i="97"/>
  <c r="O34" i="97" s="1"/>
  <c r="M35" i="97"/>
  <c r="N35" i="97"/>
  <c r="O35" i="97"/>
  <c r="M36" i="97"/>
  <c r="N36" i="97"/>
  <c r="O36" i="97" s="1"/>
  <c r="M37" i="97"/>
  <c r="N37" i="97"/>
  <c r="O37" i="97"/>
  <c r="M38" i="97"/>
  <c r="N38" i="97"/>
  <c r="O38" i="97" s="1"/>
  <c r="M39" i="97"/>
  <c r="O39" i="97" s="1"/>
  <c r="N39" i="97"/>
  <c r="M40" i="97"/>
  <c r="N40" i="97"/>
  <c r="O40" i="97" s="1"/>
  <c r="M41" i="97"/>
  <c r="N41" i="97"/>
  <c r="O41" i="97"/>
  <c r="M42" i="97"/>
  <c r="N42" i="97"/>
  <c r="O42" i="97" s="1"/>
  <c r="M43" i="97"/>
  <c r="O43" i="97" s="1"/>
  <c r="N43" i="97"/>
  <c r="M44" i="97"/>
  <c r="N44" i="97"/>
  <c r="O44" i="97" s="1"/>
  <c r="M45" i="97"/>
  <c r="N45" i="97"/>
  <c r="O45" i="97"/>
  <c r="M46" i="97"/>
  <c r="N46" i="97"/>
  <c r="O46" i="97" s="1"/>
  <c r="M47" i="97"/>
  <c r="O47" i="97" s="1"/>
  <c r="N47" i="97"/>
  <c r="M48" i="97"/>
  <c r="N48" i="97"/>
  <c r="O48" i="97" s="1"/>
  <c r="M49" i="97"/>
  <c r="N49" i="97"/>
  <c r="O49" i="97"/>
  <c r="M50" i="97"/>
  <c r="N50" i="97"/>
  <c r="O50" i="97" s="1"/>
  <c r="M51" i="97"/>
  <c r="O51" i="97" s="1"/>
  <c r="N51" i="97"/>
  <c r="M52" i="97"/>
  <c r="N52" i="97"/>
  <c r="O52" i="97" s="1"/>
  <c r="M53" i="97"/>
  <c r="N53" i="97"/>
  <c r="O53" i="97"/>
  <c r="M54" i="97"/>
  <c r="N54" i="97"/>
  <c r="O54" i="97" s="1"/>
  <c r="M55" i="97"/>
  <c r="O55" i="97" s="1"/>
  <c r="N55" i="97"/>
  <c r="M56" i="97"/>
  <c r="N56" i="97"/>
  <c r="O56" i="97" s="1"/>
  <c r="M57" i="97"/>
  <c r="N57" i="97"/>
  <c r="O57" i="97"/>
  <c r="M58" i="97"/>
  <c r="N58" i="97"/>
  <c r="O58" i="97" s="1"/>
  <c r="M59" i="97"/>
  <c r="O59" i="97" s="1"/>
  <c r="N59" i="97"/>
  <c r="M60" i="97"/>
  <c r="N60" i="97"/>
  <c r="O60" i="97" s="1"/>
  <c r="M61" i="97"/>
  <c r="N61" i="97"/>
  <c r="O61" i="97"/>
  <c r="M62" i="97"/>
  <c r="N62" i="97"/>
  <c r="O62" i="97" s="1"/>
  <c r="M63" i="97"/>
  <c r="O63" i="97" s="1"/>
  <c r="N63" i="97"/>
  <c r="M64" i="97"/>
  <c r="N64" i="97"/>
  <c r="O64" i="97" s="1"/>
  <c r="M65" i="97"/>
  <c r="N65" i="97"/>
  <c r="O65" i="97"/>
  <c r="M66" i="97"/>
  <c r="N66" i="97"/>
  <c r="O66" i="97" s="1"/>
  <c r="M67" i="97"/>
  <c r="O67" i="97" s="1"/>
  <c r="N67" i="97"/>
  <c r="M68" i="97"/>
  <c r="N68" i="97"/>
  <c r="O68" i="97" s="1"/>
  <c r="M69" i="97"/>
  <c r="N69" i="97"/>
  <c r="O69" i="97"/>
  <c r="M70" i="97"/>
  <c r="N70" i="97"/>
  <c r="O70" i="97" s="1"/>
  <c r="M71" i="97"/>
  <c r="O71" i="97" s="1"/>
  <c r="N71" i="97"/>
  <c r="M72" i="97"/>
  <c r="N72" i="97"/>
  <c r="O72" i="97" s="1"/>
  <c r="M73" i="97"/>
  <c r="N73" i="97"/>
  <c r="O73" i="97"/>
  <c r="M74" i="97"/>
  <c r="N74" i="97"/>
  <c r="O74" i="97" s="1"/>
  <c r="M75" i="97"/>
  <c r="O75" i="97" s="1"/>
  <c r="N75" i="97"/>
  <c r="M76" i="97"/>
  <c r="N76" i="97"/>
  <c r="O76" i="97" s="1"/>
  <c r="M77" i="97"/>
  <c r="N77" i="97"/>
  <c r="O77" i="97"/>
  <c r="M78" i="97"/>
  <c r="N78" i="97"/>
  <c r="O78" i="97" s="1"/>
  <c r="M79" i="97"/>
  <c r="O79" i="97" s="1"/>
  <c r="N79" i="97"/>
  <c r="M80" i="97"/>
  <c r="N80" i="97"/>
  <c r="O80" i="97" s="1"/>
  <c r="M81" i="97"/>
  <c r="N81" i="97"/>
  <c r="O81" i="97"/>
  <c r="M82" i="97"/>
  <c r="N82" i="97"/>
  <c r="O82" i="97"/>
  <c r="M83" i="97"/>
  <c r="O83" i="97" s="1"/>
  <c r="N83" i="97"/>
  <c r="M84" i="97"/>
  <c r="N84" i="97"/>
  <c r="O84" i="97" s="1"/>
  <c r="M85" i="97"/>
  <c r="N85" i="97"/>
  <c r="O85" i="97"/>
  <c r="M86" i="97"/>
  <c r="N86" i="97"/>
  <c r="O86" i="97" s="1"/>
  <c r="M87" i="97"/>
  <c r="O87" i="97" s="1"/>
  <c r="N87" i="97"/>
  <c r="M88" i="97"/>
  <c r="N88" i="97"/>
  <c r="O88" i="97" s="1"/>
  <c r="M89" i="97"/>
  <c r="N89" i="97"/>
  <c r="O89" i="97"/>
  <c r="M90" i="97"/>
  <c r="N90" i="97"/>
  <c r="O90" i="97"/>
  <c r="M91" i="97"/>
  <c r="O91" i="97" s="1"/>
  <c r="N91" i="97"/>
  <c r="M92" i="97"/>
  <c r="N92" i="97"/>
  <c r="O92" i="97" s="1"/>
  <c r="M93" i="97"/>
  <c r="N93" i="97"/>
  <c r="O93" i="97"/>
  <c r="M94" i="97"/>
  <c r="N94" i="97"/>
  <c r="O94" i="97" s="1"/>
  <c r="M95" i="97"/>
  <c r="O95" i="97" s="1"/>
  <c r="N95" i="97"/>
  <c r="M96" i="97"/>
  <c r="N96" i="97"/>
  <c r="O96" i="97" s="1"/>
  <c r="M97" i="97"/>
  <c r="N97" i="97"/>
  <c r="O97" i="97"/>
  <c r="M98" i="97"/>
  <c r="N98" i="97"/>
  <c r="O98" i="97"/>
  <c r="M99" i="97"/>
  <c r="O99" i="97" s="1"/>
  <c r="N99" i="97"/>
  <c r="M100" i="97"/>
  <c r="N100" i="97"/>
  <c r="O100" i="97" s="1"/>
  <c r="M101" i="97"/>
  <c r="N101" i="97"/>
  <c r="O101" i="97"/>
  <c r="M102" i="97"/>
  <c r="N102" i="97"/>
  <c r="O102" i="97" s="1"/>
  <c r="M103" i="97"/>
  <c r="O103" i="97" s="1"/>
  <c r="N103" i="97"/>
  <c r="M104" i="97"/>
  <c r="N104" i="97"/>
  <c r="O104" i="97" s="1"/>
  <c r="M105" i="97"/>
  <c r="N105" i="97"/>
  <c r="O105" i="97"/>
  <c r="M106" i="97"/>
  <c r="N106" i="97"/>
  <c r="O106" i="97"/>
  <c r="M107" i="97"/>
  <c r="O107" i="97" s="1"/>
  <c r="N107" i="97"/>
  <c r="M108" i="97"/>
  <c r="N108" i="97"/>
  <c r="O108" i="97" s="1"/>
  <c r="M109" i="97"/>
  <c r="N109" i="97"/>
  <c r="O109" i="97"/>
  <c r="M110" i="97"/>
  <c r="N110" i="97"/>
  <c r="O110" i="97" s="1"/>
  <c r="M111" i="97"/>
  <c r="O111" i="97" s="1"/>
  <c r="N111" i="97"/>
  <c r="M112" i="97"/>
  <c r="N112" i="97"/>
  <c r="O112" i="97" s="1"/>
  <c r="M113" i="97"/>
  <c r="N113" i="97"/>
  <c r="O113" i="97"/>
  <c r="M114" i="97"/>
  <c r="N114" i="97"/>
  <c r="O114" i="97"/>
  <c r="M115" i="97"/>
  <c r="O115" i="97" s="1"/>
  <c r="N115" i="97"/>
  <c r="M116" i="97"/>
  <c r="N116" i="97"/>
  <c r="O116" i="97" s="1"/>
  <c r="M117" i="97"/>
  <c r="N117" i="97"/>
  <c r="O117" i="97"/>
  <c r="M118" i="97"/>
  <c r="N118" i="97"/>
  <c r="O118" i="97" s="1"/>
  <c r="M119" i="97"/>
  <c r="O119" i="97" s="1"/>
  <c r="N119" i="97"/>
  <c r="M120" i="97"/>
  <c r="N120" i="97"/>
  <c r="O120" i="97" s="1"/>
  <c r="M121" i="97"/>
  <c r="N121" i="97"/>
  <c r="O121" i="97"/>
  <c r="M122" i="97"/>
  <c r="N122" i="97"/>
  <c r="O122" i="97"/>
  <c r="M123" i="97"/>
  <c r="O123" i="97" s="1"/>
  <c r="N123" i="97"/>
  <c r="M124" i="97"/>
  <c r="N124" i="97"/>
  <c r="O124" i="97" s="1"/>
  <c r="M125" i="97"/>
  <c r="N125" i="97"/>
  <c r="O125" i="97"/>
  <c r="M126" i="97"/>
  <c r="N126" i="97"/>
  <c r="O126" i="97" s="1"/>
  <c r="M127" i="97"/>
  <c r="O127" i="97" s="1"/>
  <c r="N127" i="97"/>
  <c r="M128" i="97"/>
  <c r="N128" i="97"/>
  <c r="O128" i="97" s="1"/>
  <c r="M129" i="97"/>
  <c r="N129" i="97"/>
  <c r="O129" i="97"/>
  <c r="M130" i="97"/>
  <c r="N130" i="97"/>
  <c r="O130" i="97"/>
  <c r="M131" i="97"/>
  <c r="O131" i="97" s="1"/>
  <c r="N131" i="97"/>
  <c r="M132" i="97"/>
  <c r="N132" i="97"/>
  <c r="O132" i="97" s="1"/>
  <c r="M133" i="97"/>
  <c r="N133" i="97"/>
  <c r="O133" i="97"/>
  <c r="M134" i="97"/>
  <c r="N134" i="97"/>
  <c r="O134" i="97" s="1"/>
  <c r="M135" i="97"/>
  <c r="O135" i="97" s="1"/>
  <c r="N135" i="97"/>
  <c r="M136" i="97"/>
  <c r="N136" i="97"/>
  <c r="O136" i="97" s="1"/>
  <c r="M137" i="97"/>
  <c r="N137" i="97"/>
  <c r="O137" i="97"/>
  <c r="M138" i="97"/>
  <c r="N138" i="97"/>
  <c r="O138" i="97"/>
  <c r="M139" i="97"/>
  <c r="O139" i="97" s="1"/>
  <c r="N139" i="97"/>
  <c r="M140" i="97"/>
  <c r="N140" i="97"/>
  <c r="O140" i="97" s="1"/>
  <c r="M141" i="97"/>
  <c r="N141" i="97"/>
  <c r="O141" i="97"/>
  <c r="M142" i="97"/>
  <c r="N142" i="97"/>
  <c r="O142" i="97" s="1"/>
  <c r="M143" i="97"/>
  <c r="O143" i="97" s="1"/>
  <c r="N143" i="97"/>
  <c r="M144" i="97"/>
  <c r="N144" i="97"/>
  <c r="O144" i="97" s="1"/>
  <c r="M145" i="97"/>
  <c r="N145" i="97"/>
  <c r="O145" i="97"/>
  <c r="M146" i="97"/>
  <c r="N146" i="97"/>
  <c r="O146" i="97"/>
  <c r="M147" i="97"/>
  <c r="O147" i="97" s="1"/>
  <c r="N147" i="97"/>
  <c r="M148" i="97"/>
  <c r="N148" i="97"/>
  <c r="O148" i="97" s="1"/>
  <c r="M149" i="97"/>
  <c r="N149" i="97"/>
  <c r="O149" i="97"/>
  <c r="M150" i="97"/>
  <c r="N150" i="97"/>
  <c r="O150" i="97" s="1"/>
  <c r="M151" i="97"/>
  <c r="O151" i="97" s="1"/>
  <c r="N151" i="97"/>
  <c r="M152" i="97"/>
  <c r="N152" i="97"/>
  <c r="O152" i="97" s="1"/>
  <c r="M153" i="97"/>
  <c r="N153" i="97"/>
  <c r="O153" i="97"/>
  <c r="M154" i="97"/>
  <c r="N154" i="97"/>
  <c r="O154" i="97"/>
  <c r="M155" i="97"/>
  <c r="O155" i="97" s="1"/>
  <c r="N155" i="97"/>
  <c r="M156" i="97"/>
  <c r="N156" i="97"/>
  <c r="O156" i="97" s="1"/>
  <c r="M157" i="97"/>
  <c r="N157" i="97"/>
  <c r="O157" i="97"/>
  <c r="M158" i="97"/>
  <c r="N158" i="97"/>
  <c r="O158" i="97" s="1"/>
  <c r="M159" i="97"/>
  <c r="O159" i="97" s="1"/>
  <c r="N159" i="97"/>
  <c r="M160" i="97"/>
  <c r="N160" i="97"/>
  <c r="O160" i="97" s="1"/>
  <c r="M161" i="97"/>
  <c r="N161" i="97"/>
  <c r="O161" i="97"/>
  <c r="M162" i="97"/>
  <c r="N162" i="97"/>
  <c r="O162" i="97"/>
  <c r="M163" i="97"/>
  <c r="O163" i="97" s="1"/>
  <c r="N163" i="97"/>
  <c r="M164" i="97"/>
  <c r="N164" i="97"/>
  <c r="O164" i="97" s="1"/>
  <c r="M165" i="97"/>
  <c r="N165" i="97"/>
  <c r="O165" i="97"/>
  <c r="M166" i="97"/>
  <c r="N166" i="97"/>
  <c r="O166" i="97" s="1"/>
  <c r="M167" i="97"/>
  <c r="O167" i="97" s="1"/>
  <c r="N167" i="97"/>
  <c r="M168" i="97"/>
  <c r="N168" i="97"/>
  <c r="O168" i="97" s="1"/>
  <c r="M169" i="97"/>
  <c r="N169" i="97"/>
  <c r="O169" i="97"/>
  <c r="M170" i="97"/>
  <c r="N170" i="97"/>
  <c r="O170" i="97"/>
  <c r="M171" i="97"/>
  <c r="O171" i="97" s="1"/>
  <c r="N171" i="97"/>
  <c r="M172" i="97"/>
  <c r="N172" i="97"/>
  <c r="O172" i="97" s="1"/>
  <c r="M173" i="97"/>
  <c r="N173" i="97"/>
  <c r="O173" i="97"/>
  <c r="M174" i="97"/>
  <c r="N174" i="97"/>
  <c r="O174" i="97" s="1"/>
  <c r="M175" i="97"/>
  <c r="O175" i="97" s="1"/>
  <c r="N175" i="97"/>
  <c r="M176" i="97"/>
  <c r="N176" i="97"/>
  <c r="O176" i="97" s="1"/>
  <c r="M177" i="97"/>
  <c r="N177" i="97"/>
  <c r="O177" i="97"/>
  <c r="M178" i="97"/>
  <c r="N178" i="97"/>
  <c r="O178" i="97"/>
  <c r="M179" i="97"/>
  <c r="O179" i="97" s="1"/>
  <c r="N179" i="97"/>
  <c r="M180" i="97"/>
  <c r="N180" i="97"/>
  <c r="O180" i="97" s="1"/>
  <c r="M181" i="97"/>
  <c r="N181" i="97"/>
  <c r="O181" i="97"/>
  <c r="M182" i="97"/>
  <c r="N182" i="97"/>
  <c r="O182" i="97" s="1"/>
  <c r="M183" i="97"/>
  <c r="O183" i="97" s="1"/>
  <c r="N183" i="97"/>
  <c r="M184" i="97"/>
  <c r="N184" i="97"/>
  <c r="O184" i="97" s="1"/>
  <c r="M185" i="97"/>
  <c r="N185" i="97"/>
  <c r="O185" i="97"/>
  <c r="M186" i="97"/>
  <c r="N186" i="97"/>
  <c r="O186" i="97"/>
  <c r="M187" i="97"/>
  <c r="O187" i="97" s="1"/>
  <c r="N187" i="97"/>
  <c r="M188" i="97"/>
  <c r="N188" i="97"/>
  <c r="O188" i="97" s="1"/>
  <c r="M189" i="97"/>
  <c r="N189" i="97"/>
  <c r="O189" i="97"/>
  <c r="M190" i="97"/>
  <c r="N190" i="97"/>
  <c r="O190" i="97" s="1"/>
  <c r="M191" i="97"/>
  <c r="O191" i="97" s="1"/>
  <c r="N191" i="97"/>
  <c r="M192" i="97"/>
  <c r="N192" i="97"/>
  <c r="O192" i="97" s="1"/>
  <c r="M193" i="97"/>
  <c r="N193" i="97"/>
  <c r="O193" i="97"/>
  <c r="M194" i="97"/>
  <c r="N194" i="97"/>
  <c r="O194" i="97"/>
  <c r="M195" i="97"/>
  <c r="O195" i="97" s="1"/>
  <c r="N195" i="97"/>
  <c r="M196" i="97"/>
  <c r="N196" i="97"/>
  <c r="O196" i="97" s="1"/>
  <c r="M197" i="97"/>
  <c r="N197" i="97"/>
  <c r="O197" i="97"/>
  <c r="M198" i="97"/>
  <c r="N198" i="97"/>
  <c r="O198" i="97" s="1"/>
  <c r="M199" i="97"/>
  <c r="O199" i="97" s="1"/>
  <c r="N199" i="97"/>
  <c r="M200" i="97"/>
  <c r="N200" i="97"/>
  <c r="O200" i="97" s="1"/>
  <c r="M201" i="97"/>
  <c r="N201" i="97"/>
  <c r="O201" i="97"/>
  <c r="M202" i="97"/>
  <c r="N202" i="97"/>
  <c r="O202" i="97"/>
  <c r="M203" i="97"/>
  <c r="O203" i="97" s="1"/>
  <c r="N203" i="97"/>
  <c r="M204" i="97"/>
  <c r="N204" i="97"/>
  <c r="O204" i="97" s="1"/>
  <c r="M205" i="97"/>
  <c r="N205" i="97"/>
  <c r="O205" i="97"/>
  <c r="M206" i="97"/>
  <c r="N206" i="97"/>
  <c r="O206" i="97" s="1"/>
  <c r="M207" i="97"/>
  <c r="O207" i="97" s="1"/>
  <c r="N207" i="97"/>
  <c r="M208" i="97"/>
  <c r="N208" i="97"/>
  <c r="O208" i="97" s="1"/>
  <c r="M209" i="97"/>
  <c r="N209" i="97"/>
  <c r="O209" i="97"/>
  <c r="M210" i="97"/>
  <c r="N210" i="97"/>
  <c r="O210" i="97"/>
  <c r="M211" i="97"/>
  <c r="O211" i="97" s="1"/>
  <c r="N211" i="97"/>
  <c r="M212" i="97"/>
  <c r="N212" i="97"/>
  <c r="O212" i="97" s="1"/>
  <c r="M213" i="97"/>
  <c r="N213" i="97"/>
  <c r="O213" i="97"/>
  <c r="M214" i="97"/>
  <c r="N214" i="97"/>
  <c r="O214" i="97" s="1"/>
  <c r="M215" i="97"/>
  <c r="O215" i="97" s="1"/>
  <c r="N215" i="97"/>
  <c r="M216" i="97"/>
  <c r="N216" i="97"/>
  <c r="O216" i="97" s="1"/>
  <c r="N4" i="97"/>
  <c r="O4" i="97" s="1"/>
  <c r="M4" i="97"/>
  <c r="P5" i="96"/>
  <c r="Q5" i="96"/>
  <c r="R5" i="96" s="1"/>
  <c r="P6" i="96"/>
  <c r="Q6" i="96"/>
  <c r="R6" i="96" s="1"/>
  <c r="P7" i="96"/>
  <c r="Q7" i="96"/>
  <c r="R7" i="96" s="1"/>
  <c r="P8" i="96"/>
  <c r="Q8" i="96"/>
  <c r="R8" i="96"/>
  <c r="P9" i="96"/>
  <c r="Q9" i="96"/>
  <c r="R9" i="96" s="1"/>
  <c r="P10" i="96"/>
  <c r="Q10" i="96"/>
  <c r="R10" i="96" s="1"/>
  <c r="P11" i="96"/>
  <c r="Q11" i="96"/>
  <c r="R11" i="96"/>
  <c r="P12" i="96"/>
  <c r="Q12" i="96"/>
  <c r="R12" i="96"/>
  <c r="P13" i="96"/>
  <c r="Q13" i="96"/>
  <c r="R13" i="96" s="1"/>
  <c r="P14" i="96"/>
  <c r="Q14" i="96"/>
  <c r="R14" i="96" s="1"/>
  <c r="P15" i="96"/>
  <c r="Q15" i="96"/>
  <c r="R15" i="96" s="1"/>
  <c r="P16" i="96"/>
  <c r="Q16" i="96"/>
  <c r="R16" i="96"/>
  <c r="P17" i="96"/>
  <c r="Q17" i="96"/>
  <c r="R17" i="96" s="1"/>
  <c r="P18" i="96"/>
  <c r="Q18" i="96"/>
  <c r="R18" i="96" s="1"/>
  <c r="P19" i="96"/>
  <c r="Q19" i="96"/>
  <c r="R19" i="96"/>
  <c r="P20" i="96"/>
  <c r="Q20" i="96"/>
  <c r="R20" i="96"/>
  <c r="P21" i="96"/>
  <c r="Q21" i="96"/>
  <c r="R21" i="96" s="1"/>
  <c r="P22" i="96"/>
  <c r="Q22" i="96"/>
  <c r="R22" i="96" s="1"/>
  <c r="P23" i="96"/>
  <c r="Q23" i="96"/>
  <c r="R23" i="96" s="1"/>
  <c r="P24" i="96"/>
  <c r="Q24" i="96"/>
  <c r="R24" i="96"/>
  <c r="P25" i="96"/>
  <c r="Q25" i="96"/>
  <c r="R25" i="96" s="1"/>
  <c r="P26" i="96"/>
  <c r="Q26" i="96"/>
  <c r="R26" i="96" s="1"/>
  <c r="P27" i="96"/>
  <c r="Q27" i="96"/>
  <c r="R27" i="96"/>
  <c r="P28" i="96"/>
  <c r="Q28" i="96"/>
  <c r="R28" i="96"/>
  <c r="P29" i="96"/>
  <c r="Q29" i="96"/>
  <c r="R29" i="96" s="1"/>
  <c r="P30" i="96"/>
  <c r="Q30" i="96"/>
  <c r="R30" i="96" s="1"/>
  <c r="P31" i="96"/>
  <c r="Q31" i="96"/>
  <c r="R31" i="96" s="1"/>
  <c r="P32" i="96"/>
  <c r="Q32" i="96"/>
  <c r="R32" i="96"/>
  <c r="P33" i="96"/>
  <c r="R33" i="96" s="1"/>
  <c r="Q33" i="96"/>
  <c r="P34" i="96"/>
  <c r="Q34" i="96"/>
  <c r="R34" i="96" s="1"/>
  <c r="P35" i="96"/>
  <c r="Q35" i="96"/>
  <c r="R35" i="96"/>
  <c r="P36" i="96"/>
  <c r="Q36" i="96"/>
  <c r="R36" i="96"/>
  <c r="P37" i="96"/>
  <c r="Q37" i="96"/>
  <c r="R37" i="96" s="1"/>
  <c r="P38" i="96"/>
  <c r="Q38" i="96"/>
  <c r="R38" i="96" s="1"/>
  <c r="P39" i="96"/>
  <c r="Q39" i="96"/>
  <c r="R39" i="96" s="1"/>
  <c r="P40" i="96"/>
  <c r="Q40" i="96"/>
  <c r="R40" i="96"/>
  <c r="P41" i="96"/>
  <c r="R41" i="96" s="1"/>
  <c r="Q41" i="96"/>
  <c r="P42" i="96"/>
  <c r="Q42" i="96"/>
  <c r="R42" i="96" s="1"/>
  <c r="P43" i="96"/>
  <c r="Q43" i="96"/>
  <c r="R43" i="96"/>
  <c r="P44" i="96"/>
  <c r="Q44" i="96"/>
  <c r="R44" i="96"/>
  <c r="P45" i="96"/>
  <c r="Q45" i="96"/>
  <c r="R45" i="96" s="1"/>
  <c r="P46" i="96"/>
  <c r="Q46" i="96"/>
  <c r="R46" i="96" s="1"/>
  <c r="P47" i="96"/>
  <c r="Q47" i="96"/>
  <c r="R47" i="96" s="1"/>
  <c r="P48" i="96"/>
  <c r="Q48" i="96"/>
  <c r="R48" i="96"/>
  <c r="P49" i="96"/>
  <c r="R49" i="96" s="1"/>
  <c r="Q49" i="96"/>
  <c r="P50" i="96"/>
  <c r="Q50" i="96"/>
  <c r="R50" i="96" s="1"/>
  <c r="P51" i="96"/>
  <c r="Q51" i="96"/>
  <c r="R51" i="96"/>
  <c r="P52" i="96"/>
  <c r="Q52" i="96"/>
  <c r="R52" i="96"/>
  <c r="P53" i="96"/>
  <c r="R53" i="96" s="1"/>
  <c r="Q53" i="96"/>
  <c r="P54" i="96"/>
  <c r="Q54" i="96"/>
  <c r="R54" i="96" s="1"/>
  <c r="P55" i="96"/>
  <c r="Q55" i="96"/>
  <c r="R55" i="96" s="1"/>
  <c r="P56" i="96"/>
  <c r="Q56" i="96"/>
  <c r="R56" i="96"/>
  <c r="P57" i="96"/>
  <c r="R57" i="96" s="1"/>
  <c r="Q57" i="96"/>
  <c r="P58" i="96"/>
  <c r="Q58" i="96"/>
  <c r="R58" i="96" s="1"/>
  <c r="P59" i="96"/>
  <c r="Q59" i="96"/>
  <c r="R59" i="96"/>
  <c r="P60" i="96"/>
  <c r="Q60" i="96"/>
  <c r="R60" i="96"/>
  <c r="P61" i="96"/>
  <c r="R61" i="96" s="1"/>
  <c r="Q61" i="96"/>
  <c r="P62" i="96"/>
  <c r="Q62" i="96"/>
  <c r="R62" i="96" s="1"/>
  <c r="P63" i="96"/>
  <c r="Q63" i="96"/>
  <c r="R63" i="96" s="1"/>
  <c r="P64" i="96"/>
  <c r="Q64" i="96"/>
  <c r="R64" i="96"/>
  <c r="P65" i="96"/>
  <c r="R65" i="96" s="1"/>
  <c r="Q65" i="96"/>
  <c r="P66" i="96"/>
  <c r="Q66" i="96"/>
  <c r="R66" i="96" s="1"/>
  <c r="P67" i="96"/>
  <c r="Q67" i="96"/>
  <c r="R67" i="96"/>
  <c r="P68" i="96"/>
  <c r="Q68" i="96"/>
  <c r="R68" i="96"/>
  <c r="P69" i="96"/>
  <c r="R69" i="96" s="1"/>
  <c r="Q69" i="96"/>
  <c r="P70" i="96"/>
  <c r="Q70" i="96"/>
  <c r="R70" i="96" s="1"/>
  <c r="P71" i="96"/>
  <c r="Q71" i="96"/>
  <c r="R71" i="96" s="1"/>
  <c r="P72" i="96"/>
  <c r="Q72" i="96"/>
  <c r="R72" i="96"/>
  <c r="P73" i="96"/>
  <c r="R73" i="96" s="1"/>
  <c r="Q73" i="96"/>
  <c r="P74" i="96"/>
  <c r="Q74" i="96"/>
  <c r="R74" i="96" s="1"/>
  <c r="P75" i="96"/>
  <c r="Q75" i="96"/>
  <c r="R75" i="96"/>
  <c r="P76" i="96"/>
  <c r="Q76" i="96"/>
  <c r="R76" i="96"/>
  <c r="P77" i="96"/>
  <c r="R77" i="96" s="1"/>
  <c r="Q77" i="96"/>
  <c r="P78" i="96"/>
  <c r="Q78" i="96"/>
  <c r="R78" i="96" s="1"/>
  <c r="P79" i="96"/>
  <c r="Q79" i="96"/>
  <c r="R79" i="96" s="1"/>
  <c r="P80" i="96"/>
  <c r="Q80" i="96"/>
  <c r="R80" i="96"/>
  <c r="P81" i="96"/>
  <c r="R81" i="96" s="1"/>
  <c r="Q81" i="96"/>
  <c r="P82" i="96"/>
  <c r="Q82" i="96"/>
  <c r="R82" i="96" s="1"/>
  <c r="P83" i="96"/>
  <c r="Q83" i="96"/>
  <c r="R83" i="96"/>
  <c r="P84" i="96"/>
  <c r="Q84" i="96"/>
  <c r="R84" i="96"/>
  <c r="P85" i="96"/>
  <c r="R85" i="96" s="1"/>
  <c r="Q85" i="96"/>
  <c r="P86" i="96"/>
  <c r="Q86" i="96"/>
  <c r="R86" i="96" s="1"/>
  <c r="P87" i="96"/>
  <c r="Q87" i="96"/>
  <c r="R87" i="96" s="1"/>
  <c r="P88" i="96"/>
  <c r="Q88" i="96"/>
  <c r="R88" i="96"/>
  <c r="P89" i="96"/>
  <c r="R89" i="96" s="1"/>
  <c r="Q89" i="96"/>
  <c r="P90" i="96"/>
  <c r="Q90" i="96"/>
  <c r="R90" i="96" s="1"/>
  <c r="P91" i="96"/>
  <c r="Q91" i="96"/>
  <c r="R91" i="96"/>
  <c r="P92" i="96"/>
  <c r="Q92" i="96"/>
  <c r="R92" i="96"/>
  <c r="P93" i="96"/>
  <c r="R93" i="96" s="1"/>
  <c r="Q93" i="96"/>
  <c r="P94" i="96"/>
  <c r="Q94" i="96"/>
  <c r="R94" i="96" s="1"/>
  <c r="P95" i="96"/>
  <c r="Q95" i="96"/>
  <c r="R95" i="96" s="1"/>
  <c r="P96" i="96"/>
  <c r="Q96" i="96"/>
  <c r="R96" i="96"/>
  <c r="P97" i="96"/>
  <c r="R97" i="96" s="1"/>
  <c r="Q97" i="96"/>
  <c r="P98" i="96"/>
  <c r="Q98" i="96"/>
  <c r="R98" i="96" s="1"/>
  <c r="P99" i="96"/>
  <c r="Q99" i="96"/>
  <c r="R99" i="96"/>
  <c r="P100" i="96"/>
  <c r="Q100" i="96"/>
  <c r="R100" i="96"/>
  <c r="P101" i="96"/>
  <c r="Q101" i="96"/>
  <c r="R101" i="96" s="1"/>
  <c r="P102" i="96"/>
  <c r="Q102" i="96"/>
  <c r="R102" i="96" s="1"/>
  <c r="P103" i="96"/>
  <c r="Q103" i="96"/>
  <c r="R103" i="96" s="1"/>
  <c r="P104" i="96"/>
  <c r="Q104" i="96"/>
  <c r="R104" i="96"/>
  <c r="P105" i="96"/>
  <c r="R105" i="96" s="1"/>
  <c r="Q105" i="96"/>
  <c r="P106" i="96"/>
  <c r="Q106" i="96"/>
  <c r="R106" i="96" s="1"/>
  <c r="P107" i="96"/>
  <c r="Q107" i="96"/>
  <c r="R107" i="96"/>
  <c r="P108" i="96"/>
  <c r="Q108" i="96"/>
  <c r="R108" i="96"/>
  <c r="P109" i="96"/>
  <c r="R109" i="96" s="1"/>
  <c r="Q109" i="96"/>
  <c r="P110" i="96"/>
  <c r="Q110" i="96"/>
  <c r="R110" i="96" s="1"/>
  <c r="P111" i="96"/>
  <c r="Q111" i="96"/>
  <c r="R111" i="96" s="1"/>
  <c r="P112" i="96"/>
  <c r="Q112" i="96"/>
  <c r="R112" i="96"/>
  <c r="P113" i="96"/>
  <c r="R113" i="96" s="1"/>
  <c r="Q113" i="96"/>
  <c r="P114" i="96"/>
  <c r="Q114" i="96"/>
  <c r="R114" i="96" s="1"/>
  <c r="P115" i="96"/>
  <c r="Q115" i="96"/>
  <c r="R115" i="96"/>
  <c r="P116" i="96"/>
  <c r="Q116" i="96"/>
  <c r="R116" i="96"/>
  <c r="P117" i="96"/>
  <c r="R117" i="96" s="1"/>
  <c r="Q117" i="96"/>
  <c r="P118" i="96"/>
  <c r="Q118" i="96"/>
  <c r="R118" i="96" s="1"/>
  <c r="P119" i="96"/>
  <c r="Q119" i="96"/>
  <c r="R119" i="96" s="1"/>
  <c r="P120" i="96"/>
  <c r="Q120" i="96"/>
  <c r="R120" i="96"/>
  <c r="P121" i="96"/>
  <c r="R121" i="96" s="1"/>
  <c r="Q121" i="96"/>
  <c r="P122" i="96"/>
  <c r="Q122" i="96"/>
  <c r="R122" i="96" s="1"/>
  <c r="P123" i="96"/>
  <c r="Q123" i="96"/>
  <c r="R123" i="96"/>
  <c r="P124" i="96"/>
  <c r="Q124" i="96"/>
  <c r="R124" i="96"/>
  <c r="P125" i="96"/>
  <c r="R125" i="96" s="1"/>
  <c r="Q125" i="96"/>
  <c r="P126" i="96"/>
  <c r="Q126" i="96"/>
  <c r="R126" i="96" s="1"/>
  <c r="P127" i="96"/>
  <c r="Q127" i="96"/>
  <c r="R127" i="96" s="1"/>
  <c r="P128" i="96"/>
  <c r="Q128" i="96"/>
  <c r="R128" i="96"/>
  <c r="P129" i="96"/>
  <c r="R129" i="96" s="1"/>
  <c r="Q129" i="96"/>
  <c r="P130" i="96"/>
  <c r="Q130" i="96"/>
  <c r="R130" i="96" s="1"/>
  <c r="P131" i="96"/>
  <c r="Q131" i="96"/>
  <c r="R131" i="96"/>
  <c r="P132" i="96"/>
  <c r="Q132" i="96"/>
  <c r="R132" i="96"/>
  <c r="P133" i="96"/>
  <c r="R133" i="96" s="1"/>
  <c r="Q133" i="96"/>
  <c r="P134" i="96"/>
  <c r="Q134" i="96"/>
  <c r="R134" i="96" s="1"/>
  <c r="P135" i="96"/>
  <c r="Q135" i="96"/>
  <c r="R135" i="96" s="1"/>
  <c r="P136" i="96"/>
  <c r="Q136" i="96"/>
  <c r="R136" i="96"/>
  <c r="P137" i="96"/>
  <c r="R137" i="96" s="1"/>
  <c r="Q137" i="96"/>
  <c r="P138" i="96"/>
  <c r="Q138" i="96"/>
  <c r="R138" i="96" s="1"/>
  <c r="P139" i="96"/>
  <c r="Q139" i="96"/>
  <c r="R139" i="96"/>
  <c r="P140" i="96"/>
  <c r="Q140" i="96"/>
  <c r="R140" i="96"/>
  <c r="P141" i="96"/>
  <c r="R141" i="96" s="1"/>
  <c r="Q141" i="96"/>
  <c r="P142" i="96"/>
  <c r="Q142" i="96"/>
  <c r="R142" i="96" s="1"/>
  <c r="P143" i="96"/>
  <c r="Q143" i="96"/>
  <c r="R143" i="96" s="1"/>
  <c r="P144" i="96"/>
  <c r="Q144" i="96"/>
  <c r="R144" i="96"/>
  <c r="P145" i="96"/>
  <c r="R145" i="96" s="1"/>
  <c r="Q145" i="96"/>
  <c r="P146" i="96"/>
  <c r="Q146" i="96"/>
  <c r="R146" i="96" s="1"/>
  <c r="P147" i="96"/>
  <c r="Q147" i="96"/>
  <c r="R147" i="96"/>
  <c r="P148" i="96"/>
  <c r="Q148" i="96"/>
  <c r="R148" i="96"/>
  <c r="P149" i="96"/>
  <c r="R149" i="96" s="1"/>
  <c r="Q149" i="96"/>
  <c r="P150" i="96"/>
  <c r="Q150" i="96"/>
  <c r="R150" i="96" s="1"/>
  <c r="P151" i="96"/>
  <c r="Q151" i="96"/>
  <c r="R151" i="96" s="1"/>
  <c r="P152" i="96"/>
  <c r="Q152" i="96"/>
  <c r="R152" i="96"/>
  <c r="P153" i="96"/>
  <c r="R153" i="96" s="1"/>
  <c r="Q153" i="96"/>
  <c r="P154" i="96"/>
  <c r="Q154" i="96"/>
  <c r="R154" i="96" s="1"/>
  <c r="P155" i="96"/>
  <c r="Q155" i="96"/>
  <c r="R155" i="96"/>
  <c r="P156" i="96"/>
  <c r="Q156" i="96"/>
  <c r="R156" i="96"/>
  <c r="P157" i="96"/>
  <c r="R157" i="96" s="1"/>
  <c r="Q157" i="96"/>
  <c r="P158" i="96"/>
  <c r="Q158" i="96"/>
  <c r="R158" i="96" s="1"/>
  <c r="P159" i="96"/>
  <c r="Q159" i="96"/>
  <c r="R159" i="96" s="1"/>
  <c r="P160" i="96"/>
  <c r="Q160" i="96"/>
  <c r="R160" i="96"/>
  <c r="P161" i="96"/>
  <c r="R161" i="96" s="1"/>
  <c r="Q161" i="96"/>
  <c r="P162" i="96"/>
  <c r="Q162" i="96"/>
  <c r="R162" i="96" s="1"/>
  <c r="P163" i="96"/>
  <c r="Q163" i="96"/>
  <c r="R163" i="96"/>
  <c r="P164" i="96"/>
  <c r="Q164" i="96"/>
  <c r="R164" i="96"/>
  <c r="P165" i="96"/>
  <c r="R165" i="96" s="1"/>
  <c r="Q165" i="96"/>
  <c r="P166" i="96"/>
  <c r="Q166" i="96"/>
  <c r="R166" i="96" s="1"/>
  <c r="P167" i="96"/>
  <c r="Q167" i="96"/>
  <c r="R167" i="96" s="1"/>
  <c r="P168" i="96"/>
  <c r="Q168" i="96"/>
  <c r="R168" i="96"/>
  <c r="P169" i="96"/>
  <c r="R169" i="96" s="1"/>
  <c r="Q169" i="96"/>
  <c r="P170" i="96"/>
  <c r="Q170" i="96"/>
  <c r="R170" i="96" s="1"/>
  <c r="P171" i="96"/>
  <c r="Q171" i="96"/>
  <c r="R171" i="96"/>
  <c r="P172" i="96"/>
  <c r="Q172" i="96"/>
  <c r="R172" i="96"/>
  <c r="P173" i="96"/>
  <c r="R173" i="96" s="1"/>
  <c r="Q173" i="96"/>
  <c r="P174" i="96"/>
  <c r="Q174" i="96"/>
  <c r="R174" i="96" s="1"/>
  <c r="P175" i="96"/>
  <c r="Q175" i="96"/>
  <c r="R175" i="96" s="1"/>
  <c r="P176" i="96"/>
  <c r="Q176" i="96"/>
  <c r="R176" i="96"/>
  <c r="P177" i="96"/>
  <c r="R177" i="96" s="1"/>
  <c r="Q177" i="96"/>
  <c r="P178" i="96"/>
  <c r="Q178" i="96"/>
  <c r="R178" i="96" s="1"/>
  <c r="P179" i="96"/>
  <c r="Q179" i="96"/>
  <c r="R179" i="96"/>
  <c r="P180" i="96"/>
  <c r="Q180" i="96"/>
  <c r="R180" i="96"/>
  <c r="P181" i="96"/>
  <c r="R181" i="96" s="1"/>
  <c r="Q181" i="96"/>
  <c r="P182" i="96"/>
  <c r="Q182" i="96"/>
  <c r="R182" i="96" s="1"/>
  <c r="P183" i="96"/>
  <c r="Q183" i="96"/>
  <c r="R183" i="96" s="1"/>
  <c r="P184" i="96"/>
  <c r="Q184" i="96"/>
  <c r="R184" i="96"/>
  <c r="P185" i="96"/>
  <c r="R185" i="96" s="1"/>
  <c r="Q185" i="96"/>
  <c r="P186" i="96"/>
  <c r="Q186" i="96"/>
  <c r="R186" i="96" s="1"/>
  <c r="P187" i="96"/>
  <c r="Q187" i="96"/>
  <c r="R187" i="96"/>
  <c r="P188" i="96"/>
  <c r="Q188" i="96"/>
  <c r="R188" i="96"/>
  <c r="P189" i="96"/>
  <c r="R189" i="96" s="1"/>
  <c r="Q189" i="96"/>
  <c r="P190" i="96"/>
  <c r="Q190" i="96"/>
  <c r="R190" i="96" s="1"/>
  <c r="P191" i="96"/>
  <c r="Q191" i="96"/>
  <c r="R191" i="96" s="1"/>
  <c r="P192" i="96"/>
  <c r="Q192" i="96"/>
  <c r="R192" i="96"/>
  <c r="P193" i="96"/>
  <c r="R193" i="96" s="1"/>
  <c r="Q193" i="96"/>
  <c r="P194" i="96"/>
  <c r="Q194" i="96"/>
  <c r="R194" i="96" s="1"/>
  <c r="P195" i="96"/>
  <c r="Q195" i="96"/>
  <c r="R195" i="96"/>
  <c r="P196" i="96"/>
  <c r="Q196" i="96"/>
  <c r="R196" i="96"/>
  <c r="P197" i="96"/>
  <c r="R197" i="96" s="1"/>
  <c r="Q197" i="96"/>
  <c r="P198" i="96"/>
  <c r="Q198" i="96"/>
  <c r="R198" i="96" s="1"/>
  <c r="P199" i="96"/>
  <c r="Q199" i="96"/>
  <c r="R199" i="96" s="1"/>
  <c r="P200" i="96"/>
  <c r="Q200" i="96"/>
  <c r="R200" i="96"/>
  <c r="P201" i="96"/>
  <c r="R201" i="96" s="1"/>
  <c r="Q201" i="96"/>
  <c r="P202" i="96"/>
  <c r="Q202" i="96"/>
  <c r="R202" i="96" s="1"/>
  <c r="P203" i="96"/>
  <c r="Q203" i="96"/>
  <c r="R203" i="96"/>
  <c r="P204" i="96"/>
  <c r="Q204" i="96"/>
  <c r="R204" i="96"/>
  <c r="P205" i="96"/>
  <c r="R205" i="96" s="1"/>
  <c r="Q205" i="96"/>
  <c r="P206" i="96"/>
  <c r="Q206" i="96"/>
  <c r="R206" i="96" s="1"/>
  <c r="P207" i="96"/>
  <c r="Q207" i="96"/>
  <c r="R207" i="96" s="1"/>
  <c r="P208" i="96"/>
  <c r="Q208" i="96"/>
  <c r="R208" i="96"/>
  <c r="P209" i="96"/>
  <c r="R209" i="96" s="1"/>
  <c r="Q209" i="96"/>
  <c r="P210" i="96"/>
  <c r="Q210" i="96"/>
  <c r="R210" i="96" s="1"/>
  <c r="P211" i="96"/>
  <c r="Q211" i="96"/>
  <c r="R211" i="96"/>
  <c r="P212" i="96"/>
  <c r="Q212" i="96"/>
  <c r="R212" i="96"/>
  <c r="P213" i="96"/>
  <c r="R213" i="96" s="1"/>
  <c r="Q213" i="96"/>
  <c r="P214" i="96"/>
  <c r="Q214" i="96"/>
  <c r="R214" i="96" s="1"/>
  <c r="P215" i="96"/>
  <c r="Q215" i="96"/>
  <c r="R215" i="96" s="1"/>
  <c r="P216" i="96"/>
  <c r="Q216" i="96"/>
  <c r="R216" i="96"/>
  <c r="Q4" i="96"/>
  <c r="R4" i="96" s="1"/>
  <c r="P4" i="96"/>
  <c r="P5" i="95"/>
  <c r="Q5" i="95"/>
  <c r="R5" i="95" s="1"/>
  <c r="P6" i="95"/>
  <c r="Q6" i="95"/>
  <c r="R6" i="95"/>
  <c r="P7" i="95"/>
  <c r="R7" i="95" s="1"/>
  <c r="Q7" i="95"/>
  <c r="P8" i="95"/>
  <c r="Q8" i="95"/>
  <c r="R8" i="95" s="1"/>
  <c r="P9" i="95"/>
  <c r="Q9" i="95"/>
  <c r="R9" i="95"/>
  <c r="P10" i="95"/>
  <c r="Q10" i="95"/>
  <c r="R10" i="95"/>
  <c r="P11" i="95"/>
  <c r="R11" i="95" s="1"/>
  <c r="Q11" i="95"/>
  <c r="P12" i="95"/>
  <c r="Q12" i="95"/>
  <c r="R12" i="95" s="1"/>
  <c r="P13" i="95"/>
  <c r="Q13" i="95"/>
  <c r="R13" i="95" s="1"/>
  <c r="P14" i="95"/>
  <c r="Q14" i="95"/>
  <c r="R14" i="95"/>
  <c r="P15" i="95"/>
  <c r="R15" i="95" s="1"/>
  <c r="Q15" i="95"/>
  <c r="P16" i="95"/>
  <c r="Q16" i="95"/>
  <c r="R16" i="95" s="1"/>
  <c r="P17" i="95"/>
  <c r="Q17" i="95"/>
  <c r="R17" i="95"/>
  <c r="P18" i="95"/>
  <c r="Q18" i="95"/>
  <c r="R18" i="95"/>
  <c r="P19" i="95"/>
  <c r="R19" i="95" s="1"/>
  <c r="Q19" i="95"/>
  <c r="P20" i="95"/>
  <c r="Q20" i="95"/>
  <c r="R20" i="95" s="1"/>
  <c r="P21" i="95"/>
  <c r="Q21" i="95"/>
  <c r="R21" i="95" s="1"/>
  <c r="P22" i="95"/>
  <c r="Q22" i="95"/>
  <c r="R22" i="95"/>
  <c r="P23" i="95"/>
  <c r="R23" i="95" s="1"/>
  <c r="Q23" i="95"/>
  <c r="P24" i="95"/>
  <c r="Q24" i="95"/>
  <c r="R24" i="95" s="1"/>
  <c r="P25" i="95"/>
  <c r="Q25" i="95"/>
  <c r="R25" i="95"/>
  <c r="P26" i="95"/>
  <c r="Q26" i="95"/>
  <c r="R26" i="95"/>
  <c r="P27" i="95"/>
  <c r="R27" i="95" s="1"/>
  <c r="Q27" i="95"/>
  <c r="P28" i="95"/>
  <c r="Q28" i="95"/>
  <c r="R28" i="95" s="1"/>
  <c r="P29" i="95"/>
  <c r="Q29" i="95"/>
  <c r="R29" i="95" s="1"/>
  <c r="P30" i="95"/>
  <c r="Q30" i="95"/>
  <c r="R30" i="95"/>
  <c r="P31" i="95"/>
  <c r="R31" i="95" s="1"/>
  <c r="Q31" i="95"/>
  <c r="P32" i="95"/>
  <c r="Q32" i="95"/>
  <c r="R32" i="95" s="1"/>
  <c r="P33" i="95"/>
  <c r="Q33" i="95"/>
  <c r="R33" i="95"/>
  <c r="P34" i="95"/>
  <c r="Q34" i="95"/>
  <c r="R34" i="95"/>
  <c r="P35" i="95"/>
  <c r="R35" i="95" s="1"/>
  <c r="Q35" i="95"/>
  <c r="P36" i="95"/>
  <c r="Q36" i="95"/>
  <c r="R36" i="95" s="1"/>
  <c r="P37" i="95"/>
  <c r="Q37" i="95"/>
  <c r="R37" i="95" s="1"/>
  <c r="P38" i="95"/>
  <c r="Q38" i="95"/>
  <c r="R38" i="95"/>
  <c r="P39" i="95"/>
  <c r="R39" i="95" s="1"/>
  <c r="Q39" i="95"/>
  <c r="P40" i="95"/>
  <c r="Q40" i="95"/>
  <c r="R40" i="95" s="1"/>
  <c r="P41" i="95"/>
  <c r="Q41" i="95"/>
  <c r="R41" i="95"/>
  <c r="P42" i="95"/>
  <c r="Q42" i="95"/>
  <c r="R42" i="95"/>
  <c r="P43" i="95"/>
  <c r="R43" i="95" s="1"/>
  <c r="Q43" i="95"/>
  <c r="P44" i="95"/>
  <c r="Q44" i="95"/>
  <c r="R44" i="95" s="1"/>
  <c r="P45" i="95"/>
  <c r="Q45" i="95"/>
  <c r="R45" i="95" s="1"/>
  <c r="P46" i="95"/>
  <c r="Q46" i="95"/>
  <c r="R46" i="95"/>
  <c r="P47" i="95"/>
  <c r="R47" i="95" s="1"/>
  <c r="Q47" i="95"/>
  <c r="P48" i="95"/>
  <c r="Q48" i="95"/>
  <c r="R48" i="95" s="1"/>
  <c r="P49" i="95"/>
  <c r="Q49" i="95"/>
  <c r="R49" i="95"/>
  <c r="P50" i="95"/>
  <c r="Q50" i="95"/>
  <c r="R50" i="95"/>
  <c r="P51" i="95"/>
  <c r="R51" i="95" s="1"/>
  <c r="Q51" i="95"/>
  <c r="P52" i="95"/>
  <c r="Q52" i="95"/>
  <c r="R52" i="95" s="1"/>
  <c r="P53" i="95"/>
  <c r="Q53" i="95"/>
  <c r="R53" i="95" s="1"/>
  <c r="P54" i="95"/>
  <c r="Q54" i="95"/>
  <c r="R54" i="95"/>
  <c r="P55" i="95"/>
  <c r="R55" i="95" s="1"/>
  <c r="Q55" i="95"/>
  <c r="P56" i="95"/>
  <c r="Q56" i="95"/>
  <c r="R56" i="95" s="1"/>
  <c r="P57" i="95"/>
  <c r="Q57" i="95"/>
  <c r="R57" i="95"/>
  <c r="P58" i="95"/>
  <c r="Q58" i="95"/>
  <c r="R58" i="95"/>
  <c r="P59" i="95"/>
  <c r="R59" i="95" s="1"/>
  <c r="Q59" i="95"/>
  <c r="P60" i="95"/>
  <c r="Q60" i="95"/>
  <c r="R60" i="95" s="1"/>
  <c r="P61" i="95"/>
  <c r="Q61" i="95"/>
  <c r="R61" i="95" s="1"/>
  <c r="P62" i="95"/>
  <c r="Q62" i="95"/>
  <c r="R62" i="95"/>
  <c r="P63" i="95"/>
  <c r="R63" i="95" s="1"/>
  <c r="Q63" i="95"/>
  <c r="P64" i="95"/>
  <c r="Q64" i="95"/>
  <c r="R64" i="95" s="1"/>
  <c r="P65" i="95"/>
  <c r="Q65" i="95"/>
  <c r="R65" i="95"/>
  <c r="P66" i="95"/>
  <c r="Q66" i="95"/>
  <c r="R66" i="95"/>
  <c r="P67" i="95"/>
  <c r="R67" i="95" s="1"/>
  <c r="Q67" i="95"/>
  <c r="P68" i="95"/>
  <c r="Q68" i="95"/>
  <c r="R68" i="95" s="1"/>
  <c r="P69" i="95"/>
  <c r="Q69" i="95"/>
  <c r="R69" i="95" s="1"/>
  <c r="P70" i="95"/>
  <c r="Q70" i="95"/>
  <c r="R70" i="95"/>
  <c r="P71" i="95"/>
  <c r="R71" i="95" s="1"/>
  <c r="Q71" i="95"/>
  <c r="P72" i="95"/>
  <c r="Q72" i="95"/>
  <c r="R72" i="95" s="1"/>
  <c r="P73" i="95"/>
  <c r="Q73" i="95"/>
  <c r="R73" i="95"/>
  <c r="P74" i="95"/>
  <c r="Q74" i="95"/>
  <c r="R74" i="95"/>
  <c r="P75" i="95"/>
  <c r="R75" i="95" s="1"/>
  <c r="Q75" i="95"/>
  <c r="P76" i="95"/>
  <c r="Q76" i="95"/>
  <c r="R76" i="95" s="1"/>
  <c r="P77" i="95"/>
  <c r="Q77" i="95"/>
  <c r="R77" i="95" s="1"/>
  <c r="P78" i="95"/>
  <c r="Q78" i="95"/>
  <c r="R78" i="95"/>
  <c r="P79" i="95"/>
  <c r="R79" i="95" s="1"/>
  <c r="Q79" i="95"/>
  <c r="P80" i="95"/>
  <c r="Q80" i="95"/>
  <c r="R80" i="95" s="1"/>
  <c r="P81" i="95"/>
  <c r="Q81" i="95"/>
  <c r="R81" i="95"/>
  <c r="P82" i="95"/>
  <c r="Q82" i="95"/>
  <c r="R82" i="95"/>
  <c r="P83" i="95"/>
  <c r="R83" i="95" s="1"/>
  <c r="Q83" i="95"/>
  <c r="P84" i="95"/>
  <c r="Q84" i="95"/>
  <c r="R84" i="95" s="1"/>
  <c r="P85" i="95"/>
  <c r="Q85" i="95"/>
  <c r="R85" i="95"/>
  <c r="P86" i="95"/>
  <c r="Q86" i="95"/>
  <c r="R86" i="95"/>
  <c r="P87" i="95"/>
  <c r="R87" i="95" s="1"/>
  <c r="Q87" i="95"/>
  <c r="P88" i="95"/>
  <c r="Q88" i="95"/>
  <c r="R88" i="95" s="1"/>
  <c r="P89" i="95"/>
  <c r="Q89" i="95"/>
  <c r="R89" i="95"/>
  <c r="P90" i="95"/>
  <c r="Q90" i="95"/>
  <c r="R90" i="95"/>
  <c r="P91" i="95"/>
  <c r="R91" i="95" s="1"/>
  <c r="Q91" i="95"/>
  <c r="P92" i="95"/>
  <c r="Q92" i="95"/>
  <c r="R92" i="95" s="1"/>
  <c r="P93" i="95"/>
  <c r="Q93" i="95"/>
  <c r="R93" i="95" s="1"/>
  <c r="P94" i="95"/>
  <c r="Q94" i="95"/>
  <c r="R94" i="95"/>
  <c r="P95" i="95"/>
  <c r="R95" i="95" s="1"/>
  <c r="Q95" i="95"/>
  <c r="P96" i="95"/>
  <c r="Q96" i="95"/>
  <c r="R96" i="95" s="1"/>
  <c r="P97" i="95"/>
  <c r="Q97" i="95"/>
  <c r="R97" i="95"/>
  <c r="P98" i="95"/>
  <c r="Q98" i="95"/>
  <c r="R98" i="95"/>
  <c r="P99" i="95"/>
  <c r="R99" i="95" s="1"/>
  <c r="Q99" i="95"/>
  <c r="P100" i="95"/>
  <c r="Q100" i="95"/>
  <c r="R100" i="95" s="1"/>
  <c r="P101" i="95"/>
  <c r="Q101" i="95"/>
  <c r="R101" i="95" s="1"/>
  <c r="P102" i="95"/>
  <c r="Q102" i="95"/>
  <c r="R102" i="95"/>
  <c r="P103" i="95"/>
  <c r="R103" i="95" s="1"/>
  <c r="Q103" i="95"/>
  <c r="P104" i="95"/>
  <c r="Q104" i="95"/>
  <c r="R104" i="95" s="1"/>
  <c r="P105" i="95"/>
  <c r="Q105" i="95"/>
  <c r="R105" i="95"/>
  <c r="P106" i="95"/>
  <c r="Q106" i="95"/>
  <c r="R106" i="95"/>
  <c r="P107" i="95"/>
  <c r="R107" i="95" s="1"/>
  <c r="Q107" i="95"/>
  <c r="P108" i="95"/>
  <c r="Q108" i="95"/>
  <c r="R108" i="95" s="1"/>
  <c r="P109" i="95"/>
  <c r="Q109" i="95"/>
  <c r="R109" i="95" s="1"/>
  <c r="P110" i="95"/>
  <c r="Q110" i="95"/>
  <c r="R110" i="95"/>
  <c r="P111" i="95"/>
  <c r="R111" i="95" s="1"/>
  <c r="Q111" i="95"/>
  <c r="P112" i="95"/>
  <c r="Q112" i="95"/>
  <c r="R112" i="95" s="1"/>
  <c r="P113" i="95"/>
  <c r="Q113" i="95"/>
  <c r="R113" i="95"/>
  <c r="P114" i="95"/>
  <c r="Q114" i="95"/>
  <c r="R114" i="95"/>
  <c r="P115" i="95"/>
  <c r="R115" i="95" s="1"/>
  <c r="Q115" i="95"/>
  <c r="P116" i="95"/>
  <c r="Q116" i="95"/>
  <c r="R116" i="95" s="1"/>
  <c r="P117" i="95"/>
  <c r="Q117" i="95"/>
  <c r="R117" i="95" s="1"/>
  <c r="P118" i="95"/>
  <c r="Q118" i="95"/>
  <c r="R118" i="95"/>
  <c r="P119" i="95"/>
  <c r="R119" i="95" s="1"/>
  <c r="Q119" i="95"/>
  <c r="P120" i="95"/>
  <c r="Q120" i="95"/>
  <c r="R120" i="95" s="1"/>
  <c r="P121" i="95"/>
  <c r="Q121" i="95"/>
  <c r="R121" i="95"/>
  <c r="P122" i="95"/>
  <c r="Q122" i="95"/>
  <c r="R122" i="95"/>
  <c r="P123" i="95"/>
  <c r="R123" i="95" s="1"/>
  <c r="Q123" i="95"/>
  <c r="P124" i="95"/>
  <c r="Q124" i="95"/>
  <c r="R124" i="95" s="1"/>
  <c r="P125" i="95"/>
  <c r="Q125" i="95"/>
  <c r="R125" i="95" s="1"/>
  <c r="P126" i="95"/>
  <c r="Q126" i="95"/>
  <c r="R126" i="95"/>
  <c r="P127" i="95"/>
  <c r="R127" i="95" s="1"/>
  <c r="Q127" i="95"/>
  <c r="P128" i="95"/>
  <c r="Q128" i="95"/>
  <c r="R128" i="95" s="1"/>
  <c r="P129" i="95"/>
  <c r="Q129" i="95"/>
  <c r="R129" i="95"/>
  <c r="P130" i="95"/>
  <c r="Q130" i="95"/>
  <c r="R130" i="95"/>
  <c r="P131" i="95"/>
  <c r="R131" i="95" s="1"/>
  <c r="Q131" i="95"/>
  <c r="P132" i="95"/>
  <c r="Q132" i="95"/>
  <c r="R132" i="95" s="1"/>
  <c r="P133" i="95"/>
  <c r="Q133" i="95"/>
  <c r="R133" i="95" s="1"/>
  <c r="P134" i="95"/>
  <c r="Q134" i="95"/>
  <c r="R134" i="95"/>
  <c r="P135" i="95"/>
  <c r="R135" i="95" s="1"/>
  <c r="Q135" i="95"/>
  <c r="P136" i="95"/>
  <c r="Q136" i="95"/>
  <c r="R136" i="95" s="1"/>
  <c r="P137" i="95"/>
  <c r="Q137" i="95"/>
  <c r="R137" i="95"/>
  <c r="P138" i="95"/>
  <c r="Q138" i="95"/>
  <c r="R138" i="95"/>
  <c r="P139" i="95"/>
  <c r="R139" i="95" s="1"/>
  <c r="Q139" i="95"/>
  <c r="P140" i="95"/>
  <c r="Q140" i="95"/>
  <c r="R140" i="95" s="1"/>
  <c r="P141" i="95"/>
  <c r="Q141" i="95"/>
  <c r="R141" i="95" s="1"/>
  <c r="P142" i="95"/>
  <c r="Q142" i="95"/>
  <c r="R142" i="95"/>
  <c r="P143" i="95"/>
  <c r="R143" i="95" s="1"/>
  <c r="Q143" i="95"/>
  <c r="P144" i="95"/>
  <c r="Q144" i="95"/>
  <c r="R144" i="95" s="1"/>
  <c r="P145" i="95"/>
  <c r="Q145" i="95"/>
  <c r="R145" i="95"/>
  <c r="P146" i="95"/>
  <c r="Q146" i="95"/>
  <c r="R146" i="95"/>
  <c r="P147" i="95"/>
  <c r="R147" i="95" s="1"/>
  <c r="Q147" i="95"/>
  <c r="P148" i="95"/>
  <c r="Q148" i="95"/>
  <c r="R148" i="95" s="1"/>
  <c r="P149" i="95"/>
  <c r="Q149" i="95"/>
  <c r="R149" i="95" s="1"/>
  <c r="P150" i="95"/>
  <c r="Q150" i="95"/>
  <c r="R150" i="95"/>
  <c r="P151" i="95"/>
  <c r="R151" i="95" s="1"/>
  <c r="Q151" i="95"/>
  <c r="P152" i="95"/>
  <c r="Q152" i="95"/>
  <c r="R152" i="95" s="1"/>
  <c r="P153" i="95"/>
  <c r="Q153" i="95"/>
  <c r="R153" i="95"/>
  <c r="P154" i="95"/>
  <c r="Q154" i="95"/>
  <c r="R154" i="95"/>
  <c r="P155" i="95"/>
  <c r="R155" i="95" s="1"/>
  <c r="Q155" i="95"/>
  <c r="P156" i="95"/>
  <c r="Q156" i="95"/>
  <c r="R156" i="95" s="1"/>
  <c r="P157" i="95"/>
  <c r="Q157" i="95"/>
  <c r="R157" i="95" s="1"/>
  <c r="P158" i="95"/>
  <c r="Q158" i="95"/>
  <c r="R158" i="95"/>
  <c r="P159" i="95"/>
  <c r="R159" i="95" s="1"/>
  <c r="Q159" i="95"/>
  <c r="P160" i="95"/>
  <c r="Q160" i="95"/>
  <c r="R160" i="95" s="1"/>
  <c r="P161" i="95"/>
  <c r="Q161" i="95"/>
  <c r="R161" i="95"/>
  <c r="P162" i="95"/>
  <c r="Q162" i="95"/>
  <c r="R162" i="95"/>
  <c r="P163" i="95"/>
  <c r="R163" i="95" s="1"/>
  <c r="Q163" i="95"/>
  <c r="P164" i="95"/>
  <c r="Q164" i="95"/>
  <c r="R164" i="95" s="1"/>
  <c r="P165" i="95"/>
  <c r="Q165" i="95"/>
  <c r="R165" i="95" s="1"/>
  <c r="P166" i="95"/>
  <c r="Q166" i="95"/>
  <c r="R166" i="95"/>
  <c r="P167" i="95"/>
  <c r="R167" i="95" s="1"/>
  <c r="Q167" i="95"/>
  <c r="P168" i="95"/>
  <c r="Q168" i="95"/>
  <c r="R168" i="95" s="1"/>
  <c r="P169" i="95"/>
  <c r="Q169" i="95"/>
  <c r="R169" i="95"/>
  <c r="P170" i="95"/>
  <c r="Q170" i="95"/>
  <c r="R170" i="95"/>
  <c r="P171" i="95"/>
  <c r="R171" i="95" s="1"/>
  <c r="Q171" i="95"/>
  <c r="P172" i="95"/>
  <c r="Q172" i="95"/>
  <c r="R172" i="95" s="1"/>
  <c r="P173" i="95"/>
  <c r="Q173" i="95"/>
  <c r="R173" i="95" s="1"/>
  <c r="P174" i="95"/>
  <c r="Q174" i="95"/>
  <c r="R174" i="95"/>
  <c r="P175" i="95"/>
  <c r="R175" i="95" s="1"/>
  <c r="Q175" i="95"/>
  <c r="P176" i="95"/>
  <c r="Q176" i="95"/>
  <c r="R176" i="95" s="1"/>
  <c r="P177" i="95"/>
  <c r="Q177" i="95"/>
  <c r="R177" i="95"/>
  <c r="P178" i="95"/>
  <c r="Q178" i="95"/>
  <c r="R178" i="95"/>
  <c r="P179" i="95"/>
  <c r="R179" i="95" s="1"/>
  <c r="Q179" i="95"/>
  <c r="P180" i="95"/>
  <c r="Q180" i="95"/>
  <c r="R180" i="95" s="1"/>
  <c r="P181" i="95"/>
  <c r="Q181" i="95"/>
  <c r="R181" i="95" s="1"/>
  <c r="P182" i="95"/>
  <c r="Q182" i="95"/>
  <c r="R182" i="95"/>
  <c r="P183" i="95"/>
  <c r="R183" i="95" s="1"/>
  <c r="Q183" i="95"/>
  <c r="P184" i="95"/>
  <c r="Q184" i="95"/>
  <c r="R184" i="95" s="1"/>
  <c r="P185" i="95"/>
  <c r="Q185" i="95"/>
  <c r="R185" i="95"/>
  <c r="P186" i="95"/>
  <c r="Q186" i="95"/>
  <c r="R186" i="95"/>
  <c r="P187" i="95"/>
  <c r="R187" i="95" s="1"/>
  <c r="Q187" i="95"/>
  <c r="P188" i="95"/>
  <c r="Q188" i="95"/>
  <c r="R188" i="95" s="1"/>
  <c r="P189" i="95"/>
  <c r="Q189" i="95"/>
  <c r="R189" i="95" s="1"/>
  <c r="P190" i="95"/>
  <c r="Q190" i="95"/>
  <c r="R190" i="95"/>
  <c r="P191" i="95"/>
  <c r="R191" i="95" s="1"/>
  <c r="Q191" i="95"/>
  <c r="P192" i="95"/>
  <c r="Q192" i="95"/>
  <c r="R192" i="95" s="1"/>
  <c r="P193" i="95"/>
  <c r="Q193" i="95"/>
  <c r="R193" i="95"/>
  <c r="P194" i="95"/>
  <c r="Q194" i="95"/>
  <c r="R194" i="95"/>
  <c r="P195" i="95"/>
  <c r="R195" i="95" s="1"/>
  <c r="Q195" i="95"/>
  <c r="P196" i="95"/>
  <c r="Q196" i="95"/>
  <c r="R196" i="95" s="1"/>
  <c r="P197" i="95"/>
  <c r="Q197" i="95"/>
  <c r="R197" i="95" s="1"/>
  <c r="P198" i="95"/>
  <c r="Q198" i="95"/>
  <c r="R198" i="95"/>
  <c r="P199" i="95"/>
  <c r="R199" i="95" s="1"/>
  <c r="Q199" i="95"/>
  <c r="P200" i="95"/>
  <c r="Q200" i="95"/>
  <c r="R200" i="95" s="1"/>
  <c r="P201" i="95"/>
  <c r="Q201" i="95"/>
  <c r="R201" i="95"/>
  <c r="P202" i="95"/>
  <c r="Q202" i="95"/>
  <c r="R202" i="95"/>
  <c r="P203" i="95"/>
  <c r="R203" i="95" s="1"/>
  <c r="Q203" i="95"/>
  <c r="P204" i="95"/>
  <c r="Q204" i="95"/>
  <c r="R204" i="95" s="1"/>
  <c r="P205" i="95"/>
  <c r="Q205" i="95"/>
  <c r="R205" i="95" s="1"/>
  <c r="P206" i="95"/>
  <c r="Q206" i="95"/>
  <c r="R206" i="95"/>
  <c r="P207" i="95"/>
  <c r="R207" i="95" s="1"/>
  <c r="Q207" i="95"/>
  <c r="P208" i="95"/>
  <c r="Q208" i="95"/>
  <c r="R208" i="95" s="1"/>
  <c r="P209" i="95"/>
  <c r="Q209" i="95"/>
  <c r="R209" i="95"/>
  <c r="P210" i="95"/>
  <c r="Q210" i="95"/>
  <c r="R210" i="95"/>
  <c r="P211" i="95"/>
  <c r="R211" i="95" s="1"/>
  <c r="Q211" i="95"/>
  <c r="P212" i="95"/>
  <c r="Q212" i="95"/>
  <c r="R212" i="95" s="1"/>
  <c r="P213" i="95"/>
  <c r="Q213" i="95"/>
  <c r="R213" i="95" s="1"/>
  <c r="P214" i="95"/>
  <c r="Q214" i="95"/>
  <c r="R214" i="95"/>
  <c r="P215" i="95"/>
  <c r="R215" i="95" s="1"/>
  <c r="Q215" i="95"/>
  <c r="P216" i="95"/>
  <c r="Q216" i="95"/>
  <c r="R216" i="95" s="1"/>
  <c r="P217" i="95"/>
  <c r="Q217" i="95"/>
  <c r="R217" i="95"/>
  <c r="Q4" i="95"/>
  <c r="R4" i="95" s="1"/>
  <c r="P4" i="95"/>
  <c r="P5" i="94"/>
  <c r="Q5" i="94"/>
  <c r="R5" i="94" s="1"/>
  <c r="P6" i="94"/>
  <c r="Q6" i="94"/>
  <c r="R6" i="94" s="1"/>
  <c r="P7" i="94"/>
  <c r="Q7" i="94"/>
  <c r="R7" i="94" s="1"/>
  <c r="P8" i="94"/>
  <c r="Q8" i="94"/>
  <c r="R8" i="94"/>
  <c r="P9" i="94"/>
  <c r="R9" i="94" s="1"/>
  <c r="Q9" i="94"/>
  <c r="P10" i="94"/>
  <c r="Q10" i="94"/>
  <c r="R10" i="94" s="1"/>
  <c r="P11" i="94"/>
  <c r="Q11" i="94"/>
  <c r="R11" i="94"/>
  <c r="P12" i="94"/>
  <c r="Q12" i="94"/>
  <c r="R12" i="94"/>
  <c r="P13" i="94"/>
  <c r="Q13" i="94"/>
  <c r="R13" i="94" s="1"/>
  <c r="P14" i="94"/>
  <c r="Q14" i="94"/>
  <c r="R14" i="94" s="1"/>
  <c r="P15" i="94"/>
  <c r="Q15" i="94"/>
  <c r="R15" i="94" s="1"/>
  <c r="P16" i="94"/>
  <c r="Q16" i="94"/>
  <c r="R16" i="94"/>
  <c r="P17" i="94"/>
  <c r="R17" i="94" s="1"/>
  <c r="Q17" i="94"/>
  <c r="P18" i="94"/>
  <c r="Q18" i="94"/>
  <c r="R18" i="94" s="1"/>
  <c r="P19" i="94"/>
  <c r="Q19" i="94"/>
  <c r="R19" i="94"/>
  <c r="P20" i="94"/>
  <c r="Q20" i="94"/>
  <c r="R20" i="94"/>
  <c r="P21" i="94"/>
  <c r="Q21" i="94"/>
  <c r="R21" i="94" s="1"/>
  <c r="P22" i="94"/>
  <c r="Q22" i="94"/>
  <c r="R22" i="94" s="1"/>
  <c r="P23" i="94"/>
  <c r="Q23" i="94"/>
  <c r="R23" i="94" s="1"/>
  <c r="P24" i="94"/>
  <c r="Q24" i="94"/>
  <c r="R24" i="94"/>
  <c r="P25" i="94"/>
  <c r="R25" i="94" s="1"/>
  <c r="Q25" i="94"/>
  <c r="P26" i="94"/>
  <c r="Q26" i="94"/>
  <c r="R26" i="94" s="1"/>
  <c r="P27" i="94"/>
  <c r="Q27" i="94"/>
  <c r="R27" i="94"/>
  <c r="P28" i="94"/>
  <c r="Q28" i="94"/>
  <c r="R28" i="94"/>
  <c r="P29" i="94"/>
  <c r="Q29" i="94"/>
  <c r="R29" i="94" s="1"/>
  <c r="P30" i="94"/>
  <c r="Q30" i="94"/>
  <c r="R30" i="94" s="1"/>
  <c r="P31" i="94"/>
  <c r="Q31" i="94"/>
  <c r="R31" i="94" s="1"/>
  <c r="P32" i="94"/>
  <c r="Q32" i="94"/>
  <c r="R32" i="94"/>
  <c r="P33" i="94"/>
  <c r="R33" i="94" s="1"/>
  <c r="Q33" i="94"/>
  <c r="P34" i="94"/>
  <c r="Q34" i="94"/>
  <c r="R34" i="94" s="1"/>
  <c r="P35" i="94"/>
  <c r="Q35" i="94"/>
  <c r="R35" i="94"/>
  <c r="P36" i="94"/>
  <c r="Q36" i="94"/>
  <c r="R36" i="94"/>
  <c r="P37" i="94"/>
  <c r="Q37" i="94"/>
  <c r="R37" i="94" s="1"/>
  <c r="P38" i="94"/>
  <c r="Q38" i="94"/>
  <c r="R38" i="94" s="1"/>
  <c r="P39" i="94"/>
  <c r="Q39" i="94"/>
  <c r="R39" i="94" s="1"/>
  <c r="P40" i="94"/>
  <c r="Q40" i="94"/>
  <c r="R40" i="94"/>
  <c r="P41" i="94"/>
  <c r="R41" i="94" s="1"/>
  <c r="Q41" i="94"/>
  <c r="P42" i="94"/>
  <c r="Q42" i="94"/>
  <c r="R42" i="94" s="1"/>
  <c r="P43" i="94"/>
  <c r="Q43" i="94"/>
  <c r="R43" i="94"/>
  <c r="P44" i="94"/>
  <c r="Q44" i="94"/>
  <c r="R44" i="94"/>
  <c r="P45" i="94"/>
  <c r="Q45" i="94"/>
  <c r="R45" i="94" s="1"/>
  <c r="P46" i="94"/>
  <c r="Q46" i="94"/>
  <c r="R46" i="94" s="1"/>
  <c r="P47" i="94"/>
  <c r="Q47" i="94"/>
  <c r="R47" i="94" s="1"/>
  <c r="P48" i="94"/>
  <c r="Q48" i="94"/>
  <c r="R48" i="94"/>
  <c r="P49" i="94"/>
  <c r="R49" i="94" s="1"/>
  <c r="Q49" i="94"/>
  <c r="P50" i="94"/>
  <c r="Q50" i="94"/>
  <c r="R50" i="94" s="1"/>
  <c r="P51" i="94"/>
  <c r="Q51" i="94"/>
  <c r="R51" i="94"/>
  <c r="P52" i="94"/>
  <c r="Q52" i="94"/>
  <c r="R52" i="94"/>
  <c r="P53" i="94"/>
  <c r="Q53" i="94"/>
  <c r="R53" i="94" s="1"/>
  <c r="P54" i="94"/>
  <c r="Q54" i="94"/>
  <c r="R54" i="94" s="1"/>
  <c r="P55" i="94"/>
  <c r="Q55" i="94"/>
  <c r="R55" i="94" s="1"/>
  <c r="P56" i="94"/>
  <c r="Q56" i="94"/>
  <c r="R56" i="94"/>
  <c r="P57" i="94"/>
  <c r="R57" i="94" s="1"/>
  <c r="Q57" i="94"/>
  <c r="P58" i="94"/>
  <c r="Q58" i="94"/>
  <c r="R58" i="94" s="1"/>
  <c r="P59" i="94"/>
  <c r="Q59" i="94"/>
  <c r="R59" i="94"/>
  <c r="P60" i="94"/>
  <c r="Q60" i="94"/>
  <c r="R60" i="94"/>
  <c r="P61" i="94"/>
  <c r="Q61" i="94"/>
  <c r="R61" i="94" s="1"/>
  <c r="P62" i="94"/>
  <c r="Q62" i="94"/>
  <c r="R62" i="94" s="1"/>
  <c r="P63" i="94"/>
  <c r="Q63" i="94"/>
  <c r="R63" i="94" s="1"/>
  <c r="P64" i="94"/>
  <c r="Q64" i="94"/>
  <c r="R64" i="94"/>
  <c r="P65" i="94"/>
  <c r="R65" i="94" s="1"/>
  <c r="Q65" i="94"/>
  <c r="P66" i="94"/>
  <c r="Q66" i="94"/>
  <c r="R66" i="94" s="1"/>
  <c r="P67" i="94"/>
  <c r="Q67" i="94"/>
  <c r="R67" i="94"/>
  <c r="P68" i="94"/>
  <c r="Q68" i="94"/>
  <c r="R68" i="94"/>
  <c r="P69" i="94"/>
  <c r="Q69" i="94"/>
  <c r="R69" i="94" s="1"/>
  <c r="P70" i="94"/>
  <c r="Q70" i="94"/>
  <c r="R70" i="94" s="1"/>
  <c r="P71" i="94"/>
  <c r="Q71" i="94"/>
  <c r="R71" i="94" s="1"/>
  <c r="P72" i="94"/>
  <c r="Q72" i="94"/>
  <c r="R72" i="94"/>
  <c r="P73" i="94"/>
  <c r="R73" i="94" s="1"/>
  <c r="Q73" i="94"/>
  <c r="P74" i="94"/>
  <c r="Q74" i="94"/>
  <c r="R74" i="94" s="1"/>
  <c r="P75" i="94"/>
  <c r="Q75" i="94"/>
  <c r="R75" i="94"/>
  <c r="P76" i="94"/>
  <c r="Q76" i="94"/>
  <c r="R76" i="94"/>
  <c r="P77" i="94"/>
  <c r="Q77" i="94"/>
  <c r="R77" i="94" s="1"/>
  <c r="P78" i="94"/>
  <c r="Q78" i="94"/>
  <c r="R78" i="94" s="1"/>
  <c r="P79" i="94"/>
  <c r="Q79" i="94"/>
  <c r="R79" i="94" s="1"/>
  <c r="P80" i="94"/>
  <c r="Q80" i="94"/>
  <c r="R80" i="94"/>
  <c r="P81" i="94"/>
  <c r="R81" i="94" s="1"/>
  <c r="Q81" i="94"/>
  <c r="P82" i="94"/>
  <c r="Q82" i="94"/>
  <c r="R82" i="94" s="1"/>
  <c r="P83" i="94"/>
  <c r="Q83" i="94"/>
  <c r="R83" i="94"/>
  <c r="P84" i="94"/>
  <c r="Q84" i="94"/>
  <c r="R84" i="94"/>
  <c r="P85" i="94"/>
  <c r="Q85" i="94"/>
  <c r="R85" i="94" s="1"/>
  <c r="P86" i="94"/>
  <c r="Q86" i="94"/>
  <c r="R86" i="94" s="1"/>
  <c r="P87" i="94"/>
  <c r="Q87" i="94"/>
  <c r="R87" i="94" s="1"/>
  <c r="P88" i="94"/>
  <c r="Q88" i="94"/>
  <c r="R88" i="94"/>
  <c r="P89" i="94"/>
  <c r="R89" i="94" s="1"/>
  <c r="Q89" i="94"/>
  <c r="P90" i="94"/>
  <c r="Q90" i="94"/>
  <c r="R90" i="94" s="1"/>
  <c r="P91" i="94"/>
  <c r="Q91" i="94"/>
  <c r="R91" i="94"/>
  <c r="P92" i="94"/>
  <c r="Q92" i="94"/>
  <c r="R92" i="94"/>
  <c r="P93" i="94"/>
  <c r="Q93" i="94"/>
  <c r="R93" i="94" s="1"/>
  <c r="P94" i="94"/>
  <c r="Q94" i="94"/>
  <c r="R94" i="94" s="1"/>
  <c r="P95" i="94"/>
  <c r="Q95" i="94"/>
  <c r="R95" i="94" s="1"/>
  <c r="P96" i="94"/>
  <c r="Q96" i="94"/>
  <c r="R96" i="94"/>
  <c r="P97" i="94"/>
  <c r="R97" i="94" s="1"/>
  <c r="Q97" i="94"/>
  <c r="P98" i="94"/>
  <c r="Q98" i="94"/>
  <c r="R98" i="94" s="1"/>
  <c r="P99" i="94"/>
  <c r="Q99" i="94"/>
  <c r="R99" i="94"/>
  <c r="P100" i="94"/>
  <c r="Q100" i="94"/>
  <c r="R100" i="94"/>
  <c r="P101" i="94"/>
  <c r="Q101" i="94"/>
  <c r="R101" i="94" s="1"/>
  <c r="P102" i="94"/>
  <c r="Q102" i="94"/>
  <c r="R102" i="94" s="1"/>
  <c r="P103" i="94"/>
  <c r="Q103" i="94"/>
  <c r="R103" i="94" s="1"/>
  <c r="P104" i="94"/>
  <c r="Q104" i="94"/>
  <c r="R104" i="94"/>
  <c r="P105" i="94"/>
  <c r="R105" i="94" s="1"/>
  <c r="Q105" i="94"/>
  <c r="P106" i="94"/>
  <c r="Q106" i="94"/>
  <c r="R106" i="94" s="1"/>
  <c r="P107" i="94"/>
  <c r="Q107" i="94"/>
  <c r="R107" i="94"/>
  <c r="P108" i="94"/>
  <c r="Q108" i="94"/>
  <c r="R108" i="94"/>
  <c r="P109" i="94"/>
  <c r="Q109" i="94"/>
  <c r="R109" i="94" s="1"/>
  <c r="P110" i="94"/>
  <c r="Q110" i="94"/>
  <c r="R110" i="94" s="1"/>
  <c r="P111" i="94"/>
  <c r="Q111" i="94"/>
  <c r="R111" i="94" s="1"/>
  <c r="P112" i="94"/>
  <c r="Q112" i="94"/>
  <c r="R112" i="94"/>
  <c r="P113" i="94"/>
  <c r="R113" i="94" s="1"/>
  <c r="Q113" i="94"/>
  <c r="P114" i="94"/>
  <c r="Q114" i="94"/>
  <c r="R114" i="94" s="1"/>
  <c r="P115" i="94"/>
  <c r="Q115" i="94"/>
  <c r="R115" i="94"/>
  <c r="P116" i="94"/>
  <c r="Q116" i="94"/>
  <c r="R116" i="94"/>
  <c r="P117" i="94"/>
  <c r="Q117" i="94"/>
  <c r="R117" i="94" s="1"/>
  <c r="P118" i="94"/>
  <c r="Q118" i="94"/>
  <c r="R118" i="94" s="1"/>
  <c r="P119" i="94"/>
  <c r="Q119" i="94"/>
  <c r="R119" i="94" s="1"/>
  <c r="P120" i="94"/>
  <c r="Q120" i="94"/>
  <c r="R120" i="94"/>
  <c r="P121" i="94"/>
  <c r="R121" i="94" s="1"/>
  <c r="Q121" i="94"/>
  <c r="P122" i="94"/>
  <c r="Q122" i="94"/>
  <c r="R122" i="94" s="1"/>
  <c r="P123" i="94"/>
  <c r="Q123" i="94"/>
  <c r="R123" i="94"/>
  <c r="P124" i="94"/>
  <c r="Q124" i="94"/>
  <c r="R124" i="94"/>
  <c r="P125" i="94"/>
  <c r="Q125" i="94"/>
  <c r="R125" i="94" s="1"/>
  <c r="P126" i="94"/>
  <c r="Q126" i="94"/>
  <c r="R126" i="94" s="1"/>
  <c r="P127" i="94"/>
  <c r="Q127" i="94"/>
  <c r="R127" i="94" s="1"/>
  <c r="P128" i="94"/>
  <c r="Q128" i="94"/>
  <c r="R128" i="94"/>
  <c r="P129" i="94"/>
  <c r="R129" i="94" s="1"/>
  <c r="Q129" i="94"/>
  <c r="P130" i="94"/>
  <c r="Q130" i="94"/>
  <c r="R130" i="94" s="1"/>
  <c r="P131" i="94"/>
  <c r="Q131" i="94"/>
  <c r="R131" i="94"/>
  <c r="P132" i="94"/>
  <c r="Q132" i="94"/>
  <c r="R132" i="94"/>
  <c r="P133" i="94"/>
  <c r="Q133" i="94"/>
  <c r="R133" i="94" s="1"/>
  <c r="P134" i="94"/>
  <c r="Q134" i="94"/>
  <c r="R134" i="94" s="1"/>
  <c r="P135" i="94"/>
  <c r="Q135" i="94"/>
  <c r="R135" i="94" s="1"/>
  <c r="P136" i="94"/>
  <c r="Q136" i="94"/>
  <c r="R136" i="94"/>
  <c r="P137" i="94"/>
  <c r="R137" i="94" s="1"/>
  <c r="Q137" i="94"/>
  <c r="P138" i="94"/>
  <c r="Q138" i="94"/>
  <c r="R138" i="94" s="1"/>
  <c r="P139" i="94"/>
  <c r="Q139" i="94"/>
  <c r="R139" i="94"/>
  <c r="P140" i="94"/>
  <c r="Q140" i="94"/>
  <c r="R140" i="94"/>
  <c r="P141" i="94"/>
  <c r="Q141" i="94"/>
  <c r="R141" i="94" s="1"/>
  <c r="P142" i="94"/>
  <c r="Q142" i="94"/>
  <c r="R142" i="94" s="1"/>
  <c r="P143" i="94"/>
  <c r="Q143" i="94"/>
  <c r="R143" i="94" s="1"/>
  <c r="P144" i="94"/>
  <c r="Q144" i="94"/>
  <c r="R144" i="94"/>
  <c r="P145" i="94"/>
  <c r="R145" i="94" s="1"/>
  <c r="Q145" i="94"/>
  <c r="P146" i="94"/>
  <c r="Q146" i="94"/>
  <c r="R146" i="94" s="1"/>
  <c r="P147" i="94"/>
  <c r="Q147" i="94"/>
  <c r="R147" i="94"/>
  <c r="P148" i="94"/>
  <c r="Q148" i="94"/>
  <c r="R148" i="94"/>
  <c r="P149" i="94"/>
  <c r="Q149" i="94"/>
  <c r="R149" i="94" s="1"/>
  <c r="P150" i="94"/>
  <c r="Q150" i="94"/>
  <c r="R150" i="94" s="1"/>
  <c r="P151" i="94"/>
  <c r="Q151" i="94"/>
  <c r="R151" i="94" s="1"/>
  <c r="P152" i="94"/>
  <c r="Q152" i="94"/>
  <c r="R152" i="94"/>
  <c r="P153" i="94"/>
  <c r="R153" i="94" s="1"/>
  <c r="Q153" i="94"/>
  <c r="P154" i="94"/>
  <c r="Q154" i="94"/>
  <c r="R154" i="94" s="1"/>
  <c r="P155" i="94"/>
  <c r="Q155" i="94"/>
  <c r="R155" i="94"/>
  <c r="P156" i="94"/>
  <c r="Q156" i="94"/>
  <c r="R156" i="94"/>
  <c r="P157" i="94"/>
  <c r="Q157" i="94"/>
  <c r="R157" i="94" s="1"/>
  <c r="P158" i="94"/>
  <c r="Q158" i="94"/>
  <c r="R158" i="94" s="1"/>
  <c r="P159" i="94"/>
  <c r="Q159" i="94"/>
  <c r="R159" i="94" s="1"/>
  <c r="P160" i="94"/>
  <c r="Q160" i="94"/>
  <c r="R160" i="94"/>
  <c r="P161" i="94"/>
  <c r="R161" i="94" s="1"/>
  <c r="Q161" i="94"/>
  <c r="P162" i="94"/>
  <c r="Q162" i="94"/>
  <c r="R162" i="94" s="1"/>
  <c r="P163" i="94"/>
  <c r="Q163" i="94"/>
  <c r="R163" i="94"/>
  <c r="P164" i="94"/>
  <c r="Q164" i="94"/>
  <c r="R164" i="94"/>
  <c r="P165" i="94"/>
  <c r="Q165" i="94"/>
  <c r="R165" i="94" s="1"/>
  <c r="P166" i="94"/>
  <c r="Q166" i="94"/>
  <c r="R166" i="94" s="1"/>
  <c r="P167" i="94"/>
  <c r="Q167" i="94"/>
  <c r="R167" i="94" s="1"/>
  <c r="P168" i="94"/>
  <c r="Q168" i="94"/>
  <c r="R168" i="94"/>
  <c r="P169" i="94"/>
  <c r="R169" i="94" s="1"/>
  <c r="Q169" i="94"/>
  <c r="P170" i="94"/>
  <c r="Q170" i="94"/>
  <c r="R170" i="94" s="1"/>
  <c r="P171" i="94"/>
  <c r="Q171" i="94"/>
  <c r="R171" i="94"/>
  <c r="P172" i="94"/>
  <c r="Q172" i="94"/>
  <c r="R172" i="94"/>
  <c r="P173" i="94"/>
  <c r="Q173" i="94"/>
  <c r="R173" i="94" s="1"/>
  <c r="P174" i="94"/>
  <c r="Q174" i="94"/>
  <c r="R174" i="94" s="1"/>
  <c r="P175" i="94"/>
  <c r="Q175" i="94"/>
  <c r="R175" i="94" s="1"/>
  <c r="P176" i="94"/>
  <c r="Q176" i="94"/>
  <c r="R176" i="94"/>
  <c r="P177" i="94"/>
  <c r="R177" i="94" s="1"/>
  <c r="Q177" i="94"/>
  <c r="P178" i="94"/>
  <c r="Q178" i="94"/>
  <c r="R178" i="94" s="1"/>
  <c r="P179" i="94"/>
  <c r="Q179" i="94"/>
  <c r="R179" i="94"/>
  <c r="P180" i="94"/>
  <c r="Q180" i="94"/>
  <c r="R180" i="94"/>
  <c r="P181" i="94"/>
  <c r="Q181" i="94"/>
  <c r="R181" i="94" s="1"/>
  <c r="P182" i="94"/>
  <c r="Q182" i="94"/>
  <c r="R182" i="94" s="1"/>
  <c r="P183" i="94"/>
  <c r="Q183" i="94"/>
  <c r="R183" i="94" s="1"/>
  <c r="P184" i="94"/>
  <c r="Q184" i="94"/>
  <c r="R184" i="94"/>
  <c r="P185" i="94"/>
  <c r="R185" i="94" s="1"/>
  <c r="Q185" i="94"/>
  <c r="P186" i="94"/>
  <c r="Q186" i="94"/>
  <c r="R186" i="94" s="1"/>
  <c r="P187" i="94"/>
  <c r="Q187" i="94"/>
  <c r="R187" i="94"/>
  <c r="P188" i="94"/>
  <c r="Q188" i="94"/>
  <c r="R188" i="94"/>
  <c r="P189" i="94"/>
  <c r="Q189" i="94"/>
  <c r="R189" i="94" s="1"/>
  <c r="P190" i="94"/>
  <c r="Q190" i="94"/>
  <c r="R190" i="94" s="1"/>
  <c r="P191" i="94"/>
  <c r="Q191" i="94"/>
  <c r="R191" i="94" s="1"/>
  <c r="P192" i="94"/>
  <c r="Q192" i="94"/>
  <c r="R192" i="94"/>
  <c r="P193" i="94"/>
  <c r="R193" i="94" s="1"/>
  <c r="Q193" i="94"/>
  <c r="P194" i="94"/>
  <c r="Q194" i="94"/>
  <c r="R194" i="94" s="1"/>
  <c r="P195" i="94"/>
  <c r="Q195" i="94"/>
  <c r="R195" i="94"/>
  <c r="P196" i="94"/>
  <c r="Q196" i="94"/>
  <c r="R196" i="94"/>
  <c r="P197" i="94"/>
  <c r="Q197" i="94"/>
  <c r="R197" i="94" s="1"/>
  <c r="P198" i="94"/>
  <c r="Q198" i="94"/>
  <c r="R198" i="94" s="1"/>
  <c r="P199" i="94"/>
  <c r="Q199" i="94"/>
  <c r="R199" i="94" s="1"/>
  <c r="P200" i="94"/>
  <c r="Q200" i="94"/>
  <c r="R200" i="94"/>
  <c r="P201" i="94"/>
  <c r="R201" i="94" s="1"/>
  <c r="Q201" i="94"/>
  <c r="P202" i="94"/>
  <c r="Q202" i="94"/>
  <c r="R202" i="94" s="1"/>
  <c r="P203" i="94"/>
  <c r="Q203" i="94"/>
  <c r="R203" i="94"/>
  <c r="P204" i="94"/>
  <c r="Q204" i="94"/>
  <c r="R204" i="94"/>
  <c r="P205" i="94"/>
  <c r="Q205" i="94"/>
  <c r="R205" i="94" s="1"/>
  <c r="P206" i="94"/>
  <c r="Q206" i="94"/>
  <c r="R206" i="94" s="1"/>
  <c r="P207" i="94"/>
  <c r="Q207" i="94"/>
  <c r="R207" i="94" s="1"/>
  <c r="P208" i="94"/>
  <c r="Q208" i="94"/>
  <c r="R208" i="94"/>
  <c r="P209" i="94"/>
  <c r="R209" i="94" s="1"/>
  <c r="Q209" i="94"/>
  <c r="P210" i="94"/>
  <c r="Q210" i="94"/>
  <c r="R210" i="94" s="1"/>
  <c r="P211" i="94"/>
  <c r="Q211" i="94"/>
  <c r="R211" i="94"/>
  <c r="P212" i="94"/>
  <c r="Q212" i="94"/>
  <c r="R212" i="94"/>
  <c r="P213" i="94"/>
  <c r="Q213" i="94"/>
  <c r="R213" i="94" s="1"/>
  <c r="P214" i="94"/>
  <c r="Q214" i="94"/>
  <c r="R214" i="94" s="1"/>
  <c r="P215" i="94"/>
  <c r="Q215" i="94"/>
  <c r="R215" i="94" s="1"/>
  <c r="R4" i="94"/>
  <c r="Q4" i="94"/>
  <c r="P4" i="94"/>
  <c r="Q6" i="59"/>
  <c r="R6" i="59"/>
  <c r="S6" i="59" s="1"/>
  <c r="Q7" i="59"/>
  <c r="R7" i="59"/>
  <c r="S7" i="59" s="1"/>
  <c r="Q8" i="59"/>
  <c r="R8" i="59"/>
  <c r="S8" i="59" s="1"/>
  <c r="Q9" i="59"/>
  <c r="R9" i="59"/>
  <c r="S9" i="59" s="1"/>
  <c r="Q10" i="59"/>
  <c r="R10" i="59"/>
  <c r="S10" i="59"/>
  <c r="Q11" i="59"/>
  <c r="R11" i="59"/>
  <c r="S11" i="59"/>
  <c r="Q12" i="59"/>
  <c r="R12" i="59"/>
  <c r="S12" i="59" s="1"/>
  <c r="Q13" i="59"/>
  <c r="R13" i="59"/>
  <c r="S13" i="59" s="1"/>
  <c r="Q14" i="59"/>
  <c r="R14" i="59"/>
  <c r="S14" i="59" s="1"/>
  <c r="Q15" i="59"/>
  <c r="R15" i="59"/>
  <c r="S15" i="59" s="1"/>
  <c r="Q16" i="59"/>
  <c r="R16" i="59"/>
  <c r="S16" i="59" s="1"/>
  <c r="Q17" i="59"/>
  <c r="R17" i="59"/>
  <c r="S17" i="59" s="1"/>
  <c r="Q18" i="59"/>
  <c r="R18" i="59"/>
  <c r="S18" i="59"/>
  <c r="Q19" i="59"/>
  <c r="R19" i="59"/>
  <c r="S19" i="59"/>
  <c r="Q20" i="59"/>
  <c r="S20" i="59" s="1"/>
  <c r="R20" i="59"/>
  <c r="Q21" i="59"/>
  <c r="R21" i="59"/>
  <c r="S21" i="59" s="1"/>
  <c r="Q22" i="59"/>
  <c r="R22" i="59"/>
  <c r="S22" i="59" s="1"/>
  <c r="Q23" i="59"/>
  <c r="R23" i="59"/>
  <c r="S23" i="59" s="1"/>
  <c r="Q24" i="59"/>
  <c r="R24" i="59"/>
  <c r="S24" i="59" s="1"/>
  <c r="Q25" i="59"/>
  <c r="R25" i="59"/>
  <c r="S25" i="59" s="1"/>
  <c r="Q26" i="59"/>
  <c r="R26" i="59"/>
  <c r="S26" i="59"/>
  <c r="Q27" i="59"/>
  <c r="R27" i="59"/>
  <c r="S27" i="59"/>
  <c r="Q28" i="59"/>
  <c r="S28" i="59" s="1"/>
  <c r="R28" i="59"/>
  <c r="Q29" i="59"/>
  <c r="R29" i="59"/>
  <c r="S29" i="59" s="1"/>
  <c r="Q30" i="59"/>
  <c r="R30" i="59"/>
  <c r="S30" i="59" s="1"/>
  <c r="Q31" i="59"/>
  <c r="R31" i="59"/>
  <c r="S31" i="59" s="1"/>
  <c r="Q32" i="59"/>
  <c r="R32" i="59"/>
  <c r="S32" i="59" s="1"/>
  <c r="Q33" i="59"/>
  <c r="R33" i="59"/>
  <c r="S33" i="59" s="1"/>
  <c r="Q34" i="59"/>
  <c r="R34" i="59"/>
  <c r="S34" i="59"/>
  <c r="Q35" i="59"/>
  <c r="R35" i="59"/>
  <c r="S35" i="59"/>
  <c r="Q36" i="59"/>
  <c r="S36" i="59" s="1"/>
  <c r="R36" i="59"/>
  <c r="Q37" i="59"/>
  <c r="R37" i="59"/>
  <c r="S37" i="59" s="1"/>
  <c r="Q38" i="59"/>
  <c r="R38" i="59"/>
  <c r="S38" i="59" s="1"/>
  <c r="Q39" i="59"/>
  <c r="R39" i="59"/>
  <c r="S39" i="59" s="1"/>
  <c r="Q40" i="59"/>
  <c r="R40" i="59"/>
  <c r="S40" i="59" s="1"/>
  <c r="Q41" i="59"/>
  <c r="R41" i="59"/>
  <c r="S41" i="59" s="1"/>
  <c r="Q42" i="59"/>
  <c r="R42" i="59"/>
  <c r="S42" i="59"/>
  <c r="Q43" i="59"/>
  <c r="R43" i="59"/>
  <c r="S43" i="59"/>
  <c r="Q44" i="59"/>
  <c r="S44" i="59" s="1"/>
  <c r="R44" i="59"/>
  <c r="Q45" i="59"/>
  <c r="R45" i="59"/>
  <c r="S45" i="59" s="1"/>
  <c r="Q46" i="59"/>
  <c r="R46" i="59"/>
  <c r="S46" i="59" s="1"/>
  <c r="Q47" i="59"/>
  <c r="R47" i="59"/>
  <c r="S47" i="59" s="1"/>
  <c r="Q48" i="59"/>
  <c r="R48" i="59"/>
  <c r="S48" i="59" s="1"/>
  <c r="Q49" i="59"/>
  <c r="R49" i="59"/>
  <c r="S49" i="59" s="1"/>
  <c r="Q50" i="59"/>
  <c r="R50" i="59"/>
  <c r="S50" i="59"/>
  <c r="Q51" i="59"/>
  <c r="R51" i="59"/>
  <c r="S51" i="59"/>
  <c r="Q52" i="59"/>
  <c r="R52" i="59"/>
  <c r="S52" i="59" s="1"/>
  <c r="Q53" i="59"/>
  <c r="R53" i="59"/>
  <c r="S53" i="59" s="1"/>
  <c r="Q54" i="59"/>
  <c r="R54" i="59"/>
  <c r="S54" i="59" s="1"/>
  <c r="Q55" i="59"/>
  <c r="R55" i="59"/>
  <c r="S55" i="59" s="1"/>
  <c r="Q56" i="59"/>
  <c r="R56" i="59"/>
  <c r="S56" i="59" s="1"/>
  <c r="Q57" i="59"/>
  <c r="R57" i="59"/>
  <c r="S57" i="59" s="1"/>
  <c r="Q58" i="59"/>
  <c r="R58" i="59"/>
  <c r="S58" i="59"/>
  <c r="Q59" i="59"/>
  <c r="R59" i="59"/>
  <c r="S59" i="59"/>
  <c r="Q60" i="59"/>
  <c r="R60" i="59"/>
  <c r="S60" i="59" s="1"/>
  <c r="Q61" i="59"/>
  <c r="R61" i="59"/>
  <c r="S61" i="59" s="1"/>
  <c r="Q62" i="59"/>
  <c r="R62" i="59"/>
  <c r="S62" i="59" s="1"/>
  <c r="Q63" i="59"/>
  <c r="R63" i="59"/>
  <c r="S63" i="59" s="1"/>
  <c r="Q64" i="59"/>
  <c r="R64" i="59"/>
  <c r="S64" i="59" s="1"/>
  <c r="Q65" i="59"/>
  <c r="R65" i="59"/>
  <c r="S65" i="59" s="1"/>
  <c r="Q66" i="59"/>
  <c r="R66" i="59"/>
  <c r="S66" i="59"/>
  <c r="Q67" i="59"/>
  <c r="R67" i="59"/>
  <c r="S67" i="59"/>
  <c r="Q68" i="59"/>
  <c r="S68" i="59" s="1"/>
  <c r="R68" i="59"/>
  <c r="Q69" i="59"/>
  <c r="R69" i="59"/>
  <c r="S69" i="59" s="1"/>
  <c r="Q70" i="59"/>
  <c r="R70" i="59"/>
  <c r="S70" i="59" s="1"/>
  <c r="Q71" i="59"/>
  <c r="R71" i="59"/>
  <c r="S71" i="59" s="1"/>
  <c r="Q72" i="59"/>
  <c r="R72" i="59"/>
  <c r="S72" i="59" s="1"/>
  <c r="Q73" i="59"/>
  <c r="R73" i="59"/>
  <c r="S73" i="59" s="1"/>
  <c r="Q74" i="59"/>
  <c r="R74" i="59"/>
  <c r="S74" i="59"/>
  <c r="Q75" i="59"/>
  <c r="R75" i="59"/>
  <c r="S75" i="59"/>
  <c r="Q76" i="59"/>
  <c r="R76" i="59"/>
  <c r="S76" i="59" s="1"/>
  <c r="Q77" i="59"/>
  <c r="R77" i="59"/>
  <c r="S77" i="59" s="1"/>
  <c r="Q78" i="59"/>
  <c r="R78" i="59"/>
  <c r="S78" i="59" s="1"/>
  <c r="Q79" i="59"/>
  <c r="R79" i="59"/>
  <c r="S79" i="59" s="1"/>
  <c r="Q80" i="59"/>
  <c r="R80" i="59"/>
  <c r="S80" i="59" s="1"/>
  <c r="Q81" i="59"/>
  <c r="R81" i="59"/>
  <c r="S81" i="59" s="1"/>
  <c r="Q82" i="59"/>
  <c r="R82" i="59"/>
  <c r="S82" i="59"/>
  <c r="Q83" i="59"/>
  <c r="R83" i="59"/>
  <c r="S83" i="59"/>
  <c r="Q84" i="59"/>
  <c r="R84" i="59"/>
  <c r="S84" i="59" s="1"/>
  <c r="Q85" i="59"/>
  <c r="R85" i="59"/>
  <c r="S85" i="59" s="1"/>
  <c r="Q86" i="59"/>
  <c r="R86" i="59"/>
  <c r="S86" i="59" s="1"/>
  <c r="Q87" i="59"/>
  <c r="R87" i="59"/>
  <c r="S87" i="59"/>
  <c r="Q88" i="59"/>
  <c r="R88" i="59"/>
  <c r="S88" i="59" s="1"/>
  <c r="Q89" i="59"/>
  <c r="R89" i="59"/>
  <c r="S89" i="59" s="1"/>
  <c r="Q90" i="59"/>
  <c r="R90" i="59"/>
  <c r="S90" i="59"/>
  <c r="Q91" i="59"/>
  <c r="R91" i="59"/>
  <c r="S91" i="59"/>
  <c r="Q92" i="59"/>
  <c r="R92" i="59"/>
  <c r="S92" i="59" s="1"/>
  <c r="Q93" i="59"/>
  <c r="R93" i="59"/>
  <c r="S93" i="59" s="1"/>
  <c r="Q94" i="59"/>
  <c r="R94" i="59"/>
  <c r="S94" i="59" s="1"/>
  <c r="Q95" i="59"/>
  <c r="R95" i="59"/>
  <c r="S95" i="59"/>
  <c r="Q96" i="59"/>
  <c r="S96" i="59" s="1"/>
  <c r="R96" i="59"/>
  <c r="Q97" i="59"/>
  <c r="R97" i="59"/>
  <c r="S97" i="59" s="1"/>
  <c r="Q98" i="59"/>
  <c r="R98" i="59"/>
  <c r="S98" i="59"/>
  <c r="Q99" i="59"/>
  <c r="R99" i="59"/>
  <c r="S99" i="59"/>
  <c r="Q100" i="59"/>
  <c r="R100" i="59"/>
  <c r="S100" i="59" s="1"/>
  <c r="Q101" i="59"/>
  <c r="R101" i="59"/>
  <c r="S101" i="59" s="1"/>
  <c r="Q102" i="59"/>
  <c r="R102" i="59"/>
  <c r="S102" i="59" s="1"/>
  <c r="Q103" i="59"/>
  <c r="R103" i="59"/>
  <c r="S103" i="59" s="1"/>
  <c r="Q104" i="59"/>
  <c r="S104" i="59" s="1"/>
  <c r="R104" i="59"/>
  <c r="Q105" i="59"/>
  <c r="R105" i="59"/>
  <c r="S105" i="59" s="1"/>
  <c r="Q106" i="59"/>
  <c r="R106" i="59"/>
  <c r="S106" i="59"/>
  <c r="Q107" i="59"/>
  <c r="R107" i="59"/>
  <c r="S107" i="59"/>
  <c r="Q108" i="59"/>
  <c r="R108" i="59"/>
  <c r="S108" i="59" s="1"/>
  <c r="Q109" i="59"/>
  <c r="R109" i="59"/>
  <c r="S109" i="59" s="1"/>
  <c r="Q110" i="59"/>
  <c r="R110" i="59"/>
  <c r="S110" i="59" s="1"/>
  <c r="Q111" i="59"/>
  <c r="R111" i="59"/>
  <c r="S111" i="59" s="1"/>
  <c r="Q112" i="59"/>
  <c r="S112" i="59" s="1"/>
  <c r="R112" i="59"/>
  <c r="Q113" i="59"/>
  <c r="R113" i="59"/>
  <c r="S113" i="59" s="1"/>
  <c r="Q114" i="59"/>
  <c r="R114" i="59"/>
  <c r="S114" i="59"/>
  <c r="Q115" i="59"/>
  <c r="R115" i="59"/>
  <c r="S115" i="59"/>
  <c r="Q116" i="59"/>
  <c r="S116" i="59" s="1"/>
  <c r="R116" i="59"/>
  <c r="Q117" i="59"/>
  <c r="R117" i="59"/>
  <c r="S117" i="59" s="1"/>
  <c r="Q118" i="59"/>
  <c r="R118" i="59"/>
  <c r="S118" i="59" s="1"/>
  <c r="Q119" i="59"/>
  <c r="R119" i="59"/>
  <c r="S119" i="59" s="1"/>
  <c r="Q120" i="59"/>
  <c r="S120" i="59" s="1"/>
  <c r="R120" i="59"/>
  <c r="Q121" i="59"/>
  <c r="R121" i="59"/>
  <c r="S121" i="59" s="1"/>
  <c r="Q122" i="59"/>
  <c r="R122" i="59"/>
  <c r="S122" i="59"/>
  <c r="Q123" i="59"/>
  <c r="R123" i="59"/>
  <c r="S123" i="59"/>
  <c r="Q124" i="59"/>
  <c r="R124" i="59"/>
  <c r="S124" i="59" s="1"/>
  <c r="Q125" i="59"/>
  <c r="R125" i="59"/>
  <c r="S125" i="59" s="1"/>
  <c r="Q126" i="59"/>
  <c r="R126" i="59"/>
  <c r="S126" i="59" s="1"/>
  <c r="Q127" i="59"/>
  <c r="R127" i="59"/>
  <c r="S127" i="59" s="1"/>
  <c r="Q128" i="59"/>
  <c r="S128" i="59" s="1"/>
  <c r="R128" i="59"/>
  <c r="Q129" i="59"/>
  <c r="R129" i="59"/>
  <c r="S129" i="59" s="1"/>
  <c r="Q130" i="59"/>
  <c r="R130" i="59"/>
  <c r="S130" i="59"/>
  <c r="Q131" i="59"/>
  <c r="R131" i="59"/>
  <c r="S131" i="59"/>
  <c r="Q132" i="59"/>
  <c r="R132" i="59"/>
  <c r="S132" i="59" s="1"/>
  <c r="Q133" i="59"/>
  <c r="R133" i="59"/>
  <c r="S133" i="59" s="1"/>
  <c r="Q134" i="59"/>
  <c r="R134" i="59"/>
  <c r="S134" i="59" s="1"/>
  <c r="Q135" i="59"/>
  <c r="R135" i="59"/>
  <c r="S135" i="59" s="1"/>
  <c r="Q136" i="59"/>
  <c r="S136" i="59" s="1"/>
  <c r="R136" i="59"/>
  <c r="Q137" i="59"/>
  <c r="R137" i="59"/>
  <c r="S137" i="59" s="1"/>
  <c r="Q138" i="59"/>
  <c r="R138" i="59"/>
  <c r="S138" i="59"/>
  <c r="Q139" i="59"/>
  <c r="R139" i="59"/>
  <c r="S139" i="59"/>
  <c r="Q140" i="59"/>
  <c r="S140" i="59" s="1"/>
  <c r="R140" i="59"/>
  <c r="Q141" i="59"/>
  <c r="R141" i="59"/>
  <c r="S141" i="59" s="1"/>
  <c r="Q142" i="59"/>
  <c r="R142" i="59"/>
  <c r="S142" i="59" s="1"/>
  <c r="Q143" i="59"/>
  <c r="R143" i="59"/>
  <c r="S143" i="59" s="1"/>
  <c r="Q144" i="59"/>
  <c r="S144" i="59" s="1"/>
  <c r="R144" i="59"/>
  <c r="Q145" i="59"/>
  <c r="R145" i="59"/>
  <c r="S145" i="59" s="1"/>
  <c r="Q146" i="59"/>
  <c r="R146" i="59"/>
  <c r="S146" i="59"/>
  <c r="Q147" i="59"/>
  <c r="R147" i="59"/>
  <c r="S147" i="59"/>
  <c r="Q148" i="59"/>
  <c r="R148" i="59"/>
  <c r="S148" i="59" s="1"/>
  <c r="Q149" i="59"/>
  <c r="R149" i="59"/>
  <c r="S149" i="59" s="1"/>
  <c r="Q150" i="59"/>
  <c r="R150" i="59"/>
  <c r="S150" i="59" s="1"/>
  <c r="Q151" i="59"/>
  <c r="R151" i="59"/>
  <c r="S151" i="59" s="1"/>
  <c r="Q152" i="59"/>
  <c r="S152" i="59" s="1"/>
  <c r="R152" i="59"/>
  <c r="Q153" i="59"/>
  <c r="R153" i="59"/>
  <c r="S153" i="59" s="1"/>
  <c r="Q154" i="59"/>
  <c r="R154" i="59"/>
  <c r="S154" i="59"/>
  <c r="Q155" i="59"/>
  <c r="R155" i="59"/>
  <c r="S155" i="59"/>
  <c r="Q156" i="59"/>
  <c r="R156" i="59"/>
  <c r="S156" i="59" s="1"/>
  <c r="Q157" i="59"/>
  <c r="R157" i="59"/>
  <c r="S157" i="59" s="1"/>
  <c r="Q158" i="59"/>
  <c r="R158" i="59"/>
  <c r="S158" i="59" s="1"/>
  <c r="Q159" i="59"/>
  <c r="R159" i="59"/>
  <c r="S159" i="59" s="1"/>
  <c r="Q160" i="59"/>
  <c r="S160" i="59" s="1"/>
  <c r="R160" i="59"/>
  <c r="Q161" i="59"/>
  <c r="R161" i="59"/>
  <c r="S161" i="59" s="1"/>
  <c r="Q162" i="59"/>
  <c r="R162" i="59"/>
  <c r="S162" i="59"/>
  <c r="Q163" i="59"/>
  <c r="R163" i="59"/>
  <c r="S163" i="59"/>
  <c r="Q164" i="59"/>
  <c r="R164" i="59"/>
  <c r="S164" i="59" s="1"/>
  <c r="Q165" i="59"/>
  <c r="R165" i="59"/>
  <c r="S165" i="59" s="1"/>
  <c r="Q166" i="59"/>
  <c r="R166" i="59"/>
  <c r="S166" i="59" s="1"/>
  <c r="Q167" i="59"/>
  <c r="R167" i="59"/>
  <c r="S167" i="59" s="1"/>
  <c r="Q168" i="59"/>
  <c r="S168" i="59" s="1"/>
  <c r="R168" i="59"/>
  <c r="Q169" i="59"/>
  <c r="R169" i="59"/>
  <c r="S169" i="59" s="1"/>
  <c r="Q170" i="59"/>
  <c r="R170" i="59"/>
  <c r="S170" i="59"/>
  <c r="Q171" i="59"/>
  <c r="R171" i="59"/>
  <c r="S171" i="59"/>
  <c r="Q172" i="59"/>
  <c r="R172" i="59"/>
  <c r="S172" i="59" s="1"/>
  <c r="Q173" i="59"/>
  <c r="R173" i="59"/>
  <c r="S173" i="59" s="1"/>
  <c r="Q174" i="59"/>
  <c r="R174" i="59"/>
  <c r="S174" i="59" s="1"/>
  <c r="Q175" i="59"/>
  <c r="R175" i="59"/>
  <c r="S175" i="59" s="1"/>
  <c r="Q176" i="59"/>
  <c r="S176" i="59" s="1"/>
  <c r="R176" i="59"/>
  <c r="Q177" i="59"/>
  <c r="R177" i="59"/>
  <c r="S177" i="59" s="1"/>
  <c r="Q178" i="59"/>
  <c r="R178" i="59"/>
  <c r="S178" i="59"/>
  <c r="Q179" i="59"/>
  <c r="R179" i="59"/>
  <c r="S179" i="59"/>
  <c r="Q180" i="59"/>
  <c r="R180" i="59"/>
  <c r="S180" i="59" s="1"/>
  <c r="Q181" i="59"/>
  <c r="R181" i="59"/>
  <c r="S181" i="59" s="1"/>
  <c r="Q182" i="59"/>
  <c r="R182" i="59"/>
  <c r="S182" i="59" s="1"/>
  <c r="Q183" i="59"/>
  <c r="R183" i="59"/>
  <c r="S183" i="59" s="1"/>
  <c r="Q184" i="59"/>
  <c r="S184" i="59" s="1"/>
  <c r="R184" i="59"/>
  <c r="Q185" i="59"/>
  <c r="R185" i="59"/>
  <c r="S185" i="59" s="1"/>
  <c r="Q186" i="59"/>
  <c r="R186" i="59"/>
  <c r="S186" i="59"/>
  <c r="Q187" i="59"/>
  <c r="R187" i="59"/>
  <c r="S187" i="59"/>
  <c r="Q188" i="59"/>
  <c r="R188" i="59"/>
  <c r="S188" i="59" s="1"/>
  <c r="Q189" i="59"/>
  <c r="R189" i="59"/>
  <c r="S189" i="59" s="1"/>
  <c r="Q190" i="59"/>
  <c r="R190" i="59"/>
  <c r="S190" i="59" s="1"/>
  <c r="Q191" i="59"/>
  <c r="R191" i="59"/>
  <c r="S191" i="59" s="1"/>
  <c r="Q192" i="59"/>
  <c r="S192" i="59" s="1"/>
  <c r="R192" i="59"/>
  <c r="Q193" i="59"/>
  <c r="R193" i="59"/>
  <c r="S193" i="59" s="1"/>
  <c r="Q194" i="59"/>
  <c r="R194" i="59"/>
  <c r="S194" i="59"/>
  <c r="Q195" i="59"/>
  <c r="R195" i="59"/>
  <c r="S195" i="59"/>
  <c r="Q196" i="59"/>
  <c r="R196" i="59"/>
  <c r="S196" i="59" s="1"/>
  <c r="Q197" i="59"/>
  <c r="R197" i="59"/>
  <c r="S197" i="59" s="1"/>
  <c r="Q198" i="59"/>
  <c r="R198" i="59"/>
  <c r="S198" i="59" s="1"/>
  <c r="Q199" i="59"/>
  <c r="R199" i="59"/>
  <c r="S199" i="59" s="1"/>
  <c r="Q200" i="59"/>
  <c r="S200" i="59" s="1"/>
  <c r="R200" i="59"/>
  <c r="Q201" i="59"/>
  <c r="R201" i="59"/>
  <c r="S201" i="59" s="1"/>
  <c r="Q202" i="59"/>
  <c r="R202" i="59"/>
  <c r="S202" i="59"/>
  <c r="Q203" i="59"/>
  <c r="R203" i="59"/>
  <c r="S203" i="59"/>
  <c r="Q204" i="59"/>
  <c r="R204" i="59"/>
  <c r="S204" i="59" s="1"/>
  <c r="Q205" i="59"/>
  <c r="R205" i="59"/>
  <c r="S205" i="59" s="1"/>
  <c r="Q206" i="59"/>
  <c r="R206" i="59"/>
  <c r="S206" i="59" s="1"/>
  <c r="Q207" i="59"/>
  <c r="R207" i="59"/>
  <c r="S207" i="59" s="1"/>
  <c r="Q208" i="59"/>
  <c r="R208" i="59"/>
  <c r="S208" i="59" s="1"/>
  <c r="Q209" i="59"/>
  <c r="R209" i="59"/>
  <c r="S209" i="59" s="1"/>
  <c r="Q210" i="59"/>
  <c r="R210" i="59"/>
  <c r="S210" i="59"/>
  <c r="Q211" i="59"/>
  <c r="R211" i="59"/>
  <c r="S211" i="59"/>
  <c r="Q212" i="59"/>
  <c r="R212" i="59"/>
  <c r="S212" i="59" s="1"/>
  <c r="Q213" i="59"/>
  <c r="R213" i="59"/>
  <c r="S213" i="59" s="1"/>
  <c r="Q214" i="59"/>
  <c r="R214" i="59"/>
  <c r="S214" i="59" s="1"/>
  <c r="Q215" i="59"/>
  <c r="R215" i="59"/>
  <c r="S215" i="59" s="1"/>
  <c r="Q216" i="59"/>
  <c r="R216" i="59"/>
  <c r="S216" i="59" s="1"/>
  <c r="Q217" i="59"/>
  <c r="R217" i="59"/>
  <c r="S217" i="59" s="1"/>
  <c r="Q218" i="59"/>
  <c r="R218" i="59"/>
  <c r="S218" i="59"/>
  <c r="Q219" i="59"/>
  <c r="R219" i="59"/>
  <c r="S219" i="59"/>
  <c r="Q220" i="59"/>
  <c r="R220" i="59"/>
  <c r="S220" i="59" s="1"/>
  <c r="Q221" i="59"/>
  <c r="R221" i="59"/>
  <c r="S221" i="59" s="1"/>
  <c r="Q222" i="59"/>
  <c r="R222" i="59"/>
  <c r="S222" i="59" s="1"/>
  <c r="Q223" i="59"/>
  <c r="R223" i="59"/>
  <c r="S223" i="59" s="1"/>
  <c r="Q224" i="59"/>
  <c r="R224" i="59"/>
  <c r="S224" i="59" s="1"/>
  <c r="Q225" i="59"/>
  <c r="R225" i="59"/>
  <c r="S225" i="59" s="1"/>
  <c r="Q226" i="59"/>
  <c r="R226" i="59"/>
  <c r="S226" i="59"/>
  <c r="Q227" i="59"/>
  <c r="R227" i="59"/>
  <c r="S227" i="59"/>
  <c r="Q228" i="59"/>
  <c r="R228" i="59"/>
  <c r="S228" i="59" s="1"/>
  <c r="Q229" i="59"/>
  <c r="R229" i="59"/>
  <c r="S229" i="59" s="1"/>
  <c r="Q230" i="59"/>
  <c r="R230" i="59"/>
  <c r="S230" i="59" s="1"/>
  <c r="Q231" i="59"/>
  <c r="R231" i="59"/>
  <c r="S231" i="59" s="1"/>
  <c r="Q232" i="59"/>
  <c r="R232" i="59"/>
  <c r="S232" i="59" s="1"/>
  <c r="Q233" i="59"/>
  <c r="R233" i="59"/>
  <c r="S233" i="59" s="1"/>
  <c r="Q234" i="59"/>
  <c r="R234" i="59"/>
  <c r="S234" i="59"/>
  <c r="Q235" i="59"/>
  <c r="R235" i="59"/>
  <c r="S235" i="59"/>
  <c r="Q236" i="59"/>
  <c r="R236" i="59"/>
  <c r="S236" i="59" s="1"/>
  <c r="Q237" i="59"/>
  <c r="R237" i="59"/>
  <c r="S237" i="59" s="1"/>
  <c r="Q238" i="59"/>
  <c r="R238" i="59"/>
  <c r="S238" i="59" s="1"/>
  <c r="Q239" i="59"/>
  <c r="R239" i="59"/>
  <c r="S239" i="59" s="1"/>
  <c r="Q240" i="59"/>
  <c r="R240" i="59"/>
  <c r="S240" i="59" s="1"/>
  <c r="Q241" i="59"/>
  <c r="R241" i="59"/>
  <c r="S241" i="59" s="1"/>
  <c r="Q242" i="59"/>
  <c r="R242" i="59"/>
  <c r="S242" i="59"/>
  <c r="Q243" i="59"/>
  <c r="R243" i="59"/>
  <c r="S243" i="59"/>
  <c r="Q244" i="59"/>
  <c r="R244" i="59"/>
  <c r="S244" i="59" s="1"/>
  <c r="Q245" i="59"/>
  <c r="R245" i="59"/>
  <c r="S245" i="59" s="1"/>
  <c r="Q246" i="59"/>
  <c r="R246" i="59"/>
  <c r="S246" i="59" s="1"/>
  <c r="Q247" i="59"/>
  <c r="R247" i="59"/>
  <c r="S247" i="59" s="1"/>
  <c r="Q248" i="59"/>
  <c r="R248" i="59"/>
  <c r="S248" i="59" s="1"/>
  <c r="Q249" i="59"/>
  <c r="R249" i="59"/>
  <c r="S249" i="59" s="1"/>
  <c r="Q250" i="59"/>
  <c r="R250" i="59"/>
  <c r="S250" i="59"/>
  <c r="Q251" i="59"/>
  <c r="R251" i="59"/>
  <c r="S251" i="59"/>
  <c r="R5" i="59"/>
  <c r="Q5" i="59"/>
  <c r="S5" i="59" s="1"/>
  <c r="S6" i="57"/>
  <c r="S7" i="57"/>
  <c r="S8" i="57"/>
  <c r="S9" i="57"/>
  <c r="S10" i="57"/>
  <c r="S11" i="57"/>
  <c r="S12" i="57"/>
  <c r="S13" i="57"/>
  <c r="S14" i="57"/>
  <c r="S15" i="57"/>
  <c r="S16" i="57"/>
  <c r="S17" i="57"/>
  <c r="S18" i="57"/>
  <c r="S19" i="57"/>
  <c r="S20" i="57"/>
  <c r="S21" i="57"/>
  <c r="S22" i="57"/>
  <c r="S23" i="57"/>
  <c r="S24" i="57"/>
  <c r="S25" i="57"/>
  <c r="S26" i="57"/>
  <c r="S27" i="57"/>
  <c r="S28" i="57"/>
  <c r="S29" i="57"/>
  <c r="S30" i="57"/>
  <c r="S31" i="57"/>
  <c r="S32" i="57"/>
  <c r="S33" i="57"/>
  <c r="S34" i="57"/>
  <c r="S35" i="57"/>
  <c r="S36" i="57"/>
  <c r="S37" i="57"/>
  <c r="S38" i="57"/>
  <c r="S39" i="57"/>
  <c r="S40" i="57"/>
  <c r="S41" i="57"/>
  <c r="S42" i="57"/>
  <c r="S43" i="57"/>
  <c r="S44" i="57"/>
  <c r="S45" i="57"/>
  <c r="S46" i="57"/>
  <c r="S47" i="57"/>
  <c r="S48" i="57"/>
  <c r="S49" i="57"/>
  <c r="S50" i="57"/>
  <c r="S51" i="57"/>
  <c r="S52" i="57"/>
  <c r="S53" i="57"/>
  <c r="S54" i="57"/>
  <c r="S55" i="57"/>
  <c r="S56" i="57"/>
  <c r="S57" i="57"/>
  <c r="S58" i="57"/>
  <c r="S59" i="57"/>
  <c r="S60" i="57"/>
  <c r="S61" i="57"/>
  <c r="S62" i="57"/>
  <c r="S63" i="57"/>
  <c r="S64" i="57"/>
  <c r="S65" i="57"/>
  <c r="S66" i="57"/>
  <c r="S67" i="57"/>
  <c r="S68" i="57"/>
  <c r="S69" i="57"/>
  <c r="S70" i="57"/>
  <c r="S71" i="57"/>
  <c r="S72" i="57"/>
  <c r="S73" i="57"/>
  <c r="S74" i="57"/>
  <c r="S75" i="57"/>
  <c r="S76" i="57"/>
  <c r="S77" i="57"/>
  <c r="S78" i="57"/>
  <c r="S79" i="57"/>
  <c r="S80" i="57"/>
  <c r="S81" i="57"/>
  <c r="S82" i="57"/>
  <c r="S83" i="57"/>
  <c r="S84" i="57"/>
  <c r="S85" i="57"/>
  <c r="S86" i="57"/>
  <c r="S87" i="57"/>
  <c r="S88" i="57"/>
  <c r="S89" i="57"/>
  <c r="S90" i="57"/>
  <c r="S91" i="57"/>
  <c r="S92" i="57"/>
  <c r="S93" i="57"/>
  <c r="S94" i="57"/>
  <c r="S95" i="57"/>
  <c r="S96" i="57"/>
  <c r="S97" i="57"/>
  <c r="S98" i="57"/>
  <c r="S99" i="57"/>
  <c r="S100" i="57"/>
  <c r="S101" i="57"/>
  <c r="S102" i="57"/>
  <c r="S103" i="57"/>
  <c r="S104" i="57"/>
  <c r="S105" i="57"/>
  <c r="S106" i="57"/>
  <c r="S107" i="57"/>
  <c r="S108" i="57"/>
  <c r="S109" i="57"/>
  <c r="S110" i="57"/>
  <c r="S111" i="57"/>
  <c r="S112" i="57"/>
  <c r="S113" i="57"/>
  <c r="S114" i="57"/>
  <c r="S115" i="57"/>
  <c r="S116" i="57"/>
  <c r="S117" i="57"/>
  <c r="S118" i="57"/>
  <c r="S119" i="57"/>
  <c r="S120" i="57"/>
  <c r="S121" i="57"/>
  <c r="S122" i="57"/>
  <c r="S123" i="57"/>
  <c r="S124" i="57"/>
  <c r="S125" i="57"/>
  <c r="S126" i="57"/>
  <c r="S127" i="57"/>
  <c r="S128" i="57"/>
  <c r="S129" i="57"/>
  <c r="S130" i="57"/>
  <c r="S131" i="57"/>
  <c r="S132" i="57"/>
  <c r="S133" i="57"/>
  <c r="S134" i="57"/>
  <c r="S135" i="57"/>
  <c r="S136" i="57"/>
  <c r="S137" i="57"/>
  <c r="S138" i="57"/>
  <c r="S139" i="57"/>
  <c r="S140" i="57"/>
  <c r="S141" i="57"/>
  <c r="S142" i="57"/>
  <c r="S143" i="57"/>
  <c r="S144" i="57"/>
  <c r="S145" i="57"/>
  <c r="S146" i="57"/>
  <c r="S147" i="57"/>
  <c r="S148" i="57"/>
  <c r="S149" i="57"/>
  <c r="S150" i="57"/>
  <c r="S151" i="57"/>
  <c r="S152" i="57"/>
  <c r="S153" i="57"/>
  <c r="S154" i="57"/>
  <c r="S155" i="57"/>
  <c r="S156" i="57"/>
  <c r="S157" i="57"/>
  <c r="S158" i="57"/>
  <c r="S159" i="57"/>
  <c r="S160" i="57"/>
  <c r="S161" i="57"/>
  <c r="S162" i="57"/>
  <c r="S163" i="57"/>
  <c r="S164" i="57"/>
  <c r="S165" i="57"/>
  <c r="S166" i="57"/>
  <c r="S167" i="57"/>
  <c r="S168" i="57"/>
  <c r="S169" i="57"/>
  <c r="S170" i="57"/>
  <c r="S171" i="57"/>
  <c r="S172" i="57"/>
  <c r="S173" i="57"/>
  <c r="S174" i="57"/>
  <c r="S175" i="57"/>
  <c r="S176" i="57"/>
  <c r="S177" i="57"/>
  <c r="S178" i="57"/>
  <c r="S179" i="57"/>
  <c r="S180" i="57"/>
  <c r="S181" i="57"/>
  <c r="S182" i="57"/>
  <c r="S183" i="57"/>
  <c r="S184" i="57"/>
  <c r="S185" i="57"/>
  <c r="S186" i="57"/>
  <c r="S187" i="57"/>
  <c r="S188" i="57"/>
  <c r="S189" i="57"/>
  <c r="S190" i="57"/>
  <c r="S191" i="57"/>
  <c r="S192" i="57"/>
  <c r="S193" i="57"/>
  <c r="S194" i="57"/>
  <c r="S195" i="57"/>
  <c r="S196" i="57"/>
  <c r="S197" i="57"/>
  <c r="S198" i="57"/>
  <c r="S199" i="57"/>
  <c r="S200" i="57"/>
  <c r="S201" i="57"/>
  <c r="S202" i="57"/>
  <c r="S203" i="57"/>
  <c r="S204" i="57"/>
  <c r="S205" i="57"/>
  <c r="S206" i="57"/>
  <c r="S207" i="57"/>
  <c r="S208" i="57"/>
  <c r="S209" i="57"/>
  <c r="S210" i="57"/>
  <c r="S211" i="57"/>
  <c r="S212" i="57"/>
  <c r="S213" i="57"/>
  <c r="S214" i="57"/>
  <c r="S215" i="57"/>
  <c r="S216" i="57"/>
  <c r="S217" i="57"/>
  <c r="S218" i="57"/>
  <c r="S219" i="57"/>
  <c r="S220" i="57"/>
  <c r="S221" i="57"/>
  <c r="S222" i="57"/>
  <c r="S223" i="57"/>
  <c r="S224" i="57"/>
  <c r="S225" i="57"/>
  <c r="S226" i="57"/>
  <c r="S227" i="57"/>
  <c r="S228" i="57"/>
  <c r="S229" i="57"/>
  <c r="S230" i="57"/>
  <c r="S231" i="57"/>
  <c r="S232" i="57"/>
  <c r="S233" i="57"/>
  <c r="S234" i="57"/>
  <c r="R6" i="57"/>
  <c r="R7" i="57"/>
  <c r="R8" i="57"/>
  <c r="R9" i="57"/>
  <c r="R10" i="57"/>
  <c r="R11" i="57"/>
  <c r="R12" i="57"/>
  <c r="R13" i="57"/>
  <c r="R14" i="57"/>
  <c r="R15" i="57"/>
  <c r="R16" i="57"/>
  <c r="R17" i="57"/>
  <c r="R18" i="57"/>
  <c r="R19" i="57"/>
  <c r="R20" i="57"/>
  <c r="R21" i="57"/>
  <c r="R22" i="57"/>
  <c r="R23" i="57"/>
  <c r="R24" i="57"/>
  <c r="R25" i="57"/>
  <c r="R26" i="57"/>
  <c r="R27" i="57"/>
  <c r="R28" i="57"/>
  <c r="R29" i="57"/>
  <c r="R30" i="57"/>
  <c r="R31" i="57"/>
  <c r="R32" i="57"/>
  <c r="R33" i="57"/>
  <c r="R34" i="57"/>
  <c r="R35" i="57"/>
  <c r="R36" i="57"/>
  <c r="R37" i="57"/>
  <c r="R38" i="57"/>
  <c r="R39" i="57"/>
  <c r="R40" i="57"/>
  <c r="R41" i="57"/>
  <c r="R42" i="57"/>
  <c r="R43" i="57"/>
  <c r="R44" i="57"/>
  <c r="R45" i="57"/>
  <c r="R46" i="57"/>
  <c r="R47" i="57"/>
  <c r="R48" i="57"/>
  <c r="R49" i="57"/>
  <c r="R50" i="57"/>
  <c r="R51" i="57"/>
  <c r="R52" i="57"/>
  <c r="R53" i="57"/>
  <c r="R54" i="57"/>
  <c r="R55" i="57"/>
  <c r="R56" i="57"/>
  <c r="R57" i="57"/>
  <c r="R58" i="57"/>
  <c r="R59" i="57"/>
  <c r="R60" i="57"/>
  <c r="R61" i="57"/>
  <c r="R62" i="57"/>
  <c r="R63" i="57"/>
  <c r="R64" i="57"/>
  <c r="R65" i="57"/>
  <c r="R66" i="57"/>
  <c r="R67" i="57"/>
  <c r="R68" i="57"/>
  <c r="R69" i="57"/>
  <c r="R70" i="57"/>
  <c r="R71" i="57"/>
  <c r="R72" i="57"/>
  <c r="R73" i="57"/>
  <c r="R74" i="57"/>
  <c r="R75" i="57"/>
  <c r="R76" i="57"/>
  <c r="R77" i="57"/>
  <c r="R78" i="57"/>
  <c r="R79" i="57"/>
  <c r="R80" i="57"/>
  <c r="R81" i="57"/>
  <c r="R82" i="57"/>
  <c r="R83" i="57"/>
  <c r="R84" i="57"/>
  <c r="R85" i="57"/>
  <c r="R86" i="57"/>
  <c r="R87" i="57"/>
  <c r="R88" i="57"/>
  <c r="R89" i="57"/>
  <c r="R90" i="57"/>
  <c r="R91" i="57"/>
  <c r="R92" i="57"/>
  <c r="R93" i="57"/>
  <c r="R94" i="57"/>
  <c r="R95" i="57"/>
  <c r="R96" i="57"/>
  <c r="R97" i="57"/>
  <c r="R98" i="57"/>
  <c r="R99" i="57"/>
  <c r="R100" i="57"/>
  <c r="R101" i="57"/>
  <c r="R102" i="57"/>
  <c r="R103" i="57"/>
  <c r="R104" i="57"/>
  <c r="R105" i="57"/>
  <c r="R106" i="57"/>
  <c r="R107" i="57"/>
  <c r="R108" i="57"/>
  <c r="R109" i="57"/>
  <c r="R110" i="57"/>
  <c r="R111" i="57"/>
  <c r="R112" i="57"/>
  <c r="R113" i="57"/>
  <c r="R114" i="57"/>
  <c r="R115" i="57"/>
  <c r="R116" i="57"/>
  <c r="R117" i="57"/>
  <c r="R118" i="57"/>
  <c r="R119" i="57"/>
  <c r="R120" i="57"/>
  <c r="R121" i="57"/>
  <c r="R122" i="57"/>
  <c r="R123" i="57"/>
  <c r="R124" i="57"/>
  <c r="R125" i="57"/>
  <c r="R126" i="57"/>
  <c r="R127" i="57"/>
  <c r="R128" i="57"/>
  <c r="R129" i="57"/>
  <c r="R130" i="57"/>
  <c r="R131" i="57"/>
  <c r="R132" i="57"/>
  <c r="R133" i="57"/>
  <c r="R134" i="57"/>
  <c r="R135" i="57"/>
  <c r="R136" i="57"/>
  <c r="R137" i="57"/>
  <c r="R138" i="57"/>
  <c r="R139" i="57"/>
  <c r="R140" i="57"/>
  <c r="R141" i="57"/>
  <c r="R142" i="57"/>
  <c r="R143" i="57"/>
  <c r="R144" i="57"/>
  <c r="R145" i="57"/>
  <c r="R146" i="57"/>
  <c r="R147" i="57"/>
  <c r="R148" i="57"/>
  <c r="R149" i="57"/>
  <c r="R150" i="57"/>
  <c r="R151" i="57"/>
  <c r="R152" i="57"/>
  <c r="R153" i="57"/>
  <c r="R154" i="57"/>
  <c r="R155" i="57"/>
  <c r="R156" i="57"/>
  <c r="R157" i="57"/>
  <c r="R158" i="57"/>
  <c r="R159" i="57"/>
  <c r="R160" i="57"/>
  <c r="R161" i="57"/>
  <c r="R162" i="57"/>
  <c r="R163" i="57"/>
  <c r="R164" i="57"/>
  <c r="R165" i="57"/>
  <c r="R166" i="57"/>
  <c r="R167" i="57"/>
  <c r="R168" i="57"/>
  <c r="R169" i="57"/>
  <c r="R170" i="57"/>
  <c r="R171" i="57"/>
  <c r="R172" i="57"/>
  <c r="R173" i="57"/>
  <c r="R174" i="57"/>
  <c r="R175" i="57"/>
  <c r="R176" i="57"/>
  <c r="R177" i="57"/>
  <c r="R178" i="57"/>
  <c r="R179" i="57"/>
  <c r="R180" i="57"/>
  <c r="R181" i="57"/>
  <c r="R182" i="57"/>
  <c r="R183" i="57"/>
  <c r="R184" i="57"/>
  <c r="R185" i="57"/>
  <c r="R186" i="57"/>
  <c r="R187" i="57"/>
  <c r="R188" i="57"/>
  <c r="R189" i="57"/>
  <c r="R190" i="57"/>
  <c r="R191" i="57"/>
  <c r="R192" i="57"/>
  <c r="R193" i="57"/>
  <c r="R194" i="57"/>
  <c r="R195" i="57"/>
  <c r="R196" i="57"/>
  <c r="R197" i="57"/>
  <c r="R198" i="57"/>
  <c r="R199" i="57"/>
  <c r="R200" i="57"/>
  <c r="R201" i="57"/>
  <c r="R202" i="57"/>
  <c r="R203" i="57"/>
  <c r="R204" i="57"/>
  <c r="R205" i="57"/>
  <c r="R206" i="57"/>
  <c r="R207" i="57"/>
  <c r="R208" i="57"/>
  <c r="R209" i="57"/>
  <c r="R210" i="57"/>
  <c r="R211" i="57"/>
  <c r="R212" i="57"/>
  <c r="R213" i="57"/>
  <c r="R214" i="57"/>
  <c r="R215" i="57"/>
  <c r="R216" i="57"/>
  <c r="R217" i="57"/>
  <c r="R218" i="57"/>
  <c r="R219" i="57"/>
  <c r="R220" i="57"/>
  <c r="R221" i="57"/>
  <c r="R222" i="57"/>
  <c r="R223" i="57"/>
  <c r="R224" i="57"/>
  <c r="R225" i="57"/>
  <c r="R226" i="57"/>
  <c r="R227" i="57"/>
  <c r="R228" i="57"/>
  <c r="R229" i="57"/>
  <c r="R230" i="57"/>
  <c r="R231" i="57"/>
  <c r="R232" i="57"/>
  <c r="R233" i="57"/>
  <c r="R234" i="57"/>
  <c r="Q6" i="57"/>
  <c r="Q7" i="57"/>
  <c r="Q8" i="57"/>
  <c r="Q9" i="57"/>
  <c r="Q10" i="57"/>
  <c r="Q11" i="57"/>
  <c r="Q12" i="57"/>
  <c r="Q13" i="57"/>
  <c r="Q14" i="57"/>
  <c r="Q15" i="57"/>
  <c r="Q16" i="57"/>
  <c r="Q17" i="57"/>
  <c r="Q18" i="57"/>
  <c r="Q19" i="57"/>
  <c r="Q20" i="57"/>
  <c r="Q21" i="57"/>
  <c r="Q22" i="57"/>
  <c r="Q23" i="57"/>
  <c r="Q24" i="57"/>
  <c r="Q25" i="57"/>
  <c r="Q26" i="57"/>
  <c r="Q27" i="57"/>
  <c r="Q28" i="57"/>
  <c r="Q29" i="57"/>
  <c r="Q30" i="57"/>
  <c r="Q31" i="57"/>
  <c r="Q32" i="57"/>
  <c r="Q33" i="57"/>
  <c r="Q34" i="57"/>
  <c r="Q35" i="57"/>
  <c r="Q36" i="57"/>
  <c r="Q37" i="57"/>
  <c r="Q38" i="57"/>
  <c r="Q39" i="57"/>
  <c r="Q40" i="57"/>
  <c r="Q41" i="57"/>
  <c r="Q42" i="57"/>
  <c r="Q43" i="57"/>
  <c r="Q44" i="57"/>
  <c r="Q45" i="57"/>
  <c r="Q46" i="57"/>
  <c r="Q47" i="57"/>
  <c r="Q48" i="57"/>
  <c r="Q49" i="57"/>
  <c r="Q50" i="57"/>
  <c r="Q51" i="57"/>
  <c r="Q52" i="57"/>
  <c r="Q53" i="57"/>
  <c r="Q54" i="57"/>
  <c r="Q55" i="57"/>
  <c r="Q56" i="57"/>
  <c r="Q57" i="57"/>
  <c r="Q58" i="57"/>
  <c r="Q59" i="57"/>
  <c r="Q60" i="57"/>
  <c r="Q61" i="57"/>
  <c r="Q62" i="57"/>
  <c r="Q63" i="57"/>
  <c r="Q64" i="57"/>
  <c r="Q65" i="57"/>
  <c r="Q66" i="57"/>
  <c r="Q67" i="57"/>
  <c r="Q68" i="57"/>
  <c r="Q69" i="57"/>
  <c r="Q70" i="57"/>
  <c r="Q71" i="57"/>
  <c r="Q72" i="57"/>
  <c r="Q73" i="57"/>
  <c r="Q74" i="57"/>
  <c r="Q75" i="57"/>
  <c r="Q76" i="57"/>
  <c r="Q77" i="57"/>
  <c r="Q78" i="57"/>
  <c r="Q79" i="57"/>
  <c r="Q80" i="57"/>
  <c r="Q81" i="57"/>
  <c r="Q82" i="57"/>
  <c r="Q83" i="57"/>
  <c r="Q84" i="57"/>
  <c r="Q85" i="57"/>
  <c r="Q86" i="57"/>
  <c r="Q87" i="57"/>
  <c r="Q88" i="57"/>
  <c r="Q89" i="57"/>
  <c r="Q90" i="57"/>
  <c r="Q91" i="57"/>
  <c r="Q92" i="57"/>
  <c r="Q93" i="57"/>
  <c r="Q94" i="57"/>
  <c r="Q95" i="57"/>
  <c r="Q96" i="57"/>
  <c r="Q97" i="57"/>
  <c r="Q98" i="57"/>
  <c r="Q99" i="57"/>
  <c r="Q100" i="57"/>
  <c r="Q101" i="57"/>
  <c r="Q102" i="57"/>
  <c r="Q103" i="57"/>
  <c r="Q104" i="57"/>
  <c r="Q105" i="57"/>
  <c r="Q106" i="57"/>
  <c r="Q107" i="57"/>
  <c r="Q108" i="57"/>
  <c r="Q109" i="57"/>
  <c r="Q110" i="57"/>
  <c r="Q111" i="57"/>
  <c r="Q112" i="57"/>
  <c r="Q113" i="57"/>
  <c r="Q114" i="57"/>
  <c r="Q115" i="57"/>
  <c r="Q116" i="57"/>
  <c r="Q117" i="57"/>
  <c r="Q118" i="57"/>
  <c r="Q119" i="57"/>
  <c r="Q120" i="57"/>
  <c r="Q121" i="57"/>
  <c r="Q122" i="57"/>
  <c r="Q123" i="57"/>
  <c r="Q124" i="57"/>
  <c r="Q125" i="57"/>
  <c r="Q126" i="57"/>
  <c r="Q127" i="57"/>
  <c r="Q128" i="57"/>
  <c r="Q129" i="57"/>
  <c r="Q130" i="57"/>
  <c r="Q131" i="57"/>
  <c r="Q132" i="57"/>
  <c r="Q133" i="57"/>
  <c r="Q134" i="57"/>
  <c r="Q135" i="57"/>
  <c r="Q136" i="57"/>
  <c r="Q137" i="57"/>
  <c r="Q138" i="57"/>
  <c r="Q139" i="57"/>
  <c r="Q140" i="57"/>
  <c r="Q141" i="57"/>
  <c r="Q142" i="57"/>
  <c r="Q143" i="57"/>
  <c r="Q144" i="57"/>
  <c r="Q145" i="57"/>
  <c r="Q146" i="57"/>
  <c r="Q147" i="57"/>
  <c r="Q148" i="57"/>
  <c r="Q149" i="57"/>
  <c r="Q150" i="57"/>
  <c r="Q151" i="57"/>
  <c r="Q152" i="57"/>
  <c r="Q153" i="57"/>
  <c r="Q154" i="57"/>
  <c r="Q155" i="57"/>
  <c r="Q156" i="57"/>
  <c r="Q157" i="57"/>
  <c r="Q158" i="57"/>
  <c r="Q159" i="57"/>
  <c r="Q160" i="57"/>
  <c r="Q161" i="57"/>
  <c r="Q162" i="57"/>
  <c r="Q163" i="57"/>
  <c r="Q164" i="57"/>
  <c r="Q165" i="57"/>
  <c r="Q166" i="57"/>
  <c r="Q167" i="57"/>
  <c r="Q168" i="57"/>
  <c r="Q169" i="57"/>
  <c r="Q170" i="57"/>
  <c r="Q171" i="57"/>
  <c r="Q172" i="57"/>
  <c r="Q173" i="57"/>
  <c r="Q174" i="57"/>
  <c r="Q175" i="57"/>
  <c r="Q176" i="57"/>
  <c r="Q177" i="57"/>
  <c r="Q178" i="57"/>
  <c r="Q179" i="57"/>
  <c r="Q180" i="57"/>
  <c r="Q181" i="57"/>
  <c r="Q182" i="57"/>
  <c r="Q183" i="57"/>
  <c r="Q184" i="57"/>
  <c r="Q185" i="57"/>
  <c r="Q186" i="57"/>
  <c r="Q187" i="57"/>
  <c r="Q188" i="57"/>
  <c r="Q189" i="57"/>
  <c r="Q190" i="57"/>
  <c r="Q191" i="57"/>
  <c r="Q192" i="57"/>
  <c r="Q193" i="57"/>
  <c r="Q194" i="57"/>
  <c r="Q195" i="57"/>
  <c r="Q196" i="57"/>
  <c r="Q197" i="57"/>
  <c r="Q198" i="57"/>
  <c r="Q199" i="57"/>
  <c r="Q200" i="57"/>
  <c r="Q201" i="57"/>
  <c r="Q202" i="57"/>
  <c r="Q203" i="57"/>
  <c r="Q204" i="57"/>
  <c r="Q205" i="57"/>
  <c r="Q206" i="57"/>
  <c r="Q207" i="57"/>
  <c r="Q208" i="57"/>
  <c r="Q209" i="57"/>
  <c r="Q210" i="57"/>
  <c r="Q211" i="57"/>
  <c r="Q212" i="57"/>
  <c r="Q213" i="57"/>
  <c r="Q214" i="57"/>
  <c r="Q215" i="57"/>
  <c r="Q216" i="57"/>
  <c r="Q217" i="57"/>
  <c r="Q218" i="57"/>
  <c r="Q219" i="57"/>
  <c r="Q220" i="57"/>
  <c r="Q221" i="57"/>
  <c r="Q222" i="57"/>
  <c r="Q223" i="57"/>
  <c r="Q224" i="57"/>
  <c r="Q225" i="57"/>
  <c r="Q226" i="57"/>
  <c r="Q227" i="57"/>
  <c r="Q228" i="57"/>
  <c r="Q229" i="57"/>
  <c r="Q230" i="57"/>
  <c r="Q231" i="57"/>
  <c r="Q232" i="57"/>
  <c r="Q233" i="57"/>
  <c r="Q234" i="57"/>
  <c r="R5" i="57"/>
  <c r="Q5" i="57"/>
  <c r="S5" i="57" s="1"/>
  <c r="R5" i="92"/>
  <c r="R6" i="92"/>
  <c r="R7" i="92"/>
  <c r="R8" i="92"/>
  <c r="R9" i="92"/>
  <c r="R10" i="92"/>
  <c r="R11" i="92"/>
  <c r="R12" i="92"/>
  <c r="R13" i="92"/>
  <c r="R14" i="92"/>
  <c r="R15" i="92"/>
  <c r="R16" i="92"/>
  <c r="R17" i="92"/>
  <c r="R18" i="92"/>
  <c r="R19" i="92"/>
  <c r="R20" i="92"/>
  <c r="R21" i="92"/>
  <c r="R22" i="92"/>
  <c r="R23" i="92"/>
  <c r="R24" i="92"/>
  <c r="R25" i="92"/>
  <c r="R26" i="92"/>
  <c r="R27" i="92"/>
  <c r="R28" i="92"/>
  <c r="R29" i="92"/>
  <c r="R30" i="92"/>
  <c r="R31" i="92"/>
  <c r="R32" i="92"/>
  <c r="R33" i="92"/>
  <c r="R34" i="92"/>
  <c r="R35" i="92"/>
  <c r="R36" i="92"/>
  <c r="R37" i="92"/>
  <c r="R38" i="92"/>
  <c r="R39" i="92"/>
  <c r="R40" i="92"/>
  <c r="R41" i="92"/>
  <c r="R42" i="92"/>
  <c r="R43" i="92"/>
  <c r="R44" i="92"/>
  <c r="R45" i="92"/>
  <c r="R46" i="92"/>
  <c r="R47" i="92"/>
  <c r="R48" i="92"/>
  <c r="R49" i="92"/>
  <c r="R50" i="92"/>
  <c r="R51" i="92"/>
  <c r="R52" i="92"/>
  <c r="R53" i="92"/>
  <c r="R54" i="92"/>
  <c r="R55" i="92"/>
  <c r="R56" i="92"/>
  <c r="R57" i="92"/>
  <c r="R58" i="92"/>
  <c r="R59" i="92"/>
  <c r="R60" i="92"/>
  <c r="R61" i="92"/>
  <c r="R62" i="92"/>
  <c r="R63" i="92"/>
  <c r="R64" i="92"/>
  <c r="R65" i="92"/>
  <c r="R66" i="92"/>
  <c r="R67" i="92"/>
  <c r="R68" i="92"/>
  <c r="R69" i="92"/>
  <c r="R70" i="92"/>
  <c r="R71" i="92"/>
  <c r="R72" i="92"/>
  <c r="R73" i="92"/>
  <c r="R74" i="92"/>
  <c r="R75" i="92"/>
  <c r="R76" i="92"/>
  <c r="R77" i="92"/>
  <c r="R78" i="92"/>
  <c r="R79" i="92"/>
  <c r="R80" i="92"/>
  <c r="R81" i="92"/>
  <c r="R82" i="92"/>
  <c r="R83" i="92"/>
  <c r="R84" i="92"/>
  <c r="R85" i="92"/>
  <c r="R86" i="92"/>
  <c r="R87" i="92"/>
  <c r="R88" i="92"/>
  <c r="R89" i="92"/>
  <c r="R90" i="92"/>
  <c r="R91" i="92"/>
  <c r="R92" i="92"/>
  <c r="R93" i="92"/>
  <c r="R94" i="92"/>
  <c r="R95" i="92"/>
  <c r="R96" i="92"/>
  <c r="R97" i="92"/>
  <c r="R98" i="92"/>
  <c r="R99" i="92"/>
  <c r="R100" i="92"/>
  <c r="R101" i="92"/>
  <c r="R102" i="92"/>
  <c r="R103" i="92"/>
  <c r="R104" i="92"/>
  <c r="R105" i="92"/>
  <c r="R106" i="92"/>
  <c r="R107" i="92"/>
  <c r="R108" i="92"/>
  <c r="R109" i="92"/>
  <c r="R110" i="92"/>
  <c r="R111" i="92"/>
  <c r="R112" i="92"/>
  <c r="R113" i="92"/>
  <c r="R114" i="92"/>
  <c r="R115" i="92"/>
  <c r="R116" i="92"/>
  <c r="R117" i="92"/>
  <c r="R118" i="92"/>
  <c r="R119" i="92"/>
  <c r="R120" i="92"/>
  <c r="R121" i="92"/>
  <c r="R122" i="92"/>
  <c r="R123" i="92"/>
  <c r="R124" i="92"/>
  <c r="R125" i="92"/>
  <c r="R126" i="92"/>
  <c r="R127" i="92"/>
  <c r="R128" i="92"/>
  <c r="R129" i="92"/>
  <c r="R130" i="92"/>
  <c r="R131" i="92"/>
  <c r="R132" i="92"/>
  <c r="R133" i="92"/>
  <c r="R134" i="92"/>
  <c r="R135" i="92"/>
  <c r="R136" i="92"/>
  <c r="R137" i="92"/>
  <c r="R138" i="92"/>
  <c r="R139" i="92"/>
  <c r="R140" i="92"/>
  <c r="R141" i="92"/>
  <c r="R142" i="92"/>
  <c r="R143" i="92"/>
  <c r="R144" i="92"/>
  <c r="R145" i="92"/>
  <c r="R146" i="92"/>
  <c r="R147" i="92"/>
  <c r="R148" i="92"/>
  <c r="R149" i="92"/>
  <c r="R150" i="92"/>
  <c r="R151" i="92"/>
  <c r="R152" i="92"/>
  <c r="R153" i="92"/>
  <c r="R154" i="92"/>
  <c r="R155" i="92"/>
  <c r="R156" i="92"/>
  <c r="R157" i="92"/>
  <c r="R158" i="92"/>
  <c r="R159" i="92"/>
  <c r="R160" i="92"/>
  <c r="R161" i="92"/>
  <c r="R162" i="92"/>
  <c r="R163" i="92"/>
  <c r="R164" i="92"/>
  <c r="R165" i="92"/>
  <c r="R166" i="92"/>
  <c r="R167" i="92"/>
  <c r="R168" i="92"/>
  <c r="R169" i="92"/>
  <c r="R170" i="92"/>
  <c r="R171" i="92"/>
  <c r="R172" i="92"/>
  <c r="R173" i="92"/>
  <c r="R174" i="92"/>
  <c r="R175" i="92"/>
  <c r="R176" i="92"/>
  <c r="R177" i="92"/>
  <c r="R178" i="92"/>
  <c r="R179" i="92"/>
  <c r="R180" i="92"/>
  <c r="R181" i="92"/>
  <c r="R182" i="92"/>
  <c r="R183" i="92"/>
  <c r="R184" i="92"/>
  <c r="R185" i="92"/>
  <c r="R186" i="92"/>
  <c r="R187" i="92"/>
  <c r="R188" i="92"/>
  <c r="R189" i="92"/>
  <c r="R190" i="92"/>
  <c r="R191" i="92"/>
  <c r="R192" i="92"/>
  <c r="R193" i="92"/>
  <c r="R194" i="92"/>
  <c r="R195" i="92"/>
  <c r="R196" i="92"/>
  <c r="R197" i="92"/>
  <c r="R198" i="92"/>
  <c r="R199" i="92"/>
  <c r="R200" i="92"/>
  <c r="R201" i="92"/>
  <c r="R202" i="92"/>
  <c r="R203" i="92"/>
  <c r="R204" i="92"/>
  <c r="R205" i="92"/>
  <c r="R206" i="92"/>
  <c r="R207" i="92"/>
  <c r="R208" i="92"/>
  <c r="R209" i="92"/>
  <c r="R210" i="92"/>
  <c r="R211" i="92"/>
  <c r="R212" i="92"/>
  <c r="R213" i="92"/>
  <c r="R214" i="92"/>
  <c r="R215" i="92"/>
  <c r="R216" i="92"/>
  <c r="R217" i="92"/>
  <c r="R218" i="92"/>
  <c r="R219" i="92"/>
  <c r="R220" i="92"/>
  <c r="R221" i="92"/>
  <c r="R222" i="92"/>
  <c r="R223" i="92"/>
  <c r="R224" i="92"/>
  <c r="R225" i="92"/>
  <c r="R226" i="92"/>
  <c r="R227" i="92"/>
  <c r="R228" i="92"/>
  <c r="R229" i="92"/>
  <c r="R230" i="92"/>
  <c r="R231" i="92"/>
  <c r="R232" i="92"/>
  <c r="R233" i="92"/>
  <c r="R234" i="92"/>
  <c r="R235" i="92"/>
  <c r="R236" i="92"/>
  <c r="R237" i="92"/>
  <c r="R238" i="92"/>
  <c r="R239" i="92"/>
  <c r="R240" i="92"/>
  <c r="R241" i="92"/>
  <c r="R242" i="92"/>
  <c r="R243" i="92"/>
  <c r="R244" i="92"/>
  <c r="R245" i="92"/>
  <c r="R246" i="92"/>
  <c r="R247" i="92"/>
  <c r="R248" i="92"/>
  <c r="R249" i="92"/>
  <c r="R250" i="92"/>
  <c r="R251" i="92"/>
  <c r="R252" i="92"/>
  <c r="R253" i="92"/>
  <c r="R254" i="92"/>
  <c r="R255" i="92"/>
  <c r="R256" i="92"/>
  <c r="R257" i="92"/>
  <c r="R258" i="92"/>
  <c r="R259" i="92"/>
  <c r="R260" i="92"/>
  <c r="R261" i="92"/>
  <c r="R262" i="92"/>
  <c r="R263" i="92"/>
  <c r="R264" i="92"/>
  <c r="R265" i="92"/>
  <c r="R266" i="92"/>
  <c r="R267" i="92"/>
  <c r="R268" i="92"/>
  <c r="R269" i="92"/>
  <c r="R270" i="92"/>
  <c r="R271" i="92"/>
  <c r="R272" i="92"/>
  <c r="R273" i="92"/>
  <c r="Q5" i="92"/>
  <c r="Q6" i="92"/>
  <c r="Q7" i="92"/>
  <c r="Q8" i="92"/>
  <c r="Q9" i="92"/>
  <c r="Q10" i="92"/>
  <c r="Q11" i="92"/>
  <c r="Q12" i="92"/>
  <c r="Q13" i="92"/>
  <c r="Q14" i="92"/>
  <c r="Q15" i="92"/>
  <c r="Q16" i="92"/>
  <c r="Q17" i="92"/>
  <c r="Q18" i="92"/>
  <c r="Q19" i="92"/>
  <c r="Q20" i="92"/>
  <c r="Q21" i="92"/>
  <c r="Q22" i="92"/>
  <c r="Q23" i="92"/>
  <c r="Q24" i="92"/>
  <c r="Q25" i="92"/>
  <c r="Q26" i="92"/>
  <c r="Q27" i="92"/>
  <c r="Q28" i="92"/>
  <c r="Q29" i="92"/>
  <c r="Q30" i="92"/>
  <c r="Q31" i="92"/>
  <c r="Q32" i="92"/>
  <c r="Q33" i="92"/>
  <c r="Q34" i="92"/>
  <c r="Q35" i="92"/>
  <c r="Q36" i="92"/>
  <c r="Q37" i="92"/>
  <c r="Q38" i="92"/>
  <c r="Q39" i="92"/>
  <c r="Q40" i="92"/>
  <c r="Q41" i="92"/>
  <c r="Q42" i="92"/>
  <c r="Q43" i="92"/>
  <c r="Q44" i="92"/>
  <c r="Q45" i="92"/>
  <c r="Q46" i="92"/>
  <c r="Q47" i="92"/>
  <c r="Q48" i="92"/>
  <c r="Q49" i="92"/>
  <c r="Q50" i="92"/>
  <c r="Q51" i="92"/>
  <c r="Q52" i="92"/>
  <c r="Q53" i="92"/>
  <c r="Q54" i="92"/>
  <c r="Q55" i="92"/>
  <c r="Q56" i="92"/>
  <c r="Q57" i="92"/>
  <c r="Q58" i="92"/>
  <c r="Q59" i="92"/>
  <c r="Q60" i="92"/>
  <c r="Q61" i="92"/>
  <c r="Q62" i="92"/>
  <c r="Q63" i="92"/>
  <c r="Q64" i="92"/>
  <c r="Q65" i="92"/>
  <c r="Q66" i="92"/>
  <c r="Q67" i="92"/>
  <c r="Q68" i="92"/>
  <c r="Q69" i="92"/>
  <c r="Q70" i="92"/>
  <c r="Q71" i="92"/>
  <c r="Q72" i="92"/>
  <c r="Q73" i="92"/>
  <c r="Q74" i="92"/>
  <c r="Q75" i="92"/>
  <c r="Q76" i="92"/>
  <c r="Q77" i="92"/>
  <c r="Q78" i="92"/>
  <c r="Q79" i="92"/>
  <c r="Q80" i="92"/>
  <c r="Q81" i="92"/>
  <c r="Q82" i="92"/>
  <c r="Q83" i="92"/>
  <c r="Q84" i="92"/>
  <c r="Q85" i="92"/>
  <c r="Q86" i="92"/>
  <c r="Q87" i="92"/>
  <c r="Q88" i="92"/>
  <c r="Q89" i="92"/>
  <c r="Q90" i="92"/>
  <c r="Q91" i="92"/>
  <c r="Q92" i="92"/>
  <c r="Q93" i="92"/>
  <c r="Q94" i="92"/>
  <c r="Q95" i="92"/>
  <c r="Q96" i="92"/>
  <c r="Q97" i="92"/>
  <c r="Q98" i="92"/>
  <c r="Q99" i="92"/>
  <c r="Q100" i="92"/>
  <c r="Q101" i="92"/>
  <c r="Q102" i="92"/>
  <c r="Q103" i="92"/>
  <c r="Q104" i="92"/>
  <c r="Q105" i="92"/>
  <c r="Q106" i="92"/>
  <c r="Q107" i="92"/>
  <c r="Q108" i="92"/>
  <c r="Q109" i="92"/>
  <c r="Q110" i="92"/>
  <c r="Q111" i="92"/>
  <c r="Q112" i="92"/>
  <c r="Q113" i="92"/>
  <c r="Q114" i="92"/>
  <c r="Q115" i="92"/>
  <c r="Q116" i="92"/>
  <c r="Q117" i="92"/>
  <c r="Q118" i="92"/>
  <c r="Q119" i="92"/>
  <c r="Q120" i="92"/>
  <c r="Q121" i="92"/>
  <c r="Q122" i="92"/>
  <c r="Q123" i="92"/>
  <c r="Q124" i="92"/>
  <c r="Q125" i="92"/>
  <c r="Q126" i="92"/>
  <c r="Q127" i="92"/>
  <c r="Q128" i="92"/>
  <c r="Q129" i="92"/>
  <c r="Q130" i="92"/>
  <c r="Q131" i="92"/>
  <c r="Q132" i="92"/>
  <c r="Q133" i="92"/>
  <c r="Q134" i="92"/>
  <c r="Q135" i="92"/>
  <c r="Q136" i="92"/>
  <c r="Q137" i="92"/>
  <c r="Q138" i="92"/>
  <c r="Q139" i="92"/>
  <c r="Q140" i="92"/>
  <c r="Q141" i="92"/>
  <c r="Q142" i="92"/>
  <c r="Q143" i="92"/>
  <c r="Q144" i="92"/>
  <c r="Q145" i="92"/>
  <c r="Q146" i="92"/>
  <c r="Q147" i="92"/>
  <c r="Q148" i="92"/>
  <c r="Q149" i="92"/>
  <c r="Q150" i="92"/>
  <c r="Q151" i="92"/>
  <c r="Q152" i="92"/>
  <c r="Q153" i="92"/>
  <c r="Q154" i="92"/>
  <c r="Q155" i="92"/>
  <c r="Q156" i="92"/>
  <c r="Q157" i="92"/>
  <c r="Q158" i="92"/>
  <c r="Q159" i="92"/>
  <c r="Q160" i="92"/>
  <c r="Q161" i="92"/>
  <c r="Q162" i="92"/>
  <c r="Q163" i="92"/>
  <c r="Q164" i="92"/>
  <c r="Q165" i="92"/>
  <c r="Q166" i="92"/>
  <c r="Q167" i="92"/>
  <c r="Q168" i="92"/>
  <c r="Q169" i="92"/>
  <c r="Q170" i="92"/>
  <c r="Q171" i="92"/>
  <c r="Q172" i="92"/>
  <c r="Q173" i="92"/>
  <c r="Q174" i="92"/>
  <c r="Q175" i="92"/>
  <c r="Q176" i="92"/>
  <c r="Q177" i="92"/>
  <c r="Q178" i="92"/>
  <c r="Q179" i="92"/>
  <c r="Q180" i="92"/>
  <c r="Q181" i="92"/>
  <c r="Q182" i="92"/>
  <c r="Q183" i="92"/>
  <c r="Q184" i="92"/>
  <c r="Q185" i="92"/>
  <c r="Q186" i="92"/>
  <c r="Q187" i="92"/>
  <c r="Q188" i="92"/>
  <c r="Q189" i="92"/>
  <c r="Q190" i="92"/>
  <c r="Q191" i="92"/>
  <c r="Q192" i="92"/>
  <c r="Q193" i="92"/>
  <c r="Q194" i="92"/>
  <c r="Q195" i="92"/>
  <c r="Q196" i="92"/>
  <c r="Q197" i="92"/>
  <c r="Q198" i="92"/>
  <c r="Q199" i="92"/>
  <c r="Q200" i="92"/>
  <c r="Q201" i="92"/>
  <c r="Q202" i="92"/>
  <c r="Q203" i="92"/>
  <c r="Q204" i="92"/>
  <c r="Q205" i="92"/>
  <c r="Q206" i="92"/>
  <c r="Q207" i="92"/>
  <c r="Q208" i="92"/>
  <c r="Q209" i="92"/>
  <c r="Q210" i="92"/>
  <c r="Q211" i="92"/>
  <c r="Q212" i="92"/>
  <c r="Q213" i="92"/>
  <c r="Q214" i="92"/>
  <c r="Q215" i="92"/>
  <c r="Q216" i="92"/>
  <c r="Q217" i="92"/>
  <c r="Q218" i="92"/>
  <c r="Q219" i="92"/>
  <c r="Q220" i="92"/>
  <c r="Q221" i="92"/>
  <c r="Q222" i="92"/>
  <c r="Q223" i="92"/>
  <c r="Q224" i="92"/>
  <c r="Q225" i="92"/>
  <c r="Q226" i="92"/>
  <c r="Q227" i="92"/>
  <c r="Q228" i="92"/>
  <c r="Q229" i="92"/>
  <c r="Q230" i="92"/>
  <c r="Q231" i="92"/>
  <c r="Q232" i="92"/>
  <c r="Q233" i="92"/>
  <c r="Q234" i="92"/>
  <c r="Q235" i="92"/>
  <c r="Q236" i="92"/>
  <c r="Q237" i="92"/>
  <c r="Q238" i="92"/>
  <c r="Q239" i="92"/>
  <c r="Q240" i="92"/>
  <c r="Q241" i="92"/>
  <c r="Q242" i="92"/>
  <c r="Q243" i="92"/>
  <c r="Q244" i="92"/>
  <c r="Q245" i="92"/>
  <c r="Q246" i="92"/>
  <c r="Q247" i="92"/>
  <c r="Q248" i="92"/>
  <c r="Q249" i="92"/>
  <c r="Q250" i="92"/>
  <c r="Q251" i="92"/>
  <c r="Q252" i="92"/>
  <c r="Q253" i="92"/>
  <c r="Q254" i="92"/>
  <c r="Q255" i="92"/>
  <c r="Q256" i="92"/>
  <c r="Q257" i="92"/>
  <c r="Q258" i="92"/>
  <c r="Q259" i="92"/>
  <c r="Q260" i="92"/>
  <c r="Q261" i="92"/>
  <c r="Q262" i="92"/>
  <c r="Q263" i="92"/>
  <c r="Q264" i="92"/>
  <c r="Q265" i="92"/>
  <c r="Q266" i="92"/>
  <c r="Q267" i="92"/>
  <c r="Q268" i="92"/>
  <c r="Q269" i="92"/>
  <c r="Q270" i="92"/>
  <c r="Q271" i="92"/>
  <c r="Q272" i="92"/>
  <c r="Q273" i="92"/>
  <c r="P5" i="92"/>
  <c r="P6" i="92"/>
  <c r="P7" i="92"/>
  <c r="P8" i="92"/>
  <c r="P9" i="92"/>
  <c r="P10" i="92"/>
  <c r="P11" i="92"/>
  <c r="P12" i="92"/>
  <c r="P13" i="92"/>
  <c r="P14" i="92"/>
  <c r="P15" i="92"/>
  <c r="P16" i="92"/>
  <c r="P17" i="92"/>
  <c r="P18" i="92"/>
  <c r="P19" i="92"/>
  <c r="P20" i="92"/>
  <c r="P21" i="92"/>
  <c r="P22" i="92"/>
  <c r="P23" i="92"/>
  <c r="P24" i="92"/>
  <c r="P25" i="92"/>
  <c r="P26" i="92"/>
  <c r="P27" i="92"/>
  <c r="P28" i="92"/>
  <c r="P29" i="92"/>
  <c r="P30" i="92"/>
  <c r="P31" i="92"/>
  <c r="P32" i="92"/>
  <c r="P33" i="92"/>
  <c r="P34" i="92"/>
  <c r="P35" i="92"/>
  <c r="P36" i="92"/>
  <c r="P37" i="92"/>
  <c r="P38" i="92"/>
  <c r="P39" i="92"/>
  <c r="P40" i="92"/>
  <c r="P41" i="92"/>
  <c r="P42" i="92"/>
  <c r="P43" i="92"/>
  <c r="P44" i="92"/>
  <c r="P45" i="92"/>
  <c r="P46" i="92"/>
  <c r="P47" i="92"/>
  <c r="P48" i="92"/>
  <c r="P49" i="92"/>
  <c r="P50" i="92"/>
  <c r="P51" i="92"/>
  <c r="P52" i="92"/>
  <c r="P53" i="92"/>
  <c r="P54" i="92"/>
  <c r="P55" i="92"/>
  <c r="P56" i="92"/>
  <c r="P57" i="92"/>
  <c r="P58" i="92"/>
  <c r="P59" i="92"/>
  <c r="P60" i="92"/>
  <c r="P61" i="92"/>
  <c r="P62" i="92"/>
  <c r="P63" i="92"/>
  <c r="P64" i="92"/>
  <c r="P65" i="92"/>
  <c r="P66" i="92"/>
  <c r="P67" i="92"/>
  <c r="P68" i="92"/>
  <c r="P69" i="92"/>
  <c r="P70" i="92"/>
  <c r="P71" i="92"/>
  <c r="P72" i="92"/>
  <c r="P73" i="92"/>
  <c r="P74" i="92"/>
  <c r="P75" i="92"/>
  <c r="P76" i="92"/>
  <c r="P77" i="92"/>
  <c r="P78" i="92"/>
  <c r="P79" i="92"/>
  <c r="P80" i="92"/>
  <c r="P81" i="92"/>
  <c r="P82" i="92"/>
  <c r="P83" i="92"/>
  <c r="P84" i="92"/>
  <c r="P85" i="92"/>
  <c r="P86" i="92"/>
  <c r="P87" i="92"/>
  <c r="P88" i="92"/>
  <c r="P89" i="92"/>
  <c r="P90" i="92"/>
  <c r="P91" i="92"/>
  <c r="P92" i="92"/>
  <c r="P93" i="92"/>
  <c r="P94" i="92"/>
  <c r="P95" i="92"/>
  <c r="P96" i="92"/>
  <c r="P97" i="92"/>
  <c r="P98" i="92"/>
  <c r="P99" i="92"/>
  <c r="P100" i="92"/>
  <c r="P101" i="92"/>
  <c r="P102" i="92"/>
  <c r="P103" i="92"/>
  <c r="P104" i="92"/>
  <c r="P105" i="92"/>
  <c r="P106" i="92"/>
  <c r="P107" i="92"/>
  <c r="P108" i="92"/>
  <c r="P109" i="92"/>
  <c r="P110" i="92"/>
  <c r="P111" i="92"/>
  <c r="P112" i="92"/>
  <c r="P113" i="92"/>
  <c r="P114" i="92"/>
  <c r="P115" i="92"/>
  <c r="P116" i="92"/>
  <c r="P117" i="92"/>
  <c r="P118" i="92"/>
  <c r="P119" i="92"/>
  <c r="P120" i="92"/>
  <c r="P121" i="92"/>
  <c r="P122" i="92"/>
  <c r="P123" i="92"/>
  <c r="P124" i="92"/>
  <c r="P125" i="92"/>
  <c r="P126" i="92"/>
  <c r="P127" i="92"/>
  <c r="P128" i="92"/>
  <c r="P129" i="92"/>
  <c r="P130" i="92"/>
  <c r="P131" i="92"/>
  <c r="P132" i="92"/>
  <c r="P133" i="92"/>
  <c r="P134" i="92"/>
  <c r="P135" i="92"/>
  <c r="P136" i="92"/>
  <c r="P137" i="92"/>
  <c r="P138" i="92"/>
  <c r="P139" i="92"/>
  <c r="P140" i="92"/>
  <c r="P141" i="92"/>
  <c r="P142" i="92"/>
  <c r="P143" i="92"/>
  <c r="P144" i="92"/>
  <c r="P145" i="92"/>
  <c r="P146" i="92"/>
  <c r="P147" i="92"/>
  <c r="P148" i="92"/>
  <c r="P149" i="92"/>
  <c r="P150" i="92"/>
  <c r="P151" i="92"/>
  <c r="P152" i="92"/>
  <c r="P153" i="92"/>
  <c r="P154" i="92"/>
  <c r="P155" i="92"/>
  <c r="P156" i="92"/>
  <c r="P157" i="92"/>
  <c r="P158" i="92"/>
  <c r="P159" i="92"/>
  <c r="P160" i="92"/>
  <c r="P161" i="92"/>
  <c r="P162" i="92"/>
  <c r="P163" i="92"/>
  <c r="P164" i="92"/>
  <c r="P165" i="92"/>
  <c r="P166" i="92"/>
  <c r="P167" i="92"/>
  <c r="P168" i="92"/>
  <c r="P169" i="92"/>
  <c r="P170" i="92"/>
  <c r="P171" i="92"/>
  <c r="P172" i="92"/>
  <c r="P173" i="92"/>
  <c r="P174" i="92"/>
  <c r="P175" i="92"/>
  <c r="P176" i="92"/>
  <c r="P177" i="92"/>
  <c r="P178" i="92"/>
  <c r="P179" i="92"/>
  <c r="P180" i="92"/>
  <c r="P181" i="92"/>
  <c r="P182" i="92"/>
  <c r="P183" i="92"/>
  <c r="P184" i="92"/>
  <c r="P185" i="92"/>
  <c r="P186" i="92"/>
  <c r="P187" i="92"/>
  <c r="P188" i="92"/>
  <c r="P189" i="92"/>
  <c r="P190" i="92"/>
  <c r="P191" i="92"/>
  <c r="P192" i="92"/>
  <c r="P193" i="92"/>
  <c r="P194" i="92"/>
  <c r="P195" i="92"/>
  <c r="P196" i="92"/>
  <c r="P197" i="92"/>
  <c r="P198" i="92"/>
  <c r="P199" i="92"/>
  <c r="P200" i="92"/>
  <c r="P201" i="92"/>
  <c r="P202" i="92"/>
  <c r="P203" i="92"/>
  <c r="P204" i="92"/>
  <c r="P205" i="92"/>
  <c r="P206" i="92"/>
  <c r="P207" i="92"/>
  <c r="P208" i="92"/>
  <c r="P209" i="92"/>
  <c r="P210" i="92"/>
  <c r="P211" i="92"/>
  <c r="P212" i="92"/>
  <c r="P213" i="92"/>
  <c r="P214" i="92"/>
  <c r="P215" i="92"/>
  <c r="P216" i="92"/>
  <c r="P217" i="92"/>
  <c r="P218" i="92"/>
  <c r="P219" i="92"/>
  <c r="P220" i="92"/>
  <c r="P221" i="92"/>
  <c r="P222" i="92"/>
  <c r="P223" i="92"/>
  <c r="P224" i="92"/>
  <c r="P225" i="92"/>
  <c r="P226" i="92"/>
  <c r="P227" i="92"/>
  <c r="P228" i="92"/>
  <c r="P229" i="92"/>
  <c r="P230" i="92"/>
  <c r="P231" i="92"/>
  <c r="P232" i="92"/>
  <c r="P233" i="92"/>
  <c r="P234" i="92"/>
  <c r="P235" i="92"/>
  <c r="P236" i="92"/>
  <c r="P237" i="92"/>
  <c r="P238" i="92"/>
  <c r="P239" i="92"/>
  <c r="P240" i="92"/>
  <c r="P241" i="92"/>
  <c r="P242" i="92"/>
  <c r="P243" i="92"/>
  <c r="P244" i="92"/>
  <c r="P245" i="92"/>
  <c r="P246" i="92"/>
  <c r="P247" i="92"/>
  <c r="P248" i="92"/>
  <c r="P249" i="92"/>
  <c r="P250" i="92"/>
  <c r="P251" i="92"/>
  <c r="P252" i="92"/>
  <c r="P253" i="92"/>
  <c r="P254" i="92"/>
  <c r="P255" i="92"/>
  <c r="P256" i="92"/>
  <c r="P257" i="92"/>
  <c r="P258" i="92"/>
  <c r="P259" i="92"/>
  <c r="P260" i="92"/>
  <c r="P261" i="92"/>
  <c r="P262" i="92"/>
  <c r="P263" i="92"/>
  <c r="P264" i="92"/>
  <c r="P265" i="92"/>
  <c r="P266" i="92"/>
  <c r="P267" i="92"/>
  <c r="P268" i="92"/>
  <c r="P269" i="92"/>
  <c r="P270" i="92"/>
  <c r="P271" i="92"/>
  <c r="P272" i="92"/>
  <c r="P273" i="92"/>
  <c r="Q4" i="92"/>
  <c r="R4" i="92" s="1"/>
  <c r="P4" i="92"/>
  <c r="O5" i="91"/>
  <c r="O6" i="91"/>
  <c r="O7" i="91"/>
  <c r="O8" i="91"/>
  <c r="O9" i="91"/>
  <c r="O10" i="91"/>
  <c r="O11" i="91"/>
  <c r="O12" i="91"/>
  <c r="O13" i="91"/>
  <c r="O14" i="91"/>
  <c r="O15" i="91"/>
  <c r="O16" i="91"/>
  <c r="O17" i="91"/>
  <c r="O18" i="91"/>
  <c r="O19" i="91"/>
  <c r="O20" i="91"/>
  <c r="O21" i="91"/>
  <c r="O22" i="91"/>
  <c r="O23" i="91"/>
  <c r="O24" i="91"/>
  <c r="O25" i="91"/>
  <c r="O26" i="91"/>
  <c r="O27" i="91"/>
  <c r="O28" i="91"/>
  <c r="O29" i="91"/>
  <c r="O30" i="91"/>
  <c r="O31" i="91"/>
  <c r="O32" i="91"/>
  <c r="O33" i="91"/>
  <c r="O34" i="91"/>
  <c r="O35" i="91"/>
  <c r="O36" i="91"/>
  <c r="O37" i="91"/>
  <c r="O38" i="91"/>
  <c r="O39" i="91"/>
  <c r="O40" i="91"/>
  <c r="O41" i="91"/>
  <c r="O42" i="91"/>
  <c r="O43" i="91"/>
  <c r="O44" i="91"/>
  <c r="O45" i="91"/>
  <c r="O46" i="91"/>
  <c r="O47" i="91"/>
  <c r="O48" i="91"/>
  <c r="O49" i="91"/>
  <c r="O50" i="91"/>
  <c r="O51" i="91"/>
  <c r="O52" i="91"/>
  <c r="O53" i="91"/>
  <c r="O54" i="91"/>
  <c r="O55" i="91"/>
  <c r="O56" i="91"/>
  <c r="O57" i="91"/>
  <c r="O58" i="91"/>
  <c r="O59" i="91"/>
  <c r="O60" i="91"/>
  <c r="O61" i="91"/>
  <c r="O62" i="91"/>
  <c r="O63" i="91"/>
  <c r="O64" i="91"/>
  <c r="O65" i="91"/>
  <c r="O66" i="91"/>
  <c r="O67" i="91"/>
  <c r="O68" i="91"/>
  <c r="O69" i="91"/>
  <c r="O70" i="91"/>
  <c r="O71" i="91"/>
  <c r="O72" i="91"/>
  <c r="O73" i="91"/>
  <c r="O74" i="91"/>
  <c r="O75" i="91"/>
  <c r="O76" i="91"/>
  <c r="O77" i="91"/>
  <c r="O78" i="91"/>
  <c r="O79" i="91"/>
  <c r="O80" i="91"/>
  <c r="O81" i="91"/>
  <c r="O82" i="91"/>
  <c r="O83" i="91"/>
  <c r="O84" i="91"/>
  <c r="O85" i="91"/>
  <c r="O86" i="91"/>
  <c r="O87" i="91"/>
  <c r="O88" i="91"/>
  <c r="O89" i="91"/>
  <c r="O90" i="91"/>
  <c r="O91" i="91"/>
  <c r="O92" i="91"/>
  <c r="O93" i="91"/>
  <c r="O94" i="91"/>
  <c r="O95" i="91"/>
  <c r="O96" i="91"/>
  <c r="O97" i="91"/>
  <c r="O98" i="91"/>
  <c r="O99" i="91"/>
  <c r="O100" i="91"/>
  <c r="O101" i="91"/>
  <c r="O102" i="91"/>
  <c r="O103" i="91"/>
  <c r="O104" i="91"/>
  <c r="O105" i="91"/>
  <c r="O106" i="91"/>
  <c r="O107" i="91"/>
  <c r="O108" i="91"/>
  <c r="O109" i="91"/>
  <c r="O110" i="91"/>
  <c r="O111" i="91"/>
  <c r="O112" i="91"/>
  <c r="O113" i="91"/>
  <c r="O114" i="91"/>
  <c r="O115" i="91"/>
  <c r="O116" i="91"/>
  <c r="O117" i="91"/>
  <c r="O118" i="91"/>
  <c r="O119" i="91"/>
  <c r="O120" i="91"/>
  <c r="O121" i="91"/>
  <c r="O122" i="91"/>
  <c r="O123" i="91"/>
  <c r="O124" i="91"/>
  <c r="O125" i="91"/>
  <c r="O126" i="91"/>
  <c r="O127" i="91"/>
  <c r="O128" i="91"/>
  <c r="O129" i="91"/>
  <c r="O130" i="91"/>
  <c r="O131" i="91"/>
  <c r="O132" i="91"/>
  <c r="O133" i="91"/>
  <c r="O134" i="91"/>
  <c r="O135" i="91"/>
  <c r="O136" i="91"/>
  <c r="O137" i="91"/>
  <c r="O138" i="91"/>
  <c r="O139" i="91"/>
  <c r="O140" i="91"/>
  <c r="O141" i="91"/>
  <c r="O142" i="91"/>
  <c r="O143" i="91"/>
  <c r="O144" i="91"/>
  <c r="O145" i="91"/>
  <c r="O146" i="91"/>
  <c r="O147" i="91"/>
  <c r="O148" i="91"/>
  <c r="O149" i="91"/>
  <c r="O150" i="91"/>
  <c r="O151" i="91"/>
  <c r="O152" i="91"/>
  <c r="O153" i="91"/>
  <c r="O154" i="91"/>
  <c r="O155" i="91"/>
  <c r="O156" i="91"/>
  <c r="O157" i="91"/>
  <c r="O158" i="91"/>
  <c r="O159" i="91"/>
  <c r="O160" i="91"/>
  <c r="O161" i="91"/>
  <c r="O162" i="91"/>
  <c r="O163" i="91"/>
  <c r="O164" i="91"/>
  <c r="O165" i="91"/>
  <c r="O166" i="91"/>
  <c r="O167" i="91"/>
  <c r="O168" i="91"/>
  <c r="O169" i="91"/>
  <c r="O170" i="91"/>
  <c r="O171" i="91"/>
  <c r="O172" i="91"/>
  <c r="O173" i="91"/>
  <c r="O174" i="91"/>
  <c r="O175" i="91"/>
  <c r="O176" i="91"/>
  <c r="O177" i="91"/>
  <c r="O178" i="91"/>
  <c r="O179" i="91"/>
  <c r="O180" i="91"/>
  <c r="O181" i="91"/>
  <c r="O182" i="91"/>
  <c r="O183" i="91"/>
  <c r="O184" i="91"/>
  <c r="O185" i="91"/>
  <c r="O186" i="91"/>
  <c r="O187" i="91"/>
  <c r="O188" i="91"/>
  <c r="O189" i="91"/>
  <c r="O190" i="91"/>
  <c r="O191" i="91"/>
  <c r="O192" i="91"/>
  <c r="O193" i="91"/>
  <c r="O194" i="91"/>
  <c r="O195" i="91"/>
  <c r="O196" i="91"/>
  <c r="O197" i="91"/>
  <c r="O198" i="91"/>
  <c r="O199" i="91"/>
  <c r="O200" i="91"/>
  <c r="O201" i="91"/>
  <c r="O202" i="91"/>
  <c r="O203" i="91"/>
  <c r="O204" i="91"/>
  <c r="O205" i="91"/>
  <c r="O206" i="91"/>
  <c r="O207" i="91"/>
  <c r="O208" i="91"/>
  <c r="O209" i="91"/>
  <c r="O210" i="91"/>
  <c r="O211" i="91"/>
  <c r="O212" i="91"/>
  <c r="O213" i="91"/>
  <c r="O214" i="91"/>
  <c r="O215" i="91"/>
  <c r="O216" i="91"/>
  <c r="O217" i="91"/>
  <c r="O218" i="91"/>
  <c r="O219" i="91"/>
  <c r="O220" i="91"/>
  <c r="O221" i="91"/>
  <c r="O222" i="91"/>
  <c r="O223" i="91"/>
  <c r="O224" i="91"/>
  <c r="O225" i="91"/>
  <c r="O226" i="91"/>
  <c r="O227" i="91"/>
  <c r="O228" i="91"/>
  <c r="O229" i="91"/>
  <c r="O230" i="91"/>
  <c r="O231" i="91"/>
  <c r="O232" i="91"/>
  <c r="O233" i="91"/>
  <c r="O234" i="91"/>
  <c r="O235" i="91"/>
  <c r="O236" i="91"/>
  <c r="O237" i="91"/>
  <c r="O238" i="91"/>
  <c r="O239" i="91"/>
  <c r="O240" i="91"/>
  <c r="O241" i="91"/>
  <c r="O242" i="91"/>
  <c r="O243" i="91"/>
  <c r="O244" i="91"/>
  <c r="O245" i="91"/>
  <c r="O4" i="91"/>
  <c r="N6" i="91"/>
  <c r="K6" i="91"/>
  <c r="N7" i="91"/>
  <c r="N8" i="91"/>
  <c r="N9" i="91"/>
  <c r="N10" i="91"/>
  <c r="N11" i="91"/>
  <c r="N12" i="91"/>
  <c r="N13" i="91"/>
  <c r="N14" i="91"/>
  <c r="N15" i="91"/>
  <c r="N16" i="91"/>
  <c r="N17" i="91"/>
  <c r="N18" i="91"/>
  <c r="N19" i="91"/>
  <c r="N20" i="91"/>
  <c r="N21" i="91"/>
  <c r="N22" i="91"/>
  <c r="N23" i="91"/>
  <c r="N24" i="91"/>
  <c r="N25" i="91"/>
  <c r="N26" i="91"/>
  <c r="N27" i="91"/>
  <c r="N28" i="91"/>
  <c r="N29" i="91"/>
  <c r="N30" i="91"/>
  <c r="N31" i="91"/>
  <c r="N32" i="91"/>
  <c r="N33" i="91"/>
  <c r="N34" i="91"/>
  <c r="N35" i="91"/>
  <c r="N36" i="91"/>
  <c r="N37" i="91"/>
  <c r="N38" i="91"/>
  <c r="N39" i="91"/>
  <c r="N40" i="91"/>
  <c r="N41" i="91"/>
  <c r="N42" i="91"/>
  <c r="N43" i="91"/>
  <c r="N44" i="91"/>
  <c r="N45" i="91"/>
  <c r="N46" i="91"/>
  <c r="N47" i="91"/>
  <c r="N48" i="91"/>
  <c r="N49" i="91"/>
  <c r="N50" i="91"/>
  <c r="N51" i="91"/>
  <c r="N52" i="91"/>
  <c r="N53" i="91"/>
  <c r="N54" i="91"/>
  <c r="N55" i="91"/>
  <c r="N56" i="91"/>
  <c r="N57" i="91"/>
  <c r="N58" i="91"/>
  <c r="N59" i="91"/>
  <c r="N60" i="91"/>
  <c r="N61" i="91"/>
  <c r="N62" i="91"/>
  <c r="N63" i="91"/>
  <c r="N64" i="91"/>
  <c r="N65" i="91"/>
  <c r="N66" i="91"/>
  <c r="N67" i="91"/>
  <c r="N68" i="91"/>
  <c r="N69" i="91"/>
  <c r="N70" i="91"/>
  <c r="N71" i="91"/>
  <c r="N72" i="91"/>
  <c r="N73" i="91"/>
  <c r="N74" i="91"/>
  <c r="N75" i="91"/>
  <c r="N76" i="91"/>
  <c r="N77" i="91"/>
  <c r="N78" i="91"/>
  <c r="N79" i="91"/>
  <c r="N80" i="91"/>
  <c r="N81" i="91"/>
  <c r="N82" i="91"/>
  <c r="N83" i="91"/>
  <c r="N84" i="91"/>
  <c r="N85" i="91"/>
  <c r="N86" i="91"/>
  <c r="N87" i="91"/>
  <c r="N88" i="91"/>
  <c r="N89" i="91"/>
  <c r="N90" i="91"/>
  <c r="N91" i="91"/>
  <c r="N92" i="91"/>
  <c r="N93" i="91"/>
  <c r="N94" i="91"/>
  <c r="N95" i="91"/>
  <c r="N96" i="91"/>
  <c r="N97" i="91"/>
  <c r="N98" i="91"/>
  <c r="N99" i="91"/>
  <c r="N100" i="91"/>
  <c r="N101" i="91"/>
  <c r="N102" i="91"/>
  <c r="N103" i="91"/>
  <c r="N104" i="91"/>
  <c r="N105" i="91"/>
  <c r="N106" i="91"/>
  <c r="N107" i="91"/>
  <c r="N108" i="91"/>
  <c r="N109" i="91"/>
  <c r="N110" i="91"/>
  <c r="N111" i="91"/>
  <c r="N112" i="91"/>
  <c r="N113" i="91"/>
  <c r="N114" i="91"/>
  <c r="N115" i="91"/>
  <c r="N116" i="91"/>
  <c r="N117" i="91"/>
  <c r="N118" i="91"/>
  <c r="N119" i="91"/>
  <c r="N120" i="91"/>
  <c r="N121" i="91"/>
  <c r="N122" i="91"/>
  <c r="N123" i="91"/>
  <c r="N124" i="91"/>
  <c r="N125" i="91"/>
  <c r="N126" i="91"/>
  <c r="N127" i="91"/>
  <c r="N128" i="91"/>
  <c r="N129" i="91"/>
  <c r="N130" i="91"/>
  <c r="N131" i="91"/>
  <c r="N132" i="91"/>
  <c r="N133" i="91"/>
  <c r="N134" i="91"/>
  <c r="N135" i="91"/>
  <c r="N136" i="91"/>
  <c r="N137" i="91"/>
  <c r="N138" i="91"/>
  <c r="N139" i="91"/>
  <c r="N140" i="91"/>
  <c r="N141" i="91"/>
  <c r="N142" i="91"/>
  <c r="N143" i="91"/>
  <c r="N144" i="91"/>
  <c r="N145" i="91"/>
  <c r="N146" i="91"/>
  <c r="N147" i="91"/>
  <c r="N148" i="91"/>
  <c r="N149" i="91"/>
  <c r="N150" i="91"/>
  <c r="N151" i="91"/>
  <c r="N152" i="91"/>
  <c r="N153" i="91"/>
  <c r="N154" i="91"/>
  <c r="N155" i="91"/>
  <c r="N156" i="91"/>
  <c r="N157" i="91"/>
  <c r="N158" i="91"/>
  <c r="N159" i="91"/>
  <c r="N160" i="91"/>
  <c r="N161" i="91"/>
  <c r="N162" i="91"/>
  <c r="N163" i="91"/>
  <c r="N164" i="91"/>
  <c r="N165" i="91"/>
  <c r="N166" i="91"/>
  <c r="N167" i="91"/>
  <c r="N168" i="91"/>
  <c r="N169" i="91"/>
  <c r="N170" i="91"/>
  <c r="N171" i="91"/>
  <c r="N172" i="91"/>
  <c r="N173" i="91"/>
  <c r="N174" i="91"/>
  <c r="N175" i="91"/>
  <c r="N176" i="91"/>
  <c r="N177" i="91"/>
  <c r="N178" i="91"/>
  <c r="N179" i="91"/>
  <c r="N180" i="91"/>
  <c r="N181" i="91"/>
  <c r="N182" i="91"/>
  <c r="N183" i="91"/>
  <c r="N184" i="91"/>
  <c r="N185" i="91"/>
  <c r="N186" i="91"/>
  <c r="N187" i="91"/>
  <c r="N188" i="91"/>
  <c r="N189" i="91"/>
  <c r="N190" i="91"/>
  <c r="N191" i="91"/>
  <c r="N192" i="91"/>
  <c r="N193" i="91"/>
  <c r="N194" i="91"/>
  <c r="N195" i="91"/>
  <c r="N196" i="91"/>
  <c r="N197" i="91"/>
  <c r="N198" i="91"/>
  <c r="N199" i="91"/>
  <c r="N200" i="91"/>
  <c r="N201" i="91"/>
  <c r="N202" i="91"/>
  <c r="N203" i="91"/>
  <c r="N204" i="91"/>
  <c r="N205" i="91"/>
  <c r="N206" i="91"/>
  <c r="N207" i="91"/>
  <c r="N208" i="91"/>
  <c r="N209" i="91"/>
  <c r="N210" i="91"/>
  <c r="N211" i="91"/>
  <c r="N212" i="91"/>
  <c r="N213" i="91"/>
  <c r="N214" i="91"/>
  <c r="N215" i="91"/>
  <c r="N216" i="91"/>
  <c r="N217" i="91"/>
  <c r="N218" i="91"/>
  <c r="N219" i="91"/>
  <c r="N220" i="91"/>
  <c r="N221" i="91"/>
  <c r="N222" i="91"/>
  <c r="N223" i="91"/>
  <c r="N224" i="91"/>
  <c r="N225" i="91"/>
  <c r="N226" i="91"/>
  <c r="N227" i="91"/>
  <c r="N228" i="91"/>
  <c r="N229" i="91"/>
  <c r="N230" i="91"/>
  <c r="N231" i="91"/>
  <c r="N232" i="91"/>
  <c r="N233" i="91"/>
  <c r="N234" i="91"/>
  <c r="N235" i="91"/>
  <c r="N236" i="91"/>
  <c r="N237" i="91"/>
  <c r="N238" i="91"/>
  <c r="N239" i="91"/>
  <c r="N240" i="91"/>
  <c r="N241" i="91"/>
  <c r="N242" i="91"/>
  <c r="N243" i="91"/>
  <c r="N244" i="91"/>
  <c r="N245" i="91"/>
  <c r="M6" i="91"/>
  <c r="M7" i="91"/>
  <c r="M8" i="91"/>
  <c r="M9" i="91"/>
  <c r="M10" i="91"/>
  <c r="M11" i="91"/>
  <c r="M12" i="91"/>
  <c r="M13" i="91"/>
  <c r="M14" i="91"/>
  <c r="M15" i="91"/>
  <c r="M16" i="91"/>
  <c r="M17" i="91"/>
  <c r="M18" i="91"/>
  <c r="M19" i="91"/>
  <c r="M20" i="91"/>
  <c r="M21" i="91"/>
  <c r="M22" i="91"/>
  <c r="M23" i="91"/>
  <c r="M24" i="91"/>
  <c r="M25" i="91"/>
  <c r="M26" i="91"/>
  <c r="M27" i="91"/>
  <c r="M28" i="91"/>
  <c r="M29" i="91"/>
  <c r="M30" i="91"/>
  <c r="M31" i="91"/>
  <c r="M32" i="91"/>
  <c r="M33" i="91"/>
  <c r="M34" i="91"/>
  <c r="M35" i="91"/>
  <c r="M36" i="91"/>
  <c r="M37" i="91"/>
  <c r="M38" i="91"/>
  <c r="M39" i="91"/>
  <c r="M40" i="91"/>
  <c r="M41" i="91"/>
  <c r="M42" i="91"/>
  <c r="M43" i="91"/>
  <c r="M44" i="91"/>
  <c r="M45" i="91"/>
  <c r="M46" i="91"/>
  <c r="M47" i="91"/>
  <c r="M48" i="91"/>
  <c r="M49" i="91"/>
  <c r="M50" i="91"/>
  <c r="M51" i="91"/>
  <c r="M52" i="91"/>
  <c r="M53" i="91"/>
  <c r="M54" i="91"/>
  <c r="M55" i="91"/>
  <c r="M56" i="91"/>
  <c r="M57" i="91"/>
  <c r="M58" i="91"/>
  <c r="M59" i="91"/>
  <c r="M60" i="91"/>
  <c r="M61" i="91"/>
  <c r="M62" i="91"/>
  <c r="M63" i="91"/>
  <c r="M64" i="91"/>
  <c r="M65" i="91"/>
  <c r="M66" i="91"/>
  <c r="M67" i="91"/>
  <c r="M68" i="91"/>
  <c r="M69" i="91"/>
  <c r="M70" i="91"/>
  <c r="M71" i="91"/>
  <c r="M72" i="91"/>
  <c r="M73" i="91"/>
  <c r="M74" i="91"/>
  <c r="M75" i="91"/>
  <c r="M76" i="91"/>
  <c r="M77" i="91"/>
  <c r="M78" i="91"/>
  <c r="M79" i="91"/>
  <c r="M80" i="91"/>
  <c r="M81" i="91"/>
  <c r="M82" i="91"/>
  <c r="M83" i="91"/>
  <c r="M84" i="91"/>
  <c r="M85" i="91"/>
  <c r="M86" i="91"/>
  <c r="M87" i="91"/>
  <c r="M88" i="91"/>
  <c r="M89" i="91"/>
  <c r="M90" i="91"/>
  <c r="M91" i="91"/>
  <c r="M92" i="91"/>
  <c r="M93" i="91"/>
  <c r="M94" i="91"/>
  <c r="M95" i="91"/>
  <c r="M96" i="91"/>
  <c r="M97" i="91"/>
  <c r="M98" i="91"/>
  <c r="M99" i="91"/>
  <c r="M100" i="91"/>
  <c r="M101" i="91"/>
  <c r="M102" i="91"/>
  <c r="M103" i="91"/>
  <c r="M104" i="91"/>
  <c r="M105" i="91"/>
  <c r="M106" i="91"/>
  <c r="M107" i="91"/>
  <c r="M108" i="91"/>
  <c r="M109" i="91"/>
  <c r="M110" i="91"/>
  <c r="M111" i="91"/>
  <c r="M112" i="91"/>
  <c r="M113" i="91"/>
  <c r="M114" i="91"/>
  <c r="M115" i="91"/>
  <c r="M116" i="91"/>
  <c r="M117" i="91"/>
  <c r="M118" i="91"/>
  <c r="M119" i="91"/>
  <c r="M120" i="91"/>
  <c r="M121" i="91"/>
  <c r="M122" i="91"/>
  <c r="M123" i="91"/>
  <c r="M124" i="91"/>
  <c r="M125" i="91"/>
  <c r="M126" i="91"/>
  <c r="M127" i="91"/>
  <c r="M128" i="91"/>
  <c r="M129" i="91"/>
  <c r="M130" i="91"/>
  <c r="M131" i="91"/>
  <c r="M132" i="91"/>
  <c r="M133" i="91"/>
  <c r="M134" i="91"/>
  <c r="M135" i="91"/>
  <c r="M136" i="91"/>
  <c r="M137" i="91"/>
  <c r="M138" i="91"/>
  <c r="M139" i="91"/>
  <c r="M140" i="91"/>
  <c r="M141" i="91"/>
  <c r="M142" i="91"/>
  <c r="M143" i="91"/>
  <c r="M144" i="91"/>
  <c r="M145" i="91"/>
  <c r="M146" i="91"/>
  <c r="M147" i="91"/>
  <c r="M148" i="91"/>
  <c r="M149" i="91"/>
  <c r="M150" i="91"/>
  <c r="M151" i="91"/>
  <c r="M152" i="91"/>
  <c r="M153" i="91"/>
  <c r="M154" i="91"/>
  <c r="M155" i="91"/>
  <c r="M156" i="91"/>
  <c r="M157" i="91"/>
  <c r="M158" i="91"/>
  <c r="M159" i="91"/>
  <c r="M160" i="91"/>
  <c r="M161" i="91"/>
  <c r="M162" i="91"/>
  <c r="M163" i="91"/>
  <c r="M164" i="91"/>
  <c r="M165" i="91"/>
  <c r="M166" i="91"/>
  <c r="M167" i="91"/>
  <c r="M168" i="91"/>
  <c r="M169" i="91"/>
  <c r="M170" i="91"/>
  <c r="M171" i="91"/>
  <c r="M172" i="91"/>
  <c r="M173" i="91"/>
  <c r="M174" i="91"/>
  <c r="M175" i="91"/>
  <c r="M176" i="91"/>
  <c r="M177" i="91"/>
  <c r="M178" i="91"/>
  <c r="M179" i="91"/>
  <c r="M180" i="91"/>
  <c r="M181" i="91"/>
  <c r="M182" i="91"/>
  <c r="M183" i="91"/>
  <c r="M184" i="91"/>
  <c r="M185" i="91"/>
  <c r="M186" i="91"/>
  <c r="M187" i="91"/>
  <c r="M188" i="91"/>
  <c r="M189" i="91"/>
  <c r="M190" i="91"/>
  <c r="M191" i="91"/>
  <c r="M192" i="91"/>
  <c r="M193" i="91"/>
  <c r="M194" i="91"/>
  <c r="M195" i="91"/>
  <c r="M196" i="91"/>
  <c r="M197" i="91"/>
  <c r="M198" i="91"/>
  <c r="M199" i="91"/>
  <c r="M200" i="91"/>
  <c r="M201" i="91"/>
  <c r="M202" i="91"/>
  <c r="M203" i="91"/>
  <c r="M204" i="91"/>
  <c r="M205" i="91"/>
  <c r="M206" i="91"/>
  <c r="M207" i="91"/>
  <c r="M208" i="91"/>
  <c r="M209" i="91"/>
  <c r="M210" i="91"/>
  <c r="M211" i="91"/>
  <c r="M212" i="91"/>
  <c r="M213" i="91"/>
  <c r="M214" i="91"/>
  <c r="M215" i="91"/>
  <c r="M216" i="91"/>
  <c r="M217" i="91"/>
  <c r="M218" i="91"/>
  <c r="M219" i="91"/>
  <c r="M220" i="91"/>
  <c r="M221" i="91"/>
  <c r="M222" i="91"/>
  <c r="M223" i="91"/>
  <c r="M224" i="91"/>
  <c r="M225" i="91"/>
  <c r="M226" i="91"/>
  <c r="M227" i="91"/>
  <c r="M228" i="91"/>
  <c r="M229" i="91"/>
  <c r="M230" i="91"/>
  <c r="M231" i="91"/>
  <c r="M232" i="91"/>
  <c r="M233" i="91"/>
  <c r="M234" i="91"/>
  <c r="M235" i="91"/>
  <c r="M236" i="91"/>
  <c r="M237" i="91"/>
  <c r="M238" i="91"/>
  <c r="M239" i="91"/>
  <c r="M240" i="91"/>
  <c r="M241" i="91"/>
  <c r="M242" i="91"/>
  <c r="M243" i="91"/>
  <c r="M244" i="91"/>
  <c r="M245" i="91"/>
  <c r="N5" i="91"/>
  <c r="N4" i="91"/>
  <c r="K4" i="91"/>
  <c r="K246" i="91"/>
  <c r="K11" i="91"/>
  <c r="K12" i="91"/>
  <c r="K13" i="91"/>
  <c r="K14" i="91"/>
  <c r="K15" i="91"/>
  <c r="K16" i="91"/>
  <c r="K17" i="91"/>
  <c r="K18" i="91"/>
  <c r="K19" i="91"/>
  <c r="K20" i="91"/>
  <c r="K21" i="91"/>
  <c r="K22" i="91"/>
  <c r="K23" i="91"/>
  <c r="K24" i="91"/>
  <c r="K25" i="91"/>
  <c r="K26" i="91"/>
  <c r="K27" i="91"/>
  <c r="K28" i="91"/>
  <c r="K29" i="91"/>
  <c r="K30" i="91"/>
  <c r="K31" i="91"/>
  <c r="K32" i="91"/>
  <c r="K33" i="91"/>
  <c r="K34" i="91"/>
  <c r="K35" i="91"/>
  <c r="K36" i="91"/>
  <c r="K37" i="91"/>
  <c r="K38" i="91"/>
  <c r="K39" i="91"/>
  <c r="K40" i="91"/>
  <c r="K41" i="91"/>
  <c r="K42" i="91"/>
  <c r="K43" i="91"/>
  <c r="K44" i="91"/>
  <c r="K45" i="91"/>
  <c r="K46" i="91"/>
  <c r="K47" i="91"/>
  <c r="K48" i="91"/>
  <c r="K49" i="91"/>
  <c r="K50" i="91"/>
  <c r="K51" i="91"/>
  <c r="K52" i="91"/>
  <c r="K53" i="91"/>
  <c r="K54" i="91"/>
  <c r="K55" i="91"/>
  <c r="K56" i="91"/>
  <c r="K57" i="91"/>
  <c r="K58" i="91"/>
  <c r="K59" i="91"/>
  <c r="K60" i="91"/>
  <c r="K61" i="91"/>
  <c r="K62" i="91"/>
  <c r="K63" i="91"/>
  <c r="K64" i="91"/>
  <c r="K65" i="91"/>
  <c r="K66" i="91"/>
  <c r="K67" i="91"/>
  <c r="K68" i="91"/>
  <c r="K69" i="91"/>
  <c r="K70" i="91"/>
  <c r="K71" i="91"/>
  <c r="K72" i="91"/>
  <c r="K73" i="91"/>
  <c r="K74" i="91"/>
  <c r="K75" i="91"/>
  <c r="K76" i="91"/>
  <c r="K77" i="91"/>
  <c r="K78" i="91"/>
  <c r="K79" i="91"/>
  <c r="K80" i="91"/>
  <c r="K81" i="91"/>
  <c r="K82" i="91"/>
  <c r="K83" i="91"/>
  <c r="K84" i="91"/>
  <c r="K85" i="91"/>
  <c r="K86" i="91"/>
  <c r="K87" i="91"/>
  <c r="K88" i="91"/>
  <c r="K89" i="91"/>
  <c r="K90" i="91"/>
  <c r="K91" i="91"/>
  <c r="K92" i="91"/>
  <c r="K93" i="91"/>
  <c r="K94" i="91"/>
  <c r="K95" i="91"/>
  <c r="K96" i="91"/>
  <c r="K97" i="91"/>
  <c r="K98" i="91"/>
  <c r="K99" i="91"/>
  <c r="K100" i="91"/>
  <c r="K101" i="91"/>
  <c r="K102" i="91"/>
  <c r="K103" i="91"/>
  <c r="K104" i="91"/>
  <c r="K105" i="91"/>
  <c r="K106" i="91"/>
  <c r="K107" i="91"/>
  <c r="K108" i="91"/>
  <c r="K109" i="91"/>
  <c r="K110" i="91"/>
  <c r="K111" i="91"/>
  <c r="K112" i="91"/>
  <c r="K113" i="91"/>
  <c r="K114" i="91"/>
  <c r="K115" i="91"/>
  <c r="K116" i="91"/>
  <c r="K117" i="91"/>
  <c r="K118" i="91"/>
  <c r="K119" i="91"/>
  <c r="K120" i="91"/>
  <c r="K121" i="91"/>
  <c r="K122" i="91"/>
  <c r="K123" i="91"/>
  <c r="K124" i="91"/>
  <c r="K125" i="91"/>
  <c r="K126" i="91"/>
  <c r="K127" i="91"/>
  <c r="K128" i="91"/>
  <c r="K129" i="91"/>
  <c r="K130" i="91"/>
  <c r="K131" i="91"/>
  <c r="K132" i="91"/>
  <c r="K133" i="91"/>
  <c r="K134" i="91"/>
  <c r="K135" i="91"/>
  <c r="K136" i="91"/>
  <c r="K137" i="91"/>
  <c r="K138" i="91"/>
  <c r="K139" i="91"/>
  <c r="K140" i="91"/>
  <c r="K141" i="91"/>
  <c r="K142" i="91"/>
  <c r="K143" i="91"/>
  <c r="K144" i="91"/>
  <c r="K145" i="91"/>
  <c r="K146" i="91"/>
  <c r="K147" i="91"/>
  <c r="K148" i="91"/>
  <c r="K149" i="91"/>
  <c r="K150" i="91"/>
  <c r="K151" i="91"/>
  <c r="K152" i="91"/>
  <c r="K153" i="91"/>
  <c r="K154" i="91"/>
  <c r="K155" i="91"/>
  <c r="K156" i="91"/>
  <c r="K157" i="91"/>
  <c r="K158" i="91"/>
  <c r="K159" i="91"/>
  <c r="K160" i="91"/>
  <c r="K161" i="91"/>
  <c r="K162" i="91"/>
  <c r="K163" i="91"/>
  <c r="K164" i="91"/>
  <c r="K165" i="91"/>
  <c r="K166" i="91"/>
  <c r="K167" i="91"/>
  <c r="K168" i="91"/>
  <c r="K169" i="91"/>
  <c r="K170" i="91"/>
  <c r="K171" i="91"/>
  <c r="K172" i="91"/>
  <c r="K173" i="91"/>
  <c r="K174" i="91"/>
  <c r="K175" i="91"/>
  <c r="K176" i="91"/>
  <c r="K177" i="91"/>
  <c r="K178" i="91"/>
  <c r="K179" i="91"/>
  <c r="K180" i="91"/>
  <c r="K181" i="91"/>
  <c r="K182" i="91"/>
  <c r="K183" i="91"/>
  <c r="K184" i="91"/>
  <c r="K185" i="91"/>
  <c r="K186" i="91"/>
  <c r="K187" i="91"/>
  <c r="K188" i="91"/>
  <c r="K189" i="91"/>
  <c r="K190" i="91"/>
  <c r="K191" i="91"/>
  <c r="K192" i="91"/>
  <c r="K193" i="91"/>
  <c r="K194" i="91"/>
  <c r="K195" i="91"/>
  <c r="K196" i="91"/>
  <c r="K197" i="91"/>
  <c r="K198" i="91"/>
  <c r="K199" i="91"/>
  <c r="K200" i="91"/>
  <c r="K201" i="91"/>
  <c r="K202" i="91"/>
  <c r="K203" i="91"/>
  <c r="K204" i="91"/>
  <c r="K205" i="91"/>
  <c r="K206" i="91"/>
  <c r="K207" i="91"/>
  <c r="K208" i="91"/>
  <c r="K209" i="91"/>
  <c r="K210" i="91"/>
  <c r="K211" i="91"/>
  <c r="K212" i="91"/>
  <c r="K213" i="91"/>
  <c r="K214" i="91"/>
  <c r="K215" i="91"/>
  <c r="K216" i="91"/>
  <c r="K217" i="91"/>
  <c r="K218" i="91"/>
  <c r="K219" i="91"/>
  <c r="K220" i="91"/>
  <c r="K221" i="91"/>
  <c r="K222" i="91"/>
  <c r="K223" i="91"/>
  <c r="K224" i="91"/>
  <c r="K225" i="91"/>
  <c r="K226" i="91"/>
  <c r="K227" i="91"/>
  <c r="K228" i="91"/>
  <c r="K229" i="91"/>
  <c r="K230" i="91"/>
  <c r="K231" i="91"/>
  <c r="K232" i="91"/>
  <c r="K233" i="91"/>
  <c r="K234" i="91"/>
  <c r="K235" i="91"/>
  <c r="K236" i="91"/>
  <c r="K237" i="91"/>
  <c r="K238" i="91"/>
  <c r="K239" i="91"/>
  <c r="K240" i="91"/>
  <c r="K241" i="91"/>
  <c r="K242" i="91"/>
  <c r="K243" i="91"/>
  <c r="K244" i="91"/>
  <c r="K245" i="91"/>
  <c r="K10" i="91"/>
  <c r="K9" i="91"/>
  <c r="K8" i="91"/>
  <c r="K7" i="91"/>
  <c r="M5" i="91"/>
  <c r="M4" i="91"/>
  <c r="J4" i="91"/>
  <c r="R5" i="80"/>
  <c r="S5" i="80" s="1"/>
  <c r="Q5" i="80"/>
  <c r="R5" i="45"/>
  <c r="S5" i="45" s="1"/>
  <c r="Q5" i="45"/>
  <c r="R6" i="42"/>
  <c r="S6" i="42" s="1"/>
  <c r="Q6" i="42"/>
  <c r="Q5" i="41"/>
  <c r="R5" i="41"/>
  <c r="S5" i="41" s="1"/>
  <c r="P7" i="86"/>
  <c r="P8" i="86"/>
  <c r="P9" i="86"/>
  <c r="P10" i="86"/>
  <c r="P11" i="86"/>
  <c r="P12" i="86"/>
  <c r="P13" i="86"/>
  <c r="P14" i="86"/>
  <c r="P15" i="86"/>
  <c r="P16" i="86"/>
  <c r="P17" i="86"/>
  <c r="P18" i="86"/>
  <c r="P19" i="86"/>
  <c r="P20" i="86"/>
  <c r="P21" i="86"/>
  <c r="P22" i="86"/>
  <c r="P23" i="86"/>
  <c r="P24" i="86"/>
  <c r="P25" i="86"/>
  <c r="P26" i="86"/>
  <c r="P27" i="86"/>
  <c r="P28" i="86"/>
  <c r="P29" i="86"/>
  <c r="P30" i="86"/>
  <c r="P31" i="86"/>
  <c r="P32" i="86"/>
  <c r="P33" i="86"/>
  <c r="P34" i="86"/>
  <c r="P35" i="86"/>
  <c r="P36" i="86"/>
  <c r="P37" i="86"/>
  <c r="P38" i="86"/>
  <c r="P39" i="86"/>
  <c r="P40" i="86"/>
  <c r="P41" i="86"/>
  <c r="P42" i="86"/>
  <c r="P43" i="86"/>
  <c r="P44" i="86"/>
  <c r="P45" i="86"/>
  <c r="P46" i="86"/>
  <c r="P47" i="86"/>
  <c r="P48" i="86"/>
  <c r="P49" i="86"/>
  <c r="P50" i="86"/>
  <c r="P51" i="86"/>
  <c r="P52" i="86"/>
  <c r="P53" i="86"/>
  <c r="P54" i="86"/>
  <c r="P55" i="86"/>
  <c r="P56" i="86"/>
  <c r="P57" i="86"/>
  <c r="P58" i="86"/>
  <c r="P59" i="86"/>
  <c r="P60" i="86"/>
  <c r="P61" i="86"/>
  <c r="P62" i="86"/>
  <c r="P63" i="86"/>
  <c r="P64" i="86"/>
  <c r="P65" i="86"/>
  <c r="P66" i="86"/>
  <c r="P67" i="86"/>
  <c r="P68" i="86"/>
  <c r="P69" i="86"/>
  <c r="P70" i="86"/>
  <c r="P71" i="86"/>
  <c r="P72" i="86"/>
  <c r="P73" i="86"/>
  <c r="P74" i="86"/>
  <c r="P75" i="86"/>
  <c r="P76" i="86"/>
  <c r="P77" i="86"/>
  <c r="P78" i="86"/>
  <c r="P79" i="86"/>
  <c r="P80" i="86"/>
  <c r="P81" i="86"/>
  <c r="P82" i="86"/>
  <c r="P83" i="86"/>
  <c r="P84" i="86"/>
  <c r="P85" i="86"/>
  <c r="P86" i="86"/>
  <c r="P87" i="86"/>
  <c r="P88" i="86"/>
  <c r="P89" i="86"/>
  <c r="P90" i="86"/>
  <c r="P91" i="86"/>
  <c r="P92" i="86"/>
  <c r="P93" i="86"/>
  <c r="P94" i="86"/>
  <c r="P95" i="86"/>
  <c r="P96" i="86"/>
  <c r="P97" i="86"/>
  <c r="P98" i="86"/>
  <c r="P99" i="86"/>
  <c r="P100" i="86"/>
  <c r="P101" i="86"/>
  <c r="P102" i="86"/>
  <c r="P103" i="86"/>
  <c r="P104" i="86"/>
  <c r="P105" i="86"/>
  <c r="P106" i="86"/>
  <c r="P107" i="86"/>
  <c r="P108" i="86"/>
  <c r="P109" i="86"/>
  <c r="P110" i="86"/>
  <c r="P111" i="86"/>
  <c r="P112" i="86"/>
  <c r="P113" i="86"/>
  <c r="P114" i="86"/>
  <c r="P115" i="86"/>
  <c r="P116" i="86"/>
  <c r="P117" i="86"/>
  <c r="P118" i="86"/>
  <c r="P119" i="86"/>
  <c r="P120" i="86"/>
  <c r="P121" i="86"/>
  <c r="P122" i="86"/>
  <c r="P123" i="86"/>
  <c r="P124" i="86"/>
  <c r="P125" i="86"/>
  <c r="P126" i="86"/>
  <c r="P127" i="86"/>
  <c r="P128" i="86"/>
  <c r="P129" i="86"/>
  <c r="P130" i="86"/>
  <c r="P131" i="86"/>
  <c r="P132" i="86"/>
  <c r="P133" i="86"/>
  <c r="P134" i="86"/>
  <c r="P135" i="86"/>
  <c r="P136" i="86"/>
  <c r="P137" i="86"/>
  <c r="P138" i="86"/>
  <c r="P139" i="86"/>
  <c r="P140" i="86"/>
  <c r="P141" i="86"/>
  <c r="P142" i="86"/>
  <c r="P143" i="86"/>
  <c r="P144" i="86"/>
  <c r="P145" i="86"/>
  <c r="P146" i="86"/>
  <c r="P147" i="86"/>
  <c r="P148" i="86"/>
  <c r="P149" i="86"/>
  <c r="P150" i="86"/>
  <c r="P151" i="86"/>
  <c r="P152" i="86"/>
  <c r="P153" i="86"/>
  <c r="P154" i="86"/>
  <c r="P155" i="86"/>
  <c r="P156" i="86"/>
  <c r="P157" i="86"/>
  <c r="P158" i="86"/>
  <c r="P159" i="86"/>
  <c r="P160" i="86"/>
  <c r="P161" i="86"/>
  <c r="P162" i="86"/>
  <c r="P163" i="86"/>
  <c r="P164" i="86"/>
  <c r="P165" i="86"/>
  <c r="P166" i="86"/>
  <c r="P167" i="86"/>
  <c r="P168" i="86"/>
  <c r="P169" i="86"/>
  <c r="P170" i="86"/>
  <c r="P171" i="86"/>
  <c r="P172" i="86"/>
  <c r="P173" i="86"/>
  <c r="P174" i="86"/>
  <c r="P175" i="86"/>
  <c r="P176" i="86"/>
  <c r="P177" i="86"/>
  <c r="P178" i="86"/>
  <c r="P179" i="86"/>
  <c r="P180" i="86"/>
  <c r="P181" i="86"/>
  <c r="P182" i="86"/>
  <c r="P183" i="86"/>
  <c r="P184" i="86"/>
  <c r="P185" i="86"/>
  <c r="P186" i="86"/>
  <c r="P187" i="86"/>
  <c r="P188" i="86"/>
  <c r="P189" i="86"/>
  <c r="P190" i="86"/>
  <c r="P191" i="86"/>
  <c r="P192" i="86"/>
  <c r="P193" i="86"/>
  <c r="P194" i="86"/>
  <c r="P195" i="86"/>
  <c r="P196" i="86"/>
  <c r="P197" i="86"/>
  <c r="P198" i="86"/>
  <c r="P199" i="86"/>
  <c r="P200" i="86"/>
  <c r="P201" i="86"/>
  <c r="P202" i="86"/>
  <c r="P203" i="86"/>
  <c r="P204" i="86"/>
  <c r="P205" i="86"/>
  <c r="P206" i="86"/>
  <c r="P207" i="86"/>
  <c r="P208" i="86"/>
  <c r="P209" i="86"/>
  <c r="P210" i="86"/>
  <c r="P211" i="86"/>
  <c r="P212" i="86"/>
  <c r="P213" i="86"/>
  <c r="P214" i="86"/>
  <c r="P215" i="86"/>
  <c r="P216" i="86"/>
  <c r="P217" i="86"/>
  <c r="P218" i="86"/>
  <c r="P219" i="86"/>
  <c r="P220" i="86"/>
  <c r="P221" i="86"/>
  <c r="P222" i="86"/>
  <c r="P223" i="86"/>
  <c r="P224" i="86"/>
  <c r="P225" i="86"/>
  <c r="P226" i="86"/>
  <c r="P227" i="86"/>
  <c r="P228" i="86"/>
  <c r="P229" i="86"/>
  <c r="P230" i="86"/>
  <c r="P231" i="86"/>
  <c r="P232" i="86"/>
  <c r="P233" i="86"/>
  <c r="P234" i="86"/>
  <c r="P6" i="86"/>
  <c r="O7" i="86"/>
  <c r="O8" i="86"/>
  <c r="O9" i="86"/>
  <c r="O10" i="86"/>
  <c r="O11" i="86"/>
  <c r="O12" i="86"/>
  <c r="O13" i="86"/>
  <c r="O14" i="86"/>
  <c r="O15" i="86"/>
  <c r="O16" i="86"/>
  <c r="O17" i="86"/>
  <c r="O18" i="86"/>
  <c r="O19" i="86"/>
  <c r="O20" i="86"/>
  <c r="O21" i="86"/>
  <c r="O22" i="86"/>
  <c r="O23" i="86"/>
  <c r="O24" i="86"/>
  <c r="O25" i="86"/>
  <c r="O26" i="86"/>
  <c r="O27" i="86"/>
  <c r="O28" i="86"/>
  <c r="O29" i="86"/>
  <c r="O30" i="86"/>
  <c r="O31" i="86"/>
  <c r="O32" i="86"/>
  <c r="O33" i="86"/>
  <c r="O34" i="86"/>
  <c r="O35" i="86"/>
  <c r="O36" i="86"/>
  <c r="O37" i="86"/>
  <c r="O38" i="86"/>
  <c r="O39" i="86"/>
  <c r="O40" i="86"/>
  <c r="O41" i="86"/>
  <c r="O42" i="86"/>
  <c r="O43" i="86"/>
  <c r="O44" i="86"/>
  <c r="O45" i="86"/>
  <c r="O46" i="86"/>
  <c r="O47" i="86"/>
  <c r="O48" i="86"/>
  <c r="O49" i="86"/>
  <c r="O50" i="86"/>
  <c r="O51" i="86"/>
  <c r="O52" i="86"/>
  <c r="O53" i="86"/>
  <c r="O54" i="86"/>
  <c r="O55" i="86"/>
  <c r="O56" i="86"/>
  <c r="O57" i="86"/>
  <c r="O58" i="86"/>
  <c r="O59" i="86"/>
  <c r="O60" i="86"/>
  <c r="O61" i="86"/>
  <c r="O62" i="86"/>
  <c r="O63" i="86"/>
  <c r="O64" i="86"/>
  <c r="O65" i="86"/>
  <c r="O66" i="86"/>
  <c r="O67" i="86"/>
  <c r="O68" i="86"/>
  <c r="O69" i="86"/>
  <c r="O70" i="86"/>
  <c r="O71" i="86"/>
  <c r="O72" i="86"/>
  <c r="O73" i="86"/>
  <c r="O74" i="86"/>
  <c r="O75" i="86"/>
  <c r="O76" i="86"/>
  <c r="O77" i="86"/>
  <c r="O78" i="86"/>
  <c r="O79" i="86"/>
  <c r="O80" i="86"/>
  <c r="O81" i="86"/>
  <c r="O82" i="86"/>
  <c r="O83" i="86"/>
  <c r="O84" i="86"/>
  <c r="O85" i="86"/>
  <c r="O86" i="86"/>
  <c r="O87" i="86"/>
  <c r="O88" i="86"/>
  <c r="O89" i="86"/>
  <c r="O90" i="86"/>
  <c r="O91" i="86"/>
  <c r="O92" i="86"/>
  <c r="O93" i="86"/>
  <c r="O94" i="86"/>
  <c r="O95" i="86"/>
  <c r="O96" i="86"/>
  <c r="O97" i="86"/>
  <c r="O98" i="86"/>
  <c r="O99" i="86"/>
  <c r="O100" i="86"/>
  <c r="O101" i="86"/>
  <c r="O102" i="86"/>
  <c r="O103" i="86"/>
  <c r="O104" i="86"/>
  <c r="O105" i="86"/>
  <c r="O106" i="86"/>
  <c r="O107" i="86"/>
  <c r="O108" i="86"/>
  <c r="O109" i="86"/>
  <c r="O110" i="86"/>
  <c r="O111" i="86"/>
  <c r="O112" i="86"/>
  <c r="O113" i="86"/>
  <c r="O114" i="86"/>
  <c r="O115" i="86"/>
  <c r="O116" i="86"/>
  <c r="O117" i="86"/>
  <c r="O118" i="86"/>
  <c r="O119" i="86"/>
  <c r="O120" i="86"/>
  <c r="O121" i="86"/>
  <c r="O122" i="86"/>
  <c r="O123" i="86"/>
  <c r="O124" i="86"/>
  <c r="O125" i="86"/>
  <c r="O126" i="86"/>
  <c r="O127" i="86"/>
  <c r="O128" i="86"/>
  <c r="O129" i="86"/>
  <c r="O130" i="86"/>
  <c r="O131" i="86"/>
  <c r="O132" i="86"/>
  <c r="O133" i="86"/>
  <c r="O134" i="86"/>
  <c r="O135" i="86"/>
  <c r="O136" i="86"/>
  <c r="O137" i="86"/>
  <c r="O138" i="86"/>
  <c r="O139" i="86"/>
  <c r="O140" i="86"/>
  <c r="O141" i="86"/>
  <c r="O142" i="86"/>
  <c r="O143" i="86"/>
  <c r="O144" i="86"/>
  <c r="O145" i="86"/>
  <c r="O146" i="86"/>
  <c r="O147" i="86"/>
  <c r="O148" i="86"/>
  <c r="O149" i="86"/>
  <c r="O150" i="86"/>
  <c r="O151" i="86"/>
  <c r="O152" i="86"/>
  <c r="O153" i="86"/>
  <c r="O154" i="86"/>
  <c r="O155" i="86"/>
  <c r="O156" i="86"/>
  <c r="O157" i="86"/>
  <c r="O158" i="86"/>
  <c r="O159" i="86"/>
  <c r="O160" i="86"/>
  <c r="O161" i="86"/>
  <c r="O162" i="86"/>
  <c r="O163" i="86"/>
  <c r="O164" i="86"/>
  <c r="O165" i="86"/>
  <c r="O166" i="86"/>
  <c r="O167" i="86"/>
  <c r="O168" i="86"/>
  <c r="O169" i="86"/>
  <c r="O170" i="86"/>
  <c r="O171" i="86"/>
  <c r="O172" i="86"/>
  <c r="O173" i="86"/>
  <c r="O174" i="86"/>
  <c r="O175" i="86"/>
  <c r="O176" i="86"/>
  <c r="O177" i="86"/>
  <c r="O178" i="86"/>
  <c r="O179" i="86"/>
  <c r="O180" i="86"/>
  <c r="O181" i="86"/>
  <c r="O182" i="86"/>
  <c r="O183" i="86"/>
  <c r="O184" i="86"/>
  <c r="O185" i="86"/>
  <c r="O186" i="86"/>
  <c r="O187" i="86"/>
  <c r="O188" i="86"/>
  <c r="O189" i="86"/>
  <c r="O190" i="86"/>
  <c r="O191" i="86"/>
  <c r="O192" i="86"/>
  <c r="O193" i="86"/>
  <c r="O194" i="86"/>
  <c r="O195" i="86"/>
  <c r="O196" i="86"/>
  <c r="O197" i="86"/>
  <c r="O198" i="86"/>
  <c r="O199" i="86"/>
  <c r="O200" i="86"/>
  <c r="O201" i="86"/>
  <c r="O202" i="86"/>
  <c r="O203" i="86"/>
  <c r="O204" i="86"/>
  <c r="O205" i="86"/>
  <c r="O206" i="86"/>
  <c r="O207" i="86"/>
  <c r="O208" i="86"/>
  <c r="O209" i="86"/>
  <c r="O210" i="86"/>
  <c r="O211" i="86"/>
  <c r="O212" i="86"/>
  <c r="O213" i="86"/>
  <c r="O214" i="86"/>
  <c r="O215" i="86"/>
  <c r="O216" i="86"/>
  <c r="O217" i="86"/>
  <c r="O218" i="86"/>
  <c r="O219" i="86"/>
  <c r="O220" i="86"/>
  <c r="O221" i="86"/>
  <c r="O222" i="86"/>
  <c r="O223" i="86"/>
  <c r="O224" i="86"/>
  <c r="O225" i="86"/>
  <c r="O226" i="86"/>
  <c r="O227" i="86"/>
  <c r="O228" i="86"/>
  <c r="O229" i="86"/>
  <c r="O230" i="86"/>
  <c r="O231" i="86"/>
  <c r="O232" i="86"/>
  <c r="O233" i="86"/>
  <c r="O234" i="86"/>
  <c r="O6" i="86"/>
  <c r="N7" i="86"/>
  <c r="N8" i="86"/>
  <c r="N9" i="86"/>
  <c r="N10" i="86"/>
  <c r="N11" i="86"/>
  <c r="N12" i="86"/>
  <c r="N13" i="86"/>
  <c r="N14" i="86"/>
  <c r="N15" i="86"/>
  <c r="N16" i="86"/>
  <c r="N17" i="86"/>
  <c r="N18" i="86"/>
  <c r="N19" i="86"/>
  <c r="N20" i="86"/>
  <c r="N21" i="86"/>
  <c r="N22" i="86"/>
  <c r="N23" i="86"/>
  <c r="N24" i="86"/>
  <c r="N25" i="86"/>
  <c r="N26" i="86"/>
  <c r="N27" i="86"/>
  <c r="N28" i="86"/>
  <c r="N29" i="86"/>
  <c r="N30" i="86"/>
  <c r="N31" i="86"/>
  <c r="N32" i="86"/>
  <c r="N33" i="86"/>
  <c r="N34" i="86"/>
  <c r="N35" i="86"/>
  <c r="N36" i="86"/>
  <c r="N37" i="86"/>
  <c r="N38" i="86"/>
  <c r="N39" i="86"/>
  <c r="N40" i="86"/>
  <c r="N41" i="86"/>
  <c r="N42" i="86"/>
  <c r="N43" i="86"/>
  <c r="N44" i="86"/>
  <c r="N45" i="86"/>
  <c r="N46" i="86"/>
  <c r="N47" i="86"/>
  <c r="N48" i="86"/>
  <c r="N49" i="86"/>
  <c r="N50" i="86"/>
  <c r="N51" i="86"/>
  <c r="N52" i="86"/>
  <c r="N53" i="86"/>
  <c r="N54" i="86"/>
  <c r="N55" i="86"/>
  <c r="N56" i="86"/>
  <c r="N57" i="86"/>
  <c r="N58" i="86"/>
  <c r="N59" i="86"/>
  <c r="N60" i="86"/>
  <c r="N61" i="86"/>
  <c r="N62" i="86"/>
  <c r="N63" i="86"/>
  <c r="N64" i="86"/>
  <c r="N65" i="86"/>
  <c r="N66" i="86"/>
  <c r="N67" i="86"/>
  <c r="N68" i="86"/>
  <c r="N69" i="86"/>
  <c r="N70" i="86"/>
  <c r="N71" i="86"/>
  <c r="N72" i="86"/>
  <c r="N73" i="86"/>
  <c r="N74" i="86"/>
  <c r="N75" i="86"/>
  <c r="N76" i="86"/>
  <c r="N77" i="86"/>
  <c r="N78" i="86"/>
  <c r="N79" i="86"/>
  <c r="N80" i="86"/>
  <c r="N81" i="86"/>
  <c r="N82" i="86"/>
  <c r="N83" i="86"/>
  <c r="N84" i="86"/>
  <c r="N85" i="86"/>
  <c r="N86" i="86"/>
  <c r="N87" i="86"/>
  <c r="N88" i="86"/>
  <c r="N89" i="86"/>
  <c r="N90" i="86"/>
  <c r="N91" i="86"/>
  <c r="N92" i="86"/>
  <c r="N93" i="86"/>
  <c r="N94" i="86"/>
  <c r="N95" i="86"/>
  <c r="N96" i="86"/>
  <c r="N97" i="86"/>
  <c r="N98" i="86"/>
  <c r="N99" i="86"/>
  <c r="N100" i="86"/>
  <c r="N101" i="86"/>
  <c r="N102" i="86"/>
  <c r="N103" i="86"/>
  <c r="N104" i="86"/>
  <c r="N105" i="86"/>
  <c r="N106" i="86"/>
  <c r="N107" i="86"/>
  <c r="N108" i="86"/>
  <c r="N109" i="86"/>
  <c r="N110" i="86"/>
  <c r="N111" i="86"/>
  <c r="N112" i="86"/>
  <c r="N113" i="86"/>
  <c r="N114" i="86"/>
  <c r="N115" i="86"/>
  <c r="N116" i="86"/>
  <c r="N117" i="86"/>
  <c r="N118" i="86"/>
  <c r="N119" i="86"/>
  <c r="N120" i="86"/>
  <c r="N121" i="86"/>
  <c r="N122" i="86"/>
  <c r="N123" i="86"/>
  <c r="N124" i="86"/>
  <c r="N125" i="86"/>
  <c r="N126" i="86"/>
  <c r="N127" i="86"/>
  <c r="N128" i="86"/>
  <c r="N129" i="86"/>
  <c r="N130" i="86"/>
  <c r="N131" i="86"/>
  <c r="N132" i="86"/>
  <c r="N133" i="86"/>
  <c r="N134" i="86"/>
  <c r="N135" i="86"/>
  <c r="N136" i="86"/>
  <c r="N137" i="86"/>
  <c r="N138" i="86"/>
  <c r="N139" i="86"/>
  <c r="N140" i="86"/>
  <c r="N141" i="86"/>
  <c r="N142" i="86"/>
  <c r="N143" i="86"/>
  <c r="N144" i="86"/>
  <c r="N145" i="86"/>
  <c r="N146" i="86"/>
  <c r="N147" i="86"/>
  <c r="N148" i="86"/>
  <c r="N149" i="86"/>
  <c r="N150" i="86"/>
  <c r="N151" i="86"/>
  <c r="N152" i="86"/>
  <c r="N153" i="86"/>
  <c r="N154" i="86"/>
  <c r="N155" i="86"/>
  <c r="N156" i="86"/>
  <c r="N157" i="86"/>
  <c r="N158" i="86"/>
  <c r="N159" i="86"/>
  <c r="N160" i="86"/>
  <c r="N161" i="86"/>
  <c r="N162" i="86"/>
  <c r="N163" i="86"/>
  <c r="N164" i="86"/>
  <c r="N165" i="86"/>
  <c r="N166" i="86"/>
  <c r="N167" i="86"/>
  <c r="N168" i="86"/>
  <c r="N169" i="86"/>
  <c r="N170" i="86"/>
  <c r="N171" i="86"/>
  <c r="N172" i="86"/>
  <c r="N173" i="86"/>
  <c r="N174" i="86"/>
  <c r="N175" i="86"/>
  <c r="N176" i="86"/>
  <c r="N177" i="86"/>
  <c r="N178" i="86"/>
  <c r="N179" i="86"/>
  <c r="N180" i="86"/>
  <c r="N181" i="86"/>
  <c r="N182" i="86"/>
  <c r="N183" i="86"/>
  <c r="N184" i="86"/>
  <c r="N185" i="86"/>
  <c r="N186" i="86"/>
  <c r="N187" i="86"/>
  <c r="N188" i="86"/>
  <c r="N189" i="86"/>
  <c r="N190" i="86"/>
  <c r="N191" i="86"/>
  <c r="N192" i="86"/>
  <c r="N193" i="86"/>
  <c r="N194" i="86"/>
  <c r="N195" i="86"/>
  <c r="N196" i="86"/>
  <c r="N197" i="86"/>
  <c r="N198" i="86"/>
  <c r="N199" i="86"/>
  <c r="N200" i="86"/>
  <c r="N201" i="86"/>
  <c r="N202" i="86"/>
  <c r="N203" i="86"/>
  <c r="N204" i="86"/>
  <c r="N205" i="86"/>
  <c r="N206" i="86"/>
  <c r="N207" i="86"/>
  <c r="N208" i="86"/>
  <c r="N209" i="86"/>
  <c r="N210" i="86"/>
  <c r="N211" i="86"/>
  <c r="N212" i="86"/>
  <c r="N213" i="86"/>
  <c r="N214" i="86"/>
  <c r="N215" i="86"/>
  <c r="N216" i="86"/>
  <c r="N217" i="86"/>
  <c r="N218" i="86"/>
  <c r="N219" i="86"/>
  <c r="N220" i="86"/>
  <c r="N221" i="86"/>
  <c r="N222" i="86"/>
  <c r="N223" i="86"/>
  <c r="N224" i="86"/>
  <c r="N225" i="86"/>
  <c r="N226" i="86"/>
  <c r="N227" i="86"/>
  <c r="N228" i="86"/>
  <c r="N229" i="86"/>
  <c r="N230" i="86"/>
  <c r="N231" i="86"/>
  <c r="N232" i="86"/>
  <c r="N233" i="86"/>
  <c r="N234" i="86"/>
  <c r="N6" i="86"/>
  <c r="J4" i="97"/>
  <c r="K4" i="97"/>
  <c r="M6" i="86" l="1"/>
  <c r="L6" i="86"/>
  <c r="K6" i="86"/>
  <c r="K7" i="86"/>
  <c r="N216" i="95"/>
  <c r="N215" i="95"/>
  <c r="N214" i="95"/>
  <c r="N213" i="95"/>
  <c r="N212" i="95"/>
  <c r="N211" i="95"/>
  <c r="N210" i="95"/>
  <c r="N209" i="95"/>
  <c r="N208" i="95"/>
  <c r="N207" i="95"/>
  <c r="N206" i="95"/>
  <c r="N205" i="95"/>
  <c r="N204" i="95"/>
  <c r="N203" i="95"/>
  <c r="N202" i="95"/>
  <c r="N201" i="95"/>
  <c r="N200" i="95"/>
  <c r="N199" i="95"/>
  <c r="N198" i="95"/>
  <c r="N197" i="95"/>
  <c r="N196" i="95"/>
  <c r="N195" i="95"/>
  <c r="N194" i="95"/>
  <c r="N193" i="95"/>
  <c r="N192" i="95"/>
  <c r="N191" i="95"/>
  <c r="N190" i="95"/>
  <c r="N189" i="95"/>
  <c r="N188" i="95"/>
  <c r="N187" i="95"/>
  <c r="N186" i="95"/>
  <c r="N185" i="95"/>
  <c r="N184" i="95"/>
  <c r="N183" i="95"/>
  <c r="N182" i="95"/>
  <c r="N181" i="95"/>
  <c r="N180" i="95"/>
  <c r="N179" i="95"/>
  <c r="N178" i="95"/>
  <c r="N177" i="95"/>
  <c r="N176" i="95"/>
  <c r="N175" i="95"/>
  <c r="N174" i="95"/>
  <c r="N173" i="95"/>
  <c r="N172" i="95"/>
  <c r="N171" i="95"/>
  <c r="N170" i="95"/>
  <c r="N169" i="95"/>
  <c r="N168" i="95"/>
  <c r="N167" i="95"/>
  <c r="N166" i="95"/>
  <c r="N165" i="95"/>
  <c r="N164" i="95"/>
  <c r="N163" i="95"/>
  <c r="N162" i="95"/>
  <c r="N161" i="95"/>
  <c r="N160" i="95"/>
  <c r="N159" i="95"/>
  <c r="N158" i="95"/>
  <c r="N157" i="95"/>
  <c r="N156" i="95"/>
  <c r="N155" i="95"/>
  <c r="N154" i="95"/>
  <c r="N153" i="95"/>
  <c r="N152" i="95"/>
  <c r="N151" i="95"/>
  <c r="N150" i="95"/>
  <c r="N149" i="95"/>
  <c r="N148" i="95"/>
  <c r="N147" i="95"/>
  <c r="N146" i="95"/>
  <c r="N145" i="95"/>
  <c r="N144" i="95"/>
  <c r="N143" i="95"/>
  <c r="N142" i="95"/>
  <c r="N141" i="95"/>
  <c r="N140" i="95"/>
  <c r="N139" i="95"/>
  <c r="N138" i="95"/>
  <c r="N137" i="95"/>
  <c r="N136" i="95"/>
  <c r="N135" i="95"/>
  <c r="N134" i="95"/>
  <c r="N133" i="95"/>
  <c r="N132" i="95"/>
  <c r="N131" i="95"/>
  <c r="N130" i="95"/>
  <c r="N129" i="95"/>
  <c r="N128" i="95"/>
  <c r="N127" i="95"/>
  <c r="N126" i="95"/>
  <c r="N125" i="95"/>
  <c r="N124" i="95"/>
  <c r="N123" i="95"/>
  <c r="N122" i="95"/>
  <c r="N121" i="95"/>
  <c r="N120" i="95"/>
  <c r="N119" i="95"/>
  <c r="N118" i="95"/>
  <c r="N117" i="95"/>
  <c r="N116" i="95"/>
  <c r="N115" i="95"/>
  <c r="N114" i="95"/>
  <c r="N113" i="95"/>
  <c r="N112" i="95"/>
  <c r="N111" i="95"/>
  <c r="N110" i="95"/>
  <c r="N109" i="95"/>
  <c r="N108" i="95"/>
  <c r="N107" i="95"/>
  <c r="N106" i="95"/>
  <c r="N105" i="95"/>
  <c r="N104" i="95"/>
  <c r="N103" i="95"/>
  <c r="N102" i="95"/>
  <c r="N101" i="95"/>
  <c r="N100" i="95"/>
  <c r="N99" i="95"/>
  <c r="N98" i="95"/>
  <c r="N97" i="95"/>
  <c r="N96" i="95"/>
  <c r="N95" i="95"/>
  <c r="N94" i="95"/>
  <c r="N93" i="95"/>
  <c r="N92" i="95"/>
  <c r="N91" i="95"/>
  <c r="N90" i="95"/>
  <c r="N89" i="95"/>
  <c r="N88" i="95"/>
  <c r="N87" i="95"/>
  <c r="N86" i="95"/>
  <c r="N85" i="95"/>
  <c r="N84" i="95"/>
  <c r="N83" i="95"/>
  <c r="N82" i="95"/>
  <c r="N81" i="95"/>
  <c r="N80" i="95"/>
  <c r="N79" i="95"/>
  <c r="N78" i="95"/>
  <c r="N77" i="95"/>
  <c r="N76" i="95"/>
  <c r="N75" i="95"/>
  <c r="N74" i="95"/>
  <c r="N73" i="95"/>
  <c r="N72" i="95"/>
  <c r="N71" i="95"/>
  <c r="N70" i="95"/>
  <c r="N69" i="95"/>
  <c r="N68" i="95"/>
  <c r="N67" i="95"/>
  <c r="N66" i="95"/>
  <c r="N65" i="95"/>
  <c r="N64" i="95"/>
  <c r="N63" i="95"/>
  <c r="N62" i="95"/>
  <c r="N61" i="95"/>
  <c r="N60" i="95"/>
  <c r="N59" i="95"/>
  <c r="N58" i="95"/>
  <c r="N57" i="95"/>
  <c r="N56" i="95"/>
  <c r="N55" i="95"/>
  <c r="N54" i="95"/>
  <c r="N53" i="95"/>
  <c r="N52" i="95"/>
  <c r="N51" i="95"/>
  <c r="N50" i="95"/>
  <c r="N49" i="95"/>
  <c r="N48" i="95"/>
  <c r="N47" i="95"/>
  <c r="N46" i="95"/>
  <c r="N45" i="95"/>
  <c r="N44" i="95"/>
  <c r="N43" i="95"/>
  <c r="N42" i="95"/>
  <c r="N41" i="95"/>
  <c r="N40" i="95"/>
  <c r="N39" i="95"/>
  <c r="N38" i="95"/>
  <c r="N37" i="95"/>
  <c r="N36" i="95"/>
  <c r="N35" i="95"/>
  <c r="N34" i="95"/>
  <c r="N33" i="95"/>
  <c r="N32" i="95"/>
  <c r="N31" i="95"/>
  <c r="N30" i="95"/>
  <c r="N29" i="95"/>
  <c r="N28" i="95"/>
  <c r="N27" i="95"/>
  <c r="N26" i="95"/>
  <c r="N25" i="95"/>
  <c r="N24" i="95"/>
  <c r="N23" i="95"/>
  <c r="N22" i="95"/>
  <c r="N21" i="95"/>
  <c r="N20" i="95"/>
  <c r="N19" i="95"/>
  <c r="N18" i="95"/>
  <c r="N17" i="95"/>
  <c r="N16" i="95"/>
  <c r="N15" i="95"/>
  <c r="N14" i="95"/>
  <c r="N13" i="95"/>
  <c r="N12" i="95"/>
  <c r="N11" i="95"/>
  <c r="N10" i="95"/>
  <c r="N9" i="95"/>
  <c r="N8" i="95"/>
  <c r="N7" i="95"/>
  <c r="N6" i="95"/>
  <c r="N5" i="95"/>
  <c r="N4" i="95"/>
  <c r="M216" i="95"/>
  <c r="M215" i="95"/>
  <c r="M214" i="95"/>
  <c r="M213" i="95"/>
  <c r="M212" i="95"/>
  <c r="M211" i="95"/>
  <c r="M210" i="95"/>
  <c r="M209" i="95"/>
  <c r="M208" i="95"/>
  <c r="M207" i="95"/>
  <c r="M206" i="95"/>
  <c r="M205" i="95"/>
  <c r="M204" i="95"/>
  <c r="M203" i="95"/>
  <c r="M202" i="95"/>
  <c r="M201" i="95"/>
  <c r="M200" i="95"/>
  <c r="M199" i="95"/>
  <c r="M198" i="95"/>
  <c r="M197" i="95"/>
  <c r="M196" i="95"/>
  <c r="M195" i="95"/>
  <c r="M194" i="95"/>
  <c r="M193" i="95"/>
  <c r="M192" i="95"/>
  <c r="M191" i="95"/>
  <c r="M190" i="95"/>
  <c r="M189" i="95"/>
  <c r="M188" i="95"/>
  <c r="M187" i="95"/>
  <c r="M186" i="95"/>
  <c r="M185" i="95"/>
  <c r="M184" i="95"/>
  <c r="M183" i="95"/>
  <c r="M182" i="95"/>
  <c r="M181" i="95"/>
  <c r="M180" i="95"/>
  <c r="M179" i="95"/>
  <c r="M178" i="95"/>
  <c r="M177" i="95"/>
  <c r="M176" i="95"/>
  <c r="M175" i="95"/>
  <c r="M174" i="95"/>
  <c r="M173" i="95"/>
  <c r="M172" i="95"/>
  <c r="M171" i="95"/>
  <c r="M170" i="95"/>
  <c r="M169" i="95"/>
  <c r="M168" i="95"/>
  <c r="M167" i="95"/>
  <c r="M166" i="95"/>
  <c r="M165" i="95"/>
  <c r="M164" i="95"/>
  <c r="M163" i="95"/>
  <c r="M162" i="95"/>
  <c r="M161" i="95"/>
  <c r="M160" i="95"/>
  <c r="M159" i="95"/>
  <c r="M158" i="95"/>
  <c r="M157" i="95"/>
  <c r="M156" i="95"/>
  <c r="M155" i="95"/>
  <c r="M154" i="95"/>
  <c r="M153" i="95"/>
  <c r="M152" i="95"/>
  <c r="M151" i="95"/>
  <c r="M150" i="95"/>
  <c r="M149" i="95"/>
  <c r="M148" i="95"/>
  <c r="M147" i="95"/>
  <c r="M146" i="95"/>
  <c r="M145" i="95"/>
  <c r="M144" i="95"/>
  <c r="M143" i="95"/>
  <c r="M142" i="95"/>
  <c r="M141" i="95"/>
  <c r="M140" i="95"/>
  <c r="M139" i="95"/>
  <c r="M138" i="95"/>
  <c r="M137" i="95"/>
  <c r="M136" i="95"/>
  <c r="M135" i="95"/>
  <c r="M134" i="95"/>
  <c r="M133" i="95"/>
  <c r="M132" i="95"/>
  <c r="M131" i="95"/>
  <c r="M130" i="95"/>
  <c r="M129" i="95"/>
  <c r="M128" i="95"/>
  <c r="M127" i="95"/>
  <c r="M126" i="95"/>
  <c r="M125" i="95"/>
  <c r="M124" i="95"/>
  <c r="M123" i="95"/>
  <c r="M122" i="95"/>
  <c r="M121" i="95"/>
  <c r="M120" i="95"/>
  <c r="M119" i="95"/>
  <c r="M118" i="95"/>
  <c r="M117" i="95"/>
  <c r="M116" i="95"/>
  <c r="M115" i="95"/>
  <c r="M114" i="95"/>
  <c r="M113" i="95"/>
  <c r="M112" i="95"/>
  <c r="M111" i="95"/>
  <c r="M110" i="95"/>
  <c r="M109" i="95"/>
  <c r="M108" i="95"/>
  <c r="M107" i="95"/>
  <c r="M106" i="95"/>
  <c r="M105" i="95"/>
  <c r="M104" i="95"/>
  <c r="M103" i="95"/>
  <c r="M102" i="95"/>
  <c r="M101" i="95"/>
  <c r="M100" i="95"/>
  <c r="M99" i="95"/>
  <c r="M98" i="95"/>
  <c r="M97" i="95"/>
  <c r="M96" i="95"/>
  <c r="M95" i="95"/>
  <c r="M94" i="95"/>
  <c r="M93" i="95"/>
  <c r="M92" i="95"/>
  <c r="M91" i="95"/>
  <c r="M90" i="95"/>
  <c r="M89" i="95"/>
  <c r="M88" i="95"/>
  <c r="M87" i="95"/>
  <c r="M86" i="95"/>
  <c r="M85" i="95"/>
  <c r="M84" i="95"/>
  <c r="M83" i="95"/>
  <c r="M82" i="95"/>
  <c r="M81" i="95"/>
  <c r="M80" i="95"/>
  <c r="M79" i="95"/>
  <c r="M78" i="95"/>
  <c r="M77" i="95"/>
  <c r="M76" i="95"/>
  <c r="M75" i="95"/>
  <c r="M74" i="95"/>
  <c r="M73" i="95"/>
  <c r="M72" i="95"/>
  <c r="M71" i="95"/>
  <c r="M70" i="95"/>
  <c r="M69" i="95"/>
  <c r="M68" i="95"/>
  <c r="M67" i="95"/>
  <c r="M66" i="95"/>
  <c r="M65" i="95"/>
  <c r="M64" i="95"/>
  <c r="M63" i="95"/>
  <c r="M62" i="95"/>
  <c r="M61" i="95"/>
  <c r="M60" i="95"/>
  <c r="M59" i="95"/>
  <c r="M58" i="95"/>
  <c r="M57" i="95"/>
  <c r="M56" i="95"/>
  <c r="M55" i="95"/>
  <c r="M54" i="95"/>
  <c r="M53" i="95"/>
  <c r="M52" i="95"/>
  <c r="M51" i="95"/>
  <c r="M50" i="95"/>
  <c r="M49" i="95"/>
  <c r="M48" i="95"/>
  <c r="M47" i="95"/>
  <c r="M46" i="95"/>
  <c r="M45" i="95"/>
  <c r="M44" i="95"/>
  <c r="M43" i="95"/>
  <c r="M42" i="95"/>
  <c r="M41" i="95"/>
  <c r="M40" i="95"/>
  <c r="M39" i="95"/>
  <c r="M38" i="95"/>
  <c r="M37" i="95"/>
  <c r="M36" i="95"/>
  <c r="M35" i="95"/>
  <c r="M34" i="95"/>
  <c r="M33" i="95"/>
  <c r="M32" i="95"/>
  <c r="M31" i="95"/>
  <c r="M30" i="95"/>
  <c r="M29" i="95"/>
  <c r="M28" i="95"/>
  <c r="M27" i="95"/>
  <c r="M26" i="95"/>
  <c r="M25" i="95"/>
  <c r="M24" i="95"/>
  <c r="M23" i="95"/>
  <c r="M22" i="95"/>
  <c r="M21" i="95"/>
  <c r="M20" i="95"/>
  <c r="M19" i="95"/>
  <c r="M18" i="95"/>
  <c r="M17" i="95"/>
  <c r="M16" i="95"/>
  <c r="M15" i="95"/>
  <c r="M14" i="95"/>
  <c r="M13" i="95"/>
  <c r="M12" i="95"/>
  <c r="M11" i="95"/>
  <c r="M10" i="95"/>
  <c r="M9" i="95"/>
  <c r="M8" i="95"/>
  <c r="M7" i="95"/>
  <c r="M6" i="95"/>
  <c r="M5" i="95"/>
  <c r="M4" i="95"/>
  <c r="N214" i="94"/>
  <c r="N213" i="94"/>
  <c r="N212" i="94"/>
  <c r="N211" i="94"/>
  <c r="N210" i="94"/>
  <c r="N209" i="94"/>
  <c r="N208" i="94"/>
  <c r="N207" i="94"/>
  <c r="N206" i="94"/>
  <c r="N205" i="94"/>
  <c r="N204" i="94"/>
  <c r="N203" i="94"/>
  <c r="N202" i="94"/>
  <c r="N201" i="94"/>
  <c r="N200" i="94"/>
  <c r="N199" i="94"/>
  <c r="N198" i="94"/>
  <c r="N197" i="94"/>
  <c r="N196" i="94"/>
  <c r="N195" i="94"/>
  <c r="N194" i="94"/>
  <c r="N193" i="94"/>
  <c r="N192" i="94"/>
  <c r="N191" i="94"/>
  <c r="N190" i="94"/>
  <c r="N189" i="94"/>
  <c r="N188" i="94"/>
  <c r="N187" i="94"/>
  <c r="N186" i="94"/>
  <c r="N185" i="94"/>
  <c r="N184" i="94"/>
  <c r="N183" i="94"/>
  <c r="N182" i="94"/>
  <c r="N181" i="94"/>
  <c r="N180" i="94"/>
  <c r="N179" i="94"/>
  <c r="N178" i="94"/>
  <c r="N177" i="94"/>
  <c r="N176" i="94"/>
  <c r="N175" i="94"/>
  <c r="N174" i="94"/>
  <c r="N173" i="94"/>
  <c r="N172" i="94"/>
  <c r="N171" i="94"/>
  <c r="N170" i="94"/>
  <c r="N169" i="94"/>
  <c r="N168" i="94"/>
  <c r="N167" i="94"/>
  <c r="N166" i="94"/>
  <c r="N165" i="94"/>
  <c r="N164" i="94"/>
  <c r="N163" i="94"/>
  <c r="N162" i="94"/>
  <c r="N161" i="94"/>
  <c r="N160" i="94"/>
  <c r="N159" i="94"/>
  <c r="N158" i="94"/>
  <c r="N157" i="94"/>
  <c r="N156" i="94"/>
  <c r="N155" i="94"/>
  <c r="N154" i="94"/>
  <c r="N153" i="94"/>
  <c r="N152" i="94"/>
  <c r="N151" i="94"/>
  <c r="N150" i="94"/>
  <c r="N149" i="94"/>
  <c r="N148" i="94"/>
  <c r="N147" i="94"/>
  <c r="N146" i="94"/>
  <c r="N145" i="94"/>
  <c r="N144" i="94"/>
  <c r="N143" i="94"/>
  <c r="N142" i="94"/>
  <c r="N141" i="94"/>
  <c r="N140" i="94"/>
  <c r="N139" i="94"/>
  <c r="N138" i="94"/>
  <c r="N137" i="94"/>
  <c r="N136" i="94"/>
  <c r="N135" i="94"/>
  <c r="N134" i="94"/>
  <c r="N133" i="94"/>
  <c r="N132" i="94"/>
  <c r="N131" i="94"/>
  <c r="N130" i="94"/>
  <c r="N129" i="94"/>
  <c r="N128" i="94"/>
  <c r="N127" i="94"/>
  <c r="N126" i="94"/>
  <c r="N125" i="94"/>
  <c r="N124" i="94"/>
  <c r="N123" i="94"/>
  <c r="N122" i="94"/>
  <c r="N121" i="94"/>
  <c r="N120" i="94"/>
  <c r="N119" i="94"/>
  <c r="N118" i="94"/>
  <c r="N117" i="94"/>
  <c r="N116" i="94"/>
  <c r="N115" i="94"/>
  <c r="N114" i="94"/>
  <c r="N113" i="94"/>
  <c r="N112" i="94"/>
  <c r="N111" i="94"/>
  <c r="N110" i="94"/>
  <c r="N109" i="94"/>
  <c r="N108" i="94"/>
  <c r="N107" i="94"/>
  <c r="N106" i="94"/>
  <c r="N105" i="94"/>
  <c r="N104" i="94"/>
  <c r="N103" i="94"/>
  <c r="N102" i="94"/>
  <c r="N101" i="94"/>
  <c r="N100" i="94"/>
  <c r="N99" i="94"/>
  <c r="N98" i="94"/>
  <c r="N97" i="94"/>
  <c r="N96" i="94"/>
  <c r="N95" i="94"/>
  <c r="N94" i="94"/>
  <c r="N93" i="94"/>
  <c r="N92" i="94"/>
  <c r="N91" i="94"/>
  <c r="N90" i="94"/>
  <c r="N89" i="94"/>
  <c r="N88" i="94"/>
  <c r="N87" i="94"/>
  <c r="N86" i="94"/>
  <c r="N85" i="94"/>
  <c r="N84" i="94"/>
  <c r="N83" i="94"/>
  <c r="N82" i="94"/>
  <c r="N81" i="94"/>
  <c r="N80" i="94"/>
  <c r="N79" i="94"/>
  <c r="N78" i="94"/>
  <c r="N77" i="94"/>
  <c r="N76" i="94"/>
  <c r="N75" i="94"/>
  <c r="N74" i="94"/>
  <c r="N73" i="94"/>
  <c r="N72" i="94"/>
  <c r="N71" i="94"/>
  <c r="N70" i="94"/>
  <c r="N69" i="94"/>
  <c r="N68" i="94"/>
  <c r="N67" i="94"/>
  <c r="N66" i="94"/>
  <c r="N65" i="94"/>
  <c r="N64" i="94"/>
  <c r="N63" i="94"/>
  <c r="N62" i="94"/>
  <c r="N61" i="94"/>
  <c r="N60" i="94"/>
  <c r="N59" i="94"/>
  <c r="N58" i="94"/>
  <c r="N57" i="94"/>
  <c r="N56" i="94"/>
  <c r="N55" i="94"/>
  <c r="N54" i="94"/>
  <c r="N53" i="94"/>
  <c r="N52" i="94"/>
  <c r="N51" i="94"/>
  <c r="N50" i="94"/>
  <c r="N49" i="94"/>
  <c r="N48" i="94"/>
  <c r="N47" i="94"/>
  <c r="N46" i="94"/>
  <c r="N45" i="94"/>
  <c r="N44" i="94"/>
  <c r="N43" i="94"/>
  <c r="N42" i="94"/>
  <c r="N41" i="94"/>
  <c r="N40" i="94"/>
  <c r="N39" i="94"/>
  <c r="N38" i="94"/>
  <c r="N37" i="94"/>
  <c r="N36" i="94"/>
  <c r="N35" i="94"/>
  <c r="N34" i="94"/>
  <c r="N33" i="94"/>
  <c r="N32" i="94"/>
  <c r="N31" i="94"/>
  <c r="N30" i="94"/>
  <c r="N29" i="94"/>
  <c r="N28" i="94"/>
  <c r="N27" i="94"/>
  <c r="N26" i="94"/>
  <c r="N25" i="94"/>
  <c r="N24" i="94"/>
  <c r="N23" i="94"/>
  <c r="N22" i="94"/>
  <c r="N21" i="94"/>
  <c r="N20" i="94"/>
  <c r="N19" i="94"/>
  <c r="N18" i="94"/>
  <c r="N17" i="94"/>
  <c r="N16" i="94"/>
  <c r="N15" i="94"/>
  <c r="N14" i="94"/>
  <c r="N13" i="94"/>
  <c r="N12" i="94"/>
  <c r="N11" i="94"/>
  <c r="N10" i="94"/>
  <c r="N9" i="94"/>
  <c r="N8" i="94"/>
  <c r="N7" i="94"/>
  <c r="N6" i="94"/>
  <c r="N5" i="94"/>
  <c r="N4" i="94"/>
  <c r="N262" i="93"/>
  <c r="Q262" i="93" s="1"/>
  <c r="N261" i="93"/>
  <c r="Q261" i="93" s="1"/>
  <c r="N260" i="93"/>
  <c r="Q260" i="93" s="1"/>
  <c r="N259" i="93"/>
  <c r="Q259" i="93" s="1"/>
  <c r="N258" i="93"/>
  <c r="Q258" i="93" s="1"/>
  <c r="N257" i="93"/>
  <c r="Q257" i="93" s="1"/>
  <c r="N256" i="93"/>
  <c r="Q256" i="93" s="1"/>
  <c r="N255" i="93"/>
  <c r="Q255" i="93" s="1"/>
  <c r="N254" i="93"/>
  <c r="Q254" i="93" s="1"/>
  <c r="N253" i="93"/>
  <c r="Q253" i="93" s="1"/>
  <c r="N252" i="93"/>
  <c r="Q252" i="93" s="1"/>
  <c r="N251" i="93"/>
  <c r="Q251" i="93" s="1"/>
  <c r="N250" i="93"/>
  <c r="Q250" i="93" s="1"/>
  <c r="N249" i="93"/>
  <c r="Q249" i="93" s="1"/>
  <c r="N248" i="93"/>
  <c r="Q248" i="93" s="1"/>
  <c r="N247" i="93"/>
  <c r="Q247" i="93" s="1"/>
  <c r="N246" i="93"/>
  <c r="Q246" i="93" s="1"/>
  <c r="N245" i="93"/>
  <c r="Q245" i="93" s="1"/>
  <c r="N244" i="93"/>
  <c r="Q244" i="93" s="1"/>
  <c r="N243" i="93"/>
  <c r="Q243" i="93" s="1"/>
  <c r="N242" i="93"/>
  <c r="Q242" i="93" s="1"/>
  <c r="N241" i="93"/>
  <c r="Q241" i="93" s="1"/>
  <c r="N240" i="93"/>
  <c r="Q240" i="93" s="1"/>
  <c r="N239" i="93"/>
  <c r="Q239" i="93" s="1"/>
  <c r="N238" i="93"/>
  <c r="Q238" i="93" s="1"/>
  <c r="N237" i="93"/>
  <c r="Q237" i="93" s="1"/>
  <c r="N236" i="93"/>
  <c r="Q236" i="93" s="1"/>
  <c r="N235" i="93"/>
  <c r="Q235" i="93" s="1"/>
  <c r="N234" i="93"/>
  <c r="Q234" i="93" s="1"/>
  <c r="N233" i="93"/>
  <c r="Q233" i="93" s="1"/>
  <c r="N232" i="93"/>
  <c r="Q232" i="93" s="1"/>
  <c r="N231" i="93"/>
  <c r="Q231" i="93" s="1"/>
  <c r="N230" i="93"/>
  <c r="Q230" i="93" s="1"/>
  <c r="N229" i="93"/>
  <c r="Q229" i="93" s="1"/>
  <c r="N228" i="93"/>
  <c r="Q228" i="93" s="1"/>
  <c r="N227" i="93"/>
  <c r="Q227" i="93" s="1"/>
  <c r="N226" i="93"/>
  <c r="Q226" i="93" s="1"/>
  <c r="N225" i="93"/>
  <c r="Q225" i="93" s="1"/>
  <c r="N224" i="93"/>
  <c r="Q224" i="93" s="1"/>
  <c r="N223" i="93"/>
  <c r="Q223" i="93" s="1"/>
  <c r="N222" i="93"/>
  <c r="Q222" i="93" s="1"/>
  <c r="N221" i="93"/>
  <c r="Q221" i="93" s="1"/>
  <c r="N220" i="93"/>
  <c r="Q220" i="93" s="1"/>
  <c r="N219" i="93"/>
  <c r="Q219" i="93" s="1"/>
  <c r="N218" i="93"/>
  <c r="Q218" i="93" s="1"/>
  <c r="N217" i="93"/>
  <c r="Q217" i="93" s="1"/>
  <c r="N216" i="93"/>
  <c r="Q216" i="93" s="1"/>
  <c r="N215" i="93"/>
  <c r="Q215" i="93" s="1"/>
  <c r="N214" i="93"/>
  <c r="Q214" i="93" s="1"/>
  <c r="N213" i="93"/>
  <c r="Q213" i="93" s="1"/>
  <c r="N212" i="93"/>
  <c r="Q212" i="93" s="1"/>
  <c r="N211" i="93"/>
  <c r="Q211" i="93" s="1"/>
  <c r="N210" i="93"/>
  <c r="Q210" i="93" s="1"/>
  <c r="N209" i="93"/>
  <c r="Q209" i="93" s="1"/>
  <c r="N208" i="93"/>
  <c r="Q208" i="93" s="1"/>
  <c r="N207" i="93"/>
  <c r="Q207" i="93" s="1"/>
  <c r="N206" i="93"/>
  <c r="Q206" i="93" s="1"/>
  <c r="N205" i="93"/>
  <c r="Q205" i="93" s="1"/>
  <c r="N204" i="93"/>
  <c r="Q204" i="93" s="1"/>
  <c r="N203" i="93"/>
  <c r="Q203" i="93" s="1"/>
  <c r="N202" i="93"/>
  <c r="Q202" i="93" s="1"/>
  <c r="N201" i="93"/>
  <c r="Q201" i="93" s="1"/>
  <c r="N200" i="93"/>
  <c r="Q200" i="93" s="1"/>
  <c r="N199" i="93"/>
  <c r="Q199" i="93" s="1"/>
  <c r="N198" i="93"/>
  <c r="Q198" i="93" s="1"/>
  <c r="N197" i="93"/>
  <c r="Q197" i="93" s="1"/>
  <c r="N196" i="93"/>
  <c r="Q196" i="93" s="1"/>
  <c r="N195" i="93"/>
  <c r="Q195" i="93" s="1"/>
  <c r="N194" i="93"/>
  <c r="Q194" i="93" s="1"/>
  <c r="N193" i="93"/>
  <c r="Q193" i="93" s="1"/>
  <c r="N192" i="93"/>
  <c r="Q192" i="93" s="1"/>
  <c r="N191" i="93"/>
  <c r="Q191" i="93" s="1"/>
  <c r="N190" i="93"/>
  <c r="Q190" i="93" s="1"/>
  <c r="N189" i="93"/>
  <c r="Q189" i="93" s="1"/>
  <c r="N188" i="93"/>
  <c r="Q188" i="93" s="1"/>
  <c r="N187" i="93"/>
  <c r="Q187" i="93" s="1"/>
  <c r="N186" i="93"/>
  <c r="Q186" i="93" s="1"/>
  <c r="N185" i="93"/>
  <c r="Q185" i="93" s="1"/>
  <c r="N184" i="93"/>
  <c r="Q184" i="93" s="1"/>
  <c r="N183" i="93"/>
  <c r="Q183" i="93" s="1"/>
  <c r="N182" i="93"/>
  <c r="Q182" i="93" s="1"/>
  <c r="N181" i="93"/>
  <c r="Q181" i="93" s="1"/>
  <c r="N180" i="93"/>
  <c r="Q180" i="93" s="1"/>
  <c r="N179" i="93"/>
  <c r="Q179" i="93" s="1"/>
  <c r="N178" i="93"/>
  <c r="Q178" i="93" s="1"/>
  <c r="N177" i="93"/>
  <c r="Q177" i="93" s="1"/>
  <c r="N176" i="93"/>
  <c r="Q176" i="93" s="1"/>
  <c r="N175" i="93"/>
  <c r="Q175" i="93" s="1"/>
  <c r="N174" i="93"/>
  <c r="Q174" i="93" s="1"/>
  <c r="N173" i="93"/>
  <c r="Q173" i="93" s="1"/>
  <c r="N172" i="93"/>
  <c r="Q172" i="93" s="1"/>
  <c r="N171" i="93"/>
  <c r="Q171" i="93" s="1"/>
  <c r="N170" i="93"/>
  <c r="Q170" i="93" s="1"/>
  <c r="N169" i="93"/>
  <c r="Q169" i="93" s="1"/>
  <c r="N168" i="93"/>
  <c r="Q168" i="93" s="1"/>
  <c r="N167" i="93"/>
  <c r="Q167" i="93" s="1"/>
  <c r="N166" i="93"/>
  <c r="Q166" i="93" s="1"/>
  <c r="N165" i="93"/>
  <c r="Q165" i="93" s="1"/>
  <c r="N164" i="93"/>
  <c r="Q164" i="93" s="1"/>
  <c r="N163" i="93"/>
  <c r="Q163" i="93" s="1"/>
  <c r="N162" i="93"/>
  <c r="Q162" i="93" s="1"/>
  <c r="N161" i="93"/>
  <c r="Q161" i="93" s="1"/>
  <c r="N160" i="93"/>
  <c r="Q160" i="93" s="1"/>
  <c r="N159" i="93"/>
  <c r="Q159" i="93" s="1"/>
  <c r="N158" i="93"/>
  <c r="Q158" i="93" s="1"/>
  <c r="N157" i="93"/>
  <c r="Q157" i="93" s="1"/>
  <c r="N156" i="93"/>
  <c r="Q156" i="93" s="1"/>
  <c r="N155" i="93"/>
  <c r="Q155" i="93" s="1"/>
  <c r="N154" i="93"/>
  <c r="Q154" i="93" s="1"/>
  <c r="N153" i="93"/>
  <c r="Q153" i="93" s="1"/>
  <c r="N152" i="93"/>
  <c r="Q152" i="93" s="1"/>
  <c r="N151" i="93"/>
  <c r="Q151" i="93" s="1"/>
  <c r="N150" i="93"/>
  <c r="Q150" i="93" s="1"/>
  <c r="N149" i="93"/>
  <c r="Q149" i="93" s="1"/>
  <c r="N148" i="93"/>
  <c r="Q148" i="93" s="1"/>
  <c r="N147" i="93"/>
  <c r="Q147" i="93" s="1"/>
  <c r="N146" i="93"/>
  <c r="Q146" i="93" s="1"/>
  <c r="N145" i="93"/>
  <c r="Q145" i="93" s="1"/>
  <c r="N144" i="93"/>
  <c r="Q144" i="93" s="1"/>
  <c r="N143" i="93"/>
  <c r="Q143" i="93" s="1"/>
  <c r="N142" i="93"/>
  <c r="Q142" i="93" s="1"/>
  <c r="N141" i="93"/>
  <c r="Q141" i="93" s="1"/>
  <c r="N140" i="93"/>
  <c r="Q140" i="93" s="1"/>
  <c r="N139" i="93"/>
  <c r="Q139" i="93" s="1"/>
  <c r="N138" i="93"/>
  <c r="Q138" i="93" s="1"/>
  <c r="N137" i="93"/>
  <c r="Q137" i="93" s="1"/>
  <c r="N136" i="93"/>
  <c r="Q136" i="93" s="1"/>
  <c r="N135" i="93"/>
  <c r="Q135" i="93" s="1"/>
  <c r="N134" i="93"/>
  <c r="Q134" i="93" s="1"/>
  <c r="N133" i="93"/>
  <c r="Q133" i="93" s="1"/>
  <c r="N132" i="93"/>
  <c r="Q132" i="93" s="1"/>
  <c r="N131" i="93"/>
  <c r="Q131" i="93" s="1"/>
  <c r="N130" i="93"/>
  <c r="Q130" i="93" s="1"/>
  <c r="N129" i="93"/>
  <c r="Q129" i="93" s="1"/>
  <c r="N128" i="93"/>
  <c r="Q128" i="93" s="1"/>
  <c r="N127" i="93"/>
  <c r="Q127" i="93" s="1"/>
  <c r="N126" i="93"/>
  <c r="Q126" i="93" s="1"/>
  <c r="N125" i="93"/>
  <c r="Q125" i="93" s="1"/>
  <c r="N124" i="93"/>
  <c r="Q124" i="93" s="1"/>
  <c r="N123" i="93"/>
  <c r="Q123" i="93" s="1"/>
  <c r="N122" i="93"/>
  <c r="Q122" i="93" s="1"/>
  <c r="N121" i="93"/>
  <c r="Q121" i="93" s="1"/>
  <c r="N120" i="93"/>
  <c r="Q120" i="93" s="1"/>
  <c r="N119" i="93"/>
  <c r="Q119" i="93" s="1"/>
  <c r="N118" i="93"/>
  <c r="Q118" i="93" s="1"/>
  <c r="N117" i="93"/>
  <c r="Q117" i="93" s="1"/>
  <c r="N116" i="93"/>
  <c r="Q116" i="93" s="1"/>
  <c r="N115" i="93"/>
  <c r="Q115" i="93" s="1"/>
  <c r="N114" i="93"/>
  <c r="Q114" i="93" s="1"/>
  <c r="N113" i="93"/>
  <c r="Q113" i="93" s="1"/>
  <c r="N112" i="93"/>
  <c r="Q112" i="93" s="1"/>
  <c r="N111" i="93"/>
  <c r="Q111" i="93" s="1"/>
  <c r="N110" i="93"/>
  <c r="Q110" i="93" s="1"/>
  <c r="N109" i="93"/>
  <c r="Q109" i="93" s="1"/>
  <c r="N108" i="93"/>
  <c r="Q108" i="93" s="1"/>
  <c r="N107" i="93"/>
  <c r="Q107" i="93" s="1"/>
  <c r="N106" i="93"/>
  <c r="Q106" i="93" s="1"/>
  <c r="N105" i="93"/>
  <c r="Q105" i="93" s="1"/>
  <c r="N104" i="93"/>
  <c r="Q104" i="93" s="1"/>
  <c r="N103" i="93"/>
  <c r="Q103" i="93" s="1"/>
  <c r="N102" i="93"/>
  <c r="Q102" i="93" s="1"/>
  <c r="N101" i="93"/>
  <c r="Q101" i="93" s="1"/>
  <c r="N100" i="93"/>
  <c r="Q100" i="93" s="1"/>
  <c r="N99" i="93"/>
  <c r="Q99" i="93" s="1"/>
  <c r="N98" i="93"/>
  <c r="Q98" i="93" s="1"/>
  <c r="N97" i="93"/>
  <c r="Q97" i="93" s="1"/>
  <c r="N96" i="93"/>
  <c r="Q96" i="93" s="1"/>
  <c r="N95" i="93"/>
  <c r="Q95" i="93" s="1"/>
  <c r="N94" i="93"/>
  <c r="Q94" i="93" s="1"/>
  <c r="N93" i="93"/>
  <c r="Q93" i="93" s="1"/>
  <c r="N92" i="93"/>
  <c r="Q92" i="93" s="1"/>
  <c r="N91" i="93"/>
  <c r="Q91" i="93" s="1"/>
  <c r="N90" i="93"/>
  <c r="Q90" i="93" s="1"/>
  <c r="N89" i="93"/>
  <c r="Q89" i="93" s="1"/>
  <c r="N88" i="93"/>
  <c r="Q88" i="93" s="1"/>
  <c r="N87" i="93"/>
  <c r="Q87" i="93" s="1"/>
  <c r="N86" i="93"/>
  <c r="Q86" i="93" s="1"/>
  <c r="N85" i="93"/>
  <c r="Q85" i="93" s="1"/>
  <c r="N84" i="93"/>
  <c r="Q84" i="93" s="1"/>
  <c r="N83" i="93"/>
  <c r="Q83" i="93" s="1"/>
  <c r="N82" i="93"/>
  <c r="Q82" i="93" s="1"/>
  <c r="N81" i="93"/>
  <c r="Q81" i="93" s="1"/>
  <c r="N80" i="93"/>
  <c r="Q80" i="93" s="1"/>
  <c r="N79" i="93"/>
  <c r="Q79" i="93" s="1"/>
  <c r="N78" i="93"/>
  <c r="Q78" i="93" s="1"/>
  <c r="N77" i="93"/>
  <c r="Q77" i="93" s="1"/>
  <c r="N76" i="93"/>
  <c r="Q76" i="93" s="1"/>
  <c r="N75" i="93"/>
  <c r="Q75" i="93" s="1"/>
  <c r="N74" i="93"/>
  <c r="Q74" i="93" s="1"/>
  <c r="N73" i="93"/>
  <c r="Q73" i="93" s="1"/>
  <c r="N72" i="93"/>
  <c r="Q72" i="93" s="1"/>
  <c r="N71" i="93"/>
  <c r="Q71" i="93" s="1"/>
  <c r="N70" i="93"/>
  <c r="Q70" i="93" s="1"/>
  <c r="N69" i="93"/>
  <c r="Q69" i="93" s="1"/>
  <c r="N68" i="93"/>
  <c r="Q68" i="93" s="1"/>
  <c r="N67" i="93"/>
  <c r="Q67" i="93" s="1"/>
  <c r="N66" i="93"/>
  <c r="Q66" i="93" s="1"/>
  <c r="N65" i="93"/>
  <c r="Q65" i="93" s="1"/>
  <c r="N64" i="93"/>
  <c r="Q64" i="93" s="1"/>
  <c r="N63" i="93"/>
  <c r="Q63" i="93" s="1"/>
  <c r="N62" i="93"/>
  <c r="Q62" i="93" s="1"/>
  <c r="N61" i="93"/>
  <c r="Q61" i="93" s="1"/>
  <c r="N60" i="93"/>
  <c r="Q60" i="93" s="1"/>
  <c r="N59" i="93"/>
  <c r="Q59" i="93" s="1"/>
  <c r="N58" i="93"/>
  <c r="Q58" i="93" s="1"/>
  <c r="N57" i="93"/>
  <c r="Q57" i="93" s="1"/>
  <c r="N56" i="93"/>
  <c r="Q56" i="93" s="1"/>
  <c r="N55" i="93"/>
  <c r="Q55" i="93" s="1"/>
  <c r="N54" i="93"/>
  <c r="Q54" i="93" s="1"/>
  <c r="N53" i="93"/>
  <c r="Q53" i="93" s="1"/>
  <c r="N52" i="93"/>
  <c r="Q52" i="93" s="1"/>
  <c r="N51" i="93"/>
  <c r="Q51" i="93" s="1"/>
  <c r="N50" i="93"/>
  <c r="Q50" i="93" s="1"/>
  <c r="N49" i="93"/>
  <c r="Q49" i="93" s="1"/>
  <c r="N48" i="93"/>
  <c r="Q48" i="93" s="1"/>
  <c r="N47" i="93"/>
  <c r="Q47" i="93" s="1"/>
  <c r="N46" i="93"/>
  <c r="Q46" i="93" s="1"/>
  <c r="N45" i="93"/>
  <c r="Q45" i="93" s="1"/>
  <c r="N44" i="93"/>
  <c r="Q44" i="93" s="1"/>
  <c r="N43" i="93"/>
  <c r="Q43" i="93" s="1"/>
  <c r="N42" i="93"/>
  <c r="Q42" i="93" s="1"/>
  <c r="N41" i="93"/>
  <c r="Q41" i="93" s="1"/>
  <c r="N40" i="93"/>
  <c r="Q40" i="93" s="1"/>
  <c r="N39" i="93"/>
  <c r="Q39" i="93" s="1"/>
  <c r="N38" i="93"/>
  <c r="Q38" i="93" s="1"/>
  <c r="N37" i="93"/>
  <c r="Q37" i="93" s="1"/>
  <c r="N36" i="93"/>
  <c r="Q36" i="93" s="1"/>
  <c r="N35" i="93"/>
  <c r="Q35" i="93" s="1"/>
  <c r="N34" i="93"/>
  <c r="Q34" i="93" s="1"/>
  <c r="N33" i="93"/>
  <c r="Q33" i="93" s="1"/>
  <c r="N32" i="93"/>
  <c r="Q32" i="93" s="1"/>
  <c r="N31" i="93"/>
  <c r="Q31" i="93" s="1"/>
  <c r="N30" i="93"/>
  <c r="Q30" i="93" s="1"/>
  <c r="N29" i="93"/>
  <c r="Q29" i="93" s="1"/>
  <c r="N28" i="93"/>
  <c r="Q28" i="93" s="1"/>
  <c r="N27" i="93"/>
  <c r="Q27" i="93" s="1"/>
  <c r="N26" i="93"/>
  <c r="Q26" i="93" s="1"/>
  <c r="N25" i="93"/>
  <c r="Q25" i="93" s="1"/>
  <c r="N24" i="93"/>
  <c r="Q24" i="93" s="1"/>
  <c r="N23" i="93"/>
  <c r="Q23" i="93" s="1"/>
  <c r="N22" i="93"/>
  <c r="Q22" i="93" s="1"/>
  <c r="N21" i="93"/>
  <c r="Q21" i="93" s="1"/>
  <c r="N20" i="93"/>
  <c r="Q20" i="93" s="1"/>
  <c r="N19" i="93"/>
  <c r="Q19" i="93" s="1"/>
  <c r="N18" i="93"/>
  <c r="Q18" i="93" s="1"/>
  <c r="N17" i="93"/>
  <c r="Q17" i="93" s="1"/>
  <c r="N16" i="93"/>
  <c r="Q16" i="93" s="1"/>
  <c r="N15" i="93"/>
  <c r="Q15" i="93" s="1"/>
  <c r="N14" i="93"/>
  <c r="Q14" i="93" s="1"/>
  <c r="N13" i="93"/>
  <c r="Q13" i="93" s="1"/>
  <c r="N12" i="93"/>
  <c r="Q12" i="93" s="1"/>
  <c r="N11" i="93"/>
  <c r="Q11" i="93" s="1"/>
  <c r="N10" i="93"/>
  <c r="Q10" i="93" s="1"/>
  <c r="N9" i="93"/>
  <c r="Q9" i="93" s="1"/>
  <c r="N8" i="93"/>
  <c r="Q8" i="93" s="1"/>
  <c r="N7" i="93"/>
  <c r="Q7" i="93" s="1"/>
  <c r="N6" i="93"/>
  <c r="Q6" i="93" s="1"/>
  <c r="N5" i="93"/>
  <c r="Q5" i="93" s="1"/>
  <c r="N4" i="93"/>
  <c r="Q4" i="93" s="1"/>
  <c r="O5" i="59"/>
  <c r="O4" i="95" l="1"/>
  <c r="G215" i="96"/>
  <c r="I215" i="96" s="1"/>
  <c r="G214" i="96"/>
  <c r="I214" i="96" s="1"/>
  <c r="G213" i="96"/>
  <c r="I213" i="96" s="1"/>
  <c r="G212" i="96"/>
  <c r="I212" i="96" s="1"/>
  <c r="G211" i="96"/>
  <c r="I211" i="96" s="1"/>
  <c r="G210" i="96"/>
  <c r="I210" i="96" s="1"/>
  <c r="G209" i="96"/>
  <c r="I209" i="96" s="1"/>
  <c r="G208" i="96"/>
  <c r="I208" i="96" s="1"/>
  <c r="G207" i="96"/>
  <c r="I207" i="96" s="1"/>
  <c r="G206" i="96"/>
  <c r="I206" i="96" s="1"/>
  <c r="G205" i="96"/>
  <c r="I205" i="96" s="1"/>
  <c r="G204" i="96"/>
  <c r="I204" i="96" s="1"/>
  <c r="G203" i="96"/>
  <c r="I203" i="96" s="1"/>
  <c r="G202" i="96"/>
  <c r="I202" i="96" s="1"/>
  <c r="G201" i="96"/>
  <c r="I201" i="96" s="1"/>
  <c r="G200" i="96"/>
  <c r="I200" i="96" s="1"/>
  <c r="G199" i="96"/>
  <c r="I199" i="96" s="1"/>
  <c r="G198" i="96"/>
  <c r="I198" i="96" s="1"/>
  <c r="G197" i="96"/>
  <c r="I197" i="96" s="1"/>
  <c r="G196" i="96"/>
  <c r="I196" i="96" s="1"/>
  <c r="G195" i="96"/>
  <c r="I195" i="96" s="1"/>
  <c r="G194" i="96"/>
  <c r="I194" i="96" s="1"/>
  <c r="G193" i="96"/>
  <c r="I193" i="96" s="1"/>
  <c r="G192" i="96"/>
  <c r="I192" i="96" s="1"/>
  <c r="G191" i="96"/>
  <c r="I191" i="96" s="1"/>
  <c r="G190" i="96"/>
  <c r="I190" i="96" s="1"/>
  <c r="G189" i="96"/>
  <c r="I189" i="96" s="1"/>
  <c r="G188" i="96"/>
  <c r="I188" i="96" s="1"/>
  <c r="G187" i="96"/>
  <c r="I187" i="96" s="1"/>
  <c r="G186" i="96"/>
  <c r="I186" i="96" s="1"/>
  <c r="G185" i="96"/>
  <c r="I185" i="96" s="1"/>
  <c r="G184" i="96"/>
  <c r="I184" i="96" s="1"/>
  <c r="G183" i="96"/>
  <c r="I183" i="96" s="1"/>
  <c r="G182" i="96"/>
  <c r="I182" i="96" s="1"/>
  <c r="G181" i="96"/>
  <c r="I181" i="96" s="1"/>
  <c r="G180" i="96"/>
  <c r="I180" i="96" s="1"/>
  <c r="G179" i="96"/>
  <c r="I179" i="96" s="1"/>
  <c r="G178" i="96"/>
  <c r="I178" i="96" s="1"/>
  <c r="G177" i="96"/>
  <c r="I177" i="96" s="1"/>
  <c r="G176" i="96"/>
  <c r="I176" i="96" s="1"/>
  <c r="G175" i="96"/>
  <c r="I175" i="96" s="1"/>
  <c r="G174" i="96"/>
  <c r="I174" i="96" s="1"/>
  <c r="G173" i="96"/>
  <c r="I173" i="96" s="1"/>
  <c r="G172" i="96"/>
  <c r="I172" i="96" s="1"/>
  <c r="G171" i="96"/>
  <c r="I171" i="96" s="1"/>
  <c r="G170" i="96"/>
  <c r="I170" i="96" s="1"/>
  <c r="G169" i="96"/>
  <c r="I169" i="96" s="1"/>
  <c r="G168" i="96"/>
  <c r="I168" i="96" s="1"/>
  <c r="G167" i="96"/>
  <c r="I167" i="96" s="1"/>
  <c r="G166" i="96"/>
  <c r="I166" i="96" s="1"/>
  <c r="G165" i="96"/>
  <c r="I165" i="96" s="1"/>
  <c r="G164" i="96"/>
  <c r="I164" i="96" s="1"/>
  <c r="G163" i="96"/>
  <c r="I163" i="96" s="1"/>
  <c r="G162" i="96"/>
  <c r="I162" i="96" s="1"/>
  <c r="G161" i="96"/>
  <c r="I161" i="96" s="1"/>
  <c r="G160" i="96"/>
  <c r="I160" i="96" s="1"/>
  <c r="G159" i="96"/>
  <c r="I159" i="96" s="1"/>
  <c r="G158" i="96"/>
  <c r="I158" i="96" s="1"/>
  <c r="G157" i="96"/>
  <c r="I157" i="96" s="1"/>
  <c r="G156" i="96"/>
  <c r="I156" i="96" s="1"/>
  <c r="G155" i="96"/>
  <c r="I155" i="96" s="1"/>
  <c r="G154" i="96"/>
  <c r="I154" i="96" s="1"/>
  <c r="G153" i="96"/>
  <c r="I153" i="96" s="1"/>
  <c r="G152" i="96"/>
  <c r="I152" i="96" s="1"/>
  <c r="G151" i="96"/>
  <c r="I151" i="96" s="1"/>
  <c r="G150" i="96"/>
  <c r="I150" i="96" s="1"/>
  <c r="G149" i="96"/>
  <c r="I149" i="96" s="1"/>
  <c r="G148" i="96"/>
  <c r="I148" i="96" s="1"/>
  <c r="G147" i="96"/>
  <c r="I147" i="96" s="1"/>
  <c r="G146" i="96"/>
  <c r="I146" i="96" s="1"/>
  <c r="G145" i="96"/>
  <c r="I145" i="96" s="1"/>
  <c r="G144" i="96"/>
  <c r="I144" i="96" s="1"/>
  <c r="G143" i="96"/>
  <c r="I143" i="96" s="1"/>
  <c r="G142" i="96"/>
  <c r="I142" i="96" s="1"/>
  <c r="G141" i="96"/>
  <c r="I141" i="96" s="1"/>
  <c r="G140" i="96"/>
  <c r="I140" i="96" s="1"/>
  <c r="G139" i="96"/>
  <c r="I139" i="96" s="1"/>
  <c r="G138" i="96"/>
  <c r="I138" i="96" s="1"/>
  <c r="G137" i="96"/>
  <c r="I137" i="96" s="1"/>
  <c r="G136" i="96"/>
  <c r="I136" i="96" s="1"/>
  <c r="G135" i="96"/>
  <c r="I135" i="96" s="1"/>
  <c r="G134" i="96"/>
  <c r="I134" i="96" s="1"/>
  <c r="G133" i="96"/>
  <c r="I133" i="96" s="1"/>
  <c r="G132" i="96"/>
  <c r="I132" i="96" s="1"/>
  <c r="G131" i="96"/>
  <c r="I131" i="96" s="1"/>
  <c r="G130" i="96"/>
  <c r="I130" i="96" s="1"/>
  <c r="G129" i="96"/>
  <c r="I129" i="96" s="1"/>
  <c r="G128" i="96"/>
  <c r="I128" i="96" s="1"/>
  <c r="G127" i="96"/>
  <c r="I127" i="96" s="1"/>
  <c r="G126" i="96"/>
  <c r="I126" i="96" s="1"/>
  <c r="G125" i="96"/>
  <c r="I125" i="96" s="1"/>
  <c r="G124" i="96"/>
  <c r="I124" i="96" s="1"/>
  <c r="G123" i="96"/>
  <c r="I123" i="96" s="1"/>
  <c r="G122" i="96"/>
  <c r="I122" i="96" s="1"/>
  <c r="G121" i="96"/>
  <c r="I121" i="96" s="1"/>
  <c r="G120" i="96"/>
  <c r="I120" i="96" s="1"/>
  <c r="G119" i="96"/>
  <c r="I119" i="96" s="1"/>
  <c r="G118" i="96"/>
  <c r="I118" i="96" s="1"/>
  <c r="G117" i="96"/>
  <c r="I117" i="96" s="1"/>
  <c r="G116" i="96"/>
  <c r="I116" i="96" s="1"/>
  <c r="G115" i="96"/>
  <c r="I115" i="96" s="1"/>
  <c r="G114" i="96"/>
  <c r="I114" i="96" s="1"/>
  <c r="G113" i="96"/>
  <c r="I113" i="96" s="1"/>
  <c r="G112" i="96"/>
  <c r="I112" i="96" s="1"/>
  <c r="G111" i="96"/>
  <c r="I111" i="96" s="1"/>
  <c r="G110" i="96"/>
  <c r="I110" i="96" s="1"/>
  <c r="G109" i="96"/>
  <c r="I109" i="96" s="1"/>
  <c r="G108" i="96"/>
  <c r="I108" i="96" s="1"/>
  <c r="G107" i="96"/>
  <c r="I107" i="96" s="1"/>
  <c r="G106" i="96"/>
  <c r="I106" i="96" s="1"/>
  <c r="G105" i="96"/>
  <c r="I105" i="96" s="1"/>
  <c r="G104" i="96"/>
  <c r="I104" i="96" s="1"/>
  <c r="G103" i="96"/>
  <c r="I103" i="96" s="1"/>
  <c r="G102" i="96"/>
  <c r="I102" i="96" s="1"/>
  <c r="G101" i="96"/>
  <c r="I101" i="96" s="1"/>
  <c r="G100" i="96"/>
  <c r="I100" i="96" s="1"/>
  <c r="G99" i="96"/>
  <c r="I99" i="96" s="1"/>
  <c r="G98" i="96"/>
  <c r="I98" i="96" s="1"/>
  <c r="G97" i="96"/>
  <c r="I97" i="96" s="1"/>
  <c r="G96" i="96"/>
  <c r="I96" i="96" s="1"/>
  <c r="G95" i="96"/>
  <c r="I95" i="96" s="1"/>
  <c r="G94" i="96"/>
  <c r="I94" i="96" s="1"/>
  <c r="G93" i="96"/>
  <c r="I93" i="96" s="1"/>
  <c r="G92" i="96"/>
  <c r="I92" i="96" s="1"/>
  <c r="G91" i="96"/>
  <c r="I91" i="96" s="1"/>
  <c r="G90" i="96"/>
  <c r="I90" i="96" s="1"/>
  <c r="G89" i="96"/>
  <c r="I89" i="96" s="1"/>
  <c r="G88" i="96"/>
  <c r="I88" i="96" s="1"/>
  <c r="G87" i="96"/>
  <c r="I87" i="96" s="1"/>
  <c r="G86" i="96"/>
  <c r="I86" i="96" s="1"/>
  <c r="G85" i="96"/>
  <c r="I85" i="96" s="1"/>
  <c r="G84" i="96"/>
  <c r="I84" i="96" s="1"/>
  <c r="G83" i="96"/>
  <c r="I83" i="96" s="1"/>
  <c r="I82" i="96"/>
  <c r="G82" i="96"/>
  <c r="G81" i="96"/>
  <c r="I81" i="96" s="1"/>
  <c r="G80" i="96"/>
  <c r="I80" i="96" s="1"/>
  <c r="G79" i="96"/>
  <c r="I79" i="96" s="1"/>
  <c r="G78" i="96"/>
  <c r="I78" i="96" s="1"/>
  <c r="G77" i="96"/>
  <c r="I77" i="96" s="1"/>
  <c r="G76" i="96"/>
  <c r="I76" i="96" s="1"/>
  <c r="G75" i="96"/>
  <c r="I75" i="96" s="1"/>
  <c r="I74" i="96"/>
  <c r="G74" i="96"/>
  <c r="G73" i="96"/>
  <c r="I73" i="96" s="1"/>
  <c r="G72" i="96"/>
  <c r="I72" i="96" s="1"/>
  <c r="G71" i="96"/>
  <c r="I71" i="96" s="1"/>
  <c r="G70" i="96"/>
  <c r="I70" i="96" s="1"/>
  <c r="G69" i="96"/>
  <c r="I69" i="96" s="1"/>
  <c r="G68" i="96"/>
  <c r="I68" i="96" s="1"/>
  <c r="G67" i="96"/>
  <c r="I67" i="96" s="1"/>
  <c r="G66" i="96"/>
  <c r="I66" i="96" s="1"/>
  <c r="G65" i="96"/>
  <c r="I65" i="96" s="1"/>
  <c r="G64" i="96"/>
  <c r="I64" i="96" s="1"/>
  <c r="G63" i="96"/>
  <c r="I63" i="96" s="1"/>
  <c r="G62" i="96"/>
  <c r="I62" i="96" s="1"/>
  <c r="G61" i="96"/>
  <c r="I61" i="96" s="1"/>
  <c r="G60" i="96"/>
  <c r="I60" i="96" s="1"/>
  <c r="G59" i="96"/>
  <c r="I59" i="96" s="1"/>
  <c r="G58" i="96"/>
  <c r="I58" i="96" s="1"/>
  <c r="G57" i="96"/>
  <c r="I57" i="96" s="1"/>
  <c r="G56" i="96"/>
  <c r="I56" i="96" s="1"/>
  <c r="G55" i="96"/>
  <c r="I55" i="96" s="1"/>
  <c r="G54" i="96"/>
  <c r="I54" i="96" s="1"/>
  <c r="G53" i="96"/>
  <c r="I53" i="96" s="1"/>
  <c r="G52" i="96"/>
  <c r="I52" i="96" s="1"/>
  <c r="G51" i="96"/>
  <c r="I51" i="96" s="1"/>
  <c r="I50" i="96"/>
  <c r="G50" i="96"/>
  <c r="G49" i="96"/>
  <c r="I49" i="96" s="1"/>
  <c r="G48" i="96"/>
  <c r="I48" i="96" s="1"/>
  <c r="G47" i="96"/>
  <c r="I47" i="96" s="1"/>
  <c r="G46" i="96"/>
  <c r="I46" i="96" s="1"/>
  <c r="G45" i="96"/>
  <c r="I45" i="96" s="1"/>
  <c r="G44" i="96"/>
  <c r="I44" i="96" s="1"/>
  <c r="G43" i="96"/>
  <c r="I43" i="96" s="1"/>
  <c r="G42" i="96"/>
  <c r="I42" i="96" s="1"/>
  <c r="G41" i="96"/>
  <c r="I41" i="96" s="1"/>
  <c r="G40" i="96"/>
  <c r="I40" i="96" s="1"/>
  <c r="G39" i="96"/>
  <c r="I39" i="96" s="1"/>
  <c r="G38" i="96"/>
  <c r="I38" i="96" s="1"/>
  <c r="I37" i="96"/>
  <c r="G37" i="96"/>
  <c r="G36" i="96"/>
  <c r="I36" i="96" s="1"/>
  <c r="G35" i="96"/>
  <c r="I35" i="96" s="1"/>
  <c r="G34" i="96"/>
  <c r="I34" i="96" s="1"/>
  <c r="I33" i="96"/>
  <c r="G33" i="96"/>
  <c r="G32" i="96"/>
  <c r="I32" i="96" s="1"/>
  <c r="G31" i="96"/>
  <c r="I31" i="96" s="1"/>
  <c r="G30" i="96"/>
  <c r="I30" i="96" s="1"/>
  <c r="G29" i="96"/>
  <c r="I29" i="96" s="1"/>
  <c r="G28" i="96"/>
  <c r="I28" i="96" s="1"/>
  <c r="G27" i="96"/>
  <c r="I27" i="96" s="1"/>
  <c r="G26" i="96"/>
  <c r="I26" i="96" s="1"/>
  <c r="G25" i="96"/>
  <c r="I25" i="96" s="1"/>
  <c r="G24" i="96"/>
  <c r="I24" i="96" s="1"/>
  <c r="G23" i="96"/>
  <c r="I23" i="96" s="1"/>
  <c r="G22" i="96"/>
  <c r="I22" i="96" s="1"/>
  <c r="I21" i="96"/>
  <c r="G21" i="96"/>
  <c r="G20" i="96"/>
  <c r="I20" i="96" s="1"/>
  <c r="I19" i="96"/>
  <c r="G19" i="96"/>
  <c r="G18" i="96"/>
  <c r="I18" i="96" s="1"/>
  <c r="I17" i="96"/>
  <c r="G17" i="96"/>
  <c r="G16" i="96"/>
  <c r="I16" i="96" s="1"/>
  <c r="G15" i="96"/>
  <c r="I15" i="96" s="1"/>
  <c r="G14" i="96"/>
  <c r="I14" i="96" s="1"/>
  <c r="G13" i="96"/>
  <c r="I13" i="96" s="1"/>
  <c r="G12" i="96"/>
  <c r="I12" i="96" s="1"/>
  <c r="G11" i="96"/>
  <c r="I11" i="96" s="1"/>
  <c r="G10" i="96"/>
  <c r="I10" i="96" s="1"/>
  <c r="G9" i="96"/>
  <c r="I9" i="96" s="1"/>
  <c r="G8" i="96"/>
  <c r="I8" i="96" s="1"/>
  <c r="G7" i="96"/>
  <c r="I7" i="96" s="1"/>
  <c r="G6" i="96"/>
  <c r="I6" i="96" s="1"/>
  <c r="I5" i="96"/>
  <c r="G5" i="96"/>
  <c r="G4" i="96"/>
  <c r="G215" i="94"/>
  <c r="I215" i="94" s="1"/>
  <c r="G214" i="94"/>
  <c r="G213" i="94"/>
  <c r="G212" i="94"/>
  <c r="G211" i="94"/>
  <c r="I210" i="94"/>
  <c r="G210" i="94"/>
  <c r="M210" i="94" s="1"/>
  <c r="O210" i="94" s="1"/>
  <c r="G209" i="94"/>
  <c r="G208" i="94"/>
  <c r="G207" i="94"/>
  <c r="G206" i="94"/>
  <c r="G205" i="94"/>
  <c r="G204" i="94"/>
  <c r="G203" i="94"/>
  <c r="I202" i="94"/>
  <c r="G202" i="94"/>
  <c r="M202" i="94" s="1"/>
  <c r="O202" i="94" s="1"/>
  <c r="G201" i="94"/>
  <c r="G200" i="94"/>
  <c r="G199" i="94"/>
  <c r="G198" i="94"/>
  <c r="G197" i="94"/>
  <c r="G196" i="94"/>
  <c r="G195" i="94"/>
  <c r="I194" i="94"/>
  <c r="G194" i="94"/>
  <c r="M194" i="94" s="1"/>
  <c r="O194" i="94" s="1"/>
  <c r="G193" i="94"/>
  <c r="G192" i="94"/>
  <c r="G191" i="94"/>
  <c r="G190" i="94"/>
  <c r="G189" i="94"/>
  <c r="G188" i="94"/>
  <c r="G187" i="94"/>
  <c r="I186" i="94"/>
  <c r="G186" i="94"/>
  <c r="M186" i="94" s="1"/>
  <c r="O186" i="94" s="1"/>
  <c r="G185" i="94"/>
  <c r="G184" i="94"/>
  <c r="G183" i="94"/>
  <c r="G182" i="94"/>
  <c r="G181" i="94"/>
  <c r="G180" i="94"/>
  <c r="G179" i="94"/>
  <c r="G178" i="94"/>
  <c r="M178" i="94" s="1"/>
  <c r="O178" i="94" s="1"/>
  <c r="G177" i="94"/>
  <c r="G176" i="94"/>
  <c r="G175" i="94"/>
  <c r="G174" i="94"/>
  <c r="G173" i="94"/>
  <c r="G172" i="94"/>
  <c r="G171" i="94"/>
  <c r="G170" i="94"/>
  <c r="G169" i="94"/>
  <c r="G168" i="94"/>
  <c r="G167" i="94"/>
  <c r="G166" i="94"/>
  <c r="G165" i="94"/>
  <c r="G164" i="94"/>
  <c r="G163" i="94"/>
  <c r="I162" i="94"/>
  <c r="G162" i="94"/>
  <c r="M162" i="94" s="1"/>
  <c r="O162" i="94" s="1"/>
  <c r="G161" i="94"/>
  <c r="G160" i="94"/>
  <c r="G159" i="94"/>
  <c r="G158" i="94"/>
  <c r="G157" i="94"/>
  <c r="G156" i="94"/>
  <c r="G155" i="94"/>
  <c r="G154" i="94"/>
  <c r="M154" i="94" s="1"/>
  <c r="O154" i="94" s="1"/>
  <c r="G153" i="94"/>
  <c r="G152" i="94"/>
  <c r="G151" i="94"/>
  <c r="G150" i="94"/>
  <c r="G149" i="94"/>
  <c r="G148" i="94"/>
  <c r="G147" i="94"/>
  <c r="I146" i="94"/>
  <c r="G146" i="94"/>
  <c r="M146" i="94" s="1"/>
  <c r="O146" i="94" s="1"/>
  <c r="G145" i="94"/>
  <c r="G144" i="94"/>
  <c r="G143" i="94"/>
  <c r="G142" i="94"/>
  <c r="G141" i="94"/>
  <c r="G140" i="94"/>
  <c r="G139" i="94"/>
  <c r="G138" i="94"/>
  <c r="M138" i="94" s="1"/>
  <c r="O138" i="94" s="1"/>
  <c r="G137" i="94"/>
  <c r="G136" i="94"/>
  <c r="G135" i="94"/>
  <c r="G134" i="94"/>
  <c r="G133" i="94"/>
  <c r="G132" i="94"/>
  <c r="G131" i="94"/>
  <c r="I130" i="94"/>
  <c r="G130" i="94"/>
  <c r="M130" i="94" s="1"/>
  <c r="O130" i="94" s="1"/>
  <c r="G129" i="94"/>
  <c r="G128" i="94"/>
  <c r="G127" i="94"/>
  <c r="G126" i="94"/>
  <c r="G125" i="94"/>
  <c r="G124" i="94"/>
  <c r="G123" i="94"/>
  <c r="I122" i="94"/>
  <c r="G122" i="94"/>
  <c r="M122" i="94" s="1"/>
  <c r="O122" i="94" s="1"/>
  <c r="G121" i="94"/>
  <c r="G120" i="94"/>
  <c r="G119" i="94"/>
  <c r="G118" i="94"/>
  <c r="G117" i="94"/>
  <c r="G116" i="94"/>
  <c r="G115" i="94"/>
  <c r="G114" i="94"/>
  <c r="M114" i="94" s="1"/>
  <c r="O114" i="94" s="1"/>
  <c r="G113" i="94"/>
  <c r="G112" i="94"/>
  <c r="G111" i="94"/>
  <c r="G110" i="94"/>
  <c r="G109" i="94"/>
  <c r="G108" i="94"/>
  <c r="G107" i="94"/>
  <c r="G106" i="94"/>
  <c r="G105" i="94"/>
  <c r="G104" i="94"/>
  <c r="G103" i="94"/>
  <c r="G102" i="94"/>
  <c r="G101" i="94"/>
  <c r="G100" i="94"/>
  <c r="G99" i="94"/>
  <c r="I98" i="94"/>
  <c r="G98" i="94"/>
  <c r="M98" i="94" s="1"/>
  <c r="O98" i="94" s="1"/>
  <c r="G97" i="94"/>
  <c r="G96" i="94"/>
  <c r="G95" i="94"/>
  <c r="G94" i="94"/>
  <c r="G93" i="94"/>
  <c r="G92" i="94"/>
  <c r="G91" i="94"/>
  <c r="G90" i="94"/>
  <c r="M90" i="94" s="1"/>
  <c r="O90" i="94" s="1"/>
  <c r="G89" i="94"/>
  <c r="G88" i="94"/>
  <c r="G87" i="94"/>
  <c r="G86" i="94"/>
  <c r="G85" i="94"/>
  <c r="G84" i="94"/>
  <c r="G83" i="94"/>
  <c r="I82" i="94"/>
  <c r="G82" i="94"/>
  <c r="M82" i="94" s="1"/>
  <c r="O82" i="94" s="1"/>
  <c r="G81" i="94"/>
  <c r="G80" i="94"/>
  <c r="G79" i="94"/>
  <c r="G78" i="94"/>
  <c r="G77" i="94"/>
  <c r="G76" i="94"/>
  <c r="G75" i="94"/>
  <c r="G74" i="94"/>
  <c r="M74" i="94" s="1"/>
  <c r="O74" i="94" s="1"/>
  <c r="G73" i="94"/>
  <c r="G72" i="94"/>
  <c r="G71" i="94"/>
  <c r="G70" i="94"/>
  <c r="G69" i="94"/>
  <c r="G68" i="94"/>
  <c r="G67" i="94"/>
  <c r="I66" i="94"/>
  <c r="G66" i="94"/>
  <c r="M66" i="94" s="1"/>
  <c r="O66" i="94" s="1"/>
  <c r="G65" i="94"/>
  <c r="G64" i="94"/>
  <c r="G63" i="94"/>
  <c r="G62" i="94"/>
  <c r="G61" i="94"/>
  <c r="G60" i="94"/>
  <c r="G59" i="94"/>
  <c r="I58" i="94"/>
  <c r="G58" i="94"/>
  <c r="M58" i="94" s="1"/>
  <c r="O58" i="94" s="1"/>
  <c r="G57" i="94"/>
  <c r="G56" i="94"/>
  <c r="G55" i="94"/>
  <c r="G54" i="94"/>
  <c r="G53" i="94"/>
  <c r="G52" i="94"/>
  <c r="G51" i="94"/>
  <c r="G50" i="94"/>
  <c r="M50" i="94" s="1"/>
  <c r="O50" i="94" s="1"/>
  <c r="G49" i="94"/>
  <c r="G48" i="94"/>
  <c r="G47" i="94"/>
  <c r="G46" i="94"/>
  <c r="I45" i="94"/>
  <c r="G45" i="94"/>
  <c r="M45" i="94" s="1"/>
  <c r="O45" i="94" s="1"/>
  <c r="G44" i="94"/>
  <c r="G43" i="94"/>
  <c r="G42" i="94"/>
  <c r="I41" i="94"/>
  <c r="G41" i="94"/>
  <c r="M41" i="94" s="1"/>
  <c r="O41" i="94" s="1"/>
  <c r="G40" i="94"/>
  <c r="I39" i="94"/>
  <c r="G39" i="94"/>
  <c r="M39" i="94" s="1"/>
  <c r="O39" i="94" s="1"/>
  <c r="G38" i="94"/>
  <c r="I37" i="94"/>
  <c r="G37" i="94"/>
  <c r="M37" i="94" s="1"/>
  <c r="O37" i="94" s="1"/>
  <c r="G36" i="94"/>
  <c r="G35" i="94"/>
  <c r="M35" i="94" s="1"/>
  <c r="O35" i="94" s="1"/>
  <c r="G34" i="94"/>
  <c r="G33" i="94"/>
  <c r="M33" i="94" s="1"/>
  <c r="O33" i="94" s="1"/>
  <c r="G32" i="94"/>
  <c r="G31" i="94"/>
  <c r="M31" i="94" s="1"/>
  <c r="O31" i="94" s="1"/>
  <c r="G30" i="94"/>
  <c r="I29" i="94"/>
  <c r="G29" i="94"/>
  <c r="M29" i="94" s="1"/>
  <c r="O29" i="94" s="1"/>
  <c r="G28" i="94"/>
  <c r="G27" i="94"/>
  <c r="G26" i="94"/>
  <c r="I25" i="94"/>
  <c r="G25" i="94"/>
  <c r="M25" i="94" s="1"/>
  <c r="O25" i="94" s="1"/>
  <c r="G24" i="94"/>
  <c r="I23" i="94"/>
  <c r="G23" i="94"/>
  <c r="M23" i="94" s="1"/>
  <c r="O23" i="94" s="1"/>
  <c r="G22" i="94"/>
  <c r="I21" i="94"/>
  <c r="G21" i="94"/>
  <c r="M21" i="94" s="1"/>
  <c r="O21" i="94" s="1"/>
  <c r="G20" i="94"/>
  <c r="G19" i="94"/>
  <c r="M19" i="94" s="1"/>
  <c r="O19" i="94" s="1"/>
  <c r="G18" i="94"/>
  <c r="G17" i="94"/>
  <c r="M17" i="94" s="1"/>
  <c r="O17" i="94" s="1"/>
  <c r="G16" i="94"/>
  <c r="G15" i="94"/>
  <c r="M15" i="94" s="1"/>
  <c r="O15" i="94" s="1"/>
  <c r="G14" i="94"/>
  <c r="I13" i="94"/>
  <c r="G13" i="94"/>
  <c r="M13" i="94" s="1"/>
  <c r="O13" i="94" s="1"/>
  <c r="G12" i="94"/>
  <c r="G11" i="94"/>
  <c r="G10" i="94"/>
  <c r="I9" i="94"/>
  <c r="G9" i="94"/>
  <c r="M9" i="94" s="1"/>
  <c r="O9" i="94" s="1"/>
  <c r="G8" i="94"/>
  <c r="I7" i="94"/>
  <c r="G7" i="94"/>
  <c r="M7" i="94" s="1"/>
  <c r="O7" i="94" s="1"/>
  <c r="G6" i="94"/>
  <c r="I5" i="94"/>
  <c r="G5" i="94"/>
  <c r="M5" i="94" s="1"/>
  <c r="O5" i="94" s="1"/>
  <c r="G4" i="94"/>
  <c r="G262" i="93"/>
  <c r="G261" i="93"/>
  <c r="G260" i="93"/>
  <c r="G259" i="93"/>
  <c r="G258" i="93"/>
  <c r="G257" i="93"/>
  <c r="M257" i="93" s="1"/>
  <c r="G256" i="93"/>
  <c r="G255" i="93"/>
  <c r="G254" i="93"/>
  <c r="G253" i="93"/>
  <c r="G252" i="93"/>
  <c r="G251" i="93"/>
  <c r="G250" i="93"/>
  <c r="G249" i="93"/>
  <c r="M249" i="93" s="1"/>
  <c r="G248" i="93"/>
  <c r="G247" i="93"/>
  <c r="G246" i="93"/>
  <c r="G245" i="93"/>
  <c r="G244" i="93"/>
  <c r="G243" i="93"/>
  <c r="G242" i="93"/>
  <c r="I241" i="93"/>
  <c r="G241" i="93"/>
  <c r="M241" i="93" s="1"/>
  <c r="G240" i="93"/>
  <c r="G239" i="93"/>
  <c r="G238" i="93"/>
  <c r="G237" i="93"/>
  <c r="G236" i="93"/>
  <c r="G235" i="93"/>
  <c r="G234" i="93"/>
  <c r="G233" i="93"/>
  <c r="M233" i="93" s="1"/>
  <c r="G232" i="93"/>
  <c r="G231" i="93"/>
  <c r="G230" i="93"/>
  <c r="G229" i="93"/>
  <c r="G228" i="93"/>
  <c r="G227" i="93"/>
  <c r="G226" i="93"/>
  <c r="I225" i="93"/>
  <c r="G225" i="93"/>
  <c r="M225" i="93" s="1"/>
  <c r="G224" i="93"/>
  <c r="G223" i="93"/>
  <c r="G222" i="93"/>
  <c r="G221" i="93"/>
  <c r="G220" i="93"/>
  <c r="G219" i="93"/>
  <c r="G218" i="93"/>
  <c r="I217" i="93"/>
  <c r="G217" i="93"/>
  <c r="M217" i="93" s="1"/>
  <c r="G216" i="93"/>
  <c r="G215" i="93"/>
  <c r="G214" i="93"/>
  <c r="G213" i="93"/>
  <c r="G212" i="93"/>
  <c r="G211" i="93"/>
  <c r="G210" i="93"/>
  <c r="G209" i="93"/>
  <c r="M209" i="93" s="1"/>
  <c r="G208" i="93"/>
  <c r="G207" i="93"/>
  <c r="G206" i="93"/>
  <c r="G205" i="93"/>
  <c r="G204" i="93"/>
  <c r="G203" i="93"/>
  <c r="G202" i="93"/>
  <c r="G201" i="93"/>
  <c r="G200" i="93"/>
  <c r="G199" i="93"/>
  <c r="G198" i="93"/>
  <c r="G197" i="93"/>
  <c r="G196" i="93"/>
  <c r="G195" i="93"/>
  <c r="G194" i="93"/>
  <c r="G193" i="93"/>
  <c r="M193" i="93" s="1"/>
  <c r="G192" i="93"/>
  <c r="G191" i="93"/>
  <c r="G190" i="93"/>
  <c r="G189" i="93"/>
  <c r="G188" i="93"/>
  <c r="G187" i="93"/>
  <c r="G186" i="93"/>
  <c r="G185" i="93"/>
  <c r="M185" i="93" s="1"/>
  <c r="G184" i="93"/>
  <c r="G183" i="93"/>
  <c r="G182" i="93"/>
  <c r="G181" i="93"/>
  <c r="G180" i="93"/>
  <c r="G179" i="93"/>
  <c r="G178" i="93"/>
  <c r="I177" i="93"/>
  <c r="G177" i="93"/>
  <c r="M177" i="93" s="1"/>
  <c r="G176" i="93"/>
  <c r="G175" i="93"/>
  <c r="G174" i="93"/>
  <c r="G173" i="93"/>
  <c r="G172" i="93"/>
  <c r="G171" i="93"/>
  <c r="G170" i="93"/>
  <c r="G169" i="93"/>
  <c r="M169" i="93" s="1"/>
  <c r="G168" i="93"/>
  <c r="G167" i="93"/>
  <c r="G166" i="93"/>
  <c r="G165" i="93"/>
  <c r="G164" i="93"/>
  <c r="G163" i="93"/>
  <c r="G162" i="93"/>
  <c r="I161" i="93"/>
  <c r="G161" i="93"/>
  <c r="M161" i="93" s="1"/>
  <c r="G160" i="93"/>
  <c r="G159" i="93"/>
  <c r="G158" i="93"/>
  <c r="G157" i="93"/>
  <c r="G156" i="93"/>
  <c r="G155" i="93"/>
  <c r="G154" i="93"/>
  <c r="I153" i="93"/>
  <c r="G153" i="93"/>
  <c r="M153" i="93" s="1"/>
  <c r="G152" i="93"/>
  <c r="G151" i="93"/>
  <c r="G150" i="93"/>
  <c r="G149" i="93"/>
  <c r="G148" i="93"/>
  <c r="G147" i="93"/>
  <c r="G146" i="93"/>
  <c r="G145" i="93"/>
  <c r="M145" i="93" s="1"/>
  <c r="G144" i="93"/>
  <c r="G143" i="93"/>
  <c r="G142" i="93"/>
  <c r="G141" i="93"/>
  <c r="G140" i="93"/>
  <c r="G139" i="93"/>
  <c r="G138" i="93"/>
  <c r="G137" i="93"/>
  <c r="G136" i="93"/>
  <c r="G135" i="93"/>
  <c r="G134" i="93"/>
  <c r="G133" i="93"/>
  <c r="G132" i="93"/>
  <c r="G131" i="93"/>
  <c r="G130" i="93"/>
  <c r="I129" i="93"/>
  <c r="G129" i="93"/>
  <c r="M129" i="93" s="1"/>
  <c r="G128" i="93"/>
  <c r="G127" i="93"/>
  <c r="G126" i="93"/>
  <c r="G125" i="93"/>
  <c r="G124" i="93"/>
  <c r="G123" i="93"/>
  <c r="G122" i="93"/>
  <c r="G121" i="93"/>
  <c r="M121" i="93" s="1"/>
  <c r="G120" i="93"/>
  <c r="G119" i="93"/>
  <c r="G118" i="93"/>
  <c r="G117" i="93"/>
  <c r="G116" i="93"/>
  <c r="G115" i="93"/>
  <c r="G114" i="93"/>
  <c r="I113" i="93"/>
  <c r="G113" i="93"/>
  <c r="M113" i="93" s="1"/>
  <c r="G112" i="93"/>
  <c r="G111" i="93"/>
  <c r="G110" i="93"/>
  <c r="G109" i="93"/>
  <c r="G108" i="93"/>
  <c r="G107" i="93"/>
  <c r="G106" i="93"/>
  <c r="G105" i="93"/>
  <c r="M105" i="93" s="1"/>
  <c r="G104" i="93"/>
  <c r="G103" i="93"/>
  <c r="G102" i="93"/>
  <c r="G101" i="93"/>
  <c r="G100" i="93"/>
  <c r="G99" i="93"/>
  <c r="G98" i="93"/>
  <c r="I97" i="93"/>
  <c r="G97" i="93"/>
  <c r="M97" i="93" s="1"/>
  <c r="G96" i="93"/>
  <c r="G95" i="93"/>
  <c r="G94" i="93"/>
  <c r="G93" i="93"/>
  <c r="I92" i="93"/>
  <c r="G92" i="93"/>
  <c r="M92" i="93" s="1"/>
  <c r="G91" i="93"/>
  <c r="I90" i="93"/>
  <c r="G90" i="93"/>
  <c r="M90" i="93" s="1"/>
  <c r="G89" i="93"/>
  <c r="G88" i="93"/>
  <c r="M88" i="93" s="1"/>
  <c r="G87" i="93"/>
  <c r="G86" i="93"/>
  <c r="M86" i="93" s="1"/>
  <c r="G85" i="93"/>
  <c r="G84" i="93"/>
  <c r="M84" i="93" s="1"/>
  <c r="G83" i="93"/>
  <c r="G82" i="93"/>
  <c r="M82" i="93" s="1"/>
  <c r="G81" i="93"/>
  <c r="I80" i="93"/>
  <c r="G80" i="93"/>
  <c r="M80" i="93" s="1"/>
  <c r="G79" i="93"/>
  <c r="G78" i="93"/>
  <c r="G77" i="93"/>
  <c r="G76" i="93"/>
  <c r="M76" i="93" s="1"/>
  <c r="G75" i="93"/>
  <c r="I74" i="93"/>
  <c r="G74" i="93"/>
  <c r="M74" i="93" s="1"/>
  <c r="G73" i="93"/>
  <c r="I72" i="93"/>
  <c r="G72" i="93"/>
  <c r="M72" i="93" s="1"/>
  <c r="G71" i="93"/>
  <c r="G70" i="93"/>
  <c r="M70" i="93" s="1"/>
  <c r="G69" i="93"/>
  <c r="G68" i="93"/>
  <c r="M68" i="93" s="1"/>
  <c r="G67" i="93"/>
  <c r="G66" i="93"/>
  <c r="M66" i="93" s="1"/>
  <c r="G65" i="93"/>
  <c r="I64" i="93"/>
  <c r="G64" i="93"/>
  <c r="M64" i="93" s="1"/>
  <c r="G63" i="93"/>
  <c r="G62" i="93"/>
  <c r="G61" i="93"/>
  <c r="I60" i="93"/>
  <c r="G60" i="93"/>
  <c r="M60" i="93" s="1"/>
  <c r="G59" i="93"/>
  <c r="I58" i="93"/>
  <c r="G58" i="93"/>
  <c r="M58" i="93" s="1"/>
  <c r="G57" i="93"/>
  <c r="G56" i="93"/>
  <c r="M56" i="93" s="1"/>
  <c r="G55" i="93"/>
  <c r="G54" i="93"/>
  <c r="M54" i="93" s="1"/>
  <c r="G53" i="93"/>
  <c r="G52" i="93"/>
  <c r="M52" i="93" s="1"/>
  <c r="G51" i="93"/>
  <c r="G50" i="93"/>
  <c r="M50" i="93" s="1"/>
  <c r="G49" i="93"/>
  <c r="I48" i="93"/>
  <c r="G48" i="93"/>
  <c r="M48" i="93" s="1"/>
  <c r="G47" i="93"/>
  <c r="G46" i="93"/>
  <c r="G45" i="93"/>
  <c r="G44" i="93"/>
  <c r="M44" i="93" s="1"/>
  <c r="G43" i="93"/>
  <c r="I42" i="93"/>
  <c r="G42" i="93"/>
  <c r="M42" i="93" s="1"/>
  <c r="G41" i="93"/>
  <c r="G40" i="93"/>
  <c r="M40" i="93" s="1"/>
  <c r="G39" i="93"/>
  <c r="G38" i="93"/>
  <c r="M38" i="93" s="1"/>
  <c r="G37" i="93"/>
  <c r="G36" i="93"/>
  <c r="M36" i="93" s="1"/>
  <c r="G35" i="93"/>
  <c r="G34" i="93"/>
  <c r="M34" i="93" s="1"/>
  <c r="G33" i="93"/>
  <c r="I32" i="93"/>
  <c r="G32" i="93"/>
  <c r="M32" i="93" s="1"/>
  <c r="G31" i="93"/>
  <c r="G30" i="93"/>
  <c r="G29" i="93"/>
  <c r="I28" i="93"/>
  <c r="G28" i="93"/>
  <c r="M28" i="93" s="1"/>
  <c r="G27" i="93"/>
  <c r="I26" i="93"/>
  <c r="G26" i="93"/>
  <c r="M26" i="93" s="1"/>
  <c r="G25" i="93"/>
  <c r="G24" i="93"/>
  <c r="M24" i="93" s="1"/>
  <c r="G23" i="93"/>
  <c r="G22" i="93"/>
  <c r="M22" i="93" s="1"/>
  <c r="G21" i="93"/>
  <c r="G20" i="93"/>
  <c r="M20" i="93" s="1"/>
  <c r="G19" i="93"/>
  <c r="G18" i="93"/>
  <c r="M18" i="93" s="1"/>
  <c r="G17" i="93"/>
  <c r="I16" i="93"/>
  <c r="G16" i="93"/>
  <c r="M16" i="93" s="1"/>
  <c r="G15" i="93"/>
  <c r="G14" i="93"/>
  <c r="G13" i="93"/>
  <c r="G12" i="93"/>
  <c r="M12" i="93" s="1"/>
  <c r="G11" i="93"/>
  <c r="I10" i="93"/>
  <c r="G10" i="93"/>
  <c r="M10" i="93" s="1"/>
  <c r="G9" i="93"/>
  <c r="G8" i="93"/>
  <c r="M8" i="93" s="1"/>
  <c r="G7" i="93"/>
  <c r="G6" i="93"/>
  <c r="M6" i="93" s="1"/>
  <c r="G5" i="93"/>
  <c r="G4" i="93"/>
  <c r="M4" i="93" s="1"/>
  <c r="H250" i="59"/>
  <c r="J250" i="59" s="1"/>
  <c r="H249" i="59"/>
  <c r="J249" i="59" s="1"/>
  <c r="H248" i="59"/>
  <c r="J248" i="59" s="1"/>
  <c r="H247" i="59"/>
  <c r="J247" i="59" s="1"/>
  <c r="H246" i="59"/>
  <c r="J246" i="59" s="1"/>
  <c r="H245" i="59"/>
  <c r="J245" i="59" s="1"/>
  <c r="H244" i="59"/>
  <c r="J244" i="59" s="1"/>
  <c r="H243" i="59"/>
  <c r="J243" i="59" s="1"/>
  <c r="H242" i="59"/>
  <c r="J242" i="59" s="1"/>
  <c r="H241" i="59"/>
  <c r="J241" i="59" s="1"/>
  <c r="H240" i="59"/>
  <c r="J240" i="59" s="1"/>
  <c r="H239" i="59"/>
  <c r="J239" i="59" s="1"/>
  <c r="H238" i="59"/>
  <c r="J238" i="59" s="1"/>
  <c r="H237" i="59"/>
  <c r="J237" i="59" s="1"/>
  <c r="H236" i="59"/>
  <c r="J236" i="59" s="1"/>
  <c r="H235" i="59"/>
  <c r="J235" i="59" s="1"/>
  <c r="H234" i="59"/>
  <c r="J234" i="59" s="1"/>
  <c r="H233" i="59"/>
  <c r="J233" i="59" s="1"/>
  <c r="H232" i="59"/>
  <c r="J232" i="59" s="1"/>
  <c r="H231" i="59"/>
  <c r="J231" i="59" s="1"/>
  <c r="H230" i="59"/>
  <c r="J230" i="59" s="1"/>
  <c r="H229" i="59"/>
  <c r="J229" i="59" s="1"/>
  <c r="H228" i="59"/>
  <c r="J228" i="59" s="1"/>
  <c r="H227" i="59"/>
  <c r="J227" i="59" s="1"/>
  <c r="H226" i="59"/>
  <c r="J226" i="59" s="1"/>
  <c r="H225" i="59"/>
  <c r="J225" i="59" s="1"/>
  <c r="H224" i="59"/>
  <c r="J224" i="59" s="1"/>
  <c r="H223" i="59"/>
  <c r="J223" i="59" s="1"/>
  <c r="H222" i="59"/>
  <c r="J222" i="59" s="1"/>
  <c r="H221" i="59"/>
  <c r="J221" i="59" s="1"/>
  <c r="H220" i="59"/>
  <c r="J220" i="59" s="1"/>
  <c r="H219" i="59"/>
  <c r="J219" i="59" s="1"/>
  <c r="H218" i="59"/>
  <c r="J218" i="59" s="1"/>
  <c r="H217" i="59"/>
  <c r="J217" i="59" s="1"/>
  <c r="H216" i="59"/>
  <c r="J216" i="59" s="1"/>
  <c r="H215" i="59"/>
  <c r="J215" i="59" s="1"/>
  <c r="H214" i="59"/>
  <c r="J214" i="59" s="1"/>
  <c r="H213" i="59"/>
  <c r="J213" i="59" s="1"/>
  <c r="H212" i="59"/>
  <c r="J212" i="59" s="1"/>
  <c r="H211" i="59"/>
  <c r="J211" i="59" s="1"/>
  <c r="H210" i="59"/>
  <c r="J210" i="59" s="1"/>
  <c r="H209" i="59"/>
  <c r="J209" i="59" s="1"/>
  <c r="H208" i="59"/>
  <c r="J208" i="59" s="1"/>
  <c r="H207" i="59"/>
  <c r="J207" i="59" s="1"/>
  <c r="H206" i="59"/>
  <c r="J206" i="59" s="1"/>
  <c r="H205" i="59"/>
  <c r="J205" i="59" s="1"/>
  <c r="H204" i="59"/>
  <c r="J204" i="59" s="1"/>
  <c r="H203" i="59"/>
  <c r="J203" i="59" s="1"/>
  <c r="H202" i="59"/>
  <c r="J202" i="59" s="1"/>
  <c r="H201" i="59"/>
  <c r="J201" i="59" s="1"/>
  <c r="H200" i="59"/>
  <c r="J200" i="59" s="1"/>
  <c r="H199" i="59"/>
  <c r="J199" i="59" s="1"/>
  <c r="H198" i="59"/>
  <c r="J198" i="59" s="1"/>
  <c r="H197" i="59"/>
  <c r="J197" i="59" s="1"/>
  <c r="H196" i="59"/>
  <c r="J196" i="59" s="1"/>
  <c r="H195" i="59"/>
  <c r="J195" i="59" s="1"/>
  <c r="H194" i="59"/>
  <c r="J194" i="59" s="1"/>
  <c r="H193" i="59"/>
  <c r="J193" i="59" s="1"/>
  <c r="H192" i="59"/>
  <c r="J192" i="59" s="1"/>
  <c r="H191" i="59"/>
  <c r="J191" i="59" s="1"/>
  <c r="H190" i="59"/>
  <c r="J190" i="59" s="1"/>
  <c r="H189" i="59"/>
  <c r="J189" i="59" s="1"/>
  <c r="H188" i="59"/>
  <c r="J188" i="59" s="1"/>
  <c r="H187" i="59"/>
  <c r="J187" i="59" s="1"/>
  <c r="H186" i="59"/>
  <c r="J186" i="59" s="1"/>
  <c r="H185" i="59"/>
  <c r="J185" i="59" s="1"/>
  <c r="H184" i="59"/>
  <c r="J184" i="59" s="1"/>
  <c r="H183" i="59"/>
  <c r="J183" i="59" s="1"/>
  <c r="H182" i="59"/>
  <c r="J182" i="59" s="1"/>
  <c r="H181" i="59"/>
  <c r="J181" i="59" s="1"/>
  <c r="H180" i="59"/>
  <c r="J180" i="59" s="1"/>
  <c r="H179" i="59"/>
  <c r="J179" i="59" s="1"/>
  <c r="H178" i="59"/>
  <c r="J178" i="59" s="1"/>
  <c r="H177" i="59"/>
  <c r="J177" i="59" s="1"/>
  <c r="H176" i="59"/>
  <c r="J176" i="59" s="1"/>
  <c r="H175" i="59"/>
  <c r="J175" i="59" s="1"/>
  <c r="H174" i="59"/>
  <c r="J174" i="59" s="1"/>
  <c r="H173" i="59"/>
  <c r="J173" i="59" s="1"/>
  <c r="H172" i="59"/>
  <c r="J172" i="59" s="1"/>
  <c r="H171" i="59"/>
  <c r="J171" i="59" s="1"/>
  <c r="H170" i="59"/>
  <c r="J170" i="59" s="1"/>
  <c r="H169" i="59"/>
  <c r="J169" i="59" s="1"/>
  <c r="H168" i="59"/>
  <c r="J168" i="59" s="1"/>
  <c r="H167" i="59"/>
  <c r="J167" i="59" s="1"/>
  <c r="H166" i="59"/>
  <c r="J166" i="59" s="1"/>
  <c r="H165" i="59"/>
  <c r="J165" i="59" s="1"/>
  <c r="H164" i="59"/>
  <c r="J164" i="59" s="1"/>
  <c r="H163" i="59"/>
  <c r="J163" i="59" s="1"/>
  <c r="J162" i="59"/>
  <c r="H162" i="59"/>
  <c r="H161" i="59"/>
  <c r="J161" i="59" s="1"/>
  <c r="H160" i="59"/>
  <c r="J160" i="59" s="1"/>
  <c r="H159" i="59"/>
  <c r="J159" i="59" s="1"/>
  <c r="H158" i="59"/>
  <c r="J158" i="59" s="1"/>
  <c r="H157" i="59"/>
  <c r="J157" i="59" s="1"/>
  <c r="H156" i="59"/>
  <c r="J156" i="59" s="1"/>
  <c r="H155" i="59"/>
  <c r="J155" i="59" s="1"/>
  <c r="J154" i="59"/>
  <c r="H154" i="59"/>
  <c r="H153" i="59"/>
  <c r="J153" i="59" s="1"/>
  <c r="H152" i="59"/>
  <c r="J152" i="59" s="1"/>
  <c r="H151" i="59"/>
  <c r="J151" i="59" s="1"/>
  <c r="J150" i="59"/>
  <c r="H150" i="59"/>
  <c r="H149" i="59"/>
  <c r="J149" i="59" s="1"/>
  <c r="H148" i="59"/>
  <c r="J148" i="59" s="1"/>
  <c r="H147" i="59"/>
  <c r="J147" i="59" s="1"/>
  <c r="J146" i="59"/>
  <c r="H146" i="59"/>
  <c r="H145" i="59"/>
  <c r="J145" i="59" s="1"/>
  <c r="H144" i="59"/>
  <c r="J144" i="59" s="1"/>
  <c r="H143" i="59"/>
  <c r="J143" i="59" s="1"/>
  <c r="H142" i="59"/>
  <c r="J142" i="59" s="1"/>
  <c r="H141" i="59"/>
  <c r="J141" i="59" s="1"/>
  <c r="H140" i="59"/>
  <c r="J140" i="59" s="1"/>
  <c r="H139" i="59"/>
  <c r="J139" i="59" s="1"/>
  <c r="J138" i="59"/>
  <c r="H138" i="59"/>
  <c r="H137" i="59"/>
  <c r="J137" i="59" s="1"/>
  <c r="H136" i="59"/>
  <c r="J136" i="59" s="1"/>
  <c r="H135" i="59"/>
  <c r="J135" i="59" s="1"/>
  <c r="J134" i="59"/>
  <c r="H134" i="59"/>
  <c r="H133" i="59"/>
  <c r="J133" i="59" s="1"/>
  <c r="H132" i="59"/>
  <c r="J132" i="59" s="1"/>
  <c r="H131" i="59"/>
  <c r="J131" i="59" s="1"/>
  <c r="J130" i="59"/>
  <c r="H130" i="59"/>
  <c r="H129" i="59"/>
  <c r="J129" i="59" s="1"/>
  <c r="H128" i="59"/>
  <c r="J128" i="59" s="1"/>
  <c r="H127" i="59"/>
  <c r="J127" i="59" s="1"/>
  <c r="H126" i="59"/>
  <c r="J126" i="59" s="1"/>
  <c r="H125" i="59"/>
  <c r="J125" i="59" s="1"/>
  <c r="H124" i="59"/>
  <c r="J124" i="59" s="1"/>
  <c r="H123" i="59"/>
  <c r="J123" i="59" s="1"/>
  <c r="J122" i="59"/>
  <c r="H122" i="59"/>
  <c r="H121" i="59"/>
  <c r="J121" i="59" s="1"/>
  <c r="H120" i="59"/>
  <c r="J120" i="59" s="1"/>
  <c r="H119" i="59"/>
  <c r="J119" i="59" s="1"/>
  <c r="J118" i="59"/>
  <c r="H118" i="59"/>
  <c r="H117" i="59"/>
  <c r="J117" i="59" s="1"/>
  <c r="H116" i="59"/>
  <c r="J116" i="59" s="1"/>
  <c r="H115" i="59"/>
  <c r="J115" i="59" s="1"/>
  <c r="J114" i="59"/>
  <c r="H114" i="59"/>
  <c r="H113" i="59"/>
  <c r="J113" i="59" s="1"/>
  <c r="H112" i="59"/>
  <c r="J112" i="59" s="1"/>
  <c r="H111" i="59"/>
  <c r="J111" i="59" s="1"/>
  <c r="H110" i="59"/>
  <c r="J110" i="59" s="1"/>
  <c r="H109" i="59"/>
  <c r="J109" i="59" s="1"/>
  <c r="H108" i="59"/>
  <c r="J108" i="59" s="1"/>
  <c r="H107" i="59"/>
  <c r="J107" i="59" s="1"/>
  <c r="H106" i="59"/>
  <c r="J106" i="59" s="1"/>
  <c r="H105" i="59"/>
  <c r="J105" i="59" s="1"/>
  <c r="J104" i="59"/>
  <c r="H104" i="59"/>
  <c r="H103" i="59"/>
  <c r="J103" i="59" s="1"/>
  <c r="H102" i="59"/>
  <c r="J102" i="59" s="1"/>
  <c r="H101" i="59"/>
  <c r="J101" i="59" s="1"/>
  <c r="H100" i="59"/>
  <c r="J100" i="59" s="1"/>
  <c r="H99" i="59"/>
  <c r="J99" i="59" s="1"/>
  <c r="H98" i="59"/>
  <c r="J98" i="59" s="1"/>
  <c r="H97" i="59"/>
  <c r="J97" i="59" s="1"/>
  <c r="H96" i="59"/>
  <c r="J96" i="59" s="1"/>
  <c r="H95" i="59"/>
  <c r="J95" i="59" s="1"/>
  <c r="H94" i="59"/>
  <c r="J94" i="59" s="1"/>
  <c r="H93" i="59"/>
  <c r="J93" i="59" s="1"/>
  <c r="H92" i="59"/>
  <c r="J92" i="59" s="1"/>
  <c r="H91" i="59"/>
  <c r="J91" i="59" s="1"/>
  <c r="H90" i="59"/>
  <c r="J90" i="59" s="1"/>
  <c r="H89" i="59"/>
  <c r="J89" i="59" s="1"/>
  <c r="H88" i="59"/>
  <c r="J88" i="59" s="1"/>
  <c r="H87" i="59"/>
  <c r="J87" i="59" s="1"/>
  <c r="H86" i="59"/>
  <c r="J86" i="59" s="1"/>
  <c r="H85" i="59"/>
  <c r="J85" i="59" s="1"/>
  <c r="H84" i="59"/>
  <c r="J84" i="59" s="1"/>
  <c r="H83" i="59"/>
  <c r="J83" i="59" s="1"/>
  <c r="H82" i="59"/>
  <c r="J82" i="59" s="1"/>
  <c r="H81" i="59"/>
  <c r="J81" i="59" s="1"/>
  <c r="H80" i="59"/>
  <c r="J80" i="59" s="1"/>
  <c r="H79" i="59"/>
  <c r="J79" i="59" s="1"/>
  <c r="J78" i="59"/>
  <c r="H78" i="59"/>
  <c r="H77" i="59"/>
  <c r="J77" i="59" s="1"/>
  <c r="J76" i="59"/>
  <c r="H76" i="59"/>
  <c r="H75" i="59"/>
  <c r="J75" i="59" s="1"/>
  <c r="J74" i="59"/>
  <c r="H74" i="59"/>
  <c r="H73" i="59"/>
  <c r="J73" i="59" s="1"/>
  <c r="H72" i="59"/>
  <c r="J72" i="59" s="1"/>
  <c r="H71" i="59"/>
  <c r="J71" i="59" s="1"/>
  <c r="H70" i="59"/>
  <c r="J70" i="59" s="1"/>
  <c r="J69" i="59"/>
  <c r="H69" i="59"/>
  <c r="J68" i="59"/>
  <c r="H68" i="59"/>
  <c r="J67" i="59"/>
  <c r="H67" i="59"/>
  <c r="H66" i="59"/>
  <c r="J66" i="59" s="1"/>
  <c r="J65" i="59"/>
  <c r="H65" i="59"/>
  <c r="J64" i="59"/>
  <c r="H64" i="59"/>
  <c r="H63" i="59"/>
  <c r="J63" i="59" s="1"/>
  <c r="J62" i="59"/>
  <c r="H62" i="59"/>
  <c r="H61" i="59"/>
  <c r="J61" i="59" s="1"/>
  <c r="J60" i="59"/>
  <c r="H60" i="59"/>
  <c r="H59" i="59"/>
  <c r="J59" i="59" s="1"/>
  <c r="H58" i="59"/>
  <c r="J58" i="59" s="1"/>
  <c r="H57" i="59"/>
  <c r="J57" i="59" s="1"/>
  <c r="H56" i="59"/>
  <c r="J56" i="59" s="1"/>
  <c r="H55" i="59"/>
  <c r="J55" i="59" s="1"/>
  <c r="H54" i="59"/>
  <c r="J54" i="59" s="1"/>
  <c r="H53" i="59"/>
  <c r="J53" i="59" s="1"/>
  <c r="J52" i="59"/>
  <c r="H52" i="59"/>
  <c r="H51" i="59"/>
  <c r="J51" i="59" s="1"/>
  <c r="H50" i="59"/>
  <c r="J50" i="59" s="1"/>
  <c r="H49" i="59"/>
  <c r="J49" i="59" s="1"/>
  <c r="J48" i="59"/>
  <c r="H48" i="59"/>
  <c r="H47" i="59"/>
  <c r="J47" i="59" s="1"/>
  <c r="J46" i="59"/>
  <c r="H46" i="59"/>
  <c r="H45" i="59"/>
  <c r="J45" i="59" s="1"/>
  <c r="J44" i="59"/>
  <c r="H44" i="59"/>
  <c r="H43" i="59"/>
  <c r="J43" i="59" s="1"/>
  <c r="H42" i="59"/>
  <c r="J42" i="59" s="1"/>
  <c r="H41" i="59"/>
  <c r="J41" i="59" s="1"/>
  <c r="H40" i="59"/>
  <c r="J40" i="59" s="1"/>
  <c r="H39" i="59"/>
  <c r="J39" i="59" s="1"/>
  <c r="H38" i="59"/>
  <c r="J38" i="59" s="1"/>
  <c r="H37" i="59"/>
  <c r="J37" i="59" s="1"/>
  <c r="J36" i="59"/>
  <c r="H36" i="59"/>
  <c r="H35" i="59"/>
  <c r="J35" i="59" s="1"/>
  <c r="H34" i="59"/>
  <c r="J34" i="59" s="1"/>
  <c r="H33" i="59"/>
  <c r="J33" i="59" s="1"/>
  <c r="J32" i="59"/>
  <c r="H32" i="59"/>
  <c r="H31" i="59"/>
  <c r="J31" i="59" s="1"/>
  <c r="H30" i="59"/>
  <c r="J30" i="59" s="1"/>
  <c r="H29" i="59"/>
  <c r="J29" i="59" s="1"/>
  <c r="J28" i="59"/>
  <c r="H28" i="59"/>
  <c r="H27" i="59"/>
  <c r="J27" i="59" s="1"/>
  <c r="H26" i="59"/>
  <c r="J26" i="59" s="1"/>
  <c r="H25" i="59"/>
  <c r="J25" i="59" s="1"/>
  <c r="H24" i="59"/>
  <c r="J24" i="59" s="1"/>
  <c r="H23" i="59"/>
  <c r="J23" i="59" s="1"/>
  <c r="H22" i="59"/>
  <c r="J22" i="59" s="1"/>
  <c r="H21" i="59"/>
  <c r="J21" i="59" s="1"/>
  <c r="J20" i="59"/>
  <c r="H20" i="59"/>
  <c r="H19" i="59"/>
  <c r="J19" i="59" s="1"/>
  <c r="H18" i="59"/>
  <c r="J18" i="59" s="1"/>
  <c r="H17" i="59"/>
  <c r="J17" i="59" s="1"/>
  <c r="J16" i="59"/>
  <c r="H16" i="59"/>
  <c r="H15" i="59"/>
  <c r="J15" i="59" s="1"/>
  <c r="H14" i="59"/>
  <c r="J14" i="59" s="1"/>
  <c r="H13" i="59"/>
  <c r="J13" i="59" s="1"/>
  <c r="J12" i="59"/>
  <c r="H12" i="59"/>
  <c r="H11" i="59"/>
  <c r="J11" i="59" s="1"/>
  <c r="H10" i="59"/>
  <c r="J10" i="59" s="1"/>
  <c r="H9" i="59"/>
  <c r="J9" i="59" s="1"/>
  <c r="H8" i="59"/>
  <c r="J8" i="59" s="1"/>
  <c r="H7" i="59"/>
  <c r="J7" i="59" s="1"/>
  <c r="H6" i="59"/>
  <c r="J6" i="59" s="1"/>
  <c r="H5" i="59"/>
  <c r="H233" i="57"/>
  <c r="J233" i="57" s="1"/>
  <c r="H232" i="57"/>
  <c r="J232" i="57" s="1"/>
  <c r="H231" i="57"/>
  <c r="J231" i="57" s="1"/>
  <c r="H230" i="57"/>
  <c r="J230" i="57" s="1"/>
  <c r="H229" i="57"/>
  <c r="J229" i="57" s="1"/>
  <c r="H228" i="57"/>
  <c r="J228" i="57" s="1"/>
  <c r="H227" i="57"/>
  <c r="J227" i="57" s="1"/>
  <c r="H226" i="57"/>
  <c r="J226" i="57" s="1"/>
  <c r="H225" i="57"/>
  <c r="J225" i="57" s="1"/>
  <c r="H224" i="57"/>
  <c r="J224" i="57" s="1"/>
  <c r="H223" i="57"/>
  <c r="J223" i="57" s="1"/>
  <c r="H222" i="57"/>
  <c r="J222" i="57" s="1"/>
  <c r="H221" i="57"/>
  <c r="J221" i="57" s="1"/>
  <c r="H220" i="57"/>
  <c r="J220" i="57" s="1"/>
  <c r="H219" i="57"/>
  <c r="J219" i="57" s="1"/>
  <c r="H218" i="57"/>
  <c r="J218" i="57" s="1"/>
  <c r="H217" i="57"/>
  <c r="J217" i="57" s="1"/>
  <c r="H216" i="57"/>
  <c r="J216" i="57" s="1"/>
  <c r="H215" i="57"/>
  <c r="J215" i="57" s="1"/>
  <c r="H214" i="57"/>
  <c r="J214" i="57" s="1"/>
  <c r="H213" i="57"/>
  <c r="J213" i="57" s="1"/>
  <c r="H212" i="57"/>
  <c r="J212" i="57" s="1"/>
  <c r="H211" i="57"/>
  <c r="J211" i="57" s="1"/>
  <c r="H210" i="57"/>
  <c r="J210" i="57" s="1"/>
  <c r="H209" i="57"/>
  <c r="J209" i="57" s="1"/>
  <c r="H208" i="57"/>
  <c r="J208" i="57" s="1"/>
  <c r="H207" i="57"/>
  <c r="J207" i="57" s="1"/>
  <c r="H206" i="57"/>
  <c r="J206" i="57" s="1"/>
  <c r="H205" i="57"/>
  <c r="J205" i="57" s="1"/>
  <c r="H204" i="57"/>
  <c r="J204" i="57" s="1"/>
  <c r="H203" i="57"/>
  <c r="J203" i="57" s="1"/>
  <c r="H202" i="57"/>
  <c r="J202" i="57" s="1"/>
  <c r="H201" i="57"/>
  <c r="J201" i="57" s="1"/>
  <c r="H200" i="57"/>
  <c r="J200" i="57" s="1"/>
  <c r="H199" i="57"/>
  <c r="J199" i="57" s="1"/>
  <c r="H198" i="57"/>
  <c r="J198" i="57" s="1"/>
  <c r="H197" i="57"/>
  <c r="J197" i="57" s="1"/>
  <c r="H196" i="57"/>
  <c r="J196" i="57" s="1"/>
  <c r="H195" i="57"/>
  <c r="J195" i="57" s="1"/>
  <c r="H194" i="57"/>
  <c r="J194" i="57" s="1"/>
  <c r="H193" i="57"/>
  <c r="J193" i="57" s="1"/>
  <c r="H192" i="57"/>
  <c r="J192" i="57" s="1"/>
  <c r="H191" i="57"/>
  <c r="J191" i="57" s="1"/>
  <c r="H190" i="57"/>
  <c r="J190" i="57" s="1"/>
  <c r="H189" i="57"/>
  <c r="J189" i="57" s="1"/>
  <c r="H188" i="57"/>
  <c r="J188" i="57" s="1"/>
  <c r="H187" i="57"/>
  <c r="J187" i="57" s="1"/>
  <c r="H186" i="57"/>
  <c r="J186" i="57" s="1"/>
  <c r="H185" i="57"/>
  <c r="J185" i="57" s="1"/>
  <c r="H184" i="57"/>
  <c r="J184" i="57" s="1"/>
  <c r="H183" i="57"/>
  <c r="J183" i="57" s="1"/>
  <c r="H182" i="57"/>
  <c r="J182" i="57" s="1"/>
  <c r="H181" i="57"/>
  <c r="J181" i="57" s="1"/>
  <c r="H180" i="57"/>
  <c r="J180" i="57" s="1"/>
  <c r="H179" i="57"/>
  <c r="J179" i="57" s="1"/>
  <c r="H178" i="57"/>
  <c r="J178" i="57" s="1"/>
  <c r="H177" i="57"/>
  <c r="J177" i="57" s="1"/>
  <c r="H176" i="57"/>
  <c r="J176" i="57" s="1"/>
  <c r="H175" i="57"/>
  <c r="J175" i="57" s="1"/>
  <c r="H174" i="57"/>
  <c r="J174" i="57" s="1"/>
  <c r="H173" i="57"/>
  <c r="J173" i="57" s="1"/>
  <c r="H172" i="57"/>
  <c r="J172" i="57" s="1"/>
  <c r="H171" i="57"/>
  <c r="J171" i="57" s="1"/>
  <c r="H170" i="57"/>
  <c r="J170" i="57" s="1"/>
  <c r="H169" i="57"/>
  <c r="J169" i="57" s="1"/>
  <c r="H168" i="57"/>
  <c r="J168" i="57" s="1"/>
  <c r="H167" i="57"/>
  <c r="J167" i="57" s="1"/>
  <c r="H166" i="57"/>
  <c r="J166" i="57" s="1"/>
  <c r="H165" i="57"/>
  <c r="J165" i="57" s="1"/>
  <c r="H164" i="57"/>
  <c r="J164" i="57" s="1"/>
  <c r="H163" i="57"/>
  <c r="J163" i="57" s="1"/>
  <c r="H162" i="57"/>
  <c r="J162" i="57" s="1"/>
  <c r="H161" i="57"/>
  <c r="J161" i="57" s="1"/>
  <c r="H160" i="57"/>
  <c r="J160" i="57" s="1"/>
  <c r="H159" i="57"/>
  <c r="J159" i="57" s="1"/>
  <c r="H158" i="57"/>
  <c r="J158" i="57" s="1"/>
  <c r="H157" i="57"/>
  <c r="J157" i="57" s="1"/>
  <c r="H156" i="57"/>
  <c r="J156" i="57" s="1"/>
  <c r="H155" i="57"/>
  <c r="J155" i="57" s="1"/>
  <c r="H154" i="57"/>
  <c r="J154" i="57" s="1"/>
  <c r="H153" i="57"/>
  <c r="J153" i="57" s="1"/>
  <c r="H152" i="57"/>
  <c r="J152" i="57" s="1"/>
  <c r="H151" i="57"/>
  <c r="J151" i="57" s="1"/>
  <c r="H150" i="57"/>
  <c r="J150" i="57" s="1"/>
  <c r="J149" i="57"/>
  <c r="H149" i="57"/>
  <c r="H148" i="57"/>
  <c r="J148" i="57" s="1"/>
  <c r="H147" i="57"/>
  <c r="J147" i="57" s="1"/>
  <c r="H146" i="57"/>
  <c r="J146" i="57" s="1"/>
  <c r="H145" i="57"/>
  <c r="J145" i="57" s="1"/>
  <c r="H144" i="57"/>
  <c r="J144" i="57" s="1"/>
  <c r="H143" i="57"/>
  <c r="J143" i="57" s="1"/>
  <c r="H142" i="57"/>
  <c r="J142" i="57" s="1"/>
  <c r="J141" i="57"/>
  <c r="H141" i="57"/>
  <c r="H140" i="57"/>
  <c r="J140" i="57" s="1"/>
  <c r="H139" i="57"/>
  <c r="J139" i="57" s="1"/>
  <c r="H138" i="57"/>
  <c r="J138" i="57" s="1"/>
  <c r="J137" i="57"/>
  <c r="H137" i="57"/>
  <c r="H136" i="57"/>
  <c r="J136" i="57" s="1"/>
  <c r="H135" i="57"/>
  <c r="J135" i="57" s="1"/>
  <c r="H134" i="57"/>
  <c r="J134" i="57" s="1"/>
  <c r="J133" i="57"/>
  <c r="H133" i="57"/>
  <c r="H132" i="57"/>
  <c r="J132" i="57" s="1"/>
  <c r="H131" i="57"/>
  <c r="J131" i="57" s="1"/>
  <c r="H130" i="57"/>
  <c r="J130" i="57" s="1"/>
  <c r="H129" i="57"/>
  <c r="J129" i="57" s="1"/>
  <c r="H128" i="57"/>
  <c r="J128" i="57" s="1"/>
  <c r="H127" i="57"/>
  <c r="J127" i="57" s="1"/>
  <c r="H126" i="57"/>
  <c r="J126" i="57" s="1"/>
  <c r="J125" i="57"/>
  <c r="H125" i="57"/>
  <c r="H124" i="57"/>
  <c r="J124" i="57" s="1"/>
  <c r="H123" i="57"/>
  <c r="J123" i="57" s="1"/>
  <c r="H122" i="57"/>
  <c r="J122" i="57" s="1"/>
  <c r="J121" i="57"/>
  <c r="H121" i="57"/>
  <c r="H120" i="57"/>
  <c r="J120" i="57" s="1"/>
  <c r="H119" i="57"/>
  <c r="J119" i="57" s="1"/>
  <c r="H118" i="57"/>
  <c r="J118" i="57" s="1"/>
  <c r="J117" i="57"/>
  <c r="H117" i="57"/>
  <c r="H116" i="57"/>
  <c r="J116" i="57" s="1"/>
  <c r="H115" i="57"/>
  <c r="J115" i="57" s="1"/>
  <c r="H114" i="57"/>
  <c r="J114" i="57" s="1"/>
  <c r="H113" i="57"/>
  <c r="J113" i="57" s="1"/>
  <c r="H112" i="57"/>
  <c r="J112" i="57" s="1"/>
  <c r="H111" i="57"/>
  <c r="J111" i="57" s="1"/>
  <c r="H110" i="57"/>
  <c r="J110" i="57" s="1"/>
  <c r="H109" i="57"/>
  <c r="J109" i="57" s="1"/>
  <c r="H108" i="57"/>
  <c r="J108" i="57" s="1"/>
  <c r="H107" i="57"/>
  <c r="J107" i="57" s="1"/>
  <c r="H106" i="57"/>
  <c r="J106" i="57" s="1"/>
  <c r="H105" i="57"/>
  <c r="J105" i="57" s="1"/>
  <c r="H104" i="57"/>
  <c r="J104" i="57" s="1"/>
  <c r="H103" i="57"/>
  <c r="J103" i="57" s="1"/>
  <c r="H102" i="57"/>
  <c r="J102" i="57" s="1"/>
  <c r="H101" i="57"/>
  <c r="J101" i="57" s="1"/>
  <c r="H100" i="57"/>
  <c r="J100" i="57" s="1"/>
  <c r="J99" i="57"/>
  <c r="H99" i="57"/>
  <c r="H98" i="57"/>
  <c r="J98" i="57" s="1"/>
  <c r="H97" i="57"/>
  <c r="J97" i="57" s="1"/>
  <c r="H96" i="57"/>
  <c r="J96" i="57" s="1"/>
  <c r="J95" i="57"/>
  <c r="H95" i="57"/>
  <c r="H94" i="57"/>
  <c r="J94" i="57" s="1"/>
  <c r="H93" i="57"/>
  <c r="J93" i="57" s="1"/>
  <c r="H92" i="57"/>
  <c r="J92" i="57" s="1"/>
  <c r="J91" i="57"/>
  <c r="H91" i="57"/>
  <c r="H90" i="57"/>
  <c r="J90" i="57" s="1"/>
  <c r="H89" i="57"/>
  <c r="J89" i="57" s="1"/>
  <c r="H88" i="57"/>
  <c r="J88" i="57" s="1"/>
  <c r="H87" i="57"/>
  <c r="J87" i="57" s="1"/>
  <c r="H86" i="57"/>
  <c r="J86" i="57" s="1"/>
  <c r="H85" i="57"/>
  <c r="J85" i="57" s="1"/>
  <c r="H84" i="57"/>
  <c r="J84" i="57" s="1"/>
  <c r="J83" i="57"/>
  <c r="H83" i="57"/>
  <c r="H82" i="57"/>
  <c r="J82" i="57" s="1"/>
  <c r="H81" i="57"/>
  <c r="J81" i="57" s="1"/>
  <c r="H80" i="57"/>
  <c r="J80" i="57" s="1"/>
  <c r="H79" i="57"/>
  <c r="J79" i="57" s="1"/>
  <c r="H78" i="57"/>
  <c r="J78" i="57" s="1"/>
  <c r="H77" i="57"/>
  <c r="J77" i="57" s="1"/>
  <c r="H76" i="57"/>
  <c r="J76" i="57" s="1"/>
  <c r="H75" i="57"/>
  <c r="J75" i="57" s="1"/>
  <c r="H74" i="57"/>
  <c r="J74" i="57" s="1"/>
  <c r="H73" i="57"/>
  <c r="J73" i="57" s="1"/>
  <c r="H72" i="57"/>
  <c r="J72" i="57" s="1"/>
  <c r="H71" i="57"/>
  <c r="J71" i="57" s="1"/>
  <c r="H70" i="57"/>
  <c r="J70" i="57" s="1"/>
  <c r="H69" i="57"/>
  <c r="J69" i="57" s="1"/>
  <c r="H68" i="57"/>
  <c r="J68" i="57" s="1"/>
  <c r="J67" i="57"/>
  <c r="H67" i="57"/>
  <c r="H66" i="57"/>
  <c r="J66" i="57" s="1"/>
  <c r="H65" i="57"/>
  <c r="J65" i="57" s="1"/>
  <c r="H64" i="57"/>
  <c r="J64" i="57" s="1"/>
  <c r="H63" i="57"/>
  <c r="J63" i="57" s="1"/>
  <c r="H62" i="57"/>
  <c r="J62" i="57" s="1"/>
  <c r="H61" i="57"/>
  <c r="J61" i="57" s="1"/>
  <c r="H60" i="57"/>
  <c r="J60" i="57" s="1"/>
  <c r="H59" i="57"/>
  <c r="J59" i="57" s="1"/>
  <c r="H58" i="57"/>
  <c r="J58" i="57" s="1"/>
  <c r="H57" i="57"/>
  <c r="J57" i="57" s="1"/>
  <c r="H56" i="57"/>
  <c r="J56" i="57" s="1"/>
  <c r="H55" i="57"/>
  <c r="J55" i="57" s="1"/>
  <c r="H54" i="57"/>
  <c r="J54" i="57" s="1"/>
  <c r="H53" i="57"/>
  <c r="J53" i="57" s="1"/>
  <c r="H52" i="57"/>
  <c r="J52" i="57" s="1"/>
  <c r="H51" i="57"/>
  <c r="J51" i="57" s="1"/>
  <c r="H50" i="57"/>
  <c r="J50" i="57" s="1"/>
  <c r="H49" i="57"/>
  <c r="J49" i="57" s="1"/>
  <c r="H48" i="57"/>
  <c r="J48" i="57" s="1"/>
  <c r="H47" i="57"/>
  <c r="J47" i="57" s="1"/>
  <c r="H46" i="57"/>
  <c r="J46" i="57" s="1"/>
  <c r="H45" i="57"/>
  <c r="J45" i="57" s="1"/>
  <c r="H44" i="57"/>
  <c r="J44" i="57" s="1"/>
  <c r="H43" i="57"/>
  <c r="J43" i="57" s="1"/>
  <c r="H42" i="57"/>
  <c r="J42" i="57" s="1"/>
  <c r="H41" i="57"/>
  <c r="J41" i="57" s="1"/>
  <c r="H40" i="57"/>
  <c r="J40" i="57" s="1"/>
  <c r="H39" i="57"/>
  <c r="J39" i="57" s="1"/>
  <c r="H38" i="57"/>
  <c r="J38" i="57" s="1"/>
  <c r="H37" i="57"/>
  <c r="J37" i="57" s="1"/>
  <c r="H36" i="57"/>
  <c r="J36" i="57" s="1"/>
  <c r="H35" i="57"/>
  <c r="J35" i="57" s="1"/>
  <c r="H34" i="57"/>
  <c r="J34" i="57" s="1"/>
  <c r="H33" i="57"/>
  <c r="J33" i="57" s="1"/>
  <c r="H32" i="57"/>
  <c r="J32" i="57" s="1"/>
  <c r="H31" i="57"/>
  <c r="J31" i="57" s="1"/>
  <c r="H30" i="57"/>
  <c r="J30" i="57" s="1"/>
  <c r="H29" i="57"/>
  <c r="J29" i="57" s="1"/>
  <c r="H28" i="57"/>
  <c r="J28" i="57" s="1"/>
  <c r="H27" i="57"/>
  <c r="J27" i="57" s="1"/>
  <c r="H26" i="57"/>
  <c r="J26" i="57" s="1"/>
  <c r="H25" i="57"/>
  <c r="J25" i="57" s="1"/>
  <c r="H24" i="57"/>
  <c r="J24" i="57" s="1"/>
  <c r="H23" i="57"/>
  <c r="J23" i="57" s="1"/>
  <c r="H22" i="57"/>
  <c r="J22" i="57" s="1"/>
  <c r="H21" i="57"/>
  <c r="J21" i="57" s="1"/>
  <c r="H20" i="57"/>
  <c r="J20" i="57" s="1"/>
  <c r="H19" i="57"/>
  <c r="J19" i="57" s="1"/>
  <c r="H18" i="57"/>
  <c r="J18" i="57" s="1"/>
  <c r="H17" i="57"/>
  <c r="J17" i="57" s="1"/>
  <c r="H16" i="57"/>
  <c r="J16" i="57" s="1"/>
  <c r="H15" i="57"/>
  <c r="J15" i="57" s="1"/>
  <c r="H14" i="57"/>
  <c r="J14" i="57" s="1"/>
  <c r="H13" i="57"/>
  <c r="J13" i="57" s="1"/>
  <c r="H12" i="57"/>
  <c r="J12" i="57" s="1"/>
  <c r="H11" i="57"/>
  <c r="J11" i="57" s="1"/>
  <c r="H10" i="57"/>
  <c r="J10" i="57" s="1"/>
  <c r="H9" i="57"/>
  <c r="J9" i="57" s="1"/>
  <c r="H8" i="57"/>
  <c r="J8" i="57" s="1"/>
  <c r="H7" i="57"/>
  <c r="J7" i="57" s="1"/>
  <c r="H6" i="57"/>
  <c r="J6" i="57" s="1"/>
  <c r="H5" i="57"/>
  <c r="N5" i="57" s="1"/>
  <c r="G272" i="92"/>
  <c r="I272" i="92" s="1"/>
  <c r="G271" i="92"/>
  <c r="I271" i="92" s="1"/>
  <c r="G270" i="92"/>
  <c r="I270" i="92" s="1"/>
  <c r="G269" i="92"/>
  <c r="I269" i="92" s="1"/>
  <c r="G268" i="92"/>
  <c r="I268" i="92" s="1"/>
  <c r="I267" i="92"/>
  <c r="G267" i="92"/>
  <c r="G266" i="92"/>
  <c r="I266" i="92" s="1"/>
  <c r="G265" i="92"/>
  <c r="I265" i="92" s="1"/>
  <c r="G264" i="92"/>
  <c r="I264" i="92" s="1"/>
  <c r="G263" i="92"/>
  <c r="I263" i="92" s="1"/>
  <c r="G262" i="92"/>
  <c r="I262" i="92" s="1"/>
  <c r="G261" i="92"/>
  <c r="I261" i="92" s="1"/>
  <c r="G260" i="92"/>
  <c r="I260" i="92" s="1"/>
  <c r="G259" i="92"/>
  <c r="I259" i="92" s="1"/>
  <c r="G258" i="92"/>
  <c r="I258" i="92" s="1"/>
  <c r="G257" i="92"/>
  <c r="I257" i="92" s="1"/>
  <c r="G256" i="92"/>
  <c r="I256" i="92" s="1"/>
  <c r="G255" i="92"/>
  <c r="I255" i="92" s="1"/>
  <c r="G254" i="92"/>
  <c r="I254" i="92" s="1"/>
  <c r="G253" i="92"/>
  <c r="I253" i="92" s="1"/>
  <c r="G252" i="92"/>
  <c r="I252" i="92" s="1"/>
  <c r="I251" i="92"/>
  <c r="G251" i="92"/>
  <c r="G250" i="92"/>
  <c r="I250" i="92" s="1"/>
  <c r="G249" i="92"/>
  <c r="I249" i="92" s="1"/>
  <c r="G248" i="92"/>
  <c r="I248" i="92" s="1"/>
  <c r="G247" i="92"/>
  <c r="I247" i="92" s="1"/>
  <c r="G246" i="92"/>
  <c r="I246" i="92" s="1"/>
  <c r="G245" i="92"/>
  <c r="I245" i="92" s="1"/>
  <c r="G244" i="92"/>
  <c r="I244" i="92" s="1"/>
  <c r="G243" i="92"/>
  <c r="I243" i="92" s="1"/>
  <c r="G242" i="92"/>
  <c r="I242" i="92" s="1"/>
  <c r="G241" i="92"/>
  <c r="I241" i="92" s="1"/>
  <c r="G240" i="92"/>
  <c r="I240" i="92" s="1"/>
  <c r="G239" i="92"/>
  <c r="I239" i="92" s="1"/>
  <c r="G238" i="92"/>
  <c r="I238" i="92" s="1"/>
  <c r="I237" i="92"/>
  <c r="G237" i="92"/>
  <c r="G236" i="92"/>
  <c r="I236" i="92" s="1"/>
  <c r="G235" i="92"/>
  <c r="I235" i="92" s="1"/>
  <c r="G234" i="92"/>
  <c r="I234" i="92" s="1"/>
  <c r="G233" i="92"/>
  <c r="I233" i="92" s="1"/>
  <c r="G232" i="92"/>
  <c r="I232" i="92" s="1"/>
  <c r="G231" i="92"/>
  <c r="I231" i="92" s="1"/>
  <c r="G230" i="92"/>
  <c r="I230" i="92" s="1"/>
  <c r="G229" i="92"/>
  <c r="I229" i="92" s="1"/>
  <c r="G228" i="92"/>
  <c r="I228" i="92" s="1"/>
  <c r="G227" i="92"/>
  <c r="I227" i="92" s="1"/>
  <c r="G226" i="92"/>
  <c r="I226" i="92" s="1"/>
  <c r="G225" i="92"/>
  <c r="I225" i="92" s="1"/>
  <c r="G224" i="92"/>
  <c r="I224" i="92" s="1"/>
  <c r="G223" i="92"/>
  <c r="I223" i="92" s="1"/>
  <c r="G222" i="92"/>
  <c r="I222" i="92" s="1"/>
  <c r="G221" i="92"/>
  <c r="I221" i="92" s="1"/>
  <c r="G220" i="92"/>
  <c r="I220" i="92" s="1"/>
  <c r="G219" i="92"/>
  <c r="I219" i="92" s="1"/>
  <c r="G218" i="92"/>
  <c r="I218" i="92" s="1"/>
  <c r="G217" i="92"/>
  <c r="I217" i="92" s="1"/>
  <c r="G216" i="92"/>
  <c r="I216" i="92" s="1"/>
  <c r="G215" i="92"/>
  <c r="I215" i="92" s="1"/>
  <c r="G214" i="92"/>
  <c r="I214" i="92" s="1"/>
  <c r="I213" i="92"/>
  <c r="G213" i="92"/>
  <c r="G212" i="92"/>
  <c r="I212" i="92" s="1"/>
  <c r="G211" i="92"/>
  <c r="I211" i="92" s="1"/>
  <c r="G210" i="92"/>
  <c r="I210" i="92" s="1"/>
  <c r="G209" i="92"/>
  <c r="I209" i="92" s="1"/>
  <c r="G208" i="92"/>
  <c r="I208" i="92" s="1"/>
  <c r="G207" i="92"/>
  <c r="I207" i="92" s="1"/>
  <c r="G206" i="92"/>
  <c r="I206" i="92" s="1"/>
  <c r="I205" i="92"/>
  <c r="G205" i="92"/>
  <c r="G204" i="92"/>
  <c r="I204" i="92" s="1"/>
  <c r="G203" i="92"/>
  <c r="I203" i="92" s="1"/>
  <c r="G202" i="92"/>
  <c r="I202" i="92" s="1"/>
  <c r="G201" i="92"/>
  <c r="I201" i="92" s="1"/>
  <c r="G200" i="92"/>
  <c r="I200" i="92" s="1"/>
  <c r="G199" i="92"/>
  <c r="I199" i="92" s="1"/>
  <c r="G198" i="92"/>
  <c r="I198" i="92" s="1"/>
  <c r="I197" i="92"/>
  <c r="G197" i="92"/>
  <c r="G196" i="92"/>
  <c r="I196" i="92" s="1"/>
  <c r="G195" i="92"/>
  <c r="I195" i="92" s="1"/>
  <c r="G194" i="92"/>
  <c r="I194" i="92" s="1"/>
  <c r="G193" i="92"/>
  <c r="I193" i="92" s="1"/>
  <c r="G192" i="92"/>
  <c r="I192" i="92" s="1"/>
  <c r="G191" i="92"/>
  <c r="I191" i="92" s="1"/>
  <c r="G190" i="92"/>
  <c r="I190" i="92" s="1"/>
  <c r="G189" i="92"/>
  <c r="I189" i="92" s="1"/>
  <c r="G188" i="92"/>
  <c r="I188" i="92" s="1"/>
  <c r="G187" i="92"/>
  <c r="I187" i="92" s="1"/>
  <c r="G186" i="92"/>
  <c r="I186" i="92" s="1"/>
  <c r="G185" i="92"/>
  <c r="I185" i="92" s="1"/>
  <c r="G184" i="92"/>
  <c r="I184" i="92" s="1"/>
  <c r="G183" i="92"/>
  <c r="I183" i="92" s="1"/>
  <c r="G182" i="92"/>
  <c r="I182" i="92" s="1"/>
  <c r="I181" i="92"/>
  <c r="G181" i="92"/>
  <c r="G180" i="92"/>
  <c r="I180" i="92" s="1"/>
  <c r="G179" i="92"/>
  <c r="I179" i="92" s="1"/>
  <c r="G178" i="92"/>
  <c r="I178" i="92" s="1"/>
  <c r="G177" i="92"/>
  <c r="I177" i="92" s="1"/>
  <c r="G176" i="92"/>
  <c r="I176" i="92" s="1"/>
  <c r="G175" i="92"/>
  <c r="I175" i="92" s="1"/>
  <c r="G174" i="92"/>
  <c r="I174" i="92" s="1"/>
  <c r="I173" i="92"/>
  <c r="G173" i="92"/>
  <c r="G172" i="92"/>
  <c r="I172" i="92" s="1"/>
  <c r="I171" i="92"/>
  <c r="G171" i="92"/>
  <c r="G170" i="92"/>
  <c r="I170" i="92" s="1"/>
  <c r="G169" i="92"/>
  <c r="I169" i="92" s="1"/>
  <c r="G168" i="92"/>
  <c r="I168" i="92" s="1"/>
  <c r="G167" i="92"/>
  <c r="I167" i="92" s="1"/>
  <c r="G166" i="92"/>
  <c r="I166" i="92" s="1"/>
  <c r="G165" i="92"/>
  <c r="I165" i="92" s="1"/>
  <c r="G164" i="92"/>
  <c r="I164" i="92" s="1"/>
  <c r="G163" i="92"/>
  <c r="I163" i="92" s="1"/>
  <c r="G162" i="92"/>
  <c r="I162" i="92" s="1"/>
  <c r="G161" i="92"/>
  <c r="I161" i="92" s="1"/>
  <c r="G160" i="92"/>
  <c r="I160" i="92" s="1"/>
  <c r="G159" i="92"/>
  <c r="I159" i="92" s="1"/>
  <c r="G158" i="92"/>
  <c r="I158" i="92" s="1"/>
  <c r="G157" i="92"/>
  <c r="I157" i="92" s="1"/>
  <c r="G156" i="92"/>
  <c r="I156" i="92" s="1"/>
  <c r="G155" i="92"/>
  <c r="I155" i="92" s="1"/>
  <c r="G154" i="92"/>
  <c r="I154" i="92" s="1"/>
  <c r="G153" i="92"/>
  <c r="I153" i="92" s="1"/>
  <c r="G152" i="92"/>
  <c r="I152" i="92" s="1"/>
  <c r="G151" i="92"/>
  <c r="I151" i="92" s="1"/>
  <c r="G150" i="92"/>
  <c r="I150" i="92" s="1"/>
  <c r="G149" i="92"/>
  <c r="I149" i="92" s="1"/>
  <c r="G148" i="92"/>
  <c r="I148" i="92" s="1"/>
  <c r="G147" i="92"/>
  <c r="I147" i="92" s="1"/>
  <c r="G146" i="92"/>
  <c r="I146" i="92" s="1"/>
  <c r="G145" i="92"/>
  <c r="I145" i="92" s="1"/>
  <c r="G144" i="92"/>
  <c r="I144" i="92" s="1"/>
  <c r="G143" i="92"/>
  <c r="I143" i="92" s="1"/>
  <c r="G142" i="92"/>
  <c r="I142" i="92" s="1"/>
  <c r="G141" i="92"/>
  <c r="I141" i="92" s="1"/>
  <c r="G140" i="92"/>
  <c r="I140" i="92" s="1"/>
  <c r="G139" i="92"/>
  <c r="I139" i="92" s="1"/>
  <c r="G138" i="92"/>
  <c r="I138" i="92" s="1"/>
  <c r="G137" i="92"/>
  <c r="I137" i="92" s="1"/>
  <c r="G136" i="92"/>
  <c r="I136" i="92" s="1"/>
  <c r="G135" i="92"/>
  <c r="I135" i="92" s="1"/>
  <c r="G134" i="92"/>
  <c r="I134" i="92" s="1"/>
  <c r="G133" i="92"/>
  <c r="I133" i="92" s="1"/>
  <c r="G132" i="92"/>
  <c r="I132" i="92" s="1"/>
  <c r="I131" i="92"/>
  <c r="G131" i="92"/>
  <c r="G130" i="92"/>
  <c r="I130" i="92" s="1"/>
  <c r="G129" i="92"/>
  <c r="I129" i="92" s="1"/>
  <c r="G128" i="92"/>
  <c r="I128" i="92" s="1"/>
  <c r="G127" i="92"/>
  <c r="I127" i="92" s="1"/>
  <c r="G126" i="92"/>
  <c r="I126" i="92" s="1"/>
  <c r="G125" i="92"/>
  <c r="I125" i="92" s="1"/>
  <c r="G124" i="92"/>
  <c r="I124" i="92" s="1"/>
  <c r="I123" i="92"/>
  <c r="G123" i="92"/>
  <c r="G122" i="92"/>
  <c r="I122" i="92" s="1"/>
  <c r="G121" i="92"/>
  <c r="I121" i="92" s="1"/>
  <c r="G120" i="92"/>
  <c r="I120" i="92" s="1"/>
  <c r="G119" i="92"/>
  <c r="I119" i="92" s="1"/>
  <c r="G118" i="92"/>
  <c r="I118" i="92" s="1"/>
  <c r="G117" i="92"/>
  <c r="I117" i="92" s="1"/>
  <c r="G116" i="92"/>
  <c r="I116" i="92" s="1"/>
  <c r="G115" i="92"/>
  <c r="I115" i="92" s="1"/>
  <c r="G114" i="92"/>
  <c r="I114" i="92" s="1"/>
  <c r="G113" i="92"/>
  <c r="I113" i="92" s="1"/>
  <c r="G112" i="92"/>
  <c r="I112" i="92" s="1"/>
  <c r="G111" i="92"/>
  <c r="I111" i="92" s="1"/>
  <c r="G110" i="92"/>
  <c r="I110" i="92" s="1"/>
  <c r="G109" i="92"/>
  <c r="I109" i="92" s="1"/>
  <c r="G108" i="92"/>
  <c r="I108" i="92" s="1"/>
  <c r="G107" i="92"/>
  <c r="I107" i="92" s="1"/>
  <c r="G106" i="92"/>
  <c r="I106" i="92" s="1"/>
  <c r="G105" i="92"/>
  <c r="I105" i="92" s="1"/>
  <c r="G104" i="92"/>
  <c r="I104" i="92" s="1"/>
  <c r="G103" i="92"/>
  <c r="I103" i="92" s="1"/>
  <c r="G102" i="92"/>
  <c r="I102" i="92" s="1"/>
  <c r="G101" i="92"/>
  <c r="I101" i="92" s="1"/>
  <c r="G100" i="92"/>
  <c r="I100" i="92" s="1"/>
  <c r="G99" i="92"/>
  <c r="I99" i="92" s="1"/>
  <c r="I98" i="92"/>
  <c r="G98" i="92"/>
  <c r="G97" i="92"/>
  <c r="I97" i="92" s="1"/>
  <c r="G96" i="92"/>
  <c r="I96" i="92" s="1"/>
  <c r="G95" i="92"/>
  <c r="I95" i="92" s="1"/>
  <c r="I94" i="92"/>
  <c r="G94" i="92"/>
  <c r="G93" i="92"/>
  <c r="I93" i="92" s="1"/>
  <c r="G92" i="92"/>
  <c r="I92" i="92" s="1"/>
  <c r="G91" i="92"/>
  <c r="I91" i="92" s="1"/>
  <c r="G90" i="92"/>
  <c r="I90" i="92" s="1"/>
  <c r="G89" i="92"/>
  <c r="I89" i="92" s="1"/>
  <c r="G88" i="92"/>
  <c r="I88" i="92" s="1"/>
  <c r="G87" i="92"/>
  <c r="I87" i="92" s="1"/>
  <c r="I86" i="92"/>
  <c r="G86" i="92"/>
  <c r="G85" i="92"/>
  <c r="I85" i="92" s="1"/>
  <c r="G84" i="92"/>
  <c r="I84" i="92" s="1"/>
  <c r="G83" i="92"/>
  <c r="I83" i="92" s="1"/>
  <c r="I82" i="92"/>
  <c r="G82" i="92"/>
  <c r="G81" i="92"/>
  <c r="I81" i="92" s="1"/>
  <c r="I80" i="92"/>
  <c r="G80" i="92"/>
  <c r="G79" i="92"/>
  <c r="I79" i="92" s="1"/>
  <c r="G78" i="92"/>
  <c r="I78" i="92" s="1"/>
  <c r="G77" i="92"/>
  <c r="I77" i="92" s="1"/>
  <c r="G76" i="92"/>
  <c r="I76" i="92" s="1"/>
  <c r="G75" i="92"/>
  <c r="I75" i="92" s="1"/>
  <c r="G74" i="92"/>
  <c r="I74" i="92" s="1"/>
  <c r="G73" i="92"/>
  <c r="I73" i="92" s="1"/>
  <c r="G72" i="92"/>
  <c r="I72" i="92" s="1"/>
  <c r="G71" i="92"/>
  <c r="I71" i="92" s="1"/>
  <c r="G70" i="92"/>
  <c r="I70" i="92" s="1"/>
  <c r="G69" i="92"/>
  <c r="I69" i="92" s="1"/>
  <c r="I68" i="92"/>
  <c r="G68" i="92"/>
  <c r="G67" i="92"/>
  <c r="I67" i="92" s="1"/>
  <c r="G66" i="92"/>
  <c r="I66" i="92" s="1"/>
  <c r="G65" i="92"/>
  <c r="I65" i="92" s="1"/>
  <c r="I64" i="92"/>
  <c r="G64" i="92"/>
  <c r="G63" i="92"/>
  <c r="I63" i="92" s="1"/>
  <c r="G62" i="92"/>
  <c r="I62" i="92" s="1"/>
  <c r="G61" i="92"/>
  <c r="I61" i="92" s="1"/>
  <c r="G60" i="92"/>
  <c r="I60" i="92" s="1"/>
  <c r="G59" i="92"/>
  <c r="I59" i="92" s="1"/>
  <c r="G58" i="92"/>
  <c r="I58" i="92" s="1"/>
  <c r="G57" i="92"/>
  <c r="I57" i="92" s="1"/>
  <c r="G56" i="92"/>
  <c r="I56" i="92" s="1"/>
  <c r="G55" i="92"/>
  <c r="I55" i="92" s="1"/>
  <c r="G54" i="92"/>
  <c r="I54" i="92" s="1"/>
  <c r="G53" i="92"/>
  <c r="I53" i="92" s="1"/>
  <c r="I52" i="92"/>
  <c r="G52" i="92"/>
  <c r="G51" i="92"/>
  <c r="I51" i="92" s="1"/>
  <c r="I50" i="92"/>
  <c r="G50" i="92"/>
  <c r="G49" i="92"/>
  <c r="I49" i="92" s="1"/>
  <c r="I48" i="92"/>
  <c r="G48" i="92"/>
  <c r="G47" i="92"/>
  <c r="I47" i="92" s="1"/>
  <c r="G46" i="92"/>
  <c r="I46" i="92" s="1"/>
  <c r="G45" i="92"/>
  <c r="I45" i="92" s="1"/>
  <c r="G44" i="92"/>
  <c r="I44" i="92" s="1"/>
  <c r="I43" i="92"/>
  <c r="G43" i="92"/>
  <c r="I42" i="92"/>
  <c r="G42" i="92"/>
  <c r="G41" i="92"/>
  <c r="I41" i="92" s="1"/>
  <c r="G40" i="92"/>
  <c r="I40" i="92" s="1"/>
  <c r="I39" i="92"/>
  <c r="G39" i="92"/>
  <c r="I38" i="92"/>
  <c r="G38" i="92"/>
  <c r="G37" i="92"/>
  <c r="I37" i="92" s="1"/>
  <c r="G36" i="92"/>
  <c r="I36" i="92" s="1"/>
  <c r="I35" i="92"/>
  <c r="G35" i="92"/>
  <c r="I34" i="92"/>
  <c r="G34" i="92"/>
  <c r="G33" i="92"/>
  <c r="I33" i="92" s="1"/>
  <c r="G32" i="92"/>
  <c r="I32" i="92" s="1"/>
  <c r="I31" i="92"/>
  <c r="G31" i="92"/>
  <c r="I30" i="92"/>
  <c r="G30" i="92"/>
  <c r="G29" i="92"/>
  <c r="I29" i="92" s="1"/>
  <c r="G28" i="92"/>
  <c r="I28" i="92" s="1"/>
  <c r="I27" i="92"/>
  <c r="G27" i="92"/>
  <c r="I26" i="92"/>
  <c r="G26" i="92"/>
  <c r="G25" i="92"/>
  <c r="I25" i="92" s="1"/>
  <c r="G24" i="92"/>
  <c r="I24" i="92" s="1"/>
  <c r="I23" i="92"/>
  <c r="G23" i="92"/>
  <c r="I22" i="92"/>
  <c r="G22" i="92"/>
  <c r="G21" i="92"/>
  <c r="I21" i="92" s="1"/>
  <c r="G20" i="92"/>
  <c r="I20" i="92" s="1"/>
  <c r="I19" i="92"/>
  <c r="G19" i="92"/>
  <c r="I18" i="92"/>
  <c r="G18" i="92"/>
  <c r="G17" i="92"/>
  <c r="I17" i="92" s="1"/>
  <c r="G16" i="92"/>
  <c r="I16" i="92" s="1"/>
  <c r="I15" i="92"/>
  <c r="G15" i="92"/>
  <c r="I14" i="92"/>
  <c r="G14" i="92"/>
  <c r="G13" i="92"/>
  <c r="I13" i="92" s="1"/>
  <c r="I12" i="92"/>
  <c r="G12" i="92"/>
  <c r="G11" i="92"/>
  <c r="I11" i="92" s="1"/>
  <c r="I10" i="92"/>
  <c r="G10" i="92"/>
  <c r="G9" i="92"/>
  <c r="I9" i="92" s="1"/>
  <c r="G8" i="92"/>
  <c r="I8" i="92" s="1"/>
  <c r="G7" i="92"/>
  <c r="I7" i="92" s="1"/>
  <c r="G6" i="92"/>
  <c r="I6" i="92" s="1"/>
  <c r="G5" i="92"/>
  <c r="I5" i="92" s="1"/>
  <c r="G4" i="92"/>
  <c r="H259" i="80"/>
  <c r="J259" i="80" s="1"/>
  <c r="H258" i="80"/>
  <c r="J258" i="80" s="1"/>
  <c r="H257" i="80"/>
  <c r="J257" i="80" s="1"/>
  <c r="H256" i="80"/>
  <c r="J256" i="80" s="1"/>
  <c r="H255" i="80"/>
  <c r="J255" i="80" s="1"/>
  <c r="H254" i="80"/>
  <c r="J254" i="80" s="1"/>
  <c r="H253" i="80"/>
  <c r="J253" i="80" s="1"/>
  <c r="H252" i="80"/>
  <c r="J252" i="80" s="1"/>
  <c r="H251" i="80"/>
  <c r="J251" i="80" s="1"/>
  <c r="H250" i="80"/>
  <c r="J250" i="80" s="1"/>
  <c r="H249" i="80"/>
  <c r="J249" i="80" s="1"/>
  <c r="H248" i="80"/>
  <c r="J248" i="80" s="1"/>
  <c r="H247" i="80"/>
  <c r="J247" i="80" s="1"/>
  <c r="H246" i="80"/>
  <c r="J246" i="80" s="1"/>
  <c r="H245" i="80"/>
  <c r="J245" i="80" s="1"/>
  <c r="H244" i="80"/>
  <c r="J244" i="80" s="1"/>
  <c r="H243" i="80"/>
  <c r="J243" i="80" s="1"/>
  <c r="H242" i="80"/>
  <c r="J242" i="80" s="1"/>
  <c r="H241" i="80"/>
  <c r="J241" i="80" s="1"/>
  <c r="H240" i="80"/>
  <c r="J240" i="80" s="1"/>
  <c r="H239" i="80"/>
  <c r="J239" i="80" s="1"/>
  <c r="H238" i="80"/>
  <c r="J238" i="80" s="1"/>
  <c r="H237" i="80"/>
  <c r="J237" i="80" s="1"/>
  <c r="H236" i="80"/>
  <c r="J236" i="80" s="1"/>
  <c r="H235" i="80"/>
  <c r="J235" i="80" s="1"/>
  <c r="H234" i="80"/>
  <c r="J234" i="80" s="1"/>
  <c r="H233" i="80"/>
  <c r="J233" i="80" s="1"/>
  <c r="H232" i="80"/>
  <c r="J232" i="80" s="1"/>
  <c r="H231" i="80"/>
  <c r="J231" i="80" s="1"/>
  <c r="H230" i="80"/>
  <c r="J230" i="80" s="1"/>
  <c r="H229" i="80"/>
  <c r="J229" i="80" s="1"/>
  <c r="H228" i="80"/>
  <c r="J228" i="80" s="1"/>
  <c r="H227" i="80"/>
  <c r="J227" i="80" s="1"/>
  <c r="H226" i="80"/>
  <c r="J226" i="80" s="1"/>
  <c r="H225" i="80"/>
  <c r="J225" i="80" s="1"/>
  <c r="H224" i="80"/>
  <c r="J224" i="80" s="1"/>
  <c r="H223" i="80"/>
  <c r="J223" i="80" s="1"/>
  <c r="H222" i="80"/>
  <c r="J222" i="80" s="1"/>
  <c r="H221" i="80"/>
  <c r="J221" i="80" s="1"/>
  <c r="H220" i="80"/>
  <c r="J220" i="80" s="1"/>
  <c r="H219" i="80"/>
  <c r="J219" i="80" s="1"/>
  <c r="H218" i="80"/>
  <c r="J218" i="80" s="1"/>
  <c r="H217" i="80"/>
  <c r="J217" i="80" s="1"/>
  <c r="H216" i="80"/>
  <c r="J216" i="80" s="1"/>
  <c r="H215" i="80"/>
  <c r="J215" i="80" s="1"/>
  <c r="H214" i="80"/>
  <c r="J214" i="80" s="1"/>
  <c r="H213" i="80"/>
  <c r="J213" i="80" s="1"/>
  <c r="H212" i="80"/>
  <c r="J212" i="80" s="1"/>
  <c r="H211" i="80"/>
  <c r="J211" i="80" s="1"/>
  <c r="H210" i="80"/>
  <c r="J210" i="80" s="1"/>
  <c r="H209" i="80"/>
  <c r="J209" i="80" s="1"/>
  <c r="H208" i="80"/>
  <c r="J208" i="80" s="1"/>
  <c r="H207" i="80"/>
  <c r="J207" i="80" s="1"/>
  <c r="H206" i="80"/>
  <c r="J206" i="80" s="1"/>
  <c r="H205" i="80"/>
  <c r="J205" i="80" s="1"/>
  <c r="H204" i="80"/>
  <c r="J204" i="80" s="1"/>
  <c r="H203" i="80"/>
  <c r="J203" i="80" s="1"/>
  <c r="H202" i="80"/>
  <c r="J202" i="80" s="1"/>
  <c r="H201" i="80"/>
  <c r="J201" i="80" s="1"/>
  <c r="H200" i="80"/>
  <c r="J200" i="80" s="1"/>
  <c r="H199" i="80"/>
  <c r="J199" i="80" s="1"/>
  <c r="H198" i="80"/>
  <c r="J198" i="80" s="1"/>
  <c r="H197" i="80"/>
  <c r="J197" i="80" s="1"/>
  <c r="H196" i="80"/>
  <c r="J196" i="80" s="1"/>
  <c r="H195" i="80"/>
  <c r="J195" i="80" s="1"/>
  <c r="H194" i="80"/>
  <c r="J194" i="80" s="1"/>
  <c r="H193" i="80"/>
  <c r="J193" i="80" s="1"/>
  <c r="H192" i="80"/>
  <c r="J192" i="80" s="1"/>
  <c r="H191" i="80"/>
  <c r="J191" i="80" s="1"/>
  <c r="H190" i="80"/>
  <c r="J190" i="80" s="1"/>
  <c r="H189" i="80"/>
  <c r="J189" i="80" s="1"/>
  <c r="H188" i="80"/>
  <c r="J188" i="80" s="1"/>
  <c r="H187" i="80"/>
  <c r="J187" i="80" s="1"/>
  <c r="H186" i="80"/>
  <c r="J186" i="80" s="1"/>
  <c r="H185" i="80"/>
  <c r="J185" i="80" s="1"/>
  <c r="H184" i="80"/>
  <c r="J184" i="80" s="1"/>
  <c r="H183" i="80"/>
  <c r="J183" i="80" s="1"/>
  <c r="H182" i="80"/>
  <c r="J182" i="80" s="1"/>
  <c r="H181" i="80"/>
  <c r="J181" i="80" s="1"/>
  <c r="H180" i="80"/>
  <c r="J180" i="80" s="1"/>
  <c r="H179" i="80"/>
  <c r="J179" i="80" s="1"/>
  <c r="H178" i="80"/>
  <c r="J178" i="80" s="1"/>
  <c r="H177" i="80"/>
  <c r="J177" i="80" s="1"/>
  <c r="H176" i="80"/>
  <c r="J176" i="80" s="1"/>
  <c r="H175" i="80"/>
  <c r="J175" i="80" s="1"/>
  <c r="H174" i="80"/>
  <c r="J174" i="80" s="1"/>
  <c r="H173" i="80"/>
  <c r="J173" i="80" s="1"/>
  <c r="H172" i="80"/>
  <c r="J172" i="80" s="1"/>
  <c r="H171" i="80"/>
  <c r="J171" i="80" s="1"/>
  <c r="H170" i="80"/>
  <c r="J170" i="80" s="1"/>
  <c r="H169" i="80"/>
  <c r="J169" i="80" s="1"/>
  <c r="H168" i="80"/>
  <c r="J168" i="80" s="1"/>
  <c r="H167" i="80"/>
  <c r="J167" i="80" s="1"/>
  <c r="H166" i="80"/>
  <c r="J166" i="80" s="1"/>
  <c r="H165" i="80"/>
  <c r="J165" i="80" s="1"/>
  <c r="H164" i="80"/>
  <c r="J164" i="80" s="1"/>
  <c r="H163" i="80"/>
  <c r="J163" i="80" s="1"/>
  <c r="H162" i="80"/>
  <c r="J162" i="80" s="1"/>
  <c r="H161" i="80"/>
  <c r="J161" i="80" s="1"/>
  <c r="H160" i="80"/>
  <c r="J160" i="80" s="1"/>
  <c r="H159" i="80"/>
  <c r="J159" i="80" s="1"/>
  <c r="H158" i="80"/>
  <c r="J158" i="80" s="1"/>
  <c r="H157" i="80"/>
  <c r="J157" i="80" s="1"/>
  <c r="H156" i="80"/>
  <c r="J156" i="80" s="1"/>
  <c r="H155" i="80"/>
  <c r="J155" i="80" s="1"/>
  <c r="H154" i="80"/>
  <c r="J154" i="80" s="1"/>
  <c r="H153" i="80"/>
  <c r="J153" i="80" s="1"/>
  <c r="H152" i="80"/>
  <c r="J152" i="80" s="1"/>
  <c r="H151" i="80"/>
  <c r="J151" i="80" s="1"/>
  <c r="H150" i="80"/>
  <c r="J150" i="80" s="1"/>
  <c r="H149" i="80"/>
  <c r="J149" i="80" s="1"/>
  <c r="H148" i="80"/>
  <c r="J148" i="80" s="1"/>
  <c r="H147" i="80"/>
  <c r="J147" i="80" s="1"/>
  <c r="H146" i="80"/>
  <c r="J146" i="80" s="1"/>
  <c r="H145" i="80"/>
  <c r="J145" i="80" s="1"/>
  <c r="H144" i="80"/>
  <c r="J144" i="80" s="1"/>
  <c r="H143" i="80"/>
  <c r="J143" i="80" s="1"/>
  <c r="H142" i="80"/>
  <c r="J142" i="80" s="1"/>
  <c r="H141" i="80"/>
  <c r="J141" i="80" s="1"/>
  <c r="H140" i="80"/>
  <c r="J140" i="80" s="1"/>
  <c r="H139" i="80"/>
  <c r="J139" i="80" s="1"/>
  <c r="H138" i="80"/>
  <c r="J138" i="80" s="1"/>
  <c r="H137" i="80"/>
  <c r="J137" i="80" s="1"/>
  <c r="H136" i="80"/>
  <c r="J136" i="80" s="1"/>
  <c r="H135" i="80"/>
  <c r="J135" i="80" s="1"/>
  <c r="H134" i="80"/>
  <c r="J134" i="80" s="1"/>
  <c r="H133" i="80"/>
  <c r="J133" i="80" s="1"/>
  <c r="H132" i="80"/>
  <c r="J132" i="80" s="1"/>
  <c r="H131" i="80"/>
  <c r="J131" i="80" s="1"/>
  <c r="H130" i="80"/>
  <c r="J130" i="80" s="1"/>
  <c r="H129" i="80"/>
  <c r="J129" i="80" s="1"/>
  <c r="H128" i="80"/>
  <c r="J128" i="80" s="1"/>
  <c r="H127" i="80"/>
  <c r="J127" i="80" s="1"/>
  <c r="H126" i="80"/>
  <c r="J126" i="80" s="1"/>
  <c r="H125" i="80"/>
  <c r="J125" i="80" s="1"/>
  <c r="H124" i="80"/>
  <c r="J124" i="80" s="1"/>
  <c r="H123" i="80"/>
  <c r="J123" i="80" s="1"/>
  <c r="H122" i="80"/>
  <c r="J122" i="80" s="1"/>
  <c r="H121" i="80"/>
  <c r="J121" i="80" s="1"/>
  <c r="H120" i="80"/>
  <c r="J120" i="80" s="1"/>
  <c r="H119" i="80"/>
  <c r="J119" i="80" s="1"/>
  <c r="H118" i="80"/>
  <c r="J118" i="80" s="1"/>
  <c r="H117" i="80"/>
  <c r="J117" i="80" s="1"/>
  <c r="H116" i="80"/>
  <c r="J116" i="80" s="1"/>
  <c r="H115" i="80"/>
  <c r="J115" i="80" s="1"/>
  <c r="H114" i="80"/>
  <c r="J114" i="80" s="1"/>
  <c r="H113" i="80"/>
  <c r="J113" i="80" s="1"/>
  <c r="H112" i="80"/>
  <c r="J112" i="80" s="1"/>
  <c r="H111" i="80"/>
  <c r="J111" i="80" s="1"/>
  <c r="H110" i="80"/>
  <c r="J110" i="80" s="1"/>
  <c r="H109" i="80"/>
  <c r="J109" i="80" s="1"/>
  <c r="H108" i="80"/>
  <c r="J108" i="80" s="1"/>
  <c r="H107" i="80"/>
  <c r="J107" i="80" s="1"/>
  <c r="J106" i="80"/>
  <c r="H106" i="80"/>
  <c r="H105" i="80"/>
  <c r="J105" i="80" s="1"/>
  <c r="H104" i="80"/>
  <c r="J104" i="80" s="1"/>
  <c r="H103" i="80"/>
  <c r="J103" i="80" s="1"/>
  <c r="H102" i="80"/>
  <c r="J102" i="80" s="1"/>
  <c r="H101" i="80"/>
  <c r="J101" i="80" s="1"/>
  <c r="H100" i="80"/>
  <c r="J100" i="80" s="1"/>
  <c r="H99" i="80"/>
  <c r="J99" i="80" s="1"/>
  <c r="H98" i="80"/>
  <c r="J98" i="80" s="1"/>
  <c r="H97" i="80"/>
  <c r="J97" i="80" s="1"/>
  <c r="H96" i="80"/>
  <c r="J96" i="80" s="1"/>
  <c r="H95" i="80"/>
  <c r="J95" i="80" s="1"/>
  <c r="H94" i="80"/>
  <c r="J94" i="80" s="1"/>
  <c r="H93" i="80"/>
  <c r="J93" i="80" s="1"/>
  <c r="H92" i="80"/>
  <c r="J92" i="80" s="1"/>
  <c r="H91" i="80"/>
  <c r="J91" i="80" s="1"/>
  <c r="H90" i="80"/>
  <c r="J90" i="80" s="1"/>
  <c r="H89" i="80"/>
  <c r="J89" i="80" s="1"/>
  <c r="H88" i="80"/>
  <c r="J88" i="80" s="1"/>
  <c r="H87" i="80"/>
  <c r="J87" i="80" s="1"/>
  <c r="J86" i="80"/>
  <c r="H86" i="80"/>
  <c r="H85" i="80"/>
  <c r="J85" i="80" s="1"/>
  <c r="H84" i="80"/>
  <c r="J84" i="80" s="1"/>
  <c r="H83" i="80"/>
  <c r="J83" i="80" s="1"/>
  <c r="J82" i="80"/>
  <c r="H82" i="80"/>
  <c r="H81" i="80"/>
  <c r="J81" i="80" s="1"/>
  <c r="H80" i="80"/>
  <c r="J80" i="80" s="1"/>
  <c r="H79" i="80"/>
  <c r="J79" i="80" s="1"/>
  <c r="J78" i="80"/>
  <c r="H78" i="80"/>
  <c r="H77" i="80"/>
  <c r="J77" i="80" s="1"/>
  <c r="H76" i="80"/>
  <c r="J76" i="80" s="1"/>
  <c r="H75" i="80"/>
  <c r="J75" i="80" s="1"/>
  <c r="H74" i="80"/>
  <c r="J74" i="80" s="1"/>
  <c r="H73" i="80"/>
  <c r="J73" i="80" s="1"/>
  <c r="H72" i="80"/>
  <c r="J72" i="80" s="1"/>
  <c r="H71" i="80"/>
  <c r="J71" i="80" s="1"/>
  <c r="J70" i="80"/>
  <c r="H70" i="80"/>
  <c r="H69" i="80"/>
  <c r="J69" i="80" s="1"/>
  <c r="H68" i="80"/>
  <c r="J68" i="80" s="1"/>
  <c r="H67" i="80"/>
  <c r="J67" i="80" s="1"/>
  <c r="J66" i="80"/>
  <c r="H66" i="80"/>
  <c r="H65" i="80"/>
  <c r="J65" i="80" s="1"/>
  <c r="H64" i="80"/>
  <c r="J64" i="80" s="1"/>
  <c r="H63" i="80"/>
  <c r="J63" i="80" s="1"/>
  <c r="J62" i="80"/>
  <c r="H62" i="80"/>
  <c r="H61" i="80"/>
  <c r="J61" i="80" s="1"/>
  <c r="H60" i="80"/>
  <c r="J60" i="80" s="1"/>
  <c r="H59" i="80"/>
  <c r="J59" i="80" s="1"/>
  <c r="H58" i="80"/>
  <c r="J58" i="80" s="1"/>
  <c r="H57" i="80"/>
  <c r="J57" i="80" s="1"/>
  <c r="H56" i="80"/>
  <c r="J56" i="80" s="1"/>
  <c r="H55" i="80"/>
  <c r="J55" i="80" s="1"/>
  <c r="J54" i="80"/>
  <c r="H54" i="80"/>
  <c r="H53" i="80"/>
  <c r="J53" i="80" s="1"/>
  <c r="H52" i="80"/>
  <c r="J52" i="80" s="1"/>
  <c r="H51" i="80"/>
  <c r="J51" i="80" s="1"/>
  <c r="J50" i="80"/>
  <c r="H50" i="80"/>
  <c r="H49" i="80"/>
  <c r="J49" i="80" s="1"/>
  <c r="H48" i="80"/>
  <c r="J48" i="80" s="1"/>
  <c r="H47" i="80"/>
  <c r="J47" i="80" s="1"/>
  <c r="J46" i="80"/>
  <c r="H46" i="80"/>
  <c r="H45" i="80"/>
  <c r="J45" i="80" s="1"/>
  <c r="H44" i="80"/>
  <c r="J44" i="80" s="1"/>
  <c r="H43" i="80"/>
  <c r="J43" i="80" s="1"/>
  <c r="H42" i="80"/>
  <c r="J42" i="80" s="1"/>
  <c r="H41" i="80"/>
  <c r="J41" i="80" s="1"/>
  <c r="H40" i="80"/>
  <c r="J40" i="80" s="1"/>
  <c r="H39" i="80"/>
  <c r="J39" i="80" s="1"/>
  <c r="J38" i="80"/>
  <c r="H38" i="80"/>
  <c r="H37" i="80"/>
  <c r="J37" i="80" s="1"/>
  <c r="H36" i="80"/>
  <c r="J36" i="80" s="1"/>
  <c r="H35" i="80"/>
  <c r="J35" i="80" s="1"/>
  <c r="J34" i="80"/>
  <c r="H34" i="80"/>
  <c r="H33" i="80"/>
  <c r="J33" i="80" s="1"/>
  <c r="H32" i="80"/>
  <c r="J32" i="80" s="1"/>
  <c r="H31" i="80"/>
  <c r="J31" i="80" s="1"/>
  <c r="J30" i="80"/>
  <c r="H30" i="80"/>
  <c r="H29" i="80"/>
  <c r="J29" i="80" s="1"/>
  <c r="H28" i="80"/>
  <c r="J28" i="80" s="1"/>
  <c r="H27" i="80"/>
  <c r="J27" i="80" s="1"/>
  <c r="H26" i="80"/>
  <c r="J26" i="80" s="1"/>
  <c r="H25" i="80"/>
  <c r="J25" i="80" s="1"/>
  <c r="H24" i="80"/>
  <c r="J24" i="80" s="1"/>
  <c r="H23" i="80"/>
  <c r="J23" i="80" s="1"/>
  <c r="J22" i="80"/>
  <c r="H22" i="80"/>
  <c r="H21" i="80"/>
  <c r="J21" i="80" s="1"/>
  <c r="H20" i="80"/>
  <c r="J20" i="80" s="1"/>
  <c r="H19" i="80"/>
  <c r="J19" i="80" s="1"/>
  <c r="J18" i="80"/>
  <c r="H18" i="80"/>
  <c r="H17" i="80"/>
  <c r="J17" i="80" s="1"/>
  <c r="H16" i="80"/>
  <c r="J16" i="80" s="1"/>
  <c r="H15" i="80"/>
  <c r="J15" i="80" s="1"/>
  <c r="J14" i="80"/>
  <c r="H14" i="80"/>
  <c r="H13" i="80"/>
  <c r="J13" i="80" s="1"/>
  <c r="H12" i="80"/>
  <c r="J12" i="80" s="1"/>
  <c r="H11" i="80"/>
  <c r="J11" i="80" s="1"/>
  <c r="H10" i="80"/>
  <c r="J10" i="80" s="1"/>
  <c r="H9" i="80"/>
  <c r="J9" i="80" s="1"/>
  <c r="H8" i="80"/>
  <c r="J8" i="80" s="1"/>
  <c r="H7" i="80"/>
  <c r="J7" i="80" s="1"/>
  <c r="J6" i="80"/>
  <c r="H6" i="80"/>
  <c r="H5" i="80"/>
  <c r="H254" i="45"/>
  <c r="J254" i="45" s="1"/>
  <c r="H253" i="45"/>
  <c r="J253" i="45" s="1"/>
  <c r="H252" i="45"/>
  <c r="J252" i="45" s="1"/>
  <c r="H251" i="45"/>
  <c r="J251" i="45" s="1"/>
  <c r="H250" i="45"/>
  <c r="J250" i="45" s="1"/>
  <c r="J249" i="45"/>
  <c r="H249" i="45"/>
  <c r="H248" i="45"/>
  <c r="J248" i="45" s="1"/>
  <c r="H247" i="45"/>
  <c r="J247" i="45" s="1"/>
  <c r="H246" i="45"/>
  <c r="J246" i="45" s="1"/>
  <c r="H245" i="45"/>
  <c r="J245" i="45" s="1"/>
  <c r="H244" i="45"/>
  <c r="J244" i="45" s="1"/>
  <c r="H243" i="45"/>
  <c r="J243" i="45" s="1"/>
  <c r="H242" i="45"/>
  <c r="J242" i="45" s="1"/>
  <c r="H241" i="45"/>
  <c r="J241" i="45" s="1"/>
  <c r="H240" i="45"/>
  <c r="J240" i="45" s="1"/>
  <c r="H239" i="45"/>
  <c r="J239" i="45" s="1"/>
  <c r="H238" i="45"/>
  <c r="J238" i="45" s="1"/>
  <c r="H237" i="45"/>
  <c r="J237" i="45" s="1"/>
  <c r="H236" i="45"/>
  <c r="J236" i="45" s="1"/>
  <c r="H235" i="45"/>
  <c r="J235" i="45" s="1"/>
  <c r="H234" i="45"/>
  <c r="J234" i="45" s="1"/>
  <c r="H233" i="45"/>
  <c r="J233" i="45" s="1"/>
  <c r="H232" i="45"/>
  <c r="J232" i="45" s="1"/>
  <c r="H231" i="45"/>
  <c r="J231" i="45" s="1"/>
  <c r="H230" i="45"/>
  <c r="J230" i="45" s="1"/>
  <c r="H229" i="45"/>
  <c r="J229" i="45" s="1"/>
  <c r="H228" i="45"/>
  <c r="J228" i="45" s="1"/>
  <c r="H227" i="45"/>
  <c r="J227" i="45" s="1"/>
  <c r="H226" i="45"/>
  <c r="J226" i="45" s="1"/>
  <c r="H225" i="45"/>
  <c r="J225" i="45" s="1"/>
  <c r="H224" i="45"/>
  <c r="J224" i="45" s="1"/>
  <c r="H223" i="45"/>
  <c r="J223" i="45" s="1"/>
  <c r="H222" i="45"/>
  <c r="J222" i="45" s="1"/>
  <c r="H221" i="45"/>
  <c r="J221" i="45" s="1"/>
  <c r="H220" i="45"/>
  <c r="J220" i="45" s="1"/>
  <c r="H219" i="45"/>
  <c r="J219" i="45" s="1"/>
  <c r="H218" i="45"/>
  <c r="J218" i="45" s="1"/>
  <c r="J217" i="45"/>
  <c r="H217" i="45"/>
  <c r="H216" i="45"/>
  <c r="J216" i="45" s="1"/>
  <c r="H215" i="45"/>
  <c r="J215" i="45" s="1"/>
  <c r="H214" i="45"/>
  <c r="J214" i="45" s="1"/>
  <c r="H213" i="45"/>
  <c r="J213" i="45" s="1"/>
  <c r="H212" i="45"/>
  <c r="J212" i="45" s="1"/>
  <c r="H211" i="45"/>
  <c r="J211" i="45" s="1"/>
  <c r="H210" i="45"/>
  <c r="J210" i="45" s="1"/>
  <c r="H209" i="45"/>
  <c r="J209" i="45" s="1"/>
  <c r="H208" i="45"/>
  <c r="J208" i="45" s="1"/>
  <c r="H207" i="45"/>
  <c r="J207" i="45" s="1"/>
  <c r="H206" i="45"/>
  <c r="J206" i="45" s="1"/>
  <c r="H205" i="45"/>
  <c r="J205" i="45" s="1"/>
  <c r="H204" i="45"/>
  <c r="J204" i="45" s="1"/>
  <c r="H203" i="45"/>
  <c r="J203" i="45" s="1"/>
  <c r="H202" i="45"/>
  <c r="J202" i="45" s="1"/>
  <c r="J201" i="45"/>
  <c r="H201" i="45"/>
  <c r="H200" i="45"/>
  <c r="J200" i="45" s="1"/>
  <c r="H199" i="45"/>
  <c r="J199" i="45" s="1"/>
  <c r="H198" i="45"/>
  <c r="J198" i="45" s="1"/>
  <c r="H197" i="45"/>
  <c r="J197" i="45" s="1"/>
  <c r="H196" i="45"/>
  <c r="J196" i="45" s="1"/>
  <c r="H195" i="45"/>
  <c r="J195" i="45" s="1"/>
  <c r="H194" i="45"/>
  <c r="J194" i="45" s="1"/>
  <c r="H193" i="45"/>
  <c r="J193" i="45" s="1"/>
  <c r="H192" i="45"/>
  <c r="J192" i="45" s="1"/>
  <c r="H191" i="45"/>
  <c r="J191" i="45" s="1"/>
  <c r="H190" i="45"/>
  <c r="J190" i="45" s="1"/>
  <c r="H189" i="45"/>
  <c r="J189" i="45" s="1"/>
  <c r="H188" i="45"/>
  <c r="J188" i="45" s="1"/>
  <c r="H187" i="45"/>
  <c r="J187" i="45" s="1"/>
  <c r="H186" i="45"/>
  <c r="J186" i="45" s="1"/>
  <c r="H185" i="45"/>
  <c r="J185" i="45" s="1"/>
  <c r="H184" i="45"/>
  <c r="J184" i="45" s="1"/>
  <c r="H183" i="45"/>
  <c r="J183" i="45" s="1"/>
  <c r="H182" i="45"/>
  <c r="J182" i="45" s="1"/>
  <c r="H181" i="45"/>
  <c r="J181" i="45" s="1"/>
  <c r="H180" i="45"/>
  <c r="J180" i="45" s="1"/>
  <c r="H179" i="45"/>
  <c r="J179" i="45" s="1"/>
  <c r="H178" i="45"/>
  <c r="J178" i="45" s="1"/>
  <c r="H177" i="45"/>
  <c r="J177" i="45" s="1"/>
  <c r="H176" i="45"/>
  <c r="J176" i="45" s="1"/>
  <c r="H175" i="45"/>
  <c r="J175" i="45" s="1"/>
  <c r="H174" i="45"/>
  <c r="J174" i="45" s="1"/>
  <c r="H173" i="45"/>
  <c r="J173" i="45" s="1"/>
  <c r="H172" i="45"/>
  <c r="J172" i="45" s="1"/>
  <c r="H171" i="45"/>
  <c r="J171" i="45" s="1"/>
  <c r="H170" i="45"/>
  <c r="J170" i="45" s="1"/>
  <c r="H169" i="45"/>
  <c r="J169" i="45" s="1"/>
  <c r="H168" i="45"/>
  <c r="J168" i="45" s="1"/>
  <c r="H167" i="45"/>
  <c r="J167" i="45" s="1"/>
  <c r="H166" i="45"/>
  <c r="J166" i="45" s="1"/>
  <c r="H165" i="45"/>
  <c r="J165" i="45" s="1"/>
  <c r="H164" i="45"/>
  <c r="J164" i="45" s="1"/>
  <c r="H163" i="45"/>
  <c r="J163" i="45" s="1"/>
  <c r="H162" i="45"/>
  <c r="J162" i="45" s="1"/>
  <c r="H161" i="45"/>
  <c r="J161" i="45" s="1"/>
  <c r="H160" i="45"/>
  <c r="J160" i="45" s="1"/>
  <c r="H159" i="45"/>
  <c r="J159" i="45" s="1"/>
  <c r="H158" i="45"/>
  <c r="J158" i="45" s="1"/>
  <c r="H157" i="45"/>
  <c r="J157" i="45" s="1"/>
  <c r="H156" i="45"/>
  <c r="J156" i="45" s="1"/>
  <c r="H155" i="45"/>
  <c r="J155" i="45" s="1"/>
  <c r="H154" i="45"/>
  <c r="J154" i="45" s="1"/>
  <c r="J153" i="45"/>
  <c r="H153" i="45"/>
  <c r="H152" i="45"/>
  <c r="J152" i="45" s="1"/>
  <c r="H151" i="45"/>
  <c r="J151" i="45" s="1"/>
  <c r="H150" i="45"/>
  <c r="J150" i="45" s="1"/>
  <c r="H149" i="45"/>
  <c r="J149" i="45" s="1"/>
  <c r="H148" i="45"/>
  <c r="J148" i="45" s="1"/>
  <c r="H147" i="45"/>
  <c r="J147" i="45" s="1"/>
  <c r="H146" i="45"/>
  <c r="J146" i="45" s="1"/>
  <c r="H145" i="45"/>
  <c r="J145" i="45" s="1"/>
  <c r="H144" i="45"/>
  <c r="J144" i="45" s="1"/>
  <c r="H143" i="45"/>
  <c r="J143" i="45" s="1"/>
  <c r="H142" i="45"/>
  <c r="J142" i="45" s="1"/>
  <c r="H141" i="45"/>
  <c r="J141" i="45" s="1"/>
  <c r="H140" i="45"/>
  <c r="J140" i="45" s="1"/>
  <c r="H139" i="45"/>
  <c r="J139" i="45" s="1"/>
  <c r="H138" i="45"/>
  <c r="J138" i="45" s="1"/>
  <c r="J137" i="45"/>
  <c r="H137" i="45"/>
  <c r="H136" i="45"/>
  <c r="J136" i="45" s="1"/>
  <c r="H135" i="45"/>
  <c r="J135" i="45" s="1"/>
  <c r="H134" i="45"/>
  <c r="J134" i="45" s="1"/>
  <c r="H133" i="45"/>
  <c r="J133" i="45" s="1"/>
  <c r="H132" i="45"/>
  <c r="J132" i="45" s="1"/>
  <c r="H131" i="45"/>
  <c r="J131" i="45" s="1"/>
  <c r="H130" i="45"/>
  <c r="J130" i="45" s="1"/>
  <c r="H129" i="45"/>
  <c r="J129" i="45" s="1"/>
  <c r="H128" i="45"/>
  <c r="J128" i="45" s="1"/>
  <c r="H127" i="45"/>
  <c r="J127" i="45" s="1"/>
  <c r="J126" i="45"/>
  <c r="H126" i="45"/>
  <c r="H125" i="45"/>
  <c r="J125" i="45" s="1"/>
  <c r="J124" i="45"/>
  <c r="H124" i="45"/>
  <c r="H123" i="45"/>
  <c r="J123" i="45" s="1"/>
  <c r="J122" i="45"/>
  <c r="H122" i="45"/>
  <c r="H121" i="45"/>
  <c r="J121" i="45" s="1"/>
  <c r="H120" i="45"/>
  <c r="J120" i="45" s="1"/>
  <c r="H119" i="45"/>
  <c r="J119" i="45" s="1"/>
  <c r="H118" i="45"/>
  <c r="J118" i="45" s="1"/>
  <c r="H117" i="45"/>
  <c r="J117" i="45" s="1"/>
  <c r="H116" i="45"/>
  <c r="J116" i="45" s="1"/>
  <c r="H115" i="45"/>
  <c r="J115" i="45" s="1"/>
  <c r="H114" i="45"/>
  <c r="J114" i="45" s="1"/>
  <c r="H113" i="45"/>
  <c r="J113" i="45" s="1"/>
  <c r="J112" i="45"/>
  <c r="H112" i="45"/>
  <c r="H111" i="45"/>
  <c r="J111" i="45" s="1"/>
  <c r="J110" i="45"/>
  <c r="H110" i="45"/>
  <c r="H109" i="45"/>
  <c r="J109" i="45" s="1"/>
  <c r="H108" i="45"/>
  <c r="J108" i="45" s="1"/>
  <c r="H107" i="45"/>
  <c r="J107" i="45" s="1"/>
  <c r="J106" i="45"/>
  <c r="H106" i="45"/>
  <c r="H105" i="45"/>
  <c r="J105" i="45" s="1"/>
  <c r="H104" i="45"/>
  <c r="J104" i="45" s="1"/>
  <c r="H103" i="45"/>
  <c r="J103" i="45" s="1"/>
  <c r="H102" i="45"/>
  <c r="J102" i="45" s="1"/>
  <c r="H101" i="45"/>
  <c r="J101" i="45" s="1"/>
  <c r="H100" i="45"/>
  <c r="J100" i="45" s="1"/>
  <c r="H99" i="45"/>
  <c r="J99" i="45" s="1"/>
  <c r="H98" i="45"/>
  <c r="J98" i="45" s="1"/>
  <c r="H97" i="45"/>
  <c r="J97" i="45" s="1"/>
  <c r="H96" i="45"/>
  <c r="J96" i="45" s="1"/>
  <c r="H95" i="45"/>
  <c r="J95" i="45" s="1"/>
  <c r="H94" i="45"/>
  <c r="J94" i="45" s="1"/>
  <c r="H93" i="45"/>
  <c r="J93" i="45" s="1"/>
  <c r="H92" i="45"/>
  <c r="J92" i="45" s="1"/>
  <c r="H91" i="45"/>
  <c r="J91" i="45" s="1"/>
  <c r="H90" i="45"/>
  <c r="J90" i="45" s="1"/>
  <c r="H89" i="45"/>
  <c r="J89" i="45" s="1"/>
  <c r="H88" i="45"/>
  <c r="J88" i="45" s="1"/>
  <c r="H87" i="45"/>
  <c r="J87" i="45" s="1"/>
  <c r="J86" i="45"/>
  <c r="H86" i="45"/>
  <c r="H85" i="45"/>
  <c r="J85" i="45" s="1"/>
  <c r="H84" i="45"/>
  <c r="J84" i="45" s="1"/>
  <c r="H83" i="45"/>
  <c r="J83" i="45" s="1"/>
  <c r="J82" i="45"/>
  <c r="H82" i="45"/>
  <c r="H81" i="45"/>
  <c r="J81" i="45" s="1"/>
  <c r="H80" i="45"/>
  <c r="J80" i="45" s="1"/>
  <c r="H79" i="45"/>
  <c r="J79" i="45" s="1"/>
  <c r="H78" i="45"/>
  <c r="J78" i="45" s="1"/>
  <c r="H77" i="45"/>
  <c r="J77" i="45" s="1"/>
  <c r="H76" i="45"/>
  <c r="J76" i="45" s="1"/>
  <c r="H75" i="45"/>
  <c r="J75" i="45" s="1"/>
  <c r="H74" i="45"/>
  <c r="J74" i="45" s="1"/>
  <c r="H73" i="45"/>
  <c r="J73" i="45" s="1"/>
  <c r="H72" i="45"/>
  <c r="J72" i="45" s="1"/>
  <c r="H71" i="45"/>
  <c r="J71" i="45" s="1"/>
  <c r="J70" i="45"/>
  <c r="H70" i="45"/>
  <c r="H69" i="45"/>
  <c r="J69" i="45" s="1"/>
  <c r="H68" i="45"/>
  <c r="J68" i="45" s="1"/>
  <c r="H67" i="45"/>
  <c r="J67" i="45" s="1"/>
  <c r="J66" i="45"/>
  <c r="H66" i="45"/>
  <c r="H65" i="45"/>
  <c r="J65" i="45" s="1"/>
  <c r="H64" i="45"/>
  <c r="J64" i="45" s="1"/>
  <c r="H63" i="45"/>
  <c r="J63" i="45" s="1"/>
  <c r="H62" i="45"/>
  <c r="J62" i="45" s="1"/>
  <c r="H61" i="45"/>
  <c r="J61" i="45" s="1"/>
  <c r="H60" i="45"/>
  <c r="J60" i="45" s="1"/>
  <c r="H59" i="45"/>
  <c r="J59" i="45" s="1"/>
  <c r="H58" i="45"/>
  <c r="J58" i="45" s="1"/>
  <c r="H57" i="45"/>
  <c r="J57" i="45" s="1"/>
  <c r="H56" i="45"/>
  <c r="J56" i="45" s="1"/>
  <c r="H55" i="45"/>
  <c r="J55" i="45" s="1"/>
  <c r="H54" i="45"/>
  <c r="J54" i="45" s="1"/>
  <c r="J53" i="45"/>
  <c r="H53" i="45"/>
  <c r="H52" i="45"/>
  <c r="J52" i="45" s="1"/>
  <c r="H51" i="45"/>
  <c r="J51" i="45" s="1"/>
  <c r="H50" i="45"/>
  <c r="J50" i="45" s="1"/>
  <c r="H49" i="45"/>
  <c r="J49" i="45" s="1"/>
  <c r="H48" i="45"/>
  <c r="J48" i="45" s="1"/>
  <c r="H47" i="45"/>
  <c r="J47" i="45" s="1"/>
  <c r="H46" i="45"/>
  <c r="J46" i="45" s="1"/>
  <c r="J45" i="45"/>
  <c r="H45" i="45"/>
  <c r="H44" i="45"/>
  <c r="J44" i="45" s="1"/>
  <c r="H43" i="45"/>
  <c r="J43" i="45" s="1"/>
  <c r="H42" i="45"/>
  <c r="J42" i="45" s="1"/>
  <c r="H41" i="45"/>
  <c r="J41" i="45" s="1"/>
  <c r="H40" i="45"/>
  <c r="J40" i="45" s="1"/>
  <c r="H39" i="45"/>
  <c r="J39" i="45" s="1"/>
  <c r="H38" i="45"/>
  <c r="J38" i="45" s="1"/>
  <c r="H37" i="45"/>
  <c r="J37" i="45" s="1"/>
  <c r="H36" i="45"/>
  <c r="J36" i="45" s="1"/>
  <c r="H35" i="45"/>
  <c r="J35" i="45" s="1"/>
  <c r="H34" i="45"/>
  <c r="J34" i="45" s="1"/>
  <c r="H33" i="45"/>
  <c r="J33" i="45" s="1"/>
  <c r="H32" i="45"/>
  <c r="J32" i="45" s="1"/>
  <c r="H31" i="45"/>
  <c r="J31" i="45" s="1"/>
  <c r="H30" i="45"/>
  <c r="J30" i="45" s="1"/>
  <c r="J29" i="45"/>
  <c r="H29" i="45"/>
  <c r="H28" i="45"/>
  <c r="J28" i="45" s="1"/>
  <c r="H27" i="45"/>
  <c r="J27" i="45" s="1"/>
  <c r="H26" i="45"/>
  <c r="J26" i="45" s="1"/>
  <c r="H25" i="45"/>
  <c r="J25" i="45" s="1"/>
  <c r="J24" i="45"/>
  <c r="H24" i="45"/>
  <c r="H23" i="45"/>
  <c r="J23" i="45" s="1"/>
  <c r="H22" i="45"/>
  <c r="J22" i="45" s="1"/>
  <c r="H21" i="45"/>
  <c r="J21" i="45" s="1"/>
  <c r="H20" i="45"/>
  <c r="J20" i="45" s="1"/>
  <c r="H19" i="45"/>
  <c r="J19" i="45" s="1"/>
  <c r="H18" i="45"/>
  <c r="J18" i="45" s="1"/>
  <c r="H17" i="45"/>
  <c r="J17" i="45" s="1"/>
  <c r="H16" i="45"/>
  <c r="J16" i="45" s="1"/>
  <c r="H15" i="45"/>
  <c r="J15" i="45" s="1"/>
  <c r="H14" i="45"/>
  <c r="J14" i="45" s="1"/>
  <c r="H13" i="45"/>
  <c r="J13" i="45" s="1"/>
  <c r="J12" i="45"/>
  <c r="H12" i="45"/>
  <c r="H11" i="45"/>
  <c r="J11" i="45" s="1"/>
  <c r="H10" i="45"/>
  <c r="J10" i="45" s="1"/>
  <c r="H9" i="45"/>
  <c r="J9" i="45" s="1"/>
  <c r="J8" i="45"/>
  <c r="H8" i="45"/>
  <c r="H7" i="45"/>
  <c r="J7" i="45" s="1"/>
  <c r="H6" i="45"/>
  <c r="J6" i="45" s="1"/>
  <c r="H5" i="45"/>
  <c r="H267" i="42"/>
  <c r="J267" i="42" s="1"/>
  <c r="J266" i="42"/>
  <c r="H266" i="42"/>
  <c r="H265" i="42"/>
  <c r="J265" i="42" s="1"/>
  <c r="J264" i="42"/>
  <c r="H264" i="42"/>
  <c r="H263" i="42"/>
  <c r="J263" i="42" s="1"/>
  <c r="H262" i="42"/>
  <c r="J262" i="42" s="1"/>
  <c r="H261" i="42"/>
  <c r="J261" i="42" s="1"/>
  <c r="J260" i="42"/>
  <c r="H260" i="42"/>
  <c r="H259" i="42"/>
  <c r="J259" i="42" s="1"/>
  <c r="H258" i="42"/>
  <c r="J258" i="42" s="1"/>
  <c r="H257" i="42"/>
  <c r="J257" i="42" s="1"/>
  <c r="H256" i="42"/>
  <c r="J256" i="42" s="1"/>
  <c r="H255" i="42"/>
  <c r="J255" i="42" s="1"/>
  <c r="H254" i="42"/>
  <c r="J254" i="42" s="1"/>
  <c r="H253" i="42"/>
  <c r="J253" i="42" s="1"/>
  <c r="H252" i="42"/>
  <c r="J252" i="42" s="1"/>
  <c r="H251" i="42"/>
  <c r="J251" i="42" s="1"/>
  <c r="J250" i="42"/>
  <c r="H250" i="42"/>
  <c r="H249" i="42"/>
  <c r="J249" i="42" s="1"/>
  <c r="J248" i="42"/>
  <c r="H248" i="42"/>
  <c r="H247" i="42"/>
  <c r="J247" i="42" s="1"/>
  <c r="H246" i="42"/>
  <c r="J246" i="42" s="1"/>
  <c r="H245" i="42"/>
  <c r="J245" i="42" s="1"/>
  <c r="J244" i="42"/>
  <c r="H244" i="42"/>
  <c r="H243" i="42"/>
  <c r="J243" i="42" s="1"/>
  <c r="H242" i="42"/>
  <c r="J242" i="42" s="1"/>
  <c r="H241" i="42"/>
  <c r="J241" i="42" s="1"/>
  <c r="H240" i="42"/>
  <c r="J240" i="42" s="1"/>
  <c r="H239" i="42"/>
  <c r="J239" i="42" s="1"/>
  <c r="H238" i="42"/>
  <c r="J238" i="42" s="1"/>
  <c r="H237" i="42"/>
  <c r="J237" i="42" s="1"/>
  <c r="H236" i="42"/>
  <c r="J236" i="42" s="1"/>
  <c r="H235" i="42"/>
  <c r="J235" i="42" s="1"/>
  <c r="H234" i="42"/>
  <c r="J234" i="42" s="1"/>
  <c r="H233" i="42"/>
  <c r="J233" i="42" s="1"/>
  <c r="J232" i="42"/>
  <c r="H232" i="42"/>
  <c r="H231" i="42"/>
  <c r="J231" i="42" s="1"/>
  <c r="H230" i="42"/>
  <c r="J230" i="42" s="1"/>
  <c r="H229" i="42"/>
  <c r="J229" i="42" s="1"/>
  <c r="J228" i="42"/>
  <c r="H228" i="42"/>
  <c r="H227" i="42"/>
  <c r="J227" i="42" s="1"/>
  <c r="H226" i="42"/>
  <c r="J226" i="42" s="1"/>
  <c r="H225" i="42"/>
  <c r="J225" i="42" s="1"/>
  <c r="H224" i="42"/>
  <c r="J224" i="42" s="1"/>
  <c r="H223" i="42"/>
  <c r="J223" i="42" s="1"/>
  <c r="H222" i="42"/>
  <c r="J222" i="42" s="1"/>
  <c r="H221" i="42"/>
  <c r="J221" i="42" s="1"/>
  <c r="J220" i="42"/>
  <c r="H220" i="42"/>
  <c r="H219" i="42"/>
  <c r="J219" i="42" s="1"/>
  <c r="H218" i="42"/>
  <c r="J218" i="42" s="1"/>
  <c r="H217" i="42"/>
  <c r="J217" i="42" s="1"/>
  <c r="J216" i="42"/>
  <c r="H216" i="42"/>
  <c r="H215" i="42"/>
  <c r="J215" i="42" s="1"/>
  <c r="J214" i="42"/>
  <c r="H214" i="42"/>
  <c r="H213" i="42"/>
  <c r="J213" i="42" s="1"/>
  <c r="J212" i="42"/>
  <c r="H212" i="42"/>
  <c r="H211" i="42"/>
  <c r="J211" i="42" s="1"/>
  <c r="H210" i="42"/>
  <c r="J210" i="42" s="1"/>
  <c r="H209" i="42"/>
  <c r="J209" i="42" s="1"/>
  <c r="H208" i="42"/>
  <c r="J208" i="42" s="1"/>
  <c r="H207" i="42"/>
  <c r="J207" i="42" s="1"/>
  <c r="H206" i="42"/>
  <c r="J206" i="42" s="1"/>
  <c r="H205" i="42"/>
  <c r="J205" i="42" s="1"/>
  <c r="J204" i="42"/>
  <c r="H204" i="42"/>
  <c r="H203" i="42"/>
  <c r="J203" i="42" s="1"/>
  <c r="H202" i="42"/>
  <c r="J202" i="42" s="1"/>
  <c r="H201" i="42"/>
  <c r="J201" i="42" s="1"/>
  <c r="J200" i="42"/>
  <c r="H200" i="42"/>
  <c r="H199" i="42"/>
  <c r="J199" i="42" s="1"/>
  <c r="H198" i="42"/>
  <c r="J198" i="42" s="1"/>
  <c r="H197" i="42"/>
  <c r="J197" i="42" s="1"/>
  <c r="J196" i="42"/>
  <c r="H196" i="42"/>
  <c r="H195" i="42"/>
  <c r="J195" i="42" s="1"/>
  <c r="H194" i="42"/>
  <c r="J194" i="42" s="1"/>
  <c r="H193" i="42"/>
  <c r="J193" i="42" s="1"/>
  <c r="H192" i="42"/>
  <c r="J192" i="42" s="1"/>
  <c r="H191" i="42"/>
  <c r="J191" i="42" s="1"/>
  <c r="H190" i="42"/>
  <c r="J190" i="42" s="1"/>
  <c r="H189" i="42"/>
  <c r="J189" i="42" s="1"/>
  <c r="J188" i="42"/>
  <c r="H188" i="42"/>
  <c r="H187" i="42"/>
  <c r="J187" i="42" s="1"/>
  <c r="H186" i="42"/>
  <c r="J186" i="42" s="1"/>
  <c r="H185" i="42"/>
  <c r="J185" i="42" s="1"/>
  <c r="J184" i="42"/>
  <c r="H184" i="42"/>
  <c r="H183" i="42"/>
  <c r="J183" i="42" s="1"/>
  <c r="H182" i="42"/>
  <c r="J182" i="42" s="1"/>
  <c r="H181" i="42"/>
  <c r="J181" i="42" s="1"/>
  <c r="J180" i="42"/>
  <c r="H180" i="42"/>
  <c r="H179" i="42"/>
  <c r="J179" i="42" s="1"/>
  <c r="H178" i="42"/>
  <c r="J178" i="42" s="1"/>
  <c r="H177" i="42"/>
  <c r="J177" i="42" s="1"/>
  <c r="H176" i="42"/>
  <c r="J176" i="42" s="1"/>
  <c r="H175" i="42"/>
  <c r="J175" i="42" s="1"/>
  <c r="H174" i="42"/>
  <c r="J174" i="42" s="1"/>
  <c r="H173" i="42"/>
  <c r="J173" i="42" s="1"/>
  <c r="J172" i="42"/>
  <c r="H172" i="42"/>
  <c r="H171" i="42"/>
  <c r="J171" i="42" s="1"/>
  <c r="H170" i="42"/>
  <c r="J170" i="42" s="1"/>
  <c r="H169" i="42"/>
  <c r="J169" i="42" s="1"/>
  <c r="J168" i="42"/>
  <c r="H168" i="42"/>
  <c r="H167" i="42"/>
  <c r="J167" i="42" s="1"/>
  <c r="J166" i="42"/>
  <c r="H166" i="42"/>
  <c r="H165" i="42"/>
  <c r="J165" i="42" s="1"/>
  <c r="J164" i="42"/>
  <c r="H164" i="42"/>
  <c r="H163" i="42"/>
  <c r="J163" i="42" s="1"/>
  <c r="H162" i="42"/>
  <c r="J162" i="42" s="1"/>
  <c r="H161" i="42"/>
  <c r="J161" i="42" s="1"/>
  <c r="H160" i="42"/>
  <c r="J160" i="42" s="1"/>
  <c r="H159" i="42"/>
  <c r="J159" i="42" s="1"/>
  <c r="H158" i="42"/>
  <c r="J158" i="42" s="1"/>
  <c r="H157" i="42"/>
  <c r="J157" i="42" s="1"/>
  <c r="J156" i="42"/>
  <c r="H156" i="42"/>
  <c r="H155" i="42"/>
  <c r="J155" i="42" s="1"/>
  <c r="H154" i="42"/>
  <c r="J154" i="42" s="1"/>
  <c r="H153" i="42"/>
  <c r="J153" i="42" s="1"/>
  <c r="J152" i="42"/>
  <c r="H152" i="42"/>
  <c r="H151" i="42"/>
  <c r="J151" i="42" s="1"/>
  <c r="J150" i="42"/>
  <c r="H150" i="42"/>
  <c r="H149" i="42"/>
  <c r="J149" i="42" s="1"/>
  <c r="J148" i="42"/>
  <c r="H148" i="42"/>
  <c r="H147" i="42"/>
  <c r="J147" i="42" s="1"/>
  <c r="H146" i="42"/>
  <c r="J146" i="42" s="1"/>
  <c r="H145" i="42"/>
  <c r="J145" i="42" s="1"/>
  <c r="H144" i="42"/>
  <c r="J144" i="42" s="1"/>
  <c r="H143" i="42"/>
  <c r="J143" i="42" s="1"/>
  <c r="H142" i="42"/>
  <c r="J142" i="42" s="1"/>
  <c r="H141" i="42"/>
  <c r="J141" i="42" s="1"/>
  <c r="J140" i="42"/>
  <c r="H140" i="42"/>
  <c r="H139" i="42"/>
  <c r="J139" i="42" s="1"/>
  <c r="H138" i="42"/>
  <c r="J138" i="42" s="1"/>
  <c r="H137" i="42"/>
  <c r="J137" i="42" s="1"/>
  <c r="J136" i="42"/>
  <c r="H136" i="42"/>
  <c r="H135" i="42"/>
  <c r="J135" i="42" s="1"/>
  <c r="J134" i="42"/>
  <c r="H134" i="42"/>
  <c r="H133" i="42"/>
  <c r="J133" i="42" s="1"/>
  <c r="J132" i="42"/>
  <c r="H132" i="42"/>
  <c r="H131" i="42"/>
  <c r="J131" i="42" s="1"/>
  <c r="H130" i="42"/>
  <c r="J130" i="42" s="1"/>
  <c r="H129" i="42"/>
  <c r="J129" i="42" s="1"/>
  <c r="H128" i="42"/>
  <c r="J128" i="42" s="1"/>
  <c r="H127" i="42"/>
  <c r="J127" i="42" s="1"/>
  <c r="H126" i="42"/>
  <c r="J126" i="42" s="1"/>
  <c r="H125" i="42"/>
  <c r="J125" i="42" s="1"/>
  <c r="J124" i="42"/>
  <c r="H124" i="42"/>
  <c r="H123" i="42"/>
  <c r="J123" i="42" s="1"/>
  <c r="H122" i="42"/>
  <c r="J122" i="42" s="1"/>
  <c r="H121" i="42"/>
  <c r="J121" i="42" s="1"/>
  <c r="J120" i="42"/>
  <c r="H120" i="42"/>
  <c r="H119" i="42"/>
  <c r="J119" i="42" s="1"/>
  <c r="J118" i="42"/>
  <c r="H118" i="42"/>
  <c r="H117" i="42"/>
  <c r="J117" i="42" s="1"/>
  <c r="J116" i="42"/>
  <c r="H116" i="42"/>
  <c r="H115" i="42"/>
  <c r="J115" i="42" s="1"/>
  <c r="H114" i="42"/>
  <c r="J114" i="42" s="1"/>
  <c r="H113" i="42"/>
  <c r="J113" i="42" s="1"/>
  <c r="H112" i="42"/>
  <c r="J112" i="42" s="1"/>
  <c r="H111" i="42"/>
  <c r="J111" i="42" s="1"/>
  <c r="H110" i="42"/>
  <c r="J110" i="42" s="1"/>
  <c r="H109" i="42"/>
  <c r="J109" i="42" s="1"/>
  <c r="J108" i="42"/>
  <c r="H108" i="42"/>
  <c r="H107" i="42"/>
  <c r="J107" i="42" s="1"/>
  <c r="H106" i="42"/>
  <c r="J106" i="42" s="1"/>
  <c r="H105" i="42"/>
  <c r="J105" i="42" s="1"/>
  <c r="J104" i="42"/>
  <c r="H104" i="42"/>
  <c r="H103" i="42"/>
  <c r="J103" i="42" s="1"/>
  <c r="H102" i="42"/>
  <c r="J102" i="42" s="1"/>
  <c r="H101" i="42"/>
  <c r="J101" i="42" s="1"/>
  <c r="J100" i="42"/>
  <c r="H100" i="42"/>
  <c r="H99" i="42"/>
  <c r="J99" i="42" s="1"/>
  <c r="H98" i="42"/>
  <c r="J98" i="42" s="1"/>
  <c r="H97" i="42"/>
  <c r="J97" i="42" s="1"/>
  <c r="J96" i="42"/>
  <c r="H96" i="42"/>
  <c r="H95" i="42"/>
  <c r="J95" i="42" s="1"/>
  <c r="J94" i="42"/>
  <c r="H94" i="42"/>
  <c r="H93" i="42"/>
  <c r="J93" i="42" s="1"/>
  <c r="H92" i="42"/>
  <c r="J92" i="42" s="1"/>
  <c r="H91" i="42"/>
  <c r="J91" i="42" s="1"/>
  <c r="H90" i="42"/>
  <c r="J90" i="42" s="1"/>
  <c r="H89" i="42"/>
  <c r="J89" i="42" s="1"/>
  <c r="H88" i="42"/>
  <c r="J88" i="42" s="1"/>
  <c r="H87" i="42"/>
  <c r="J87" i="42" s="1"/>
  <c r="J86" i="42"/>
  <c r="H86" i="42"/>
  <c r="H85" i="42"/>
  <c r="J85" i="42" s="1"/>
  <c r="H84" i="42"/>
  <c r="J84" i="42" s="1"/>
  <c r="H83" i="42"/>
  <c r="J83" i="42" s="1"/>
  <c r="J82" i="42"/>
  <c r="H82" i="42"/>
  <c r="H81" i="42"/>
  <c r="J81" i="42" s="1"/>
  <c r="H80" i="42"/>
  <c r="J80" i="42" s="1"/>
  <c r="H79" i="42"/>
  <c r="J79" i="42" s="1"/>
  <c r="J78" i="42"/>
  <c r="H78" i="42"/>
  <c r="H77" i="42"/>
  <c r="J77" i="42" s="1"/>
  <c r="H76" i="42"/>
  <c r="J76" i="42" s="1"/>
  <c r="H75" i="42"/>
  <c r="J75" i="42" s="1"/>
  <c r="H74" i="42"/>
  <c r="J74" i="42" s="1"/>
  <c r="H73" i="42"/>
  <c r="J73" i="42" s="1"/>
  <c r="H72" i="42"/>
  <c r="J72" i="42" s="1"/>
  <c r="H71" i="42"/>
  <c r="J71" i="42" s="1"/>
  <c r="J70" i="42"/>
  <c r="H70" i="42"/>
  <c r="H69" i="42"/>
  <c r="J69" i="42" s="1"/>
  <c r="H68" i="42"/>
  <c r="J68" i="42" s="1"/>
  <c r="H67" i="42"/>
  <c r="J67" i="42" s="1"/>
  <c r="J66" i="42"/>
  <c r="H66" i="42"/>
  <c r="H65" i="42"/>
  <c r="J65" i="42" s="1"/>
  <c r="H64" i="42"/>
  <c r="J64" i="42" s="1"/>
  <c r="H63" i="42"/>
  <c r="J63" i="42" s="1"/>
  <c r="J62" i="42"/>
  <c r="H62" i="42"/>
  <c r="H61" i="42"/>
  <c r="J61" i="42" s="1"/>
  <c r="H60" i="42"/>
  <c r="J60" i="42" s="1"/>
  <c r="H59" i="42"/>
  <c r="J59" i="42" s="1"/>
  <c r="H58" i="42"/>
  <c r="J58" i="42" s="1"/>
  <c r="H57" i="42"/>
  <c r="J57" i="42" s="1"/>
  <c r="H56" i="42"/>
  <c r="J56" i="42" s="1"/>
  <c r="H55" i="42"/>
  <c r="J55" i="42" s="1"/>
  <c r="H54" i="42"/>
  <c r="J54" i="42" s="1"/>
  <c r="H53" i="42"/>
  <c r="J53" i="42" s="1"/>
  <c r="H52" i="42"/>
  <c r="J52" i="42" s="1"/>
  <c r="H51" i="42"/>
  <c r="J51" i="42" s="1"/>
  <c r="H50" i="42"/>
  <c r="J50" i="42" s="1"/>
  <c r="H49" i="42"/>
  <c r="J49" i="42" s="1"/>
  <c r="H48" i="42"/>
  <c r="J48" i="42" s="1"/>
  <c r="H47" i="42"/>
  <c r="J47" i="42" s="1"/>
  <c r="H46" i="42"/>
  <c r="J46" i="42" s="1"/>
  <c r="H45" i="42"/>
  <c r="J45" i="42" s="1"/>
  <c r="H44" i="42"/>
  <c r="J44" i="42" s="1"/>
  <c r="H43" i="42"/>
  <c r="J43" i="42" s="1"/>
  <c r="H42" i="42"/>
  <c r="J42" i="42" s="1"/>
  <c r="H41" i="42"/>
  <c r="J41" i="42" s="1"/>
  <c r="H40" i="42"/>
  <c r="J40" i="42" s="1"/>
  <c r="H39" i="42"/>
  <c r="J39" i="42" s="1"/>
  <c r="H38" i="42"/>
  <c r="J38" i="42" s="1"/>
  <c r="H37" i="42"/>
  <c r="J37" i="42" s="1"/>
  <c r="H36" i="42"/>
  <c r="J36" i="42" s="1"/>
  <c r="H35" i="42"/>
  <c r="J35" i="42" s="1"/>
  <c r="H34" i="42"/>
  <c r="J34" i="42" s="1"/>
  <c r="H33" i="42"/>
  <c r="J33" i="42" s="1"/>
  <c r="H32" i="42"/>
  <c r="J32" i="42" s="1"/>
  <c r="H31" i="42"/>
  <c r="J31" i="42" s="1"/>
  <c r="H30" i="42"/>
  <c r="J30" i="42" s="1"/>
  <c r="H29" i="42"/>
  <c r="J29" i="42" s="1"/>
  <c r="H28" i="42"/>
  <c r="J28" i="42" s="1"/>
  <c r="H27" i="42"/>
  <c r="J27" i="42" s="1"/>
  <c r="H26" i="42"/>
  <c r="J26" i="42" s="1"/>
  <c r="H25" i="42"/>
  <c r="J25" i="42" s="1"/>
  <c r="H24" i="42"/>
  <c r="J24" i="42" s="1"/>
  <c r="H23" i="42"/>
  <c r="J23" i="42" s="1"/>
  <c r="H22" i="42"/>
  <c r="J22" i="42" s="1"/>
  <c r="H21" i="42"/>
  <c r="J21" i="42" s="1"/>
  <c r="H20" i="42"/>
  <c r="J20" i="42" s="1"/>
  <c r="H19" i="42"/>
  <c r="J19" i="42" s="1"/>
  <c r="H18" i="42"/>
  <c r="J18" i="42" s="1"/>
  <c r="H17" i="42"/>
  <c r="J17" i="42" s="1"/>
  <c r="H16" i="42"/>
  <c r="J16" i="42" s="1"/>
  <c r="H15" i="42"/>
  <c r="J15" i="42" s="1"/>
  <c r="H14" i="42"/>
  <c r="J14" i="42" s="1"/>
  <c r="H13" i="42"/>
  <c r="J13" i="42" s="1"/>
  <c r="H12" i="42"/>
  <c r="J12" i="42" s="1"/>
  <c r="H11" i="42"/>
  <c r="J11" i="42" s="1"/>
  <c r="H10" i="42"/>
  <c r="J10" i="42" s="1"/>
  <c r="H9" i="42"/>
  <c r="J9" i="42" s="1"/>
  <c r="H8" i="42"/>
  <c r="J8" i="42" s="1"/>
  <c r="H7" i="42"/>
  <c r="J7" i="42" s="1"/>
  <c r="H6" i="42"/>
  <c r="K5" i="41"/>
  <c r="N5" i="41" s="1"/>
  <c r="L5" i="41"/>
  <c r="L6" i="41"/>
  <c r="M6" i="41" s="1"/>
  <c r="K7" i="41"/>
  <c r="M7" i="41"/>
  <c r="K8" i="41"/>
  <c r="M8" i="41" s="1"/>
  <c r="K9" i="41"/>
  <c r="M9" i="41" s="1"/>
  <c r="K10" i="41"/>
  <c r="M10" i="41" s="1"/>
  <c r="K11" i="41"/>
  <c r="M11" i="41"/>
  <c r="K12" i="41"/>
  <c r="M12" i="41" s="1"/>
  <c r="K13" i="41"/>
  <c r="M13" i="41" s="1"/>
  <c r="K14" i="41"/>
  <c r="M14" i="41" s="1"/>
  <c r="K15" i="41"/>
  <c r="M15" i="41"/>
  <c r="K16" i="41"/>
  <c r="M16" i="41" s="1"/>
  <c r="K17" i="41"/>
  <c r="M17" i="41"/>
  <c r="K18" i="41"/>
  <c r="M18" i="41" s="1"/>
  <c r="K19" i="41"/>
  <c r="M19" i="41"/>
  <c r="K20" i="41"/>
  <c r="M20" i="41" s="1"/>
  <c r="K21" i="41"/>
  <c r="M21" i="41" s="1"/>
  <c r="K22" i="41"/>
  <c r="M22" i="41" s="1"/>
  <c r="K23" i="41"/>
  <c r="M23" i="41"/>
  <c r="K24" i="41"/>
  <c r="M24" i="41" s="1"/>
  <c r="K25" i="41"/>
  <c r="M25" i="41" s="1"/>
  <c r="K26" i="41"/>
  <c r="M26" i="41" s="1"/>
  <c r="K27" i="41"/>
  <c r="M27" i="41"/>
  <c r="K28" i="41"/>
  <c r="M28" i="41" s="1"/>
  <c r="K29" i="41"/>
  <c r="M29" i="41" s="1"/>
  <c r="K30" i="41"/>
  <c r="M30" i="41" s="1"/>
  <c r="K31" i="41"/>
  <c r="M31" i="41"/>
  <c r="K32" i="41"/>
  <c r="M32" i="41" s="1"/>
  <c r="K33" i="41"/>
  <c r="M33" i="41"/>
  <c r="K34" i="41"/>
  <c r="M34" i="41" s="1"/>
  <c r="K35" i="41"/>
  <c r="M35" i="41"/>
  <c r="K36" i="41"/>
  <c r="M36" i="41" s="1"/>
  <c r="K37" i="41"/>
  <c r="M37" i="41" s="1"/>
  <c r="K38" i="41"/>
  <c r="M38" i="41" s="1"/>
  <c r="K39" i="41"/>
  <c r="M39" i="41"/>
  <c r="K40" i="41"/>
  <c r="L40" i="41"/>
  <c r="K41" i="41"/>
  <c r="M41" i="41"/>
  <c r="K42" i="41"/>
  <c r="M42" i="41"/>
  <c r="K43" i="41"/>
  <c r="M43" i="41"/>
  <c r="K44" i="41"/>
  <c r="M44" i="41"/>
  <c r="K45" i="41"/>
  <c r="M45" i="41"/>
  <c r="K46" i="41"/>
  <c r="M46" i="41"/>
  <c r="K47" i="41"/>
  <c r="M47" i="41"/>
  <c r="M48" i="41"/>
  <c r="K49" i="41"/>
  <c r="M49" i="41" s="1"/>
  <c r="K50" i="41"/>
  <c r="M50" i="41" s="1"/>
  <c r="K51" i="41"/>
  <c r="M51" i="41"/>
  <c r="K52" i="41"/>
  <c r="M52" i="41" s="1"/>
  <c r="K53" i="41"/>
  <c r="M53" i="41" s="1"/>
  <c r="K54" i="41"/>
  <c r="M54" i="41" s="1"/>
  <c r="K55" i="41"/>
  <c r="M55" i="41"/>
  <c r="K56" i="41"/>
  <c r="M56" i="41" s="1"/>
  <c r="K57" i="41"/>
  <c r="M57" i="41"/>
  <c r="K58" i="41"/>
  <c r="M58" i="41" s="1"/>
  <c r="K59" i="41"/>
  <c r="M59" i="41"/>
  <c r="M60" i="41"/>
  <c r="K61" i="41"/>
  <c r="M61" i="41" s="1"/>
  <c r="K62" i="41"/>
  <c r="M62" i="41"/>
  <c r="K63" i="41"/>
  <c r="M63" i="41" s="1"/>
  <c r="K64" i="41"/>
  <c r="M64" i="41" s="1"/>
  <c r="K65" i="41"/>
  <c r="M65" i="41" s="1"/>
  <c r="K66" i="41"/>
  <c r="M66" i="41"/>
  <c r="K67" i="41"/>
  <c r="M67" i="41" s="1"/>
  <c r="K68" i="41"/>
  <c r="M68" i="41" s="1"/>
  <c r="K69" i="41"/>
  <c r="M69" i="41" s="1"/>
  <c r="K70" i="41"/>
  <c r="M70" i="41"/>
  <c r="K71" i="41"/>
  <c r="M71" i="41" s="1"/>
  <c r="K72" i="41"/>
  <c r="M72" i="41" s="1"/>
  <c r="K73" i="41"/>
  <c r="M73" i="41" s="1"/>
  <c r="K74" i="41"/>
  <c r="M74" i="41"/>
  <c r="K75" i="41"/>
  <c r="M75" i="41" s="1"/>
  <c r="K76" i="41"/>
  <c r="M76" i="41" s="1"/>
  <c r="M77" i="41"/>
  <c r="K78" i="41"/>
  <c r="M78" i="41"/>
  <c r="K79" i="41"/>
  <c r="M79" i="41" s="1"/>
  <c r="K80" i="41"/>
  <c r="M80" i="41" s="1"/>
  <c r="K81" i="41"/>
  <c r="M81" i="41" s="1"/>
  <c r="K82" i="41"/>
  <c r="M82" i="41"/>
  <c r="K83" i="41"/>
  <c r="M83" i="41" s="1"/>
  <c r="K84" i="41"/>
  <c r="M84" i="41"/>
  <c r="K85" i="41"/>
  <c r="M85" i="41" s="1"/>
  <c r="K86" i="41"/>
  <c r="M86" i="41"/>
  <c r="K87" i="41"/>
  <c r="M87" i="41" s="1"/>
  <c r="K88" i="41"/>
  <c r="M88" i="41" s="1"/>
  <c r="K89" i="41"/>
  <c r="M89" i="41" s="1"/>
  <c r="K90" i="41"/>
  <c r="M90" i="41"/>
  <c r="K91" i="41"/>
  <c r="M91" i="41" s="1"/>
  <c r="M92" i="41"/>
  <c r="K93" i="41"/>
  <c r="M93" i="41"/>
  <c r="K94" i="41"/>
  <c r="M94" i="41"/>
  <c r="K95" i="41"/>
  <c r="M95" i="41"/>
  <c r="K96" i="41"/>
  <c r="M96" i="41"/>
  <c r="K97" i="41"/>
  <c r="M97" i="41"/>
  <c r="K98" i="41"/>
  <c r="M98" i="41"/>
  <c r="K99" i="41"/>
  <c r="M99" i="41"/>
  <c r="M100" i="41"/>
  <c r="K101" i="41"/>
  <c r="M101" i="41" s="1"/>
  <c r="K102" i="41"/>
  <c r="M102" i="41" s="1"/>
  <c r="K103" i="41"/>
  <c r="M103" i="41"/>
  <c r="K104" i="41"/>
  <c r="M104" i="41" s="1"/>
  <c r="K105" i="41"/>
  <c r="M105" i="41" s="1"/>
  <c r="K106" i="41"/>
  <c r="M106" i="41" s="1"/>
  <c r="K107" i="41"/>
  <c r="M107" i="41"/>
  <c r="K108" i="41"/>
  <c r="M108" i="41" s="1"/>
  <c r="K109" i="41"/>
  <c r="M109" i="41"/>
  <c r="K110" i="41"/>
  <c r="M110" i="41" s="1"/>
  <c r="K111" i="41"/>
  <c r="M111" i="41"/>
  <c r="K112" i="41"/>
  <c r="M112" i="41" s="1"/>
  <c r="K113" i="41"/>
  <c r="M113" i="41" s="1"/>
  <c r="K114" i="41"/>
  <c r="M114" i="41" s="1"/>
  <c r="K115" i="41"/>
  <c r="M115" i="41"/>
  <c r="K116" i="41"/>
  <c r="M116" i="41" s="1"/>
  <c r="K117" i="41"/>
  <c r="M117" i="41" s="1"/>
  <c r="M118" i="41"/>
  <c r="K119" i="41"/>
  <c r="M119" i="41"/>
  <c r="K120" i="41"/>
  <c r="M120" i="41"/>
  <c r="K121" i="41"/>
  <c r="M121" i="41"/>
  <c r="K122" i="41"/>
  <c r="M122" i="41"/>
  <c r="K123" i="41"/>
  <c r="M123" i="41"/>
  <c r="K124" i="41"/>
  <c r="M124" i="41"/>
  <c r="K125" i="41"/>
  <c r="M125" i="41"/>
  <c r="K126" i="41"/>
  <c r="M126" i="41"/>
  <c r="K127" i="41"/>
  <c r="M127" i="41"/>
  <c r="K128" i="41"/>
  <c r="M128" i="41"/>
  <c r="K129" i="41"/>
  <c r="M129" i="41"/>
  <c r="M130" i="41"/>
  <c r="K131" i="41"/>
  <c r="M131" i="41" s="1"/>
  <c r="K132" i="41"/>
  <c r="M132" i="41"/>
  <c r="K133" i="41"/>
  <c r="M133" i="41" s="1"/>
  <c r="K134" i="41"/>
  <c r="M134" i="41" s="1"/>
  <c r="K135" i="41"/>
  <c r="M135" i="41" s="1"/>
  <c r="K136" i="41"/>
  <c r="M136" i="41"/>
  <c r="K137" i="41"/>
  <c r="M137" i="41" s="1"/>
  <c r="K138" i="41"/>
  <c r="M138" i="41"/>
  <c r="K139" i="41"/>
  <c r="M139" i="41" s="1"/>
  <c r="K140" i="41"/>
  <c r="M140" i="41"/>
  <c r="K141" i="41"/>
  <c r="M141" i="41" s="1"/>
  <c r="K142" i="41"/>
  <c r="M142" i="41" s="1"/>
  <c r="K143" i="41"/>
  <c r="M143" i="41" s="1"/>
  <c r="K144" i="41"/>
  <c r="M144" i="41"/>
  <c r="K145" i="41"/>
  <c r="M145" i="41" s="1"/>
  <c r="K146" i="41"/>
  <c r="M146" i="41" s="1"/>
  <c r="K147" i="41"/>
  <c r="M147" i="41" s="1"/>
  <c r="K148" i="41"/>
  <c r="M148" i="41"/>
  <c r="K149" i="41"/>
  <c r="M149" i="41" s="1"/>
  <c r="K150" i="41"/>
  <c r="M150" i="41" s="1"/>
  <c r="M151" i="41"/>
  <c r="K152" i="41"/>
  <c r="M152" i="41"/>
  <c r="K153" i="41"/>
  <c r="M153" i="41"/>
  <c r="K154" i="41"/>
  <c r="M154" i="41"/>
  <c r="K155" i="41"/>
  <c r="M155" i="41"/>
  <c r="K156" i="41"/>
  <c r="M156" i="41"/>
  <c r="K157" i="41"/>
  <c r="M157" i="41"/>
  <c r="K158" i="41"/>
  <c r="M158" i="41"/>
  <c r="K159" i="41"/>
  <c r="M159" i="41"/>
  <c r="K160" i="41"/>
  <c r="M160" i="41"/>
  <c r="K161" i="41"/>
  <c r="M161" i="41"/>
  <c r="K162" i="41"/>
  <c r="M162" i="41"/>
  <c r="K163" i="41"/>
  <c r="M163" i="41"/>
  <c r="K164" i="41"/>
  <c r="M164" i="41"/>
  <c r="K165" i="41"/>
  <c r="M165" i="41"/>
  <c r="K166" i="41"/>
  <c r="M166" i="41"/>
  <c r="K167" i="41"/>
  <c r="M167" i="41"/>
  <c r="K168" i="41"/>
  <c r="M168" i="41"/>
  <c r="K169" i="41"/>
  <c r="M169" i="41"/>
  <c r="K170" i="41"/>
  <c r="M170" i="41"/>
  <c r="K171" i="41"/>
  <c r="M171" i="41"/>
  <c r="K172" i="41"/>
  <c r="M172" i="41"/>
  <c r="K173" i="41"/>
  <c r="M173" i="41"/>
  <c r="K174" i="41"/>
  <c r="M174" i="41"/>
  <c r="K175" i="41"/>
  <c r="M175" i="41"/>
  <c r="K176" i="41"/>
  <c r="M176" i="41"/>
  <c r="K177" i="41"/>
  <c r="M177" i="41"/>
  <c r="K178" i="41"/>
  <c r="M178" i="41"/>
  <c r="K179" i="41"/>
  <c r="M179" i="41"/>
  <c r="K180" i="41"/>
  <c r="M180" i="41"/>
  <c r="K181" i="41"/>
  <c r="M181" i="41"/>
  <c r="K182" i="41"/>
  <c r="M182" i="41"/>
  <c r="K183" i="41"/>
  <c r="M183" i="41"/>
  <c r="K184" i="41"/>
  <c r="M184" i="41"/>
  <c r="K185" i="41"/>
  <c r="M185" i="41"/>
  <c r="K186" i="41"/>
  <c r="M186" i="41"/>
  <c r="K187" i="41"/>
  <c r="M187" i="41"/>
  <c r="K188" i="41"/>
  <c r="M188" i="41"/>
  <c r="K189" i="41"/>
  <c r="M189" i="41"/>
  <c r="K190" i="41"/>
  <c r="M190" i="41"/>
  <c r="K191" i="41"/>
  <c r="M191" i="41"/>
  <c r="K192" i="41"/>
  <c r="M192" i="41"/>
  <c r="K193" i="41"/>
  <c r="M193" i="41"/>
  <c r="M194" i="41"/>
  <c r="K195" i="41"/>
  <c r="M195" i="41" s="1"/>
  <c r="K196" i="41"/>
  <c r="M196" i="41" s="1"/>
  <c r="M197" i="41"/>
  <c r="K198" i="41"/>
  <c r="M198" i="41" s="1"/>
  <c r="K199" i="41"/>
  <c r="M199" i="41"/>
  <c r="K200" i="41"/>
  <c r="M200" i="41" s="1"/>
  <c r="M201" i="41"/>
  <c r="K202" i="41"/>
  <c r="M202" i="41"/>
  <c r="K203" i="41"/>
  <c r="M203" i="41" s="1"/>
  <c r="K204" i="41"/>
  <c r="M204" i="41"/>
  <c r="K205" i="41"/>
  <c r="M205" i="41" s="1"/>
  <c r="K206" i="41"/>
  <c r="M206" i="41"/>
  <c r="K207" i="41"/>
  <c r="M207" i="41" s="1"/>
  <c r="M208" i="41"/>
  <c r="K209" i="41"/>
  <c r="M209" i="41"/>
  <c r="K210" i="41"/>
  <c r="M210" i="41"/>
  <c r="K211" i="41"/>
  <c r="M211" i="41"/>
  <c r="K212" i="41"/>
  <c r="M212" i="41"/>
  <c r="K213" i="41"/>
  <c r="M213" i="41"/>
  <c r="K214" i="41"/>
  <c r="M214" i="41"/>
  <c r="K215" i="41"/>
  <c r="M215" i="41"/>
  <c r="K216" i="41"/>
  <c r="M216" i="41"/>
  <c r="K217" i="41"/>
  <c r="M217" i="41"/>
  <c r="K218" i="41"/>
  <c r="M218" i="41"/>
  <c r="K219" i="41"/>
  <c r="M219" i="41"/>
  <c r="M220" i="41"/>
  <c r="K221" i="41"/>
  <c r="M221" i="41" s="1"/>
  <c r="K222" i="41"/>
  <c r="M222" i="41" s="1"/>
  <c r="K223" i="41"/>
  <c r="M223" i="41"/>
  <c r="K224" i="41"/>
  <c r="M224" i="41" s="1"/>
  <c r="K225" i="41"/>
  <c r="M225" i="41" s="1"/>
  <c r="K226" i="41"/>
  <c r="M226" i="41" s="1"/>
  <c r="K227" i="41"/>
  <c r="M227" i="41"/>
  <c r="K228" i="41"/>
  <c r="M228" i="41" s="1"/>
  <c r="K229" i="41"/>
  <c r="M229" i="41" s="1"/>
  <c r="K230" i="41"/>
  <c r="M230" i="41" s="1"/>
  <c r="K231" i="41"/>
  <c r="M231" i="41"/>
  <c r="K232" i="41"/>
  <c r="M232" i="41" s="1"/>
  <c r="K233" i="41"/>
  <c r="M233" i="41"/>
  <c r="K234" i="41"/>
  <c r="M234" i="41" s="1"/>
  <c r="K235" i="41"/>
  <c r="M235" i="41"/>
  <c r="K236" i="41"/>
  <c r="M236" i="41" s="1"/>
  <c r="M237" i="41"/>
  <c r="K238" i="41"/>
  <c r="M238" i="41"/>
  <c r="K239" i="41"/>
  <c r="M239" i="41"/>
  <c r="K240" i="41"/>
  <c r="M240" i="41"/>
  <c r="K241" i="41"/>
  <c r="M241" i="41"/>
  <c r="K242" i="41"/>
  <c r="M242" i="41"/>
  <c r="K243" i="41"/>
  <c r="M243" i="41"/>
  <c r="K244" i="41"/>
  <c r="M244" i="41"/>
  <c r="K245" i="41"/>
  <c r="M245" i="41"/>
  <c r="K246" i="41"/>
  <c r="M246" i="41"/>
  <c r="K247" i="41"/>
  <c r="M247" i="41"/>
  <c r="K248" i="41"/>
  <c r="M248" i="41"/>
  <c r="K249" i="41"/>
  <c r="M249" i="41"/>
  <c r="K250" i="41"/>
  <c r="M250" i="41"/>
  <c r="K251" i="41"/>
  <c r="M251" i="41"/>
  <c r="K252" i="41"/>
  <c r="M252" i="41"/>
  <c r="K253" i="41"/>
  <c r="M253" i="41"/>
  <c r="M254" i="41"/>
  <c r="K255" i="41"/>
  <c r="M255" i="41" s="1"/>
  <c r="K256" i="41"/>
  <c r="M256" i="41"/>
  <c r="K257" i="41"/>
  <c r="M257" i="41" s="1"/>
  <c r="M258" i="41"/>
  <c r="K259" i="41"/>
  <c r="M259" i="41"/>
  <c r="K260" i="41"/>
  <c r="M260" i="41"/>
  <c r="O44" i="93" l="1"/>
  <c r="P44" i="93"/>
  <c r="R44" i="93" s="1"/>
  <c r="I12" i="93"/>
  <c r="O26" i="93"/>
  <c r="P26" i="93"/>
  <c r="R26" i="93" s="1"/>
  <c r="O32" i="93"/>
  <c r="P32" i="93"/>
  <c r="R32" i="93" s="1"/>
  <c r="I44" i="93"/>
  <c r="O58" i="93"/>
  <c r="P58" i="93"/>
  <c r="R58" i="93" s="1"/>
  <c r="O64" i="93"/>
  <c r="P64" i="93"/>
  <c r="R64" i="93" s="1"/>
  <c r="I76" i="93"/>
  <c r="O90" i="93"/>
  <c r="P90" i="93"/>
  <c r="R90" i="93" s="1"/>
  <c r="I193" i="93"/>
  <c r="O209" i="93"/>
  <c r="P209" i="93"/>
  <c r="R209" i="93" s="1"/>
  <c r="O217" i="93"/>
  <c r="P217" i="93"/>
  <c r="R217" i="93" s="1"/>
  <c r="O18" i="93"/>
  <c r="P18" i="93"/>
  <c r="R18" i="93" s="1"/>
  <c r="O70" i="93"/>
  <c r="P70" i="93"/>
  <c r="R70" i="93" s="1"/>
  <c r="O8" i="93"/>
  <c r="P8" i="93"/>
  <c r="R8" i="93" s="1"/>
  <c r="O20" i="93"/>
  <c r="P20" i="93"/>
  <c r="R20" i="93" s="1"/>
  <c r="O40" i="93"/>
  <c r="P40" i="93"/>
  <c r="R40" i="93" s="1"/>
  <c r="O52" i="93"/>
  <c r="P52" i="93"/>
  <c r="R52" i="93" s="1"/>
  <c r="O72" i="93"/>
  <c r="P72" i="93"/>
  <c r="R72" i="93" s="1"/>
  <c r="O84" i="93"/>
  <c r="P84" i="93"/>
  <c r="R84" i="93" s="1"/>
  <c r="O97" i="93"/>
  <c r="P97" i="93"/>
  <c r="R97" i="93" s="1"/>
  <c r="O225" i="93"/>
  <c r="P225" i="93"/>
  <c r="R225" i="93" s="1"/>
  <c r="O193" i="93"/>
  <c r="P193" i="93"/>
  <c r="R193" i="93" s="1"/>
  <c r="I8" i="93"/>
  <c r="I40" i="93"/>
  <c r="O105" i="93"/>
  <c r="P105" i="93"/>
  <c r="R105" i="93" s="1"/>
  <c r="O113" i="93"/>
  <c r="P113" i="93"/>
  <c r="R113" i="93" s="1"/>
  <c r="O233" i="93"/>
  <c r="P233" i="93"/>
  <c r="R233" i="93" s="1"/>
  <c r="O241" i="93"/>
  <c r="P241" i="93"/>
  <c r="R241" i="93" s="1"/>
  <c r="O12" i="93"/>
  <c r="P12" i="93"/>
  <c r="R12" i="93" s="1"/>
  <c r="O50" i="93"/>
  <c r="P50" i="93"/>
  <c r="R50" i="93" s="1"/>
  <c r="O22" i="93"/>
  <c r="P22" i="93"/>
  <c r="R22" i="93" s="1"/>
  <c r="O28" i="93"/>
  <c r="P28" i="93"/>
  <c r="R28" i="93" s="1"/>
  <c r="O34" i="93"/>
  <c r="P34" i="93"/>
  <c r="R34" i="93" s="1"/>
  <c r="O54" i="93"/>
  <c r="P54" i="93"/>
  <c r="R54" i="93" s="1"/>
  <c r="O60" i="93"/>
  <c r="P60" i="93"/>
  <c r="R60" i="93" s="1"/>
  <c r="O66" i="93"/>
  <c r="P66" i="93"/>
  <c r="R66" i="93" s="1"/>
  <c r="O86" i="93"/>
  <c r="P86" i="93"/>
  <c r="R86" i="93" s="1"/>
  <c r="O92" i="93"/>
  <c r="P92" i="93"/>
  <c r="R92" i="93" s="1"/>
  <c r="O121" i="93"/>
  <c r="P121" i="93"/>
  <c r="R121" i="93" s="1"/>
  <c r="O129" i="93"/>
  <c r="P129" i="93"/>
  <c r="R129" i="93" s="1"/>
  <c r="O249" i="93"/>
  <c r="P249" i="93"/>
  <c r="R249" i="93" s="1"/>
  <c r="O257" i="93"/>
  <c r="P257" i="93"/>
  <c r="R257" i="93" s="1"/>
  <c r="O185" i="93"/>
  <c r="P185" i="93"/>
  <c r="R185" i="93" s="1"/>
  <c r="O10" i="93"/>
  <c r="P10" i="93"/>
  <c r="R10" i="93" s="1"/>
  <c r="O16" i="93"/>
  <c r="P16" i="93"/>
  <c r="R16" i="93" s="1"/>
  <c r="O42" i="93"/>
  <c r="P42" i="93"/>
  <c r="R42" i="93" s="1"/>
  <c r="O48" i="93"/>
  <c r="P48" i="93"/>
  <c r="R48" i="93" s="1"/>
  <c r="O74" i="93"/>
  <c r="P74" i="93"/>
  <c r="R74" i="93" s="1"/>
  <c r="O80" i="93"/>
  <c r="P80" i="93"/>
  <c r="R80" i="93" s="1"/>
  <c r="O145" i="93"/>
  <c r="P145" i="93"/>
  <c r="R145" i="93" s="1"/>
  <c r="O153" i="93"/>
  <c r="P153" i="93"/>
  <c r="R153" i="93" s="1"/>
  <c r="I257" i="93"/>
  <c r="O6" i="93"/>
  <c r="P6" i="93"/>
  <c r="R6" i="93" s="1"/>
  <c r="O82" i="93"/>
  <c r="P82" i="93"/>
  <c r="R82" i="93" s="1"/>
  <c r="O4" i="93"/>
  <c r="P4" i="93"/>
  <c r="R4" i="93" s="1"/>
  <c r="O24" i="93"/>
  <c r="P24" i="93"/>
  <c r="R24" i="93" s="1"/>
  <c r="O36" i="93"/>
  <c r="P36" i="93"/>
  <c r="R36" i="93" s="1"/>
  <c r="O56" i="93"/>
  <c r="P56" i="93"/>
  <c r="R56" i="93" s="1"/>
  <c r="O68" i="93"/>
  <c r="P68" i="93"/>
  <c r="R68" i="93" s="1"/>
  <c r="O88" i="93"/>
  <c r="P88" i="93"/>
  <c r="R88" i="93" s="1"/>
  <c r="O161" i="93"/>
  <c r="P161" i="93"/>
  <c r="R161" i="93" s="1"/>
  <c r="O38" i="93"/>
  <c r="P38" i="93"/>
  <c r="R38" i="93" s="1"/>
  <c r="O76" i="93"/>
  <c r="P76" i="93"/>
  <c r="R76" i="93" s="1"/>
  <c r="I24" i="93"/>
  <c r="I56" i="93"/>
  <c r="I88" i="93"/>
  <c r="O169" i="93"/>
  <c r="P169" i="93"/>
  <c r="R169" i="93" s="1"/>
  <c r="O177" i="93"/>
  <c r="P177" i="93"/>
  <c r="R177" i="93" s="1"/>
  <c r="M170" i="94"/>
  <c r="O170" i="94" s="1"/>
  <c r="I170" i="94"/>
  <c r="I108" i="93"/>
  <c r="M108" i="93"/>
  <c r="I115" i="93"/>
  <c r="M115" i="93"/>
  <c r="I236" i="93"/>
  <c r="M236" i="93"/>
  <c r="I243" i="93"/>
  <c r="M243" i="93"/>
  <c r="I141" i="94"/>
  <c r="M141" i="94"/>
  <c r="O141" i="94" s="1"/>
  <c r="I148" i="94"/>
  <c r="M148" i="94"/>
  <c r="O148" i="94" s="1"/>
  <c r="I67" i="93"/>
  <c r="M67" i="93"/>
  <c r="M30" i="93"/>
  <c r="I30" i="93"/>
  <c r="M62" i="93"/>
  <c r="I62" i="93"/>
  <c r="I94" i="93"/>
  <c r="M94" i="93"/>
  <c r="I101" i="93"/>
  <c r="M101" i="93"/>
  <c r="I215" i="93"/>
  <c r="M215" i="93"/>
  <c r="I222" i="93"/>
  <c r="M222" i="93"/>
  <c r="I229" i="93"/>
  <c r="M229" i="93"/>
  <c r="I32" i="94"/>
  <c r="M32" i="94"/>
  <c r="O32" i="94" s="1"/>
  <c r="I120" i="94"/>
  <c r="M120" i="94"/>
  <c r="O120" i="94" s="1"/>
  <c r="I127" i="94"/>
  <c r="M127" i="94"/>
  <c r="O127" i="94" s="1"/>
  <c r="I134" i="94"/>
  <c r="M134" i="94"/>
  <c r="O134" i="94" s="1"/>
  <c r="I35" i="93"/>
  <c r="M35" i="93"/>
  <c r="I122" i="93"/>
  <c r="M122" i="93"/>
  <c r="I250" i="93"/>
  <c r="M250" i="93"/>
  <c r="M43" i="94"/>
  <c r="O43" i="94" s="1"/>
  <c r="I43" i="94"/>
  <c r="M5" i="41"/>
  <c r="I208" i="93"/>
  <c r="M208" i="93"/>
  <c r="I113" i="94"/>
  <c r="M113" i="94"/>
  <c r="O113" i="94" s="1"/>
  <c r="I19" i="93"/>
  <c r="M19" i="93"/>
  <c r="I51" i="93"/>
  <c r="M51" i="93"/>
  <c r="I83" i="93"/>
  <c r="M83" i="93"/>
  <c r="I186" i="93"/>
  <c r="M186" i="93"/>
  <c r="M201" i="93"/>
  <c r="I201" i="93"/>
  <c r="M27" i="94"/>
  <c r="O27" i="94" s="1"/>
  <c r="I27" i="94"/>
  <c r="I91" i="94"/>
  <c r="M91" i="94"/>
  <c r="O91" i="94" s="1"/>
  <c r="M106" i="94"/>
  <c r="O106" i="94" s="1"/>
  <c r="I106" i="94"/>
  <c r="M137" i="93"/>
  <c r="I137" i="93"/>
  <c r="M11" i="94"/>
  <c r="O11" i="94" s="1"/>
  <c r="I11" i="94"/>
  <c r="I172" i="93"/>
  <c r="M172" i="93"/>
  <c r="I179" i="93"/>
  <c r="M179" i="93"/>
  <c r="I77" i="94"/>
  <c r="M77" i="94"/>
  <c r="O77" i="94" s="1"/>
  <c r="I84" i="94"/>
  <c r="M84" i="94"/>
  <c r="O84" i="94" s="1"/>
  <c r="I155" i="94"/>
  <c r="M155" i="94"/>
  <c r="O155" i="94" s="1"/>
  <c r="M14" i="93"/>
  <c r="I14" i="93"/>
  <c r="M46" i="93"/>
  <c r="I46" i="93"/>
  <c r="M78" i="93"/>
  <c r="I78" i="93"/>
  <c r="I151" i="93"/>
  <c r="M151" i="93"/>
  <c r="I158" i="93"/>
  <c r="M158" i="93"/>
  <c r="I165" i="93"/>
  <c r="M165" i="93"/>
  <c r="I16" i="94"/>
  <c r="M16" i="94"/>
  <c r="O16" i="94" s="1"/>
  <c r="I56" i="94"/>
  <c r="M56" i="94"/>
  <c r="O56" i="94" s="1"/>
  <c r="I63" i="94"/>
  <c r="M63" i="94"/>
  <c r="O63" i="94" s="1"/>
  <c r="I70" i="94"/>
  <c r="M70" i="94"/>
  <c r="O70" i="94" s="1"/>
  <c r="I184" i="94"/>
  <c r="M184" i="94"/>
  <c r="O184" i="94" s="1"/>
  <c r="I191" i="94"/>
  <c r="M191" i="94"/>
  <c r="O191" i="94" s="1"/>
  <c r="I198" i="94"/>
  <c r="M198" i="94"/>
  <c r="O198" i="94" s="1"/>
  <c r="I205" i="94"/>
  <c r="M205" i="94"/>
  <c r="O205" i="94" s="1"/>
  <c r="I212" i="94"/>
  <c r="M212" i="94"/>
  <c r="O212" i="94" s="1"/>
  <c r="J6" i="42"/>
  <c r="M40" i="41"/>
  <c r="I144" i="93"/>
  <c r="M144" i="93"/>
  <c r="I49" i="94"/>
  <c r="M49" i="94"/>
  <c r="O49" i="94" s="1"/>
  <c r="I177" i="94"/>
  <c r="M177" i="94"/>
  <c r="O177" i="94" s="1"/>
  <c r="I9" i="93"/>
  <c r="M9" i="93"/>
  <c r="I25" i="93"/>
  <c r="M25" i="93"/>
  <c r="I41" i="93"/>
  <c r="M41" i="93"/>
  <c r="I57" i="93"/>
  <c r="M57" i="93"/>
  <c r="I73" i="93"/>
  <c r="M73" i="93"/>
  <c r="I89" i="93"/>
  <c r="M89" i="93"/>
  <c r="I95" i="93"/>
  <c r="M95" i="93"/>
  <c r="I102" i="93"/>
  <c r="M102" i="93"/>
  <c r="I109" i="93"/>
  <c r="M109" i="93"/>
  <c r="I116" i="93"/>
  <c r="M116" i="93"/>
  <c r="I123" i="93"/>
  <c r="M123" i="93"/>
  <c r="I130" i="93"/>
  <c r="M130" i="93"/>
  <c r="I152" i="93"/>
  <c r="M152" i="93"/>
  <c r="I159" i="93"/>
  <c r="M159" i="93"/>
  <c r="I166" i="93"/>
  <c r="M166" i="93"/>
  <c r="I173" i="93"/>
  <c r="M173" i="93"/>
  <c r="I180" i="93"/>
  <c r="M180" i="93"/>
  <c r="I187" i="93"/>
  <c r="M187" i="93"/>
  <c r="I194" i="93"/>
  <c r="M194" i="93"/>
  <c r="I216" i="93"/>
  <c r="M216" i="93"/>
  <c r="I223" i="93"/>
  <c r="M223" i="93"/>
  <c r="I230" i="93"/>
  <c r="M230" i="93"/>
  <c r="I237" i="93"/>
  <c r="M237" i="93"/>
  <c r="I244" i="93"/>
  <c r="M244" i="93"/>
  <c r="I251" i="93"/>
  <c r="M251" i="93"/>
  <c r="I258" i="93"/>
  <c r="M258" i="93"/>
  <c r="I6" i="94"/>
  <c r="M6" i="94"/>
  <c r="O6" i="94" s="1"/>
  <c r="I22" i="94"/>
  <c r="M22" i="94"/>
  <c r="O22" i="94" s="1"/>
  <c r="I38" i="94"/>
  <c r="M38" i="94"/>
  <c r="O38" i="94" s="1"/>
  <c r="I57" i="94"/>
  <c r="M57" i="94"/>
  <c r="O57" i="94" s="1"/>
  <c r="I64" i="94"/>
  <c r="M64" i="94"/>
  <c r="O64" i="94" s="1"/>
  <c r="I71" i="94"/>
  <c r="M71" i="94"/>
  <c r="O71" i="94" s="1"/>
  <c r="I78" i="94"/>
  <c r="M78" i="94"/>
  <c r="O78" i="94" s="1"/>
  <c r="I85" i="94"/>
  <c r="M85" i="94"/>
  <c r="O85" i="94" s="1"/>
  <c r="I92" i="94"/>
  <c r="M92" i="94"/>
  <c r="O92" i="94" s="1"/>
  <c r="I99" i="94"/>
  <c r="M99" i="94"/>
  <c r="O99" i="94" s="1"/>
  <c r="I121" i="94"/>
  <c r="M121" i="94"/>
  <c r="O121" i="94" s="1"/>
  <c r="I128" i="94"/>
  <c r="M128" i="94"/>
  <c r="O128" i="94" s="1"/>
  <c r="I135" i="94"/>
  <c r="M135" i="94"/>
  <c r="O135" i="94" s="1"/>
  <c r="I142" i="94"/>
  <c r="M142" i="94"/>
  <c r="O142" i="94" s="1"/>
  <c r="I149" i="94"/>
  <c r="M149" i="94"/>
  <c r="O149" i="94" s="1"/>
  <c r="I156" i="94"/>
  <c r="M156" i="94"/>
  <c r="O156" i="94" s="1"/>
  <c r="I163" i="94"/>
  <c r="M163" i="94"/>
  <c r="O163" i="94" s="1"/>
  <c r="I185" i="94"/>
  <c r="M185" i="94"/>
  <c r="O185" i="94" s="1"/>
  <c r="I192" i="94"/>
  <c r="M192" i="94"/>
  <c r="O192" i="94" s="1"/>
  <c r="I199" i="94"/>
  <c r="M199" i="94"/>
  <c r="O199" i="94" s="1"/>
  <c r="I206" i="94"/>
  <c r="M206" i="94"/>
  <c r="O206" i="94" s="1"/>
  <c r="I213" i="94"/>
  <c r="M213" i="94"/>
  <c r="O213" i="94" s="1"/>
  <c r="J5" i="80"/>
  <c r="I4" i="93"/>
  <c r="I15" i="93"/>
  <c r="M15" i="93"/>
  <c r="I20" i="93"/>
  <c r="I31" i="93"/>
  <c r="M31" i="93"/>
  <c r="I36" i="93"/>
  <c r="I47" i="93"/>
  <c r="M47" i="93"/>
  <c r="I52" i="93"/>
  <c r="I63" i="93"/>
  <c r="M63" i="93"/>
  <c r="I68" i="93"/>
  <c r="I79" i="93"/>
  <c r="M79" i="93"/>
  <c r="I84" i="93"/>
  <c r="I96" i="93"/>
  <c r="M96" i="93"/>
  <c r="I103" i="93"/>
  <c r="M103" i="93"/>
  <c r="I110" i="93"/>
  <c r="M110" i="93"/>
  <c r="I117" i="93"/>
  <c r="M117" i="93"/>
  <c r="I124" i="93"/>
  <c r="M124" i="93"/>
  <c r="I131" i="93"/>
  <c r="M131" i="93"/>
  <c r="I138" i="93"/>
  <c r="M138" i="93"/>
  <c r="I145" i="93"/>
  <c r="I160" i="93"/>
  <c r="M160" i="93"/>
  <c r="I167" i="93"/>
  <c r="M167" i="93"/>
  <c r="I174" i="93"/>
  <c r="M174" i="93"/>
  <c r="I181" i="93"/>
  <c r="M181" i="93"/>
  <c r="I188" i="93"/>
  <c r="M188" i="93"/>
  <c r="I195" i="93"/>
  <c r="M195" i="93"/>
  <c r="I202" i="93"/>
  <c r="M202" i="93"/>
  <c r="I209" i="93"/>
  <c r="I224" i="93"/>
  <c r="M224" i="93"/>
  <c r="I231" i="93"/>
  <c r="M231" i="93"/>
  <c r="I238" i="93"/>
  <c r="M238" i="93"/>
  <c r="I245" i="93"/>
  <c r="M245" i="93"/>
  <c r="I252" i="93"/>
  <c r="M252" i="93"/>
  <c r="I259" i="93"/>
  <c r="M259" i="93"/>
  <c r="I12" i="94"/>
  <c r="M12" i="94"/>
  <c r="O12" i="94" s="1"/>
  <c r="I17" i="94"/>
  <c r="I28" i="94"/>
  <c r="M28" i="94"/>
  <c r="O28" i="94" s="1"/>
  <c r="I33" i="94"/>
  <c r="I44" i="94"/>
  <c r="M44" i="94"/>
  <c r="O44" i="94" s="1"/>
  <c r="I50" i="94"/>
  <c r="I65" i="94"/>
  <c r="M65" i="94"/>
  <c r="O65" i="94" s="1"/>
  <c r="I72" i="94"/>
  <c r="M72" i="94"/>
  <c r="O72" i="94" s="1"/>
  <c r="I79" i="94"/>
  <c r="M79" i="94"/>
  <c r="O79" i="94" s="1"/>
  <c r="I86" i="94"/>
  <c r="M86" i="94"/>
  <c r="O86" i="94" s="1"/>
  <c r="I93" i="94"/>
  <c r="M93" i="94"/>
  <c r="O93" i="94" s="1"/>
  <c r="I100" i="94"/>
  <c r="M100" i="94"/>
  <c r="O100" i="94" s="1"/>
  <c r="I107" i="94"/>
  <c r="M107" i="94"/>
  <c r="O107" i="94" s="1"/>
  <c r="I114" i="94"/>
  <c r="I129" i="94"/>
  <c r="M129" i="94"/>
  <c r="O129" i="94" s="1"/>
  <c r="I136" i="94"/>
  <c r="M136" i="94"/>
  <c r="O136" i="94" s="1"/>
  <c r="I143" i="94"/>
  <c r="M143" i="94"/>
  <c r="O143" i="94" s="1"/>
  <c r="I150" i="94"/>
  <c r="M150" i="94"/>
  <c r="O150" i="94" s="1"/>
  <c r="I157" i="94"/>
  <c r="M157" i="94"/>
  <c r="O157" i="94" s="1"/>
  <c r="I164" i="94"/>
  <c r="M164" i="94"/>
  <c r="O164" i="94" s="1"/>
  <c r="I171" i="94"/>
  <c r="M171" i="94"/>
  <c r="O171" i="94" s="1"/>
  <c r="I178" i="94"/>
  <c r="I193" i="94"/>
  <c r="M193" i="94"/>
  <c r="O193" i="94" s="1"/>
  <c r="I200" i="94"/>
  <c r="M200" i="94"/>
  <c r="O200" i="94" s="1"/>
  <c r="I207" i="94"/>
  <c r="M207" i="94"/>
  <c r="O207" i="94" s="1"/>
  <c r="I214" i="94"/>
  <c r="M214" i="94"/>
  <c r="O214" i="94" s="1"/>
  <c r="J5" i="45"/>
  <c r="N5" i="45"/>
  <c r="I5" i="93"/>
  <c r="M5" i="93"/>
  <c r="I21" i="93"/>
  <c r="M21" i="93"/>
  <c r="I37" i="93"/>
  <c r="M37" i="93"/>
  <c r="I53" i="93"/>
  <c r="M53" i="93"/>
  <c r="I69" i="93"/>
  <c r="M69" i="93"/>
  <c r="I85" i="93"/>
  <c r="M85" i="93"/>
  <c r="I104" i="93"/>
  <c r="M104" i="93"/>
  <c r="I111" i="93"/>
  <c r="M111" i="93"/>
  <c r="I118" i="93"/>
  <c r="M118" i="93"/>
  <c r="I125" i="93"/>
  <c r="M125" i="93"/>
  <c r="I132" i="93"/>
  <c r="M132" i="93"/>
  <c r="I139" i="93"/>
  <c r="M139" i="93"/>
  <c r="I146" i="93"/>
  <c r="M146" i="93"/>
  <c r="I168" i="93"/>
  <c r="M168" i="93"/>
  <c r="I175" i="93"/>
  <c r="M175" i="93"/>
  <c r="I182" i="93"/>
  <c r="M182" i="93"/>
  <c r="I189" i="93"/>
  <c r="M189" i="93"/>
  <c r="I196" i="93"/>
  <c r="M196" i="93"/>
  <c r="I203" i="93"/>
  <c r="M203" i="93"/>
  <c r="I210" i="93"/>
  <c r="M210" i="93"/>
  <c r="I232" i="93"/>
  <c r="M232" i="93"/>
  <c r="I239" i="93"/>
  <c r="M239" i="93"/>
  <c r="I246" i="93"/>
  <c r="M246" i="93"/>
  <c r="I253" i="93"/>
  <c r="M253" i="93"/>
  <c r="I260" i="93"/>
  <c r="M260" i="93"/>
  <c r="I18" i="94"/>
  <c r="M18" i="94"/>
  <c r="O18" i="94" s="1"/>
  <c r="I34" i="94"/>
  <c r="M34" i="94"/>
  <c r="O34" i="94" s="1"/>
  <c r="I51" i="94"/>
  <c r="M51" i="94"/>
  <c r="O51" i="94" s="1"/>
  <c r="I73" i="94"/>
  <c r="M73" i="94"/>
  <c r="O73" i="94" s="1"/>
  <c r="I80" i="94"/>
  <c r="M80" i="94"/>
  <c r="O80" i="94" s="1"/>
  <c r="I87" i="94"/>
  <c r="M87" i="94"/>
  <c r="O87" i="94" s="1"/>
  <c r="I94" i="94"/>
  <c r="M94" i="94"/>
  <c r="O94" i="94" s="1"/>
  <c r="I101" i="94"/>
  <c r="M101" i="94"/>
  <c r="O101" i="94" s="1"/>
  <c r="I108" i="94"/>
  <c r="M108" i="94"/>
  <c r="O108" i="94" s="1"/>
  <c r="I115" i="94"/>
  <c r="M115" i="94"/>
  <c r="O115" i="94" s="1"/>
  <c r="I137" i="94"/>
  <c r="M137" i="94"/>
  <c r="O137" i="94" s="1"/>
  <c r="I144" i="94"/>
  <c r="M144" i="94"/>
  <c r="O144" i="94" s="1"/>
  <c r="I151" i="94"/>
  <c r="M151" i="94"/>
  <c r="O151" i="94" s="1"/>
  <c r="I158" i="94"/>
  <c r="M158" i="94"/>
  <c r="O158" i="94" s="1"/>
  <c r="I165" i="94"/>
  <c r="M165" i="94"/>
  <c r="O165" i="94" s="1"/>
  <c r="I172" i="94"/>
  <c r="M172" i="94"/>
  <c r="O172" i="94" s="1"/>
  <c r="I179" i="94"/>
  <c r="M179" i="94"/>
  <c r="O179" i="94" s="1"/>
  <c r="I201" i="94"/>
  <c r="M201" i="94"/>
  <c r="O201" i="94" s="1"/>
  <c r="I208" i="94"/>
  <c r="M208" i="94"/>
  <c r="O208" i="94" s="1"/>
  <c r="I11" i="93"/>
  <c r="M11" i="93"/>
  <c r="I27" i="93"/>
  <c r="M27" i="93"/>
  <c r="I43" i="93"/>
  <c r="M43" i="93"/>
  <c r="I59" i="93"/>
  <c r="M59" i="93"/>
  <c r="I75" i="93"/>
  <c r="M75" i="93"/>
  <c r="I91" i="93"/>
  <c r="M91" i="93"/>
  <c r="I112" i="93"/>
  <c r="M112" i="93"/>
  <c r="I119" i="93"/>
  <c r="M119" i="93"/>
  <c r="I126" i="93"/>
  <c r="M126" i="93"/>
  <c r="I133" i="93"/>
  <c r="M133" i="93"/>
  <c r="I140" i="93"/>
  <c r="M140" i="93"/>
  <c r="I147" i="93"/>
  <c r="M147" i="93"/>
  <c r="I154" i="93"/>
  <c r="M154" i="93"/>
  <c r="I176" i="93"/>
  <c r="M176" i="93"/>
  <c r="I183" i="93"/>
  <c r="M183" i="93"/>
  <c r="I190" i="93"/>
  <c r="M190" i="93"/>
  <c r="I197" i="93"/>
  <c r="M197" i="93"/>
  <c r="I204" i="93"/>
  <c r="M204" i="93"/>
  <c r="I211" i="93"/>
  <c r="M211" i="93"/>
  <c r="I218" i="93"/>
  <c r="M218" i="93"/>
  <c r="I240" i="93"/>
  <c r="M240" i="93"/>
  <c r="I247" i="93"/>
  <c r="M247" i="93"/>
  <c r="I254" i="93"/>
  <c r="M254" i="93"/>
  <c r="I261" i="93"/>
  <c r="M261" i="93"/>
  <c r="I8" i="94"/>
  <c r="M8" i="94"/>
  <c r="O8" i="94" s="1"/>
  <c r="I24" i="94"/>
  <c r="M24" i="94"/>
  <c r="O24" i="94" s="1"/>
  <c r="I40" i="94"/>
  <c r="M40" i="94"/>
  <c r="O40" i="94" s="1"/>
  <c r="I52" i="94"/>
  <c r="M52" i="94"/>
  <c r="O52" i="94" s="1"/>
  <c r="I59" i="94"/>
  <c r="M59" i="94"/>
  <c r="O59" i="94" s="1"/>
  <c r="I81" i="94"/>
  <c r="M81" i="94"/>
  <c r="O81" i="94" s="1"/>
  <c r="I88" i="94"/>
  <c r="M88" i="94"/>
  <c r="O88" i="94" s="1"/>
  <c r="I95" i="94"/>
  <c r="M95" i="94"/>
  <c r="O95" i="94" s="1"/>
  <c r="I102" i="94"/>
  <c r="M102" i="94"/>
  <c r="O102" i="94" s="1"/>
  <c r="I109" i="94"/>
  <c r="M109" i="94"/>
  <c r="O109" i="94" s="1"/>
  <c r="I116" i="94"/>
  <c r="M116" i="94"/>
  <c r="O116" i="94" s="1"/>
  <c r="I123" i="94"/>
  <c r="M123" i="94"/>
  <c r="O123" i="94" s="1"/>
  <c r="I145" i="94"/>
  <c r="M145" i="94"/>
  <c r="O145" i="94" s="1"/>
  <c r="I152" i="94"/>
  <c r="M152" i="94"/>
  <c r="O152" i="94" s="1"/>
  <c r="I159" i="94"/>
  <c r="M159" i="94"/>
  <c r="O159" i="94" s="1"/>
  <c r="I166" i="94"/>
  <c r="M166" i="94"/>
  <c r="O166" i="94" s="1"/>
  <c r="I173" i="94"/>
  <c r="M173" i="94"/>
  <c r="O173" i="94" s="1"/>
  <c r="I180" i="94"/>
  <c r="M180" i="94"/>
  <c r="O180" i="94" s="1"/>
  <c r="I187" i="94"/>
  <c r="M187" i="94"/>
  <c r="O187" i="94" s="1"/>
  <c r="I209" i="94"/>
  <c r="M209" i="94"/>
  <c r="O209" i="94" s="1"/>
  <c r="I4" i="96"/>
  <c r="M4" i="96"/>
  <c r="J5" i="59"/>
  <c r="I6" i="93"/>
  <c r="I17" i="93"/>
  <c r="M17" i="93"/>
  <c r="I22" i="93"/>
  <c r="I33" i="93"/>
  <c r="M33" i="93"/>
  <c r="I38" i="93"/>
  <c r="I49" i="93"/>
  <c r="M49" i="93"/>
  <c r="I54" i="93"/>
  <c r="I65" i="93"/>
  <c r="M65" i="93"/>
  <c r="I70" i="93"/>
  <c r="I81" i="93"/>
  <c r="M81" i="93"/>
  <c r="I86" i="93"/>
  <c r="I98" i="93"/>
  <c r="M98" i="93"/>
  <c r="I105" i="93"/>
  <c r="I120" i="93"/>
  <c r="M120" i="93"/>
  <c r="I127" i="93"/>
  <c r="M127" i="93"/>
  <c r="I134" i="93"/>
  <c r="M134" i="93"/>
  <c r="I141" i="93"/>
  <c r="M141" i="93"/>
  <c r="I148" i="93"/>
  <c r="M148" i="93"/>
  <c r="I155" i="93"/>
  <c r="M155" i="93"/>
  <c r="I162" i="93"/>
  <c r="M162" i="93"/>
  <c r="I169" i="93"/>
  <c r="I184" i="93"/>
  <c r="M184" i="93"/>
  <c r="I191" i="93"/>
  <c r="M191" i="93"/>
  <c r="I198" i="93"/>
  <c r="M198" i="93"/>
  <c r="I205" i="93"/>
  <c r="M205" i="93"/>
  <c r="I212" i="93"/>
  <c r="M212" i="93"/>
  <c r="I219" i="93"/>
  <c r="M219" i="93"/>
  <c r="I226" i="93"/>
  <c r="M226" i="93"/>
  <c r="I233" i="93"/>
  <c r="I248" i="93"/>
  <c r="M248" i="93"/>
  <c r="I255" i="93"/>
  <c r="M255" i="93"/>
  <c r="I262" i="93"/>
  <c r="M262" i="93"/>
  <c r="I14" i="94"/>
  <c r="M14" i="94"/>
  <c r="O14" i="94" s="1"/>
  <c r="I19" i="94"/>
  <c r="I30" i="94"/>
  <c r="M30" i="94"/>
  <c r="O30" i="94" s="1"/>
  <c r="I35" i="94"/>
  <c r="I46" i="94"/>
  <c r="M46" i="94"/>
  <c r="O46" i="94" s="1"/>
  <c r="I53" i="94"/>
  <c r="M53" i="94"/>
  <c r="O53" i="94" s="1"/>
  <c r="I60" i="94"/>
  <c r="M60" i="94"/>
  <c r="O60" i="94" s="1"/>
  <c r="I67" i="94"/>
  <c r="M67" i="94"/>
  <c r="O67" i="94" s="1"/>
  <c r="I74" i="94"/>
  <c r="I89" i="94"/>
  <c r="M89" i="94"/>
  <c r="O89" i="94" s="1"/>
  <c r="I96" i="94"/>
  <c r="M96" i="94"/>
  <c r="O96" i="94" s="1"/>
  <c r="I103" i="94"/>
  <c r="M103" i="94"/>
  <c r="O103" i="94" s="1"/>
  <c r="I110" i="94"/>
  <c r="M110" i="94"/>
  <c r="O110" i="94" s="1"/>
  <c r="I117" i="94"/>
  <c r="M117" i="94"/>
  <c r="O117" i="94" s="1"/>
  <c r="I124" i="94"/>
  <c r="M124" i="94"/>
  <c r="O124" i="94" s="1"/>
  <c r="I131" i="94"/>
  <c r="M131" i="94"/>
  <c r="O131" i="94" s="1"/>
  <c r="I138" i="94"/>
  <c r="I153" i="94"/>
  <c r="M153" i="94"/>
  <c r="O153" i="94" s="1"/>
  <c r="I160" i="94"/>
  <c r="M160" i="94"/>
  <c r="O160" i="94" s="1"/>
  <c r="I167" i="94"/>
  <c r="M167" i="94"/>
  <c r="O167" i="94" s="1"/>
  <c r="I174" i="94"/>
  <c r="M174" i="94"/>
  <c r="O174" i="94" s="1"/>
  <c r="I181" i="94"/>
  <c r="M181" i="94"/>
  <c r="O181" i="94" s="1"/>
  <c r="I188" i="94"/>
  <c r="M188" i="94"/>
  <c r="O188" i="94" s="1"/>
  <c r="I195" i="94"/>
  <c r="M195" i="94"/>
  <c r="O195" i="94" s="1"/>
  <c r="I7" i="93"/>
  <c r="M7" i="93"/>
  <c r="I23" i="93"/>
  <c r="M23" i="93"/>
  <c r="I39" i="93"/>
  <c r="M39" i="93"/>
  <c r="I55" i="93"/>
  <c r="M55" i="93"/>
  <c r="I71" i="93"/>
  <c r="M71" i="93"/>
  <c r="I87" i="93"/>
  <c r="M87" i="93"/>
  <c r="I99" i="93"/>
  <c r="M99" i="93"/>
  <c r="I106" i="93"/>
  <c r="M106" i="93"/>
  <c r="I128" i="93"/>
  <c r="M128" i="93"/>
  <c r="I135" i="93"/>
  <c r="M135" i="93"/>
  <c r="I142" i="93"/>
  <c r="M142" i="93"/>
  <c r="I149" i="93"/>
  <c r="M149" i="93"/>
  <c r="I156" i="93"/>
  <c r="M156" i="93"/>
  <c r="I163" i="93"/>
  <c r="M163" i="93"/>
  <c r="I170" i="93"/>
  <c r="M170" i="93"/>
  <c r="I192" i="93"/>
  <c r="M192" i="93"/>
  <c r="I199" i="93"/>
  <c r="M199" i="93"/>
  <c r="I206" i="93"/>
  <c r="M206" i="93"/>
  <c r="I213" i="93"/>
  <c r="M213" i="93"/>
  <c r="I220" i="93"/>
  <c r="M220" i="93"/>
  <c r="I227" i="93"/>
  <c r="M227" i="93"/>
  <c r="I234" i="93"/>
  <c r="M234" i="93"/>
  <c r="I256" i="93"/>
  <c r="M256" i="93"/>
  <c r="I4" i="94"/>
  <c r="M4" i="94"/>
  <c r="O4" i="94" s="1"/>
  <c r="I20" i="94"/>
  <c r="M20" i="94"/>
  <c r="O20" i="94" s="1"/>
  <c r="I36" i="94"/>
  <c r="M36" i="94"/>
  <c r="O36" i="94" s="1"/>
  <c r="I47" i="94"/>
  <c r="M47" i="94"/>
  <c r="O47" i="94" s="1"/>
  <c r="I54" i="94"/>
  <c r="M54" i="94"/>
  <c r="O54" i="94" s="1"/>
  <c r="I61" i="94"/>
  <c r="M61" i="94"/>
  <c r="O61" i="94" s="1"/>
  <c r="I68" i="94"/>
  <c r="M68" i="94"/>
  <c r="O68" i="94" s="1"/>
  <c r="I75" i="94"/>
  <c r="M75" i="94"/>
  <c r="O75" i="94" s="1"/>
  <c r="I97" i="94"/>
  <c r="M97" i="94"/>
  <c r="O97" i="94" s="1"/>
  <c r="I104" i="94"/>
  <c r="M104" i="94"/>
  <c r="O104" i="94" s="1"/>
  <c r="I111" i="94"/>
  <c r="M111" i="94"/>
  <c r="O111" i="94" s="1"/>
  <c r="I118" i="94"/>
  <c r="M118" i="94"/>
  <c r="O118" i="94" s="1"/>
  <c r="I125" i="94"/>
  <c r="M125" i="94"/>
  <c r="O125" i="94" s="1"/>
  <c r="I132" i="94"/>
  <c r="M132" i="94"/>
  <c r="O132" i="94" s="1"/>
  <c r="I139" i="94"/>
  <c r="M139" i="94"/>
  <c r="O139" i="94" s="1"/>
  <c r="I161" i="94"/>
  <c r="M161" i="94"/>
  <c r="O161" i="94" s="1"/>
  <c r="I168" i="94"/>
  <c r="M168" i="94"/>
  <c r="O168" i="94" s="1"/>
  <c r="I175" i="94"/>
  <c r="M175" i="94"/>
  <c r="O175" i="94" s="1"/>
  <c r="I182" i="94"/>
  <c r="M182" i="94"/>
  <c r="O182" i="94" s="1"/>
  <c r="I189" i="94"/>
  <c r="M189" i="94"/>
  <c r="O189" i="94" s="1"/>
  <c r="I196" i="94"/>
  <c r="M196" i="94"/>
  <c r="O196" i="94" s="1"/>
  <c r="I203" i="94"/>
  <c r="M203" i="94"/>
  <c r="O203" i="94" s="1"/>
  <c r="I4" i="92"/>
  <c r="J5" i="57"/>
  <c r="I13" i="93"/>
  <c r="M13" i="93"/>
  <c r="I18" i="93"/>
  <c r="I29" i="93"/>
  <c r="M29" i="93"/>
  <c r="I34" i="93"/>
  <c r="I45" i="93"/>
  <c r="M45" i="93"/>
  <c r="I50" i="93"/>
  <c r="I61" i="93"/>
  <c r="M61" i="93"/>
  <c r="I66" i="93"/>
  <c r="I77" i="93"/>
  <c r="M77" i="93"/>
  <c r="I82" i="93"/>
  <c r="I93" i="93"/>
  <c r="M93" i="93"/>
  <c r="I100" i="93"/>
  <c r="M100" i="93"/>
  <c r="I107" i="93"/>
  <c r="M107" i="93"/>
  <c r="I114" i="93"/>
  <c r="M114" i="93"/>
  <c r="I121" i="93"/>
  <c r="I136" i="93"/>
  <c r="M136" i="93"/>
  <c r="I143" i="93"/>
  <c r="M143" i="93"/>
  <c r="I150" i="93"/>
  <c r="M150" i="93"/>
  <c r="I157" i="93"/>
  <c r="M157" i="93"/>
  <c r="I164" i="93"/>
  <c r="M164" i="93"/>
  <c r="I171" i="93"/>
  <c r="M171" i="93"/>
  <c r="I178" i="93"/>
  <c r="M178" i="93"/>
  <c r="I185" i="93"/>
  <c r="I200" i="93"/>
  <c r="M200" i="93"/>
  <c r="I207" i="93"/>
  <c r="M207" i="93"/>
  <c r="I214" i="93"/>
  <c r="M214" i="93"/>
  <c r="I221" i="93"/>
  <c r="M221" i="93"/>
  <c r="I228" i="93"/>
  <c r="M228" i="93"/>
  <c r="I235" i="93"/>
  <c r="M235" i="93"/>
  <c r="I242" i="93"/>
  <c r="M242" i="93"/>
  <c r="I249" i="93"/>
  <c r="I10" i="94"/>
  <c r="M10" i="94"/>
  <c r="O10" i="94" s="1"/>
  <c r="I15" i="94"/>
  <c r="I26" i="94"/>
  <c r="M26" i="94"/>
  <c r="O26" i="94" s="1"/>
  <c r="I31" i="94"/>
  <c r="I42" i="94"/>
  <c r="M42" i="94"/>
  <c r="O42" i="94" s="1"/>
  <c r="I48" i="94"/>
  <c r="M48" i="94"/>
  <c r="O48" i="94" s="1"/>
  <c r="I55" i="94"/>
  <c r="M55" i="94"/>
  <c r="O55" i="94" s="1"/>
  <c r="I62" i="94"/>
  <c r="M62" i="94"/>
  <c r="O62" i="94" s="1"/>
  <c r="I69" i="94"/>
  <c r="M69" i="94"/>
  <c r="O69" i="94" s="1"/>
  <c r="I76" i="94"/>
  <c r="M76" i="94"/>
  <c r="O76" i="94" s="1"/>
  <c r="I83" i="94"/>
  <c r="M83" i="94"/>
  <c r="O83" i="94" s="1"/>
  <c r="I90" i="94"/>
  <c r="I105" i="94"/>
  <c r="M105" i="94"/>
  <c r="O105" i="94" s="1"/>
  <c r="I112" i="94"/>
  <c r="M112" i="94"/>
  <c r="O112" i="94" s="1"/>
  <c r="I119" i="94"/>
  <c r="M119" i="94"/>
  <c r="O119" i="94" s="1"/>
  <c r="I126" i="94"/>
  <c r="M126" i="94"/>
  <c r="O126" i="94" s="1"/>
  <c r="I133" i="94"/>
  <c r="M133" i="94"/>
  <c r="O133" i="94" s="1"/>
  <c r="I140" i="94"/>
  <c r="M140" i="94"/>
  <c r="O140" i="94" s="1"/>
  <c r="I147" i="94"/>
  <c r="M147" i="94"/>
  <c r="O147" i="94" s="1"/>
  <c r="I154" i="94"/>
  <c r="I169" i="94"/>
  <c r="M169" i="94"/>
  <c r="O169" i="94" s="1"/>
  <c r="I176" i="94"/>
  <c r="M176" i="94"/>
  <c r="O176" i="94" s="1"/>
  <c r="I183" i="94"/>
  <c r="M183" i="94"/>
  <c r="O183" i="94" s="1"/>
  <c r="I190" i="94"/>
  <c r="M190" i="94"/>
  <c r="O190" i="94" s="1"/>
  <c r="I197" i="94"/>
  <c r="M197" i="94"/>
  <c r="O197" i="94" s="1"/>
  <c r="I204" i="94"/>
  <c r="M204" i="94"/>
  <c r="O204" i="94" s="1"/>
  <c r="I211" i="94"/>
  <c r="M211" i="94"/>
  <c r="O211" i="94" s="1"/>
  <c r="J5" i="97"/>
  <c r="K5" i="97"/>
  <c r="J6" i="97"/>
  <c r="K6" i="97"/>
  <c r="J7" i="97"/>
  <c r="K7" i="97"/>
  <c r="J8" i="97"/>
  <c r="K8" i="97"/>
  <c r="J9" i="97"/>
  <c r="K9" i="97"/>
  <c r="J10" i="97"/>
  <c r="K10" i="97"/>
  <c r="J11" i="97"/>
  <c r="K11" i="97"/>
  <c r="J12" i="97"/>
  <c r="K12" i="97"/>
  <c r="J13" i="97"/>
  <c r="K13" i="97"/>
  <c r="J14" i="97"/>
  <c r="K14" i="97"/>
  <c r="J15" i="97"/>
  <c r="K15" i="97"/>
  <c r="J16" i="97"/>
  <c r="K16" i="97"/>
  <c r="J17" i="97"/>
  <c r="K17" i="97"/>
  <c r="J18" i="97"/>
  <c r="K18" i="97"/>
  <c r="J19" i="97"/>
  <c r="K19" i="97"/>
  <c r="J20" i="97"/>
  <c r="K20" i="97"/>
  <c r="J21" i="97"/>
  <c r="K21" i="97"/>
  <c r="J22" i="97"/>
  <c r="K22" i="97"/>
  <c r="J23" i="97"/>
  <c r="K23" i="97"/>
  <c r="J24" i="97"/>
  <c r="K24" i="97"/>
  <c r="J25" i="97"/>
  <c r="K25" i="97"/>
  <c r="J26" i="97"/>
  <c r="K26" i="97"/>
  <c r="J27" i="97"/>
  <c r="K27" i="97"/>
  <c r="J28" i="97"/>
  <c r="K28" i="97"/>
  <c r="J29" i="97"/>
  <c r="K29" i="97"/>
  <c r="J30" i="97"/>
  <c r="K30" i="97"/>
  <c r="J31" i="97"/>
  <c r="K31" i="97"/>
  <c r="J32" i="97"/>
  <c r="K32" i="97"/>
  <c r="J33" i="97"/>
  <c r="K33" i="97"/>
  <c r="J34" i="97"/>
  <c r="K34" i="97"/>
  <c r="J35" i="97"/>
  <c r="K35" i="97"/>
  <c r="J36" i="97"/>
  <c r="K36" i="97"/>
  <c r="J37" i="97"/>
  <c r="K37" i="97"/>
  <c r="J38" i="97"/>
  <c r="K38" i="97"/>
  <c r="J39" i="97"/>
  <c r="K39" i="97"/>
  <c r="J40" i="97"/>
  <c r="K40" i="97"/>
  <c r="J41" i="97"/>
  <c r="K41" i="97"/>
  <c r="J42" i="97"/>
  <c r="K42" i="97"/>
  <c r="J43" i="97"/>
  <c r="K43" i="97"/>
  <c r="J44" i="97"/>
  <c r="K44" i="97"/>
  <c r="J45" i="97"/>
  <c r="K45" i="97"/>
  <c r="J46" i="97"/>
  <c r="K46" i="97"/>
  <c r="J47" i="97"/>
  <c r="K47" i="97"/>
  <c r="J48" i="97"/>
  <c r="K48" i="97"/>
  <c r="J49" i="97"/>
  <c r="K49" i="97"/>
  <c r="J50" i="97"/>
  <c r="K50" i="97"/>
  <c r="J51" i="97"/>
  <c r="K51" i="97"/>
  <c r="J52" i="97"/>
  <c r="K52" i="97"/>
  <c r="J53" i="97"/>
  <c r="K53" i="97"/>
  <c r="J54" i="97"/>
  <c r="K54" i="97"/>
  <c r="J55" i="97"/>
  <c r="K55" i="97"/>
  <c r="J56" i="97"/>
  <c r="K56" i="97"/>
  <c r="J57" i="97"/>
  <c r="K57" i="97"/>
  <c r="J58" i="97"/>
  <c r="K58" i="97"/>
  <c r="J59" i="97"/>
  <c r="K59" i="97"/>
  <c r="J60" i="97"/>
  <c r="K60" i="97"/>
  <c r="J61" i="97"/>
  <c r="K61" i="97"/>
  <c r="J62" i="97"/>
  <c r="K62" i="97"/>
  <c r="J63" i="97"/>
  <c r="K63" i="97"/>
  <c r="J64" i="97"/>
  <c r="K64" i="97"/>
  <c r="J65" i="97"/>
  <c r="K65" i="97"/>
  <c r="J66" i="97"/>
  <c r="K66" i="97"/>
  <c r="J67" i="97"/>
  <c r="K67" i="97"/>
  <c r="J68" i="97"/>
  <c r="K68" i="97"/>
  <c r="J69" i="97"/>
  <c r="K69" i="97"/>
  <c r="J70" i="97"/>
  <c r="K70" i="97"/>
  <c r="J71" i="97"/>
  <c r="K71" i="97"/>
  <c r="J72" i="97"/>
  <c r="K72" i="97"/>
  <c r="J73" i="97"/>
  <c r="K73" i="97"/>
  <c r="J74" i="97"/>
  <c r="K74" i="97"/>
  <c r="J75" i="97"/>
  <c r="K75" i="97"/>
  <c r="J76" i="97"/>
  <c r="K76" i="97"/>
  <c r="J77" i="97"/>
  <c r="K77" i="97"/>
  <c r="J78" i="97"/>
  <c r="K78" i="97"/>
  <c r="J79" i="97"/>
  <c r="K79" i="97"/>
  <c r="J80" i="97"/>
  <c r="K80" i="97"/>
  <c r="J81" i="97"/>
  <c r="K81" i="97"/>
  <c r="J82" i="97"/>
  <c r="K82" i="97"/>
  <c r="J83" i="97"/>
  <c r="K83" i="97"/>
  <c r="J84" i="97"/>
  <c r="K84" i="97"/>
  <c r="J85" i="97"/>
  <c r="K85" i="97"/>
  <c r="J86" i="97"/>
  <c r="K86" i="97"/>
  <c r="J87" i="97"/>
  <c r="K87" i="97"/>
  <c r="J88" i="97"/>
  <c r="K88" i="97"/>
  <c r="J89" i="97"/>
  <c r="K89" i="97"/>
  <c r="J90" i="97"/>
  <c r="K90" i="97"/>
  <c r="J91" i="97"/>
  <c r="K91" i="97"/>
  <c r="J92" i="97"/>
  <c r="K92" i="97"/>
  <c r="J93" i="97"/>
  <c r="K93" i="97"/>
  <c r="J94" i="97"/>
  <c r="K94" i="97"/>
  <c r="J95" i="97"/>
  <c r="K95" i="97"/>
  <c r="J96" i="97"/>
  <c r="K96" i="97"/>
  <c r="J97" i="97"/>
  <c r="K97" i="97"/>
  <c r="J98" i="97"/>
  <c r="K98" i="97"/>
  <c r="J99" i="97"/>
  <c r="K99" i="97"/>
  <c r="J100" i="97"/>
  <c r="K100" i="97"/>
  <c r="J101" i="97"/>
  <c r="K101" i="97"/>
  <c r="J102" i="97"/>
  <c r="K102" i="97"/>
  <c r="J103" i="97"/>
  <c r="K103" i="97"/>
  <c r="J104" i="97"/>
  <c r="K104" i="97"/>
  <c r="J105" i="97"/>
  <c r="K105" i="97"/>
  <c r="J106" i="97"/>
  <c r="K106" i="97"/>
  <c r="J107" i="97"/>
  <c r="K107" i="97"/>
  <c r="J108" i="97"/>
  <c r="K108" i="97"/>
  <c r="J109" i="97"/>
  <c r="K109" i="97"/>
  <c r="J110" i="97"/>
  <c r="K110" i="97"/>
  <c r="J111" i="97"/>
  <c r="K111" i="97"/>
  <c r="J112" i="97"/>
  <c r="K112" i="97"/>
  <c r="J113" i="97"/>
  <c r="K113" i="97"/>
  <c r="J114" i="97"/>
  <c r="K114" i="97"/>
  <c r="J115" i="97"/>
  <c r="K115" i="97"/>
  <c r="J116" i="97"/>
  <c r="K116" i="97"/>
  <c r="J117" i="97"/>
  <c r="K117" i="97"/>
  <c r="J118" i="97"/>
  <c r="K118" i="97"/>
  <c r="J119" i="97"/>
  <c r="K119" i="97"/>
  <c r="J120" i="97"/>
  <c r="K120" i="97"/>
  <c r="J121" i="97"/>
  <c r="K121" i="97"/>
  <c r="J122" i="97"/>
  <c r="K122" i="97"/>
  <c r="J123" i="97"/>
  <c r="K123" i="97"/>
  <c r="J124" i="97"/>
  <c r="K124" i="97"/>
  <c r="J125" i="97"/>
  <c r="K125" i="97"/>
  <c r="J126" i="97"/>
  <c r="K126" i="97"/>
  <c r="J127" i="97"/>
  <c r="K127" i="97"/>
  <c r="J128" i="97"/>
  <c r="K128" i="97"/>
  <c r="J129" i="97"/>
  <c r="K129" i="97"/>
  <c r="J130" i="97"/>
  <c r="K130" i="97"/>
  <c r="J131" i="97"/>
  <c r="K131" i="97"/>
  <c r="J132" i="97"/>
  <c r="K132" i="97"/>
  <c r="J133" i="97"/>
  <c r="K133" i="97"/>
  <c r="J134" i="97"/>
  <c r="K134" i="97"/>
  <c r="J135" i="97"/>
  <c r="K135" i="97"/>
  <c r="J136" i="97"/>
  <c r="K136" i="97"/>
  <c r="J137" i="97"/>
  <c r="K137" i="97"/>
  <c r="J138" i="97"/>
  <c r="K138" i="97"/>
  <c r="J139" i="97"/>
  <c r="K139" i="97"/>
  <c r="J140" i="97"/>
  <c r="K140" i="97"/>
  <c r="J141" i="97"/>
  <c r="K141" i="97"/>
  <c r="J142" i="97"/>
  <c r="K142" i="97"/>
  <c r="J143" i="97"/>
  <c r="K143" i="97"/>
  <c r="J144" i="97"/>
  <c r="K144" i="97"/>
  <c r="J145" i="97"/>
  <c r="K145" i="97"/>
  <c r="J146" i="97"/>
  <c r="K146" i="97"/>
  <c r="J147" i="97"/>
  <c r="K147" i="97"/>
  <c r="J148" i="97"/>
  <c r="K148" i="97"/>
  <c r="J149" i="97"/>
  <c r="K149" i="97"/>
  <c r="J150" i="97"/>
  <c r="K150" i="97"/>
  <c r="J151" i="97"/>
  <c r="K151" i="97"/>
  <c r="J152" i="97"/>
  <c r="K152" i="97"/>
  <c r="J153" i="97"/>
  <c r="K153" i="97"/>
  <c r="J154" i="97"/>
  <c r="K154" i="97"/>
  <c r="J155" i="97"/>
  <c r="K155" i="97"/>
  <c r="J156" i="97"/>
  <c r="K156" i="97"/>
  <c r="J157" i="97"/>
  <c r="K157" i="97"/>
  <c r="J158" i="97"/>
  <c r="K158" i="97"/>
  <c r="J159" i="97"/>
  <c r="K159" i="97"/>
  <c r="J160" i="97"/>
  <c r="K160" i="97"/>
  <c r="J161" i="97"/>
  <c r="K161" i="97"/>
  <c r="J162" i="97"/>
  <c r="K162" i="97"/>
  <c r="J163" i="97"/>
  <c r="K163" i="97"/>
  <c r="J164" i="97"/>
  <c r="K164" i="97"/>
  <c r="J165" i="97"/>
  <c r="K165" i="97"/>
  <c r="J166" i="97"/>
  <c r="K166" i="97"/>
  <c r="J167" i="97"/>
  <c r="K167" i="97"/>
  <c r="J168" i="97"/>
  <c r="K168" i="97"/>
  <c r="J169" i="97"/>
  <c r="K169" i="97"/>
  <c r="J170" i="97"/>
  <c r="K170" i="97"/>
  <c r="J171" i="97"/>
  <c r="K171" i="97"/>
  <c r="J172" i="97"/>
  <c r="K172" i="97"/>
  <c r="J173" i="97"/>
  <c r="K173" i="97"/>
  <c r="J174" i="97"/>
  <c r="K174" i="97"/>
  <c r="J175" i="97"/>
  <c r="K175" i="97"/>
  <c r="J176" i="97"/>
  <c r="K176" i="97"/>
  <c r="J177" i="97"/>
  <c r="K177" i="97"/>
  <c r="J178" i="97"/>
  <c r="K178" i="97"/>
  <c r="J179" i="97"/>
  <c r="K179" i="97"/>
  <c r="J180" i="97"/>
  <c r="K180" i="97"/>
  <c r="J181" i="97"/>
  <c r="K181" i="97"/>
  <c r="J182" i="97"/>
  <c r="K182" i="97"/>
  <c r="J183" i="97"/>
  <c r="K183" i="97"/>
  <c r="J184" i="97"/>
  <c r="K184" i="97"/>
  <c r="J185" i="97"/>
  <c r="K185" i="97"/>
  <c r="J186" i="97"/>
  <c r="K186" i="97"/>
  <c r="J187" i="97"/>
  <c r="K187" i="97"/>
  <c r="J188" i="97"/>
  <c r="K188" i="97"/>
  <c r="J189" i="97"/>
  <c r="K189" i="97"/>
  <c r="J190" i="97"/>
  <c r="K190" i="97"/>
  <c r="J191" i="97"/>
  <c r="K191" i="97"/>
  <c r="J192" i="97"/>
  <c r="K192" i="97"/>
  <c r="J193" i="97"/>
  <c r="K193" i="97"/>
  <c r="J194" i="97"/>
  <c r="K194" i="97"/>
  <c r="J195" i="97"/>
  <c r="K195" i="97"/>
  <c r="J196" i="97"/>
  <c r="K196" i="97"/>
  <c r="J197" i="97"/>
  <c r="K197" i="97"/>
  <c r="J198" i="97"/>
  <c r="K198" i="97"/>
  <c r="J199" i="97"/>
  <c r="K199" i="97"/>
  <c r="J200" i="97"/>
  <c r="K200" i="97"/>
  <c r="J201" i="97"/>
  <c r="K201" i="97"/>
  <c r="J202" i="97"/>
  <c r="K202" i="97"/>
  <c r="J203" i="97"/>
  <c r="K203" i="97"/>
  <c r="J204" i="97"/>
  <c r="K204" i="97"/>
  <c r="J205" i="97"/>
  <c r="K205" i="97"/>
  <c r="J206" i="97"/>
  <c r="K206" i="97"/>
  <c r="J207" i="97"/>
  <c r="K207" i="97"/>
  <c r="J208" i="97"/>
  <c r="K208" i="97"/>
  <c r="J209" i="97"/>
  <c r="K209" i="97"/>
  <c r="J210" i="97"/>
  <c r="K210" i="97"/>
  <c r="J211" i="97"/>
  <c r="K211" i="97"/>
  <c r="J212" i="97"/>
  <c r="K212" i="97"/>
  <c r="J213" i="97"/>
  <c r="K213" i="97"/>
  <c r="J214" i="97"/>
  <c r="K214" i="97"/>
  <c r="J215" i="97"/>
  <c r="K215" i="97"/>
  <c r="J216" i="97"/>
  <c r="K216" i="97"/>
  <c r="O100" i="93" l="1"/>
  <c r="P100" i="93"/>
  <c r="R100" i="93" s="1"/>
  <c r="O98" i="93"/>
  <c r="P98" i="93"/>
  <c r="R98" i="93" s="1"/>
  <c r="O224" i="93"/>
  <c r="P224" i="93"/>
  <c r="R224" i="93" s="1"/>
  <c r="O236" i="93"/>
  <c r="P236" i="93"/>
  <c r="R236" i="93" s="1"/>
  <c r="O164" i="93"/>
  <c r="P164" i="93"/>
  <c r="R164" i="93" s="1"/>
  <c r="O136" i="93"/>
  <c r="P136" i="93"/>
  <c r="R136" i="93" s="1"/>
  <c r="O13" i="93"/>
  <c r="P13" i="93"/>
  <c r="R13" i="93" s="1"/>
  <c r="O256" i="93"/>
  <c r="P256" i="93"/>
  <c r="R256" i="93" s="1"/>
  <c r="O213" i="93"/>
  <c r="P213" i="93"/>
  <c r="R213" i="93" s="1"/>
  <c r="O170" i="93"/>
  <c r="P170" i="93"/>
  <c r="R170" i="93" s="1"/>
  <c r="O142" i="93"/>
  <c r="P142" i="93"/>
  <c r="R142" i="93" s="1"/>
  <c r="O99" i="93"/>
  <c r="P99" i="93"/>
  <c r="R99" i="93" s="1"/>
  <c r="O39" i="93"/>
  <c r="P39" i="93"/>
  <c r="R39" i="93" s="1"/>
  <c r="O162" i="93"/>
  <c r="P162" i="93"/>
  <c r="R162" i="93" s="1"/>
  <c r="O134" i="93"/>
  <c r="P134" i="93"/>
  <c r="R134" i="93" s="1"/>
  <c r="O49" i="93"/>
  <c r="P49" i="93"/>
  <c r="R49" i="93" s="1"/>
  <c r="O247" i="93"/>
  <c r="P247" i="93"/>
  <c r="R247" i="93" s="1"/>
  <c r="O204" i="93"/>
  <c r="P204" i="93"/>
  <c r="R204" i="93" s="1"/>
  <c r="O176" i="93"/>
  <c r="P176" i="93"/>
  <c r="R176" i="93" s="1"/>
  <c r="O133" i="93"/>
  <c r="P133" i="93"/>
  <c r="R133" i="93" s="1"/>
  <c r="O91" i="93"/>
  <c r="P91" i="93"/>
  <c r="R91" i="93" s="1"/>
  <c r="O27" i="93"/>
  <c r="P27" i="93"/>
  <c r="R27" i="93" s="1"/>
  <c r="O239" i="93"/>
  <c r="P239" i="93"/>
  <c r="R239" i="93" s="1"/>
  <c r="O196" i="93"/>
  <c r="P196" i="93"/>
  <c r="R196" i="93" s="1"/>
  <c r="O168" i="93"/>
  <c r="P168" i="93"/>
  <c r="R168" i="93" s="1"/>
  <c r="O125" i="93"/>
  <c r="P125" i="93"/>
  <c r="R125" i="93" s="1"/>
  <c r="O85" i="93"/>
  <c r="P85" i="93"/>
  <c r="R85" i="93" s="1"/>
  <c r="O21" i="93"/>
  <c r="P21" i="93"/>
  <c r="R21" i="93" s="1"/>
  <c r="O181" i="93"/>
  <c r="P181" i="93"/>
  <c r="R181" i="93" s="1"/>
  <c r="O79" i="93"/>
  <c r="P79" i="93"/>
  <c r="R79" i="93" s="1"/>
  <c r="O244" i="93"/>
  <c r="P244" i="93"/>
  <c r="R244" i="93" s="1"/>
  <c r="O216" i="93"/>
  <c r="P216" i="93"/>
  <c r="R216" i="93" s="1"/>
  <c r="O173" i="93"/>
  <c r="P173" i="93"/>
  <c r="R173" i="93" s="1"/>
  <c r="O130" i="93"/>
  <c r="P130" i="93"/>
  <c r="R130" i="93" s="1"/>
  <c r="O102" i="93"/>
  <c r="P102" i="93"/>
  <c r="R102" i="93" s="1"/>
  <c r="O57" i="93"/>
  <c r="P57" i="93"/>
  <c r="R57" i="93" s="1"/>
  <c r="O51" i="93"/>
  <c r="P51" i="93"/>
  <c r="R51" i="93" s="1"/>
  <c r="O207" i="93"/>
  <c r="P207" i="93"/>
  <c r="R207" i="93" s="1"/>
  <c r="O101" i="93"/>
  <c r="P101" i="93"/>
  <c r="R101" i="93" s="1"/>
  <c r="O228" i="93"/>
  <c r="P228" i="93"/>
  <c r="R228" i="93" s="1"/>
  <c r="O200" i="93"/>
  <c r="P200" i="93"/>
  <c r="R200" i="93" s="1"/>
  <c r="O93" i="93"/>
  <c r="P93" i="93"/>
  <c r="R93" i="93" s="1"/>
  <c r="O226" i="93"/>
  <c r="P226" i="93"/>
  <c r="R226" i="93" s="1"/>
  <c r="O198" i="93"/>
  <c r="P198" i="93"/>
  <c r="R198" i="93" s="1"/>
  <c r="O245" i="93"/>
  <c r="P245" i="93"/>
  <c r="R245" i="93" s="1"/>
  <c r="O138" i="93"/>
  <c r="P138" i="93"/>
  <c r="R138" i="93" s="1"/>
  <c r="O110" i="93"/>
  <c r="P110" i="93"/>
  <c r="R110" i="93" s="1"/>
  <c r="O31" i="93"/>
  <c r="P31" i="93"/>
  <c r="R31" i="93" s="1"/>
  <c r="O78" i="93"/>
  <c r="P78" i="93"/>
  <c r="R78" i="93" s="1"/>
  <c r="O229" i="93"/>
  <c r="P229" i="93"/>
  <c r="R229" i="93" s="1"/>
  <c r="O94" i="93"/>
  <c r="P94" i="93"/>
  <c r="R94" i="93" s="1"/>
  <c r="O115" i="93"/>
  <c r="P115" i="93"/>
  <c r="R115" i="93" s="1"/>
  <c r="O252" i="93"/>
  <c r="P252" i="93"/>
  <c r="R252" i="93" s="1"/>
  <c r="O35" i="93"/>
  <c r="P35" i="93"/>
  <c r="R35" i="93" s="1"/>
  <c r="O157" i="93"/>
  <c r="P157" i="93"/>
  <c r="R157" i="93" s="1"/>
  <c r="O45" i="93"/>
  <c r="P45" i="93"/>
  <c r="R45" i="93" s="1"/>
  <c r="O234" i="93"/>
  <c r="P234" i="93"/>
  <c r="R234" i="93" s="1"/>
  <c r="O206" i="93"/>
  <c r="P206" i="93"/>
  <c r="R206" i="93" s="1"/>
  <c r="O163" i="93"/>
  <c r="P163" i="93"/>
  <c r="R163" i="93" s="1"/>
  <c r="O135" i="93"/>
  <c r="P135" i="93"/>
  <c r="R135" i="93" s="1"/>
  <c r="O87" i="93"/>
  <c r="P87" i="93"/>
  <c r="R87" i="93" s="1"/>
  <c r="O23" i="93"/>
  <c r="P23" i="93"/>
  <c r="R23" i="93" s="1"/>
  <c r="O262" i="93"/>
  <c r="P262" i="93"/>
  <c r="R262" i="93" s="1"/>
  <c r="O155" i="93"/>
  <c r="P155" i="93"/>
  <c r="R155" i="93" s="1"/>
  <c r="O127" i="93"/>
  <c r="P127" i="93"/>
  <c r="R127" i="93" s="1"/>
  <c r="O81" i="93"/>
  <c r="P81" i="93"/>
  <c r="R81" i="93" s="1"/>
  <c r="O240" i="93"/>
  <c r="P240" i="93"/>
  <c r="R240" i="93" s="1"/>
  <c r="O197" i="93"/>
  <c r="P197" i="93"/>
  <c r="R197" i="93" s="1"/>
  <c r="O154" i="93"/>
  <c r="P154" i="93"/>
  <c r="R154" i="93" s="1"/>
  <c r="O126" i="93"/>
  <c r="P126" i="93"/>
  <c r="R126" i="93" s="1"/>
  <c r="O75" i="93"/>
  <c r="P75" i="93"/>
  <c r="R75" i="93" s="1"/>
  <c r="O11" i="93"/>
  <c r="P11" i="93"/>
  <c r="R11" i="93" s="1"/>
  <c r="O260" i="93"/>
  <c r="P260" i="93"/>
  <c r="R260" i="93" s="1"/>
  <c r="O232" i="93"/>
  <c r="P232" i="93"/>
  <c r="R232" i="93" s="1"/>
  <c r="O189" i="93"/>
  <c r="P189" i="93"/>
  <c r="R189" i="93" s="1"/>
  <c r="O146" i="93"/>
  <c r="P146" i="93"/>
  <c r="R146" i="93" s="1"/>
  <c r="O118" i="93"/>
  <c r="P118" i="93"/>
  <c r="R118" i="93" s="1"/>
  <c r="O69" i="93"/>
  <c r="P69" i="93"/>
  <c r="R69" i="93" s="1"/>
  <c r="O5" i="93"/>
  <c r="P5" i="93"/>
  <c r="R5" i="93" s="1"/>
  <c r="O202" i="93"/>
  <c r="P202" i="93"/>
  <c r="R202" i="93" s="1"/>
  <c r="O174" i="93"/>
  <c r="P174" i="93"/>
  <c r="R174" i="93" s="1"/>
  <c r="O237" i="93"/>
  <c r="P237" i="93"/>
  <c r="R237" i="93" s="1"/>
  <c r="O194" i="93"/>
  <c r="P194" i="93"/>
  <c r="R194" i="93" s="1"/>
  <c r="O166" i="93"/>
  <c r="P166" i="93"/>
  <c r="R166" i="93" s="1"/>
  <c r="O123" i="93"/>
  <c r="P123" i="93"/>
  <c r="R123" i="93" s="1"/>
  <c r="O95" i="93"/>
  <c r="P95" i="93"/>
  <c r="R95" i="93" s="1"/>
  <c r="O41" i="93"/>
  <c r="P41" i="93"/>
  <c r="R41" i="93" s="1"/>
  <c r="O165" i="93"/>
  <c r="P165" i="93"/>
  <c r="R165" i="93" s="1"/>
  <c r="O19" i="93"/>
  <c r="P19" i="93"/>
  <c r="R19" i="93" s="1"/>
  <c r="O221" i="93"/>
  <c r="P221" i="93"/>
  <c r="R221" i="93" s="1"/>
  <c r="O114" i="93"/>
  <c r="P114" i="93"/>
  <c r="R114" i="93" s="1"/>
  <c r="O219" i="93"/>
  <c r="P219" i="93"/>
  <c r="R219" i="93" s="1"/>
  <c r="O191" i="93"/>
  <c r="P191" i="93"/>
  <c r="R191" i="93" s="1"/>
  <c r="O33" i="93"/>
  <c r="P33" i="93"/>
  <c r="R33" i="93" s="1"/>
  <c r="O238" i="93"/>
  <c r="P238" i="93"/>
  <c r="R238" i="93" s="1"/>
  <c r="O131" i="93"/>
  <c r="P131" i="93"/>
  <c r="R131" i="93" s="1"/>
  <c r="O103" i="93"/>
  <c r="P103" i="93"/>
  <c r="R103" i="93" s="1"/>
  <c r="O63" i="93"/>
  <c r="P63" i="93"/>
  <c r="R63" i="93" s="1"/>
  <c r="O46" i="93"/>
  <c r="P46" i="93"/>
  <c r="R46" i="93" s="1"/>
  <c r="O137" i="93"/>
  <c r="P137" i="93"/>
  <c r="R137" i="93" s="1"/>
  <c r="O201" i="93"/>
  <c r="P201" i="93"/>
  <c r="R201" i="93" s="1"/>
  <c r="O250" i="93"/>
  <c r="P250" i="93"/>
  <c r="R250" i="93" s="1"/>
  <c r="O222" i="93"/>
  <c r="P222" i="93"/>
  <c r="R222" i="93" s="1"/>
  <c r="O108" i="93"/>
  <c r="P108" i="93"/>
  <c r="R108" i="93" s="1"/>
  <c r="O61" i="93"/>
  <c r="P61" i="93"/>
  <c r="R61" i="93" s="1"/>
  <c r="O67" i="93"/>
  <c r="P67" i="93"/>
  <c r="R67" i="93" s="1"/>
  <c r="O178" i="93"/>
  <c r="P178" i="93"/>
  <c r="R178" i="93" s="1"/>
  <c r="O150" i="93"/>
  <c r="P150" i="93"/>
  <c r="R150" i="93" s="1"/>
  <c r="O77" i="93"/>
  <c r="P77" i="93"/>
  <c r="R77" i="93" s="1"/>
  <c r="O227" i="93"/>
  <c r="P227" i="93"/>
  <c r="R227" i="93" s="1"/>
  <c r="O199" i="93"/>
  <c r="P199" i="93"/>
  <c r="R199" i="93" s="1"/>
  <c r="O156" i="93"/>
  <c r="P156" i="93"/>
  <c r="R156" i="93" s="1"/>
  <c r="O128" i="93"/>
  <c r="P128" i="93"/>
  <c r="R128" i="93" s="1"/>
  <c r="O71" i="93"/>
  <c r="P71" i="93"/>
  <c r="R71" i="93" s="1"/>
  <c r="O7" i="93"/>
  <c r="P7" i="93"/>
  <c r="R7" i="93" s="1"/>
  <c r="O255" i="93"/>
  <c r="P255" i="93"/>
  <c r="R255" i="93" s="1"/>
  <c r="O148" i="93"/>
  <c r="P148" i="93"/>
  <c r="R148" i="93" s="1"/>
  <c r="O120" i="93"/>
  <c r="P120" i="93"/>
  <c r="R120" i="93" s="1"/>
  <c r="O261" i="93"/>
  <c r="P261" i="93"/>
  <c r="R261" i="93" s="1"/>
  <c r="O218" i="93"/>
  <c r="P218" i="93"/>
  <c r="R218" i="93" s="1"/>
  <c r="O190" i="93"/>
  <c r="P190" i="93"/>
  <c r="R190" i="93" s="1"/>
  <c r="O147" i="93"/>
  <c r="P147" i="93"/>
  <c r="R147" i="93" s="1"/>
  <c r="O119" i="93"/>
  <c r="P119" i="93"/>
  <c r="R119" i="93" s="1"/>
  <c r="O59" i="93"/>
  <c r="P59" i="93"/>
  <c r="R59" i="93" s="1"/>
  <c r="O253" i="93"/>
  <c r="P253" i="93"/>
  <c r="R253" i="93" s="1"/>
  <c r="O210" i="93"/>
  <c r="P210" i="93"/>
  <c r="R210" i="93" s="1"/>
  <c r="O182" i="93"/>
  <c r="P182" i="93"/>
  <c r="R182" i="93" s="1"/>
  <c r="O139" i="93"/>
  <c r="P139" i="93"/>
  <c r="R139" i="93" s="1"/>
  <c r="O111" i="93"/>
  <c r="P111" i="93"/>
  <c r="R111" i="93" s="1"/>
  <c r="O53" i="93"/>
  <c r="P53" i="93"/>
  <c r="R53" i="93" s="1"/>
  <c r="O195" i="93"/>
  <c r="P195" i="93"/>
  <c r="R195" i="93" s="1"/>
  <c r="O167" i="93"/>
  <c r="P167" i="93"/>
  <c r="R167" i="93" s="1"/>
  <c r="O15" i="93"/>
  <c r="P15" i="93"/>
  <c r="R15" i="93" s="1"/>
  <c r="O258" i="93"/>
  <c r="P258" i="93"/>
  <c r="R258" i="93" s="1"/>
  <c r="O230" i="93"/>
  <c r="P230" i="93"/>
  <c r="R230" i="93" s="1"/>
  <c r="O187" i="93"/>
  <c r="P187" i="93"/>
  <c r="R187" i="93" s="1"/>
  <c r="O159" i="93"/>
  <c r="P159" i="93"/>
  <c r="R159" i="93" s="1"/>
  <c r="O116" i="93"/>
  <c r="P116" i="93"/>
  <c r="R116" i="93" s="1"/>
  <c r="O89" i="93"/>
  <c r="P89" i="93"/>
  <c r="R89" i="93" s="1"/>
  <c r="O25" i="93"/>
  <c r="P25" i="93"/>
  <c r="R25" i="93" s="1"/>
  <c r="O144" i="93"/>
  <c r="P144" i="93"/>
  <c r="R144" i="93" s="1"/>
  <c r="O158" i="93"/>
  <c r="P158" i="93"/>
  <c r="R158" i="93" s="1"/>
  <c r="O179" i="93"/>
  <c r="P179" i="93"/>
  <c r="R179" i="93" s="1"/>
  <c r="O186" i="93"/>
  <c r="P186" i="93"/>
  <c r="R186" i="93" s="1"/>
  <c r="O62" i="93"/>
  <c r="P62" i="93"/>
  <c r="R62" i="93" s="1"/>
  <c r="O235" i="93"/>
  <c r="P235" i="93"/>
  <c r="R235" i="93" s="1"/>
  <c r="O205" i="93"/>
  <c r="P205" i="93"/>
  <c r="R205" i="93" s="1"/>
  <c r="O242" i="93"/>
  <c r="P242" i="93"/>
  <c r="R242" i="93" s="1"/>
  <c r="O214" i="93"/>
  <c r="P214" i="93"/>
  <c r="R214" i="93" s="1"/>
  <c r="O107" i="93"/>
  <c r="P107" i="93"/>
  <c r="R107" i="93" s="1"/>
  <c r="O29" i="93"/>
  <c r="P29" i="93"/>
  <c r="R29" i="93" s="1"/>
  <c r="O212" i="93"/>
  <c r="P212" i="93"/>
  <c r="R212" i="93" s="1"/>
  <c r="O184" i="93"/>
  <c r="P184" i="93"/>
  <c r="R184" i="93" s="1"/>
  <c r="O65" i="93"/>
  <c r="P65" i="93"/>
  <c r="R65" i="93" s="1"/>
  <c r="O259" i="93"/>
  <c r="P259" i="93"/>
  <c r="R259" i="93" s="1"/>
  <c r="O231" i="93"/>
  <c r="P231" i="93"/>
  <c r="R231" i="93" s="1"/>
  <c r="O124" i="93"/>
  <c r="P124" i="93"/>
  <c r="R124" i="93" s="1"/>
  <c r="O96" i="93"/>
  <c r="P96" i="93"/>
  <c r="R96" i="93" s="1"/>
  <c r="O14" i="93"/>
  <c r="P14" i="93"/>
  <c r="R14" i="93" s="1"/>
  <c r="O122" i="93"/>
  <c r="P122" i="93"/>
  <c r="R122" i="93" s="1"/>
  <c r="O215" i="93"/>
  <c r="P215" i="93"/>
  <c r="R215" i="93" s="1"/>
  <c r="O243" i="93"/>
  <c r="P243" i="93"/>
  <c r="R243" i="93" s="1"/>
  <c r="O117" i="93"/>
  <c r="P117" i="93"/>
  <c r="R117" i="93" s="1"/>
  <c r="O171" i="93"/>
  <c r="P171" i="93"/>
  <c r="R171" i="93" s="1"/>
  <c r="O143" i="93"/>
  <c r="P143" i="93"/>
  <c r="R143" i="93" s="1"/>
  <c r="O220" i="93"/>
  <c r="P220" i="93"/>
  <c r="R220" i="93" s="1"/>
  <c r="O192" i="93"/>
  <c r="P192" i="93"/>
  <c r="R192" i="93" s="1"/>
  <c r="O149" i="93"/>
  <c r="P149" i="93"/>
  <c r="R149" i="93" s="1"/>
  <c r="O106" i="93"/>
  <c r="P106" i="93"/>
  <c r="R106" i="93" s="1"/>
  <c r="O55" i="93"/>
  <c r="P55" i="93"/>
  <c r="R55" i="93" s="1"/>
  <c r="O248" i="93"/>
  <c r="P248" i="93"/>
  <c r="R248" i="93" s="1"/>
  <c r="O141" i="93"/>
  <c r="P141" i="93"/>
  <c r="R141" i="93" s="1"/>
  <c r="O17" i="93"/>
  <c r="P17" i="93"/>
  <c r="R17" i="93" s="1"/>
  <c r="O254" i="93"/>
  <c r="P254" i="93"/>
  <c r="R254" i="93" s="1"/>
  <c r="O211" i="93"/>
  <c r="P211" i="93"/>
  <c r="R211" i="93" s="1"/>
  <c r="O183" i="93"/>
  <c r="P183" i="93"/>
  <c r="R183" i="93" s="1"/>
  <c r="O140" i="93"/>
  <c r="P140" i="93"/>
  <c r="R140" i="93" s="1"/>
  <c r="O112" i="93"/>
  <c r="P112" i="93"/>
  <c r="R112" i="93" s="1"/>
  <c r="O43" i="93"/>
  <c r="P43" i="93"/>
  <c r="R43" i="93" s="1"/>
  <c r="O246" i="93"/>
  <c r="P246" i="93"/>
  <c r="R246" i="93" s="1"/>
  <c r="O203" i="93"/>
  <c r="P203" i="93"/>
  <c r="R203" i="93" s="1"/>
  <c r="O175" i="93"/>
  <c r="P175" i="93"/>
  <c r="R175" i="93" s="1"/>
  <c r="O132" i="93"/>
  <c r="P132" i="93"/>
  <c r="R132" i="93" s="1"/>
  <c r="O104" i="93"/>
  <c r="P104" i="93"/>
  <c r="R104" i="93" s="1"/>
  <c r="O37" i="93"/>
  <c r="P37" i="93"/>
  <c r="R37" i="93" s="1"/>
  <c r="O188" i="93"/>
  <c r="P188" i="93"/>
  <c r="R188" i="93" s="1"/>
  <c r="O160" i="93"/>
  <c r="P160" i="93"/>
  <c r="R160" i="93" s="1"/>
  <c r="O47" i="93"/>
  <c r="P47" i="93"/>
  <c r="R47" i="93" s="1"/>
  <c r="O251" i="93"/>
  <c r="P251" i="93"/>
  <c r="R251" i="93" s="1"/>
  <c r="O223" i="93"/>
  <c r="P223" i="93"/>
  <c r="R223" i="93" s="1"/>
  <c r="O180" i="93"/>
  <c r="P180" i="93"/>
  <c r="R180" i="93" s="1"/>
  <c r="O152" i="93"/>
  <c r="P152" i="93"/>
  <c r="R152" i="93" s="1"/>
  <c r="O109" i="93"/>
  <c r="P109" i="93"/>
  <c r="R109" i="93" s="1"/>
  <c r="O73" i="93"/>
  <c r="P73" i="93"/>
  <c r="R73" i="93" s="1"/>
  <c r="O9" i="93"/>
  <c r="P9" i="93"/>
  <c r="R9" i="93" s="1"/>
  <c r="O151" i="93"/>
  <c r="P151" i="93"/>
  <c r="R151" i="93" s="1"/>
  <c r="O172" i="93"/>
  <c r="P172" i="93"/>
  <c r="R172" i="93" s="1"/>
  <c r="O83" i="93"/>
  <c r="P83" i="93"/>
  <c r="R83" i="93" s="1"/>
  <c r="O208" i="93"/>
  <c r="P208" i="93"/>
  <c r="R208" i="93" s="1"/>
  <c r="O30" i="93"/>
  <c r="P30" i="93"/>
  <c r="R30" i="93" s="1"/>
  <c r="G263" i="93"/>
  <c r="H263" i="93"/>
  <c r="I263" i="93"/>
  <c r="H251" i="59"/>
  <c r="H252" i="59" s="1"/>
  <c r="I251" i="59"/>
  <c r="J251" i="59"/>
  <c r="O6" i="59"/>
  <c r="O7" i="59"/>
  <c r="O8" i="59"/>
  <c r="O9" i="59"/>
  <c r="O10" i="59"/>
  <c r="O11" i="59"/>
  <c r="O12" i="59"/>
  <c r="O13" i="59"/>
  <c r="O14" i="59"/>
  <c r="O15" i="59"/>
  <c r="O16" i="59"/>
  <c r="O17" i="59"/>
  <c r="O18" i="59"/>
  <c r="O19" i="59"/>
  <c r="O20" i="59"/>
  <c r="O21" i="59"/>
  <c r="O22" i="59"/>
  <c r="O23" i="59"/>
  <c r="O24" i="59"/>
  <c r="O25" i="59"/>
  <c r="O26" i="59"/>
  <c r="O27" i="59"/>
  <c r="O28" i="59"/>
  <c r="O29" i="59"/>
  <c r="O30" i="59"/>
  <c r="O31" i="59"/>
  <c r="O32" i="59"/>
  <c r="O33" i="59"/>
  <c r="O34" i="59"/>
  <c r="O35" i="59"/>
  <c r="O36" i="59"/>
  <c r="O37" i="59"/>
  <c r="O38" i="59"/>
  <c r="O39" i="59"/>
  <c r="O40" i="59"/>
  <c r="O41" i="59"/>
  <c r="O42" i="59"/>
  <c r="N43" i="59"/>
  <c r="O43" i="59"/>
  <c r="O44" i="59"/>
  <c r="O45" i="59"/>
  <c r="O46" i="59"/>
  <c r="O47" i="59"/>
  <c r="O48" i="59"/>
  <c r="O49" i="59"/>
  <c r="O50" i="59"/>
  <c r="O51" i="59"/>
  <c r="O52" i="59"/>
  <c r="O53" i="59"/>
  <c r="N54" i="59"/>
  <c r="O54" i="59"/>
  <c r="O55" i="59"/>
  <c r="O56" i="59"/>
  <c r="O57" i="59"/>
  <c r="O58" i="59"/>
  <c r="O59" i="59"/>
  <c r="O60" i="59"/>
  <c r="O61" i="59"/>
  <c r="O62" i="59"/>
  <c r="O63" i="59"/>
  <c r="O64" i="59"/>
  <c r="O65" i="59"/>
  <c r="O66" i="59"/>
  <c r="O67" i="59"/>
  <c r="O68" i="59"/>
  <c r="O69" i="59"/>
  <c r="O70" i="59"/>
  <c r="O71" i="59"/>
  <c r="N72" i="59"/>
  <c r="O72" i="59"/>
  <c r="O73" i="59"/>
  <c r="O74" i="59"/>
  <c r="O75" i="59"/>
  <c r="O76" i="59"/>
  <c r="O77" i="59"/>
  <c r="O78" i="59"/>
  <c r="O79" i="59"/>
  <c r="O80" i="59"/>
  <c r="O81" i="59"/>
  <c r="O82" i="59"/>
  <c r="O83" i="59"/>
  <c r="O84" i="59"/>
  <c r="N85" i="59"/>
  <c r="O85" i="59"/>
  <c r="O86" i="59"/>
  <c r="O87" i="59"/>
  <c r="O88" i="59"/>
  <c r="O89" i="59"/>
  <c r="O90" i="59"/>
  <c r="O91" i="59"/>
  <c r="O92" i="59"/>
  <c r="N93" i="59"/>
  <c r="O93" i="59"/>
  <c r="O94" i="59"/>
  <c r="O95" i="59"/>
  <c r="O96" i="59"/>
  <c r="O97" i="59"/>
  <c r="O98" i="59"/>
  <c r="O99" i="59"/>
  <c r="O100" i="59"/>
  <c r="O101" i="59"/>
  <c r="O102" i="59"/>
  <c r="O103" i="59"/>
  <c r="O104" i="59"/>
  <c r="O105" i="59"/>
  <c r="O106" i="59"/>
  <c r="O107" i="59"/>
  <c r="O108" i="59"/>
  <c r="O109" i="59"/>
  <c r="O110" i="59"/>
  <c r="O111" i="59"/>
  <c r="N112" i="59"/>
  <c r="O112" i="59"/>
  <c r="O113" i="59"/>
  <c r="O114" i="59"/>
  <c r="O115" i="59"/>
  <c r="O116" i="59"/>
  <c r="O117" i="59"/>
  <c r="O118" i="59"/>
  <c r="O119" i="59"/>
  <c r="O120" i="59"/>
  <c r="O121" i="59"/>
  <c r="O122" i="59"/>
  <c r="O123" i="59"/>
  <c r="N124" i="59"/>
  <c r="O124" i="59"/>
  <c r="O125" i="59"/>
  <c r="O126" i="59"/>
  <c r="O127" i="59"/>
  <c r="O128" i="59"/>
  <c r="O129" i="59"/>
  <c r="O130" i="59"/>
  <c r="O131" i="59"/>
  <c r="O132" i="59"/>
  <c r="O133" i="59"/>
  <c r="O134" i="59"/>
  <c r="O135" i="59"/>
  <c r="O136" i="59"/>
  <c r="O137" i="59"/>
  <c r="O138" i="59"/>
  <c r="O139" i="59"/>
  <c r="O140" i="59"/>
  <c r="O141" i="59"/>
  <c r="O142" i="59"/>
  <c r="O143" i="59"/>
  <c r="O144" i="59"/>
  <c r="O145" i="59"/>
  <c r="O146" i="59"/>
  <c r="O147" i="59"/>
  <c r="O148" i="59"/>
  <c r="O149" i="59"/>
  <c r="O150" i="59"/>
  <c r="N151" i="59"/>
  <c r="O151" i="59"/>
  <c r="O152" i="59"/>
  <c r="O153" i="59"/>
  <c r="O154" i="59"/>
  <c r="O155" i="59"/>
  <c r="N156" i="59"/>
  <c r="O156" i="59"/>
  <c r="O157" i="59"/>
  <c r="O158" i="59"/>
  <c r="O159" i="59"/>
  <c r="O160" i="59"/>
  <c r="O161" i="59"/>
  <c r="O162" i="59"/>
  <c r="O163" i="59"/>
  <c r="O164" i="59"/>
  <c r="O165" i="59"/>
  <c r="O166" i="59"/>
  <c r="O167" i="59"/>
  <c r="O168" i="59"/>
  <c r="O169" i="59"/>
  <c r="O170" i="59"/>
  <c r="O171" i="59"/>
  <c r="O172" i="59"/>
  <c r="O173" i="59"/>
  <c r="O174" i="59"/>
  <c r="O175" i="59"/>
  <c r="O176" i="59"/>
  <c r="O177" i="59"/>
  <c r="O178" i="59"/>
  <c r="O179" i="59"/>
  <c r="O180" i="59"/>
  <c r="O181" i="59"/>
  <c r="O182" i="59"/>
  <c r="O183" i="59"/>
  <c r="O184" i="59"/>
  <c r="O185" i="59"/>
  <c r="O186" i="59"/>
  <c r="O187" i="59"/>
  <c r="O188" i="59"/>
  <c r="O189" i="59"/>
  <c r="O190" i="59"/>
  <c r="O191" i="59"/>
  <c r="O192" i="59"/>
  <c r="O193" i="59"/>
  <c r="O194" i="59"/>
  <c r="N195" i="59"/>
  <c r="O195" i="59"/>
  <c r="O196" i="59"/>
  <c r="O197" i="59"/>
  <c r="O198" i="59"/>
  <c r="O199" i="59"/>
  <c r="O200" i="59"/>
  <c r="O201" i="59"/>
  <c r="O202" i="59"/>
  <c r="O203" i="59"/>
  <c r="O204" i="59"/>
  <c r="O205" i="59"/>
  <c r="O206" i="59"/>
  <c r="N207" i="59"/>
  <c r="O207" i="59"/>
  <c r="O208" i="59"/>
  <c r="O209" i="59"/>
  <c r="O210" i="59"/>
  <c r="O211" i="59"/>
  <c r="O212" i="59"/>
  <c r="O213" i="59"/>
  <c r="O214" i="59"/>
  <c r="O215" i="59"/>
  <c r="O216" i="59"/>
  <c r="O217" i="59"/>
  <c r="O218" i="59"/>
  <c r="O219" i="59"/>
  <c r="O220" i="59"/>
  <c r="O221" i="59"/>
  <c r="O222" i="59"/>
  <c r="O223" i="59"/>
  <c r="O224" i="59"/>
  <c r="O225" i="59"/>
  <c r="O226" i="59"/>
  <c r="O227" i="59"/>
  <c r="O228" i="59"/>
  <c r="O229" i="59"/>
  <c r="O230" i="59"/>
  <c r="N231" i="59"/>
  <c r="O231" i="59"/>
  <c r="O232" i="59"/>
  <c r="O233" i="59"/>
  <c r="O234" i="59"/>
  <c r="O235" i="59"/>
  <c r="O236" i="59"/>
  <c r="O237" i="59"/>
  <c r="O238" i="59"/>
  <c r="O239" i="59"/>
  <c r="O240" i="59"/>
  <c r="O241" i="59"/>
  <c r="O242" i="59"/>
  <c r="O243" i="59"/>
  <c r="O244" i="59"/>
  <c r="O245" i="59"/>
  <c r="O246" i="59"/>
  <c r="O247" i="59"/>
  <c r="O248" i="59"/>
  <c r="N6" i="57"/>
  <c r="O6" i="57"/>
  <c r="N7" i="57"/>
  <c r="O7" i="57"/>
  <c r="N8" i="57"/>
  <c r="O8" i="57"/>
  <c r="N9" i="57"/>
  <c r="O9" i="57"/>
  <c r="N10" i="57"/>
  <c r="O10" i="57"/>
  <c r="N11" i="57"/>
  <c r="O11" i="57"/>
  <c r="N12" i="57"/>
  <c r="O12" i="57"/>
  <c r="N13" i="57"/>
  <c r="O13" i="57"/>
  <c r="N14" i="57"/>
  <c r="O14" i="57"/>
  <c r="N15" i="57"/>
  <c r="O15" i="57"/>
  <c r="N16" i="57"/>
  <c r="O16" i="57"/>
  <c r="N17" i="57"/>
  <c r="O17" i="57"/>
  <c r="N18" i="57"/>
  <c r="O18" i="57"/>
  <c r="N19" i="57"/>
  <c r="O19" i="57"/>
  <c r="N20" i="57"/>
  <c r="O20" i="57"/>
  <c r="N21" i="57"/>
  <c r="O21" i="57"/>
  <c r="N22" i="57"/>
  <c r="O22" i="57"/>
  <c r="N23" i="57"/>
  <c r="O23" i="57"/>
  <c r="N24" i="57"/>
  <c r="O24" i="57"/>
  <c r="N25" i="57"/>
  <c r="O25" i="57"/>
  <c r="N26" i="57"/>
  <c r="O26" i="57"/>
  <c r="N27" i="57"/>
  <c r="O27" i="57"/>
  <c r="N28" i="57"/>
  <c r="O28" i="57"/>
  <c r="N29" i="57"/>
  <c r="O29" i="57"/>
  <c r="N30" i="57"/>
  <c r="O30" i="57"/>
  <c r="N31" i="57"/>
  <c r="O31" i="57"/>
  <c r="N32" i="57"/>
  <c r="O32" i="57"/>
  <c r="N33" i="57"/>
  <c r="O33" i="57"/>
  <c r="N34" i="57"/>
  <c r="O34" i="57"/>
  <c r="N35" i="57"/>
  <c r="O35" i="57"/>
  <c r="N36" i="57"/>
  <c r="O36" i="57"/>
  <c r="N37" i="57"/>
  <c r="O37" i="57"/>
  <c r="N38" i="57"/>
  <c r="O38" i="57"/>
  <c r="N39" i="57"/>
  <c r="O39" i="57"/>
  <c r="N40" i="57"/>
  <c r="O40" i="57"/>
  <c r="N41" i="57"/>
  <c r="O41" i="57"/>
  <c r="N42" i="57"/>
  <c r="O42" i="57"/>
  <c r="N43" i="57"/>
  <c r="O43" i="57"/>
  <c r="N44" i="57"/>
  <c r="O44" i="57"/>
  <c r="N45" i="57"/>
  <c r="O45" i="57"/>
  <c r="N46" i="57"/>
  <c r="O46" i="57"/>
  <c r="N47" i="57"/>
  <c r="O47" i="57"/>
  <c r="N48" i="57"/>
  <c r="O48" i="57"/>
  <c r="N49" i="57"/>
  <c r="O49" i="57"/>
  <c r="N50" i="57"/>
  <c r="O50" i="57"/>
  <c r="N51" i="57"/>
  <c r="O51" i="57"/>
  <c r="N52" i="57"/>
  <c r="O52" i="57"/>
  <c r="N53" i="57"/>
  <c r="O53" i="57"/>
  <c r="N54" i="57"/>
  <c r="O54" i="57"/>
  <c r="N55" i="57"/>
  <c r="O55" i="57"/>
  <c r="N56" i="57"/>
  <c r="O56" i="57"/>
  <c r="N57" i="57"/>
  <c r="O57" i="57"/>
  <c r="N58" i="57"/>
  <c r="O58" i="57"/>
  <c r="N59" i="57"/>
  <c r="O59" i="57"/>
  <c r="N60" i="57"/>
  <c r="O60" i="57"/>
  <c r="N61" i="57"/>
  <c r="O61" i="57"/>
  <c r="N62" i="57"/>
  <c r="O62" i="57"/>
  <c r="N63" i="57"/>
  <c r="O63" i="57"/>
  <c r="N64" i="57"/>
  <c r="O64" i="57"/>
  <c r="N65" i="57"/>
  <c r="O65" i="57"/>
  <c r="N66" i="57"/>
  <c r="O66" i="57"/>
  <c r="N67" i="57"/>
  <c r="O67" i="57"/>
  <c r="N68" i="57"/>
  <c r="O68" i="57"/>
  <c r="N69" i="57"/>
  <c r="O69" i="57"/>
  <c r="N70" i="57"/>
  <c r="O70" i="57"/>
  <c r="N71" i="57"/>
  <c r="O71" i="57"/>
  <c r="N72" i="57"/>
  <c r="O72" i="57"/>
  <c r="N73" i="57"/>
  <c r="O73" i="57"/>
  <c r="N74" i="57"/>
  <c r="O74" i="57"/>
  <c r="N75" i="57"/>
  <c r="O75" i="57"/>
  <c r="N76" i="57"/>
  <c r="O76" i="57"/>
  <c r="N77" i="57"/>
  <c r="O77" i="57"/>
  <c r="N78" i="57"/>
  <c r="O78" i="57"/>
  <c r="N79" i="57"/>
  <c r="O79" i="57"/>
  <c r="N80" i="57"/>
  <c r="O80" i="57"/>
  <c r="N81" i="57"/>
  <c r="O81" i="57"/>
  <c r="N82" i="57"/>
  <c r="O82" i="57"/>
  <c r="N83" i="57"/>
  <c r="O83" i="57"/>
  <c r="N84" i="57"/>
  <c r="O84" i="57"/>
  <c r="N85" i="57"/>
  <c r="O85" i="57"/>
  <c r="N86" i="57"/>
  <c r="O86" i="57"/>
  <c r="N87" i="57"/>
  <c r="O87" i="57"/>
  <c r="N88" i="57"/>
  <c r="O88" i="57"/>
  <c r="N89" i="57"/>
  <c r="O89" i="57"/>
  <c r="N90" i="57"/>
  <c r="O90" i="57"/>
  <c r="N91" i="57"/>
  <c r="O91" i="57"/>
  <c r="N92" i="57"/>
  <c r="O92" i="57"/>
  <c r="N93" i="57"/>
  <c r="O93" i="57"/>
  <c r="N94" i="57"/>
  <c r="O94" i="57"/>
  <c r="N95" i="57"/>
  <c r="O95" i="57"/>
  <c r="N96" i="57"/>
  <c r="O96" i="57"/>
  <c r="N97" i="57"/>
  <c r="O97" i="57"/>
  <c r="N98" i="57"/>
  <c r="O98" i="57"/>
  <c r="N99" i="57"/>
  <c r="O99" i="57"/>
  <c r="N100" i="57"/>
  <c r="O100" i="57"/>
  <c r="N101" i="57"/>
  <c r="O101" i="57"/>
  <c r="N102" i="57"/>
  <c r="O102" i="57"/>
  <c r="N103" i="57"/>
  <c r="O103" i="57"/>
  <c r="N104" i="57"/>
  <c r="O104" i="57"/>
  <c r="N105" i="57"/>
  <c r="O105" i="57"/>
  <c r="N106" i="57"/>
  <c r="O106" i="57"/>
  <c r="N107" i="57"/>
  <c r="O107" i="57"/>
  <c r="N108" i="57"/>
  <c r="O108" i="57"/>
  <c r="N109" i="57"/>
  <c r="O109" i="57"/>
  <c r="N110" i="57"/>
  <c r="O110" i="57"/>
  <c r="N111" i="57"/>
  <c r="O111" i="57"/>
  <c r="N112" i="57"/>
  <c r="O112" i="57"/>
  <c r="N113" i="57"/>
  <c r="O113" i="57"/>
  <c r="N114" i="57"/>
  <c r="O114" i="57"/>
  <c r="N115" i="57"/>
  <c r="O115" i="57"/>
  <c r="N116" i="57"/>
  <c r="O116" i="57"/>
  <c r="N117" i="57"/>
  <c r="O117" i="57"/>
  <c r="N118" i="57"/>
  <c r="O118" i="57"/>
  <c r="N119" i="57"/>
  <c r="O119" i="57"/>
  <c r="N120" i="57"/>
  <c r="O120" i="57"/>
  <c r="N121" i="57"/>
  <c r="O121" i="57"/>
  <c r="N122" i="57"/>
  <c r="O122" i="57"/>
  <c r="N123" i="57"/>
  <c r="O123" i="57"/>
  <c r="N124" i="57"/>
  <c r="O124" i="57"/>
  <c r="N125" i="57"/>
  <c r="O125" i="57"/>
  <c r="N126" i="57"/>
  <c r="O126" i="57"/>
  <c r="N127" i="57"/>
  <c r="O127" i="57"/>
  <c r="N128" i="57"/>
  <c r="O128" i="57"/>
  <c r="N129" i="57"/>
  <c r="O129" i="57"/>
  <c r="N130" i="57"/>
  <c r="O130" i="57"/>
  <c r="N131" i="57"/>
  <c r="O131" i="57"/>
  <c r="N132" i="57"/>
  <c r="O132" i="57"/>
  <c r="N133" i="57"/>
  <c r="O133" i="57"/>
  <c r="N134" i="57"/>
  <c r="O134" i="57"/>
  <c r="N135" i="57"/>
  <c r="O135" i="57"/>
  <c r="N136" i="57"/>
  <c r="O136" i="57"/>
  <c r="N137" i="57"/>
  <c r="O137" i="57"/>
  <c r="N138" i="57"/>
  <c r="O138" i="57"/>
  <c r="N139" i="57"/>
  <c r="O139" i="57"/>
  <c r="N140" i="57"/>
  <c r="O140" i="57"/>
  <c r="N141" i="57"/>
  <c r="O141" i="57"/>
  <c r="N142" i="57"/>
  <c r="O142" i="57"/>
  <c r="N143" i="57"/>
  <c r="O143" i="57"/>
  <c r="N144" i="57"/>
  <c r="O144" i="57"/>
  <c r="N145" i="57"/>
  <c r="O145" i="57"/>
  <c r="N146" i="57"/>
  <c r="O146" i="57"/>
  <c r="N147" i="57"/>
  <c r="O147" i="57"/>
  <c r="N148" i="57"/>
  <c r="O148" i="57"/>
  <c r="N149" i="57"/>
  <c r="O149" i="57"/>
  <c r="N150" i="57"/>
  <c r="O150" i="57"/>
  <c r="N151" i="57"/>
  <c r="O151" i="57"/>
  <c r="N152" i="57"/>
  <c r="O152" i="57"/>
  <c r="N153" i="57"/>
  <c r="O153" i="57"/>
  <c r="N154" i="57"/>
  <c r="O154" i="57"/>
  <c r="N155" i="57"/>
  <c r="O155" i="57"/>
  <c r="N156" i="57"/>
  <c r="O156" i="57"/>
  <c r="N157" i="57"/>
  <c r="O157" i="57"/>
  <c r="N158" i="57"/>
  <c r="O158" i="57"/>
  <c r="N159" i="57"/>
  <c r="O159" i="57"/>
  <c r="N160" i="57"/>
  <c r="O160" i="57"/>
  <c r="N161" i="57"/>
  <c r="O161" i="57"/>
  <c r="N162" i="57"/>
  <c r="O162" i="57"/>
  <c r="N163" i="57"/>
  <c r="O163" i="57"/>
  <c r="N164" i="57"/>
  <c r="O164" i="57"/>
  <c r="N165" i="57"/>
  <c r="O165" i="57"/>
  <c r="N166" i="57"/>
  <c r="O166" i="57"/>
  <c r="N167" i="57"/>
  <c r="O167" i="57"/>
  <c r="N168" i="57"/>
  <c r="O168" i="57"/>
  <c r="N169" i="57"/>
  <c r="O169" i="57"/>
  <c r="N170" i="57"/>
  <c r="O170" i="57"/>
  <c r="N171" i="57"/>
  <c r="O171" i="57"/>
  <c r="N172" i="57"/>
  <c r="O172" i="57"/>
  <c r="N173" i="57"/>
  <c r="O173" i="57"/>
  <c r="N174" i="57"/>
  <c r="O174" i="57"/>
  <c r="N175" i="57"/>
  <c r="O175" i="57"/>
  <c r="N176" i="57"/>
  <c r="O176" i="57"/>
  <c r="N177" i="57"/>
  <c r="O177" i="57"/>
  <c r="N178" i="57"/>
  <c r="O178" i="57"/>
  <c r="N179" i="57"/>
  <c r="O179" i="57"/>
  <c r="N180" i="57"/>
  <c r="O180" i="57"/>
  <c r="N181" i="57"/>
  <c r="O181" i="57"/>
  <c r="N182" i="57"/>
  <c r="O182" i="57"/>
  <c r="N183" i="57"/>
  <c r="O183" i="57"/>
  <c r="N184" i="57"/>
  <c r="O184" i="57"/>
  <c r="N185" i="57"/>
  <c r="O185" i="57"/>
  <c r="N186" i="57"/>
  <c r="O186" i="57"/>
  <c r="N187" i="57"/>
  <c r="O187" i="57"/>
  <c r="N188" i="57"/>
  <c r="O188" i="57"/>
  <c r="N189" i="57"/>
  <c r="O189" i="57"/>
  <c r="N190" i="57"/>
  <c r="O190" i="57"/>
  <c r="N191" i="57"/>
  <c r="O191" i="57"/>
  <c r="N192" i="57"/>
  <c r="O192" i="57"/>
  <c r="N193" i="57"/>
  <c r="O193" i="57"/>
  <c r="N194" i="57"/>
  <c r="O194" i="57"/>
  <c r="N195" i="57"/>
  <c r="O195" i="57"/>
  <c r="N196" i="57"/>
  <c r="O196" i="57"/>
  <c r="N197" i="57"/>
  <c r="O197" i="57"/>
  <c r="N198" i="57"/>
  <c r="O198" i="57"/>
  <c r="N199" i="57"/>
  <c r="O199" i="57"/>
  <c r="N200" i="57"/>
  <c r="O200" i="57"/>
  <c r="N201" i="57"/>
  <c r="O201" i="57"/>
  <c r="N202" i="57"/>
  <c r="O202" i="57"/>
  <c r="N203" i="57"/>
  <c r="O203" i="57"/>
  <c r="N204" i="57"/>
  <c r="O204" i="57"/>
  <c r="N205" i="57"/>
  <c r="O205" i="57"/>
  <c r="N206" i="57"/>
  <c r="O206" i="57"/>
  <c r="N207" i="57"/>
  <c r="O207" i="57"/>
  <c r="N208" i="57"/>
  <c r="O208" i="57"/>
  <c r="N209" i="57"/>
  <c r="O209" i="57"/>
  <c r="N210" i="57"/>
  <c r="O210" i="57"/>
  <c r="N211" i="57"/>
  <c r="O211" i="57"/>
  <c r="N212" i="57"/>
  <c r="O212" i="57"/>
  <c r="N213" i="57"/>
  <c r="O213" i="57"/>
  <c r="N214" i="57"/>
  <c r="O214" i="57"/>
  <c r="N215" i="57"/>
  <c r="O215" i="57"/>
  <c r="N216" i="57"/>
  <c r="O216" i="57"/>
  <c r="N217" i="57"/>
  <c r="O217" i="57"/>
  <c r="N218" i="57"/>
  <c r="O218" i="57"/>
  <c r="N219" i="57"/>
  <c r="O219" i="57"/>
  <c r="N220" i="57"/>
  <c r="O220" i="57"/>
  <c r="N221" i="57"/>
  <c r="O221" i="57"/>
  <c r="N222" i="57"/>
  <c r="O222" i="57"/>
  <c r="N223" i="57"/>
  <c r="O223" i="57"/>
  <c r="N224" i="57"/>
  <c r="O224" i="57"/>
  <c r="N225" i="57"/>
  <c r="O225" i="57"/>
  <c r="N226" i="57"/>
  <c r="O226" i="57"/>
  <c r="N227" i="57"/>
  <c r="O227" i="57"/>
  <c r="N228" i="57"/>
  <c r="O228" i="57"/>
  <c r="N229" i="57"/>
  <c r="O229" i="57"/>
  <c r="N230" i="57"/>
  <c r="O230" i="57"/>
  <c r="N231" i="57"/>
  <c r="O231" i="57"/>
  <c r="N232" i="57"/>
  <c r="O232" i="57"/>
  <c r="N233" i="57"/>
  <c r="O233" i="57"/>
  <c r="O5" i="57"/>
  <c r="H234" i="57"/>
  <c r="I234" i="57"/>
  <c r="J234" i="57"/>
  <c r="N5" i="92"/>
  <c r="N6" i="92"/>
  <c r="N7" i="92"/>
  <c r="M8" i="92"/>
  <c r="N8" i="92"/>
  <c r="N9" i="92"/>
  <c r="N10" i="92"/>
  <c r="M11" i="92"/>
  <c r="N11" i="92"/>
  <c r="N12" i="92"/>
  <c r="N13" i="92"/>
  <c r="N14" i="92"/>
  <c r="N15" i="92"/>
  <c r="N16" i="92"/>
  <c r="N17" i="92"/>
  <c r="N18" i="92"/>
  <c r="N19" i="92"/>
  <c r="N20" i="92"/>
  <c r="N21" i="92"/>
  <c r="N22" i="92"/>
  <c r="N23" i="92"/>
  <c r="N24" i="92"/>
  <c r="N25" i="92"/>
  <c r="N26" i="92"/>
  <c r="N27" i="92"/>
  <c r="N28" i="92"/>
  <c r="N29" i="92"/>
  <c r="N30" i="92"/>
  <c r="N31" i="92"/>
  <c r="N32" i="92"/>
  <c r="N33" i="92"/>
  <c r="N34" i="92"/>
  <c r="N35" i="92"/>
  <c r="N36" i="92"/>
  <c r="N37" i="92"/>
  <c r="N38" i="92"/>
  <c r="N39" i="92"/>
  <c r="N40" i="92"/>
  <c r="N41" i="92"/>
  <c r="M42" i="92"/>
  <c r="N42" i="92"/>
  <c r="N43" i="92"/>
  <c r="N44" i="92"/>
  <c r="N45" i="92"/>
  <c r="N46" i="92"/>
  <c r="N47" i="92"/>
  <c r="N48" i="92"/>
  <c r="N49" i="92"/>
  <c r="N50" i="92"/>
  <c r="N51" i="92"/>
  <c r="N52" i="92"/>
  <c r="N53" i="92"/>
  <c r="N54" i="92"/>
  <c r="N55" i="92"/>
  <c r="N56" i="92"/>
  <c r="N57" i="92"/>
  <c r="N58" i="92"/>
  <c r="M59" i="92"/>
  <c r="N59" i="92"/>
  <c r="N60" i="92"/>
  <c r="N61" i="92"/>
  <c r="N62" i="92"/>
  <c r="N63" i="92"/>
  <c r="N64" i="92"/>
  <c r="N65" i="92"/>
  <c r="N66" i="92"/>
  <c r="N67" i="92"/>
  <c r="N68" i="92"/>
  <c r="N69" i="92"/>
  <c r="N70" i="92"/>
  <c r="N71" i="92"/>
  <c r="N72" i="92"/>
  <c r="N73" i="92"/>
  <c r="N74" i="92"/>
  <c r="N75" i="92"/>
  <c r="N76" i="92"/>
  <c r="N77" i="92"/>
  <c r="M78" i="92"/>
  <c r="N78" i="92"/>
  <c r="N79" i="92"/>
  <c r="N80" i="92"/>
  <c r="N81" i="92"/>
  <c r="N82" i="92"/>
  <c r="N83" i="92"/>
  <c r="N84" i="92"/>
  <c r="N85" i="92"/>
  <c r="N86" i="92"/>
  <c r="N87" i="92"/>
  <c r="N88" i="92"/>
  <c r="N89" i="92"/>
  <c r="N90" i="92"/>
  <c r="N91" i="92"/>
  <c r="N92" i="92"/>
  <c r="N93" i="92"/>
  <c r="M94" i="92"/>
  <c r="N94" i="92"/>
  <c r="N95" i="92"/>
  <c r="N96" i="92"/>
  <c r="N97" i="92"/>
  <c r="N98" i="92"/>
  <c r="N99" i="92"/>
  <c r="M100" i="92"/>
  <c r="N100" i="92"/>
  <c r="N101" i="92"/>
  <c r="N102" i="92"/>
  <c r="N103" i="92"/>
  <c r="N104" i="92"/>
  <c r="N105" i="92"/>
  <c r="N106" i="92"/>
  <c r="N107" i="92"/>
  <c r="N108" i="92"/>
  <c r="N109" i="92"/>
  <c r="N110" i="92"/>
  <c r="N111" i="92"/>
  <c r="N112" i="92"/>
  <c r="N113" i="92"/>
  <c r="N114" i="92"/>
  <c r="N115" i="92"/>
  <c r="N116" i="92"/>
  <c r="N117" i="92"/>
  <c r="M118" i="92"/>
  <c r="N118" i="92"/>
  <c r="N119" i="92"/>
  <c r="N120" i="92"/>
  <c r="N121" i="92"/>
  <c r="N122" i="92"/>
  <c r="N123" i="92"/>
  <c r="N124" i="92"/>
  <c r="N125" i="92"/>
  <c r="N126" i="92"/>
  <c r="N127" i="92"/>
  <c r="M128" i="92"/>
  <c r="N128" i="92"/>
  <c r="N129" i="92"/>
  <c r="N130" i="92"/>
  <c r="N131" i="92"/>
  <c r="N132" i="92"/>
  <c r="N133" i="92"/>
  <c r="N134" i="92"/>
  <c r="N135" i="92"/>
  <c r="N136" i="92"/>
  <c r="N137" i="92"/>
  <c r="N138" i="92"/>
  <c r="N139" i="92"/>
  <c r="N140" i="92"/>
  <c r="N141" i="92"/>
  <c r="N142" i="92"/>
  <c r="N143" i="92"/>
  <c r="N144" i="92"/>
  <c r="N145" i="92"/>
  <c r="N146" i="92"/>
  <c r="N147" i="92"/>
  <c r="N148" i="92"/>
  <c r="N149" i="92"/>
  <c r="N150" i="92"/>
  <c r="N151" i="92"/>
  <c r="M152" i="92"/>
  <c r="N152" i="92"/>
  <c r="N153" i="92"/>
  <c r="N154" i="92"/>
  <c r="N155" i="92"/>
  <c r="N156" i="92"/>
  <c r="N157" i="92"/>
  <c r="N158" i="92"/>
  <c r="N159" i="92"/>
  <c r="N160" i="92"/>
  <c r="N161" i="92"/>
  <c r="N162" i="92"/>
  <c r="N163" i="92"/>
  <c r="N164" i="92"/>
  <c r="N165" i="92"/>
  <c r="N166" i="92"/>
  <c r="N167" i="92"/>
  <c r="N168" i="92"/>
  <c r="N169" i="92"/>
  <c r="N170" i="92"/>
  <c r="N171" i="92"/>
  <c r="N172" i="92"/>
  <c r="N173" i="92"/>
  <c r="N174" i="92"/>
  <c r="M175" i="92"/>
  <c r="N175" i="92"/>
  <c r="N176" i="92"/>
  <c r="N177" i="92"/>
  <c r="N178" i="92"/>
  <c r="N179" i="92"/>
  <c r="N180" i="92"/>
  <c r="N181" i="92"/>
  <c r="N182" i="92"/>
  <c r="N183" i="92"/>
  <c r="M184" i="92"/>
  <c r="N184" i="92"/>
  <c r="N185" i="92"/>
  <c r="N186" i="92"/>
  <c r="N187" i="92"/>
  <c r="N188" i="92"/>
  <c r="N189" i="92"/>
  <c r="N190" i="92"/>
  <c r="N191" i="92"/>
  <c r="N192" i="92"/>
  <c r="N193" i="92"/>
  <c r="N194" i="92"/>
  <c r="N195" i="92"/>
  <c r="N196" i="92"/>
  <c r="N197" i="92"/>
  <c r="N198" i="92"/>
  <c r="N199" i="92"/>
  <c r="N200" i="92"/>
  <c r="N201" i="92"/>
  <c r="N202" i="92"/>
  <c r="N203" i="92"/>
  <c r="N204" i="92"/>
  <c r="N205" i="92"/>
  <c r="N206" i="92"/>
  <c r="N207" i="92"/>
  <c r="N208" i="92"/>
  <c r="N209" i="92"/>
  <c r="N210" i="92"/>
  <c r="N211" i="92"/>
  <c r="N212" i="92"/>
  <c r="N213" i="92"/>
  <c r="N214" i="92"/>
  <c r="N215" i="92"/>
  <c r="N216" i="92"/>
  <c r="N217" i="92"/>
  <c r="N218" i="92"/>
  <c r="N219" i="92"/>
  <c r="N220" i="92"/>
  <c r="N221" i="92"/>
  <c r="N222" i="92"/>
  <c r="N223" i="92"/>
  <c r="M224" i="92"/>
  <c r="N224" i="92"/>
  <c r="N225" i="92"/>
  <c r="N226" i="92"/>
  <c r="N227" i="92"/>
  <c r="N228" i="92"/>
  <c r="N229" i="92"/>
  <c r="N230" i="92"/>
  <c r="N231" i="92"/>
  <c r="N232" i="92"/>
  <c r="N233" i="92"/>
  <c r="N234" i="92"/>
  <c r="N235" i="92"/>
  <c r="N236" i="92"/>
  <c r="N237" i="92"/>
  <c r="N238" i="92"/>
  <c r="N239" i="92"/>
  <c r="N240" i="92"/>
  <c r="N241" i="92"/>
  <c r="N242" i="92"/>
  <c r="N243" i="92"/>
  <c r="N244" i="92"/>
  <c r="N245" i="92"/>
  <c r="N246" i="92"/>
  <c r="N247" i="92"/>
  <c r="N248" i="92"/>
  <c r="N249" i="92"/>
  <c r="M250" i="92"/>
  <c r="N250" i="92"/>
  <c r="N251" i="92"/>
  <c r="N252" i="92"/>
  <c r="N253" i="92"/>
  <c r="N254" i="92"/>
  <c r="N255" i="92"/>
  <c r="N256" i="92"/>
  <c r="N257" i="92"/>
  <c r="N258" i="92"/>
  <c r="N259" i="92"/>
  <c r="N260" i="92"/>
  <c r="N261" i="92"/>
  <c r="N262" i="92"/>
  <c r="M263" i="92"/>
  <c r="N263" i="92"/>
  <c r="N264" i="92"/>
  <c r="N265" i="92"/>
  <c r="M266" i="92"/>
  <c r="N266" i="92"/>
  <c r="N267" i="92"/>
  <c r="N268" i="92"/>
  <c r="N269" i="92"/>
  <c r="N4" i="92"/>
  <c r="G273" i="92"/>
  <c r="H273" i="92"/>
  <c r="I273" i="92"/>
  <c r="H260" i="80"/>
  <c r="H261" i="80" s="1"/>
  <c r="I260" i="80"/>
  <c r="J260" i="80"/>
  <c r="O6" i="80"/>
  <c r="O7" i="80"/>
  <c r="O8" i="80"/>
  <c r="O9" i="80"/>
  <c r="O10" i="80"/>
  <c r="N11" i="80"/>
  <c r="O11" i="80"/>
  <c r="O12" i="80"/>
  <c r="O13" i="80"/>
  <c r="O14" i="80"/>
  <c r="O15" i="80"/>
  <c r="O16" i="80"/>
  <c r="O17" i="80"/>
  <c r="N18" i="80"/>
  <c r="O18" i="80"/>
  <c r="O19" i="80"/>
  <c r="O20" i="80"/>
  <c r="O21" i="80"/>
  <c r="O22" i="80"/>
  <c r="O23" i="80"/>
  <c r="O24" i="80"/>
  <c r="O25" i="80"/>
  <c r="O26" i="80"/>
  <c r="O27" i="80"/>
  <c r="O28" i="80"/>
  <c r="O29" i="80"/>
  <c r="O30" i="80"/>
  <c r="O31" i="80"/>
  <c r="O32" i="80"/>
  <c r="O33" i="80"/>
  <c r="O34" i="80"/>
  <c r="O35" i="80"/>
  <c r="O36" i="80"/>
  <c r="O37" i="80"/>
  <c r="O38" i="80"/>
  <c r="O39" i="80"/>
  <c r="O40" i="80"/>
  <c r="O41" i="80"/>
  <c r="O42" i="80"/>
  <c r="O43" i="80"/>
  <c r="O44" i="80"/>
  <c r="O45" i="80"/>
  <c r="O46" i="80"/>
  <c r="O47" i="80"/>
  <c r="O48" i="80"/>
  <c r="N49" i="80"/>
  <c r="O49" i="80"/>
  <c r="O50" i="80"/>
  <c r="O51" i="80"/>
  <c r="O52" i="80"/>
  <c r="O53" i="80"/>
  <c r="O54" i="80"/>
  <c r="O55" i="80"/>
  <c r="O56" i="80"/>
  <c r="O57" i="80"/>
  <c r="O58" i="80"/>
  <c r="N59" i="80"/>
  <c r="O59" i="80"/>
  <c r="N60" i="80"/>
  <c r="O60" i="80"/>
  <c r="O61" i="80"/>
  <c r="O62" i="80"/>
  <c r="N63" i="80"/>
  <c r="O63" i="80"/>
  <c r="O64" i="80"/>
  <c r="O65" i="80"/>
  <c r="O66" i="80"/>
  <c r="O67" i="80"/>
  <c r="O68" i="80"/>
  <c r="O69" i="80"/>
  <c r="O70" i="80"/>
  <c r="O71" i="80"/>
  <c r="O72" i="80"/>
  <c r="O73" i="80"/>
  <c r="O74" i="80"/>
  <c r="O75" i="80"/>
  <c r="O76" i="80"/>
  <c r="O77" i="80"/>
  <c r="O78" i="80"/>
  <c r="O79" i="80"/>
  <c r="N80" i="80"/>
  <c r="O80" i="80"/>
  <c r="O81" i="80"/>
  <c r="O82" i="80"/>
  <c r="O83" i="80"/>
  <c r="O84" i="80"/>
  <c r="O85" i="80"/>
  <c r="O86" i="80"/>
  <c r="O87" i="80"/>
  <c r="O88" i="80"/>
  <c r="O89" i="80"/>
  <c r="O90" i="80"/>
  <c r="O91" i="80"/>
  <c r="O92" i="80"/>
  <c r="O93" i="80"/>
  <c r="O94" i="80"/>
  <c r="N95" i="80"/>
  <c r="O95" i="80"/>
  <c r="O96" i="80"/>
  <c r="N97" i="80"/>
  <c r="O97" i="80"/>
  <c r="O98" i="80"/>
  <c r="O99" i="80"/>
  <c r="O100" i="80"/>
  <c r="O101" i="80"/>
  <c r="O102" i="80"/>
  <c r="N103" i="80"/>
  <c r="O103" i="80"/>
  <c r="O104" i="80"/>
  <c r="O105" i="80"/>
  <c r="O106" i="80"/>
  <c r="O107" i="80"/>
  <c r="O108" i="80"/>
  <c r="O109" i="80"/>
  <c r="O110" i="80"/>
  <c r="O111" i="80"/>
  <c r="O112" i="80"/>
  <c r="O113" i="80"/>
  <c r="O114" i="80"/>
  <c r="O115" i="80"/>
  <c r="O116" i="80"/>
  <c r="O117" i="80"/>
  <c r="O118" i="80"/>
  <c r="O119" i="80"/>
  <c r="N120" i="80"/>
  <c r="O120" i="80"/>
  <c r="O121" i="80"/>
  <c r="O122" i="80"/>
  <c r="O123" i="80"/>
  <c r="O124" i="80"/>
  <c r="O125" i="80"/>
  <c r="O126" i="80"/>
  <c r="O127" i="80"/>
  <c r="O128" i="80"/>
  <c r="O129" i="80"/>
  <c r="N130" i="80"/>
  <c r="O130" i="80"/>
  <c r="O131" i="80"/>
  <c r="O132" i="80"/>
  <c r="O133" i="80"/>
  <c r="O134" i="80"/>
  <c r="O135" i="80"/>
  <c r="O136" i="80"/>
  <c r="O137" i="80"/>
  <c r="O138" i="80"/>
  <c r="O139" i="80"/>
  <c r="O140" i="80"/>
  <c r="O141" i="80"/>
  <c r="O142" i="80"/>
  <c r="O143" i="80"/>
  <c r="O144" i="80"/>
  <c r="O145" i="80"/>
  <c r="O146" i="80"/>
  <c r="O147" i="80"/>
  <c r="O148" i="80"/>
  <c r="O149" i="80"/>
  <c r="O150" i="80"/>
  <c r="O151" i="80"/>
  <c r="O152" i="80"/>
  <c r="O153" i="80"/>
  <c r="N154" i="80"/>
  <c r="O154" i="80"/>
  <c r="O155" i="80"/>
  <c r="O156" i="80"/>
  <c r="O157" i="80"/>
  <c r="O158" i="80"/>
  <c r="O159" i="80"/>
  <c r="O160" i="80"/>
  <c r="O161" i="80"/>
  <c r="O162" i="80"/>
  <c r="O163" i="80"/>
  <c r="O164" i="80"/>
  <c r="O165" i="80"/>
  <c r="O166" i="80"/>
  <c r="O167" i="80"/>
  <c r="O168" i="80"/>
  <c r="O169" i="80"/>
  <c r="O170" i="80"/>
  <c r="O171" i="80"/>
  <c r="O172" i="80"/>
  <c r="O173" i="80"/>
  <c r="O174" i="80"/>
  <c r="O175" i="80"/>
  <c r="O176" i="80"/>
  <c r="O177" i="80"/>
  <c r="O178" i="80"/>
  <c r="O179" i="80"/>
  <c r="O180" i="80"/>
  <c r="O181" i="80"/>
  <c r="O182" i="80"/>
  <c r="O183" i="80"/>
  <c r="O184" i="80"/>
  <c r="O185" i="80"/>
  <c r="O186" i="80"/>
  <c r="O187" i="80"/>
  <c r="N188" i="80"/>
  <c r="O188" i="80"/>
  <c r="O189" i="80"/>
  <c r="O190" i="80"/>
  <c r="O191" i="80"/>
  <c r="O192" i="80"/>
  <c r="O193" i="80"/>
  <c r="O194" i="80"/>
  <c r="O195" i="80"/>
  <c r="O196" i="80"/>
  <c r="O197" i="80"/>
  <c r="O198" i="80"/>
  <c r="O199" i="80"/>
  <c r="O200" i="80"/>
  <c r="N201" i="80"/>
  <c r="O201" i="80"/>
  <c r="O202" i="80"/>
  <c r="O203" i="80"/>
  <c r="O204" i="80"/>
  <c r="O205" i="80"/>
  <c r="O206" i="80"/>
  <c r="O207" i="80"/>
  <c r="O208" i="80"/>
  <c r="O209" i="80"/>
  <c r="N210" i="80"/>
  <c r="O210" i="80"/>
  <c r="O211" i="80"/>
  <c r="O212" i="80"/>
  <c r="O213" i="80"/>
  <c r="O214" i="80"/>
  <c r="O215" i="80"/>
  <c r="O216" i="80"/>
  <c r="O217" i="80"/>
  <c r="O218" i="80"/>
  <c r="O219" i="80"/>
  <c r="O220" i="80"/>
  <c r="N221" i="80"/>
  <c r="O221" i="80"/>
  <c r="O222" i="80"/>
  <c r="O223" i="80"/>
  <c r="O224" i="80"/>
  <c r="O225" i="80"/>
  <c r="O226" i="80"/>
  <c r="O227" i="80"/>
  <c r="O228" i="80"/>
  <c r="O229" i="80"/>
  <c r="O230" i="80"/>
  <c r="O231" i="80"/>
  <c r="O232" i="80"/>
  <c r="O233" i="80"/>
  <c r="O234" i="80"/>
  <c r="O235" i="80"/>
  <c r="N236" i="80"/>
  <c r="O236" i="80"/>
  <c r="O237" i="80"/>
  <c r="O238" i="80"/>
  <c r="O239" i="80"/>
  <c r="O240" i="80"/>
  <c r="O241" i="80"/>
  <c r="O242" i="80"/>
  <c r="O243" i="80"/>
  <c r="O244" i="80"/>
  <c r="O245" i="80"/>
  <c r="O246" i="80"/>
  <c r="O247" i="80"/>
  <c r="O248" i="80"/>
  <c r="O249" i="80"/>
  <c r="O250" i="80"/>
  <c r="O251" i="80"/>
  <c r="N252" i="80"/>
  <c r="O252" i="80"/>
  <c r="O253" i="80"/>
  <c r="O254" i="80"/>
  <c r="O255" i="80"/>
  <c r="O256" i="80"/>
  <c r="O257" i="80"/>
  <c r="O258" i="80"/>
  <c r="O259" i="80"/>
  <c r="O5" i="80"/>
  <c r="H261" i="41"/>
  <c r="I261" i="41"/>
  <c r="J261" i="41"/>
  <c r="I262" i="41" s="1"/>
  <c r="H268" i="42"/>
  <c r="I268" i="42"/>
  <c r="J268" i="42"/>
  <c r="H255" i="45"/>
  <c r="H256" i="45" s="1"/>
  <c r="I255" i="45"/>
  <c r="J255" i="45"/>
  <c r="N6" i="45"/>
  <c r="O6" i="45"/>
  <c r="N7" i="45"/>
  <c r="O7" i="45"/>
  <c r="N8" i="45"/>
  <c r="O8" i="45"/>
  <c r="N9" i="45"/>
  <c r="O9" i="45"/>
  <c r="N10" i="45"/>
  <c r="O10" i="45"/>
  <c r="N11" i="45"/>
  <c r="O11" i="45"/>
  <c r="N12" i="45"/>
  <c r="O12" i="45"/>
  <c r="N13" i="45"/>
  <c r="O13" i="45"/>
  <c r="N14" i="45"/>
  <c r="O14" i="45"/>
  <c r="N15" i="45"/>
  <c r="O15" i="45"/>
  <c r="N16" i="45"/>
  <c r="O16" i="45"/>
  <c r="N17" i="45"/>
  <c r="O17" i="45"/>
  <c r="N18" i="45"/>
  <c r="O18" i="45"/>
  <c r="N19" i="45"/>
  <c r="O19" i="45"/>
  <c r="N20" i="45"/>
  <c r="O20" i="45"/>
  <c r="N21" i="45"/>
  <c r="O21" i="45"/>
  <c r="N22" i="45"/>
  <c r="O22" i="45"/>
  <c r="N23" i="45"/>
  <c r="O23" i="45"/>
  <c r="N24" i="45"/>
  <c r="O24" i="45"/>
  <c r="N25" i="45"/>
  <c r="O25" i="45"/>
  <c r="N26" i="45"/>
  <c r="O26" i="45"/>
  <c r="N27" i="45"/>
  <c r="O27" i="45"/>
  <c r="N28" i="45"/>
  <c r="O28" i="45"/>
  <c r="N29" i="45"/>
  <c r="O29" i="45"/>
  <c r="N30" i="45"/>
  <c r="O30" i="45"/>
  <c r="N31" i="45"/>
  <c r="O31" i="45"/>
  <c r="N32" i="45"/>
  <c r="O32" i="45"/>
  <c r="N33" i="45"/>
  <c r="O33" i="45"/>
  <c r="N34" i="45"/>
  <c r="O34" i="45"/>
  <c r="N35" i="45"/>
  <c r="O35" i="45"/>
  <c r="N36" i="45"/>
  <c r="O36" i="45"/>
  <c r="N37" i="45"/>
  <c r="O37" i="45"/>
  <c r="N38" i="45"/>
  <c r="O38" i="45"/>
  <c r="N39" i="45"/>
  <c r="O39" i="45"/>
  <c r="N40" i="45"/>
  <c r="O40" i="45"/>
  <c r="N41" i="45"/>
  <c r="O41" i="45"/>
  <c r="N42" i="45"/>
  <c r="O42" i="45"/>
  <c r="N43" i="45"/>
  <c r="O43" i="45"/>
  <c r="N44" i="45"/>
  <c r="O44" i="45"/>
  <c r="N45" i="45"/>
  <c r="O45" i="45"/>
  <c r="N46" i="45"/>
  <c r="O46" i="45"/>
  <c r="N47" i="45"/>
  <c r="O47" i="45"/>
  <c r="N48" i="45"/>
  <c r="O48" i="45"/>
  <c r="N49" i="45"/>
  <c r="O49" i="45"/>
  <c r="N50" i="45"/>
  <c r="O50" i="45"/>
  <c r="N51" i="45"/>
  <c r="O51" i="45"/>
  <c r="N52" i="45"/>
  <c r="O52" i="45"/>
  <c r="N53" i="45"/>
  <c r="O53" i="45"/>
  <c r="N54" i="45"/>
  <c r="O54" i="45"/>
  <c r="N55" i="45"/>
  <c r="O55" i="45"/>
  <c r="N56" i="45"/>
  <c r="O56" i="45"/>
  <c r="N57" i="45"/>
  <c r="O57" i="45"/>
  <c r="N58" i="45"/>
  <c r="O58" i="45"/>
  <c r="N59" i="45"/>
  <c r="O59" i="45"/>
  <c r="N60" i="45"/>
  <c r="O60" i="45"/>
  <c r="N61" i="45"/>
  <c r="O61" i="45"/>
  <c r="N62" i="45"/>
  <c r="O62" i="45"/>
  <c r="N63" i="45"/>
  <c r="O63" i="45"/>
  <c r="N64" i="45"/>
  <c r="O64" i="45"/>
  <c r="N65" i="45"/>
  <c r="O65" i="45"/>
  <c r="N66" i="45"/>
  <c r="O66" i="45"/>
  <c r="N67" i="45"/>
  <c r="O67" i="45"/>
  <c r="N68" i="45"/>
  <c r="O68" i="45"/>
  <c r="N69" i="45"/>
  <c r="O69" i="45"/>
  <c r="N70" i="45"/>
  <c r="O70" i="45"/>
  <c r="N71" i="45"/>
  <c r="O71" i="45"/>
  <c r="N72" i="45"/>
  <c r="O72" i="45"/>
  <c r="N73" i="45"/>
  <c r="O73" i="45"/>
  <c r="N74" i="45"/>
  <c r="O74" i="45"/>
  <c r="N75" i="45"/>
  <c r="O75" i="45"/>
  <c r="N76" i="45"/>
  <c r="O76" i="45"/>
  <c r="N77" i="45"/>
  <c r="O77" i="45"/>
  <c r="N78" i="45"/>
  <c r="O78" i="45"/>
  <c r="N79" i="45"/>
  <c r="O79" i="45"/>
  <c r="N80" i="45"/>
  <c r="O80" i="45"/>
  <c r="N81" i="45"/>
  <c r="O81" i="45"/>
  <c r="N82" i="45"/>
  <c r="O82" i="45"/>
  <c r="N83" i="45"/>
  <c r="O83" i="45"/>
  <c r="N84" i="45"/>
  <c r="O84" i="45"/>
  <c r="N85" i="45"/>
  <c r="O85" i="45"/>
  <c r="N86" i="45"/>
  <c r="O86" i="45"/>
  <c r="N87" i="45"/>
  <c r="O87" i="45"/>
  <c r="N88" i="45"/>
  <c r="O88" i="45"/>
  <c r="N89" i="45"/>
  <c r="O89" i="45"/>
  <c r="N90" i="45"/>
  <c r="O90" i="45"/>
  <c r="N91" i="45"/>
  <c r="O91" i="45"/>
  <c r="N92" i="45"/>
  <c r="O92" i="45"/>
  <c r="N93" i="45"/>
  <c r="O93" i="45"/>
  <c r="N94" i="45"/>
  <c r="O94" i="45"/>
  <c r="N95" i="45"/>
  <c r="O95" i="45"/>
  <c r="N96" i="45"/>
  <c r="O96" i="45"/>
  <c r="N97" i="45"/>
  <c r="O97" i="45"/>
  <c r="N98" i="45"/>
  <c r="O98" i="45"/>
  <c r="N99" i="45"/>
  <c r="O99" i="45"/>
  <c r="N100" i="45"/>
  <c r="O100" i="45"/>
  <c r="N101" i="45"/>
  <c r="O101" i="45"/>
  <c r="N102" i="45"/>
  <c r="O102" i="45"/>
  <c r="N103" i="45"/>
  <c r="O103" i="45"/>
  <c r="N104" i="45"/>
  <c r="O104" i="45"/>
  <c r="N105" i="45"/>
  <c r="O105" i="45"/>
  <c r="N106" i="45"/>
  <c r="O106" i="45"/>
  <c r="N107" i="45"/>
  <c r="O107" i="45"/>
  <c r="N108" i="45"/>
  <c r="O108" i="45"/>
  <c r="N109" i="45"/>
  <c r="O109" i="45"/>
  <c r="N110" i="45"/>
  <c r="O110" i="45"/>
  <c r="N111" i="45"/>
  <c r="O111" i="45"/>
  <c r="N112" i="45"/>
  <c r="O112" i="45"/>
  <c r="N113" i="45"/>
  <c r="O113" i="45"/>
  <c r="N114" i="45"/>
  <c r="O114" i="45"/>
  <c r="N115" i="45"/>
  <c r="O115" i="45"/>
  <c r="N116" i="45"/>
  <c r="O116" i="45"/>
  <c r="N117" i="45"/>
  <c r="O117" i="45"/>
  <c r="N118" i="45"/>
  <c r="O118" i="45"/>
  <c r="N119" i="45"/>
  <c r="O119" i="45"/>
  <c r="N120" i="45"/>
  <c r="O120" i="45"/>
  <c r="N121" i="45"/>
  <c r="O121" i="45"/>
  <c r="N122" i="45"/>
  <c r="O122" i="45"/>
  <c r="N123" i="45"/>
  <c r="O123" i="45"/>
  <c r="N124" i="45"/>
  <c r="O124" i="45"/>
  <c r="N125" i="45"/>
  <c r="O125" i="45"/>
  <c r="N126" i="45"/>
  <c r="O126" i="45"/>
  <c r="N127" i="45"/>
  <c r="O127" i="45"/>
  <c r="N128" i="45"/>
  <c r="O128" i="45"/>
  <c r="N129" i="45"/>
  <c r="O129" i="45"/>
  <c r="N130" i="45"/>
  <c r="O130" i="45"/>
  <c r="N131" i="45"/>
  <c r="O131" i="45"/>
  <c r="N132" i="45"/>
  <c r="O132" i="45"/>
  <c r="N133" i="45"/>
  <c r="O133" i="45"/>
  <c r="N134" i="45"/>
  <c r="O134" i="45"/>
  <c r="N135" i="45"/>
  <c r="O135" i="45"/>
  <c r="N136" i="45"/>
  <c r="O136" i="45"/>
  <c r="N137" i="45"/>
  <c r="O137" i="45"/>
  <c r="N138" i="45"/>
  <c r="O138" i="45"/>
  <c r="N139" i="45"/>
  <c r="O139" i="45"/>
  <c r="N140" i="45"/>
  <c r="O140" i="45"/>
  <c r="N141" i="45"/>
  <c r="O141" i="45"/>
  <c r="N142" i="45"/>
  <c r="O142" i="45"/>
  <c r="N143" i="45"/>
  <c r="O143" i="45"/>
  <c r="N144" i="45"/>
  <c r="O144" i="45"/>
  <c r="N145" i="45"/>
  <c r="O145" i="45"/>
  <c r="N146" i="45"/>
  <c r="O146" i="45"/>
  <c r="N147" i="45"/>
  <c r="O147" i="45"/>
  <c r="N148" i="45"/>
  <c r="O148" i="45"/>
  <c r="N149" i="45"/>
  <c r="O149" i="45"/>
  <c r="N150" i="45"/>
  <c r="O150" i="45"/>
  <c r="N151" i="45"/>
  <c r="O151" i="45"/>
  <c r="N152" i="45"/>
  <c r="O152" i="45"/>
  <c r="N153" i="45"/>
  <c r="O153" i="45"/>
  <c r="N154" i="45"/>
  <c r="O154" i="45"/>
  <c r="N155" i="45"/>
  <c r="O155" i="45"/>
  <c r="N156" i="45"/>
  <c r="O156" i="45"/>
  <c r="N157" i="45"/>
  <c r="O157" i="45"/>
  <c r="N158" i="45"/>
  <c r="O158" i="45"/>
  <c r="N159" i="45"/>
  <c r="O159" i="45"/>
  <c r="N160" i="45"/>
  <c r="O160" i="45"/>
  <c r="N161" i="45"/>
  <c r="O161" i="45"/>
  <c r="N162" i="45"/>
  <c r="O162" i="45"/>
  <c r="N163" i="45"/>
  <c r="O163" i="45"/>
  <c r="N164" i="45"/>
  <c r="O164" i="45"/>
  <c r="N165" i="45"/>
  <c r="O165" i="45"/>
  <c r="N166" i="45"/>
  <c r="O166" i="45"/>
  <c r="N167" i="45"/>
  <c r="O167" i="45"/>
  <c r="N168" i="45"/>
  <c r="O168" i="45"/>
  <c r="N169" i="45"/>
  <c r="O169" i="45"/>
  <c r="N170" i="45"/>
  <c r="O170" i="45"/>
  <c r="N171" i="45"/>
  <c r="O171" i="45"/>
  <c r="N172" i="45"/>
  <c r="O172" i="45"/>
  <c r="N173" i="45"/>
  <c r="O173" i="45"/>
  <c r="N174" i="45"/>
  <c r="O174" i="45"/>
  <c r="N175" i="45"/>
  <c r="O175" i="45"/>
  <c r="N176" i="45"/>
  <c r="O176" i="45"/>
  <c r="N177" i="45"/>
  <c r="O177" i="45"/>
  <c r="N178" i="45"/>
  <c r="O178" i="45"/>
  <c r="N179" i="45"/>
  <c r="O179" i="45"/>
  <c r="N180" i="45"/>
  <c r="O180" i="45"/>
  <c r="N181" i="45"/>
  <c r="O181" i="45"/>
  <c r="N182" i="45"/>
  <c r="O182" i="45"/>
  <c r="N183" i="45"/>
  <c r="O183" i="45"/>
  <c r="N184" i="45"/>
  <c r="O184" i="45"/>
  <c r="N185" i="45"/>
  <c r="O185" i="45"/>
  <c r="N186" i="45"/>
  <c r="O186" i="45"/>
  <c r="N187" i="45"/>
  <c r="O187" i="45"/>
  <c r="N188" i="45"/>
  <c r="O188" i="45"/>
  <c r="N189" i="45"/>
  <c r="O189" i="45"/>
  <c r="N190" i="45"/>
  <c r="O190" i="45"/>
  <c r="N191" i="45"/>
  <c r="O191" i="45"/>
  <c r="N192" i="45"/>
  <c r="O192" i="45"/>
  <c r="N193" i="45"/>
  <c r="O193" i="45"/>
  <c r="N194" i="45"/>
  <c r="O194" i="45"/>
  <c r="N195" i="45"/>
  <c r="O195" i="45"/>
  <c r="N196" i="45"/>
  <c r="O196" i="45"/>
  <c r="N197" i="45"/>
  <c r="O197" i="45"/>
  <c r="N198" i="45"/>
  <c r="O198" i="45"/>
  <c r="N199" i="45"/>
  <c r="O199" i="45"/>
  <c r="N200" i="45"/>
  <c r="O200" i="45"/>
  <c r="N201" i="45"/>
  <c r="O201" i="45"/>
  <c r="N202" i="45"/>
  <c r="O202" i="45"/>
  <c r="N203" i="45"/>
  <c r="O203" i="45"/>
  <c r="N204" i="45"/>
  <c r="O204" i="45"/>
  <c r="N205" i="45"/>
  <c r="O205" i="45"/>
  <c r="N206" i="45"/>
  <c r="O206" i="45"/>
  <c r="N207" i="45"/>
  <c r="O207" i="45"/>
  <c r="N208" i="45"/>
  <c r="O208" i="45"/>
  <c r="N209" i="45"/>
  <c r="O209" i="45"/>
  <c r="N210" i="45"/>
  <c r="O210" i="45"/>
  <c r="N211" i="45"/>
  <c r="O211" i="45"/>
  <c r="N212" i="45"/>
  <c r="O212" i="45"/>
  <c r="N213" i="45"/>
  <c r="O213" i="45"/>
  <c r="N214" i="45"/>
  <c r="O214" i="45"/>
  <c r="N215" i="45"/>
  <c r="O215" i="45"/>
  <c r="N216" i="45"/>
  <c r="O216" i="45"/>
  <c r="N217" i="45"/>
  <c r="O217" i="45"/>
  <c r="N218" i="45"/>
  <c r="O218" i="45"/>
  <c r="N219" i="45"/>
  <c r="O219" i="45"/>
  <c r="N220" i="45"/>
  <c r="O220" i="45"/>
  <c r="N221" i="45"/>
  <c r="O221" i="45"/>
  <c r="N222" i="45"/>
  <c r="O222" i="45"/>
  <c r="N223" i="45"/>
  <c r="O223" i="45"/>
  <c r="N224" i="45"/>
  <c r="O224" i="45"/>
  <c r="N225" i="45"/>
  <c r="O225" i="45"/>
  <c r="N226" i="45"/>
  <c r="O226" i="45"/>
  <c r="N227" i="45"/>
  <c r="O227" i="45"/>
  <c r="N228" i="45"/>
  <c r="O228" i="45"/>
  <c r="N229" i="45"/>
  <c r="O229" i="45"/>
  <c r="N230" i="45"/>
  <c r="O230" i="45"/>
  <c r="N231" i="45"/>
  <c r="O231" i="45"/>
  <c r="N232" i="45"/>
  <c r="O232" i="45"/>
  <c r="N233" i="45"/>
  <c r="O233" i="45"/>
  <c r="N234" i="45"/>
  <c r="O234" i="45"/>
  <c r="N235" i="45"/>
  <c r="O235" i="45"/>
  <c r="N236" i="45"/>
  <c r="O236" i="45"/>
  <c r="N237" i="45"/>
  <c r="O237" i="45"/>
  <c r="N238" i="45"/>
  <c r="O238" i="45"/>
  <c r="N239" i="45"/>
  <c r="O239" i="45"/>
  <c r="N240" i="45"/>
  <c r="O240" i="45"/>
  <c r="N241" i="45"/>
  <c r="O241" i="45"/>
  <c r="N242" i="45"/>
  <c r="O242" i="45"/>
  <c r="N243" i="45"/>
  <c r="O243" i="45"/>
  <c r="N244" i="45"/>
  <c r="O244" i="45"/>
  <c r="N245" i="45"/>
  <c r="O245" i="45"/>
  <c r="N246" i="45"/>
  <c r="O246" i="45"/>
  <c r="N247" i="45"/>
  <c r="O247" i="45"/>
  <c r="N248" i="45"/>
  <c r="O248" i="45"/>
  <c r="N249" i="45"/>
  <c r="O249" i="45"/>
  <c r="N250" i="45"/>
  <c r="O250" i="45"/>
  <c r="N251" i="45"/>
  <c r="O251" i="45"/>
  <c r="N252" i="45"/>
  <c r="O252" i="45"/>
  <c r="N253" i="45"/>
  <c r="O253" i="45"/>
  <c r="N254" i="45"/>
  <c r="O254" i="45"/>
  <c r="O5" i="45"/>
  <c r="O7" i="42"/>
  <c r="O8" i="42"/>
  <c r="O9" i="42"/>
  <c r="O10" i="42"/>
  <c r="O11" i="42"/>
  <c r="O12" i="42"/>
  <c r="O13" i="42"/>
  <c r="O14" i="42"/>
  <c r="O15" i="42"/>
  <c r="O16" i="42"/>
  <c r="O17" i="42"/>
  <c r="O18" i="42"/>
  <c r="O19" i="42"/>
  <c r="O20" i="42"/>
  <c r="O21" i="42"/>
  <c r="O22" i="42"/>
  <c r="O23" i="42"/>
  <c r="O24" i="42"/>
  <c r="O25" i="42"/>
  <c r="O26" i="42"/>
  <c r="O27" i="42"/>
  <c r="O28" i="42"/>
  <c r="O29" i="42"/>
  <c r="O30" i="42"/>
  <c r="O31" i="42"/>
  <c r="O32" i="42"/>
  <c r="O33" i="42"/>
  <c r="O34" i="42"/>
  <c r="O35" i="42"/>
  <c r="O36" i="42"/>
  <c r="O37" i="42"/>
  <c r="O38" i="42"/>
  <c r="O39" i="42"/>
  <c r="O40" i="42"/>
  <c r="O41" i="42"/>
  <c r="O42" i="42"/>
  <c r="O43" i="42"/>
  <c r="O44" i="42"/>
  <c r="O45" i="42"/>
  <c r="O46" i="42"/>
  <c r="O47" i="42"/>
  <c r="O48" i="42"/>
  <c r="O49" i="42"/>
  <c r="N50" i="42"/>
  <c r="O50" i="42"/>
  <c r="O51" i="42"/>
  <c r="O52" i="42"/>
  <c r="O53" i="42"/>
  <c r="O54" i="42"/>
  <c r="O55" i="42"/>
  <c r="O56" i="42"/>
  <c r="O57" i="42"/>
  <c r="O58" i="42"/>
  <c r="O59" i="42"/>
  <c r="O60" i="42"/>
  <c r="O61" i="42"/>
  <c r="O62" i="42"/>
  <c r="O63" i="42"/>
  <c r="N64" i="42"/>
  <c r="O64" i="42"/>
  <c r="O65" i="42"/>
  <c r="O66" i="42"/>
  <c r="O67" i="42"/>
  <c r="O68" i="42"/>
  <c r="O69" i="42"/>
  <c r="O70" i="42"/>
  <c r="O71" i="42"/>
  <c r="O72" i="42"/>
  <c r="O73" i="42"/>
  <c r="O74" i="42"/>
  <c r="O75" i="42"/>
  <c r="O76" i="42"/>
  <c r="O77" i="42"/>
  <c r="O78" i="42"/>
  <c r="O79" i="42"/>
  <c r="O80" i="42"/>
  <c r="N81" i="42"/>
  <c r="O81" i="42"/>
  <c r="O82" i="42"/>
  <c r="O83" i="42"/>
  <c r="O84" i="42"/>
  <c r="O85" i="42"/>
  <c r="O86" i="42"/>
  <c r="O87" i="42"/>
  <c r="O88" i="42"/>
  <c r="O89" i="42"/>
  <c r="O90" i="42"/>
  <c r="O91" i="42"/>
  <c r="O92" i="42"/>
  <c r="O93" i="42"/>
  <c r="O94" i="42"/>
  <c r="O95" i="42"/>
  <c r="O96" i="42"/>
  <c r="N97" i="42"/>
  <c r="O97" i="42"/>
  <c r="O98" i="42"/>
  <c r="O99" i="42"/>
  <c r="O100" i="42"/>
  <c r="O101" i="42"/>
  <c r="O102" i="42"/>
  <c r="O103" i="42"/>
  <c r="O104" i="42"/>
  <c r="N105" i="42"/>
  <c r="O105" i="42"/>
  <c r="O106" i="42"/>
  <c r="O107" i="42"/>
  <c r="O108" i="42"/>
  <c r="O109" i="42"/>
  <c r="O110" i="42"/>
  <c r="O111" i="42"/>
  <c r="O112" i="42"/>
  <c r="O113" i="42"/>
  <c r="O114" i="42"/>
  <c r="O115" i="42"/>
  <c r="O116" i="42"/>
  <c r="O117" i="42"/>
  <c r="O118" i="42"/>
  <c r="O119" i="42"/>
  <c r="O120" i="42"/>
  <c r="O121" i="42"/>
  <c r="O122" i="42"/>
  <c r="O123" i="42"/>
  <c r="N124" i="42"/>
  <c r="O124" i="42"/>
  <c r="O125" i="42"/>
  <c r="O126" i="42"/>
  <c r="O127" i="42"/>
  <c r="O128" i="42"/>
  <c r="O129" i="42"/>
  <c r="O130" i="42"/>
  <c r="O131" i="42"/>
  <c r="O132" i="42"/>
  <c r="O133" i="42"/>
  <c r="O134" i="42"/>
  <c r="O135" i="42"/>
  <c r="N136" i="42"/>
  <c r="O136" i="42"/>
  <c r="O137" i="42"/>
  <c r="O138" i="42"/>
  <c r="O139" i="42"/>
  <c r="O140" i="42"/>
  <c r="O141" i="42"/>
  <c r="O142" i="42"/>
  <c r="O143" i="42"/>
  <c r="O144" i="42"/>
  <c r="O145" i="42"/>
  <c r="O146" i="42"/>
  <c r="O147" i="42"/>
  <c r="O148" i="42"/>
  <c r="O149" i="42"/>
  <c r="O150" i="42"/>
  <c r="O151" i="42"/>
  <c r="O152" i="42"/>
  <c r="O153" i="42"/>
  <c r="O154" i="42"/>
  <c r="O155" i="42"/>
  <c r="O156" i="42"/>
  <c r="O157" i="42"/>
  <c r="O158" i="42"/>
  <c r="N159" i="42"/>
  <c r="O159" i="42"/>
  <c r="O160" i="42"/>
  <c r="O161" i="42"/>
  <c r="O162" i="42"/>
  <c r="O163" i="42"/>
  <c r="O164" i="42"/>
  <c r="O165" i="42"/>
  <c r="O166" i="42"/>
  <c r="O167" i="42"/>
  <c r="O168" i="42"/>
  <c r="O169" i="42"/>
  <c r="O170" i="42"/>
  <c r="O171" i="42"/>
  <c r="O172" i="42"/>
  <c r="O173" i="42"/>
  <c r="O174" i="42"/>
  <c r="O175" i="42"/>
  <c r="O176" i="42"/>
  <c r="O177" i="42"/>
  <c r="O178" i="42"/>
  <c r="O179" i="42"/>
  <c r="O180" i="42"/>
  <c r="O181" i="42"/>
  <c r="O182" i="42"/>
  <c r="O183" i="42"/>
  <c r="O184" i="42"/>
  <c r="O185" i="42"/>
  <c r="O186" i="42"/>
  <c r="O187" i="42"/>
  <c r="O188" i="42"/>
  <c r="O189" i="42"/>
  <c r="O190" i="42"/>
  <c r="O191" i="42"/>
  <c r="O192" i="42"/>
  <c r="O193" i="42"/>
  <c r="O194" i="42"/>
  <c r="O195" i="42"/>
  <c r="O196" i="42"/>
  <c r="O197" i="42"/>
  <c r="O198" i="42"/>
  <c r="O199" i="42"/>
  <c r="O200" i="42"/>
  <c r="O201" i="42"/>
  <c r="O202" i="42"/>
  <c r="O203" i="42"/>
  <c r="O204" i="42"/>
  <c r="O205" i="42"/>
  <c r="O206" i="42"/>
  <c r="O207" i="42"/>
  <c r="N208" i="42"/>
  <c r="O208" i="42"/>
  <c r="O209" i="42"/>
  <c r="O210" i="42"/>
  <c r="O211" i="42"/>
  <c r="O212" i="42"/>
  <c r="O213" i="42"/>
  <c r="O214" i="42"/>
  <c r="N215" i="42"/>
  <c r="O215" i="42"/>
  <c r="O216" i="42"/>
  <c r="O217" i="42"/>
  <c r="O218" i="42"/>
  <c r="O219" i="42"/>
  <c r="O220" i="42"/>
  <c r="O221" i="42"/>
  <c r="O222" i="42"/>
  <c r="O223" i="42"/>
  <c r="O224" i="42"/>
  <c r="O225" i="42"/>
  <c r="O226" i="42"/>
  <c r="O227" i="42"/>
  <c r="N228" i="42"/>
  <c r="O228" i="42"/>
  <c r="O229" i="42"/>
  <c r="O230" i="42"/>
  <c r="O231" i="42"/>
  <c r="O232" i="42"/>
  <c r="O233" i="42"/>
  <c r="O234" i="42"/>
  <c r="O235" i="42"/>
  <c r="O236" i="42"/>
  <c r="O237" i="42"/>
  <c r="O238" i="42"/>
  <c r="O239" i="42"/>
  <c r="O240" i="42"/>
  <c r="O241" i="42"/>
  <c r="O242" i="42"/>
  <c r="O243" i="42"/>
  <c r="N244" i="42"/>
  <c r="O244" i="42"/>
  <c r="O245" i="42"/>
  <c r="O246" i="42"/>
  <c r="O247" i="42"/>
  <c r="O248" i="42"/>
  <c r="O249" i="42"/>
  <c r="O250" i="42"/>
  <c r="O251" i="42"/>
  <c r="O252" i="42"/>
  <c r="O253" i="42"/>
  <c r="O254" i="42"/>
  <c r="O255" i="42"/>
  <c r="O256" i="42"/>
  <c r="O257" i="42"/>
  <c r="O258" i="42"/>
  <c r="O259" i="42"/>
  <c r="O260" i="42"/>
  <c r="N261" i="42"/>
  <c r="O261" i="42"/>
  <c r="O262" i="42"/>
  <c r="O263" i="42"/>
  <c r="O264" i="42"/>
  <c r="O265" i="42"/>
  <c r="O266" i="42"/>
  <c r="O267" i="42"/>
  <c r="O6" i="42"/>
  <c r="N6" i="41"/>
  <c r="O6" i="41"/>
  <c r="N7" i="41"/>
  <c r="O7" i="41"/>
  <c r="N8" i="41"/>
  <c r="O8" i="41"/>
  <c r="N9" i="41"/>
  <c r="O9" i="41"/>
  <c r="N10" i="41"/>
  <c r="O10" i="41"/>
  <c r="N11" i="41"/>
  <c r="O11" i="41"/>
  <c r="N12" i="41"/>
  <c r="O12" i="41"/>
  <c r="N13" i="41"/>
  <c r="O13" i="41"/>
  <c r="N14" i="41"/>
  <c r="O14" i="41"/>
  <c r="N15" i="41"/>
  <c r="O15" i="41"/>
  <c r="N16" i="41"/>
  <c r="O16" i="41"/>
  <c r="N17" i="41"/>
  <c r="O17" i="41"/>
  <c r="N18" i="41"/>
  <c r="O18" i="41"/>
  <c r="N19" i="41"/>
  <c r="O19" i="41"/>
  <c r="N20" i="41"/>
  <c r="O20" i="41"/>
  <c r="N21" i="41"/>
  <c r="O21" i="41"/>
  <c r="N22" i="41"/>
  <c r="O22" i="41"/>
  <c r="N23" i="41"/>
  <c r="O23" i="41"/>
  <c r="N24" i="41"/>
  <c r="O24" i="41"/>
  <c r="N25" i="41"/>
  <c r="O25" i="41"/>
  <c r="N26" i="41"/>
  <c r="O26" i="41"/>
  <c r="N27" i="41"/>
  <c r="O27" i="41"/>
  <c r="N28" i="41"/>
  <c r="O28" i="41"/>
  <c r="N29" i="41"/>
  <c r="O29" i="41"/>
  <c r="N30" i="41"/>
  <c r="O30" i="41"/>
  <c r="N31" i="41"/>
  <c r="O31" i="41"/>
  <c r="N32" i="41"/>
  <c r="O32" i="41"/>
  <c r="N33" i="41"/>
  <c r="O33" i="41"/>
  <c r="N34" i="41"/>
  <c r="O34" i="41"/>
  <c r="N35" i="41"/>
  <c r="O35" i="41"/>
  <c r="N36" i="41"/>
  <c r="O36" i="41"/>
  <c r="N37" i="41"/>
  <c r="O37" i="41"/>
  <c r="N38" i="41"/>
  <c r="O38" i="41"/>
  <c r="N39" i="41"/>
  <c r="O39" i="41"/>
  <c r="N40" i="41"/>
  <c r="O40" i="41"/>
  <c r="N41" i="41"/>
  <c r="O41" i="41"/>
  <c r="N42" i="41"/>
  <c r="O42" i="41"/>
  <c r="N43" i="41"/>
  <c r="O43" i="41"/>
  <c r="N44" i="41"/>
  <c r="O44" i="41"/>
  <c r="N45" i="41"/>
  <c r="O45" i="41"/>
  <c r="N46" i="41"/>
  <c r="O46" i="41"/>
  <c r="N47" i="41"/>
  <c r="O47" i="41"/>
  <c r="N48" i="41"/>
  <c r="O48" i="41"/>
  <c r="N49" i="41"/>
  <c r="O49" i="41"/>
  <c r="N50" i="41"/>
  <c r="O50" i="41"/>
  <c r="N51" i="41"/>
  <c r="O51" i="41"/>
  <c r="N52" i="41"/>
  <c r="O52" i="41"/>
  <c r="N53" i="41"/>
  <c r="O53" i="41"/>
  <c r="N54" i="41"/>
  <c r="O54" i="41"/>
  <c r="N55" i="41"/>
  <c r="O55" i="41"/>
  <c r="N56" i="41"/>
  <c r="O56" i="41"/>
  <c r="N57" i="41"/>
  <c r="O57" i="41"/>
  <c r="N58" i="41"/>
  <c r="O58" i="41"/>
  <c r="N59" i="41"/>
  <c r="O59" i="41"/>
  <c r="N60" i="41"/>
  <c r="O60" i="41"/>
  <c r="N61" i="41"/>
  <c r="O61" i="41"/>
  <c r="N62" i="41"/>
  <c r="O62" i="41"/>
  <c r="N63" i="41"/>
  <c r="O63" i="41"/>
  <c r="N64" i="41"/>
  <c r="O64" i="41"/>
  <c r="N65" i="41"/>
  <c r="O65" i="41"/>
  <c r="N66" i="41"/>
  <c r="O66" i="41"/>
  <c r="N67" i="41"/>
  <c r="O67" i="41"/>
  <c r="N68" i="41"/>
  <c r="O68" i="41"/>
  <c r="N69" i="41"/>
  <c r="O69" i="41"/>
  <c r="N70" i="41"/>
  <c r="O70" i="41"/>
  <c r="N71" i="41"/>
  <c r="O71" i="41"/>
  <c r="N72" i="41"/>
  <c r="O72" i="41"/>
  <c r="N73" i="41"/>
  <c r="O73" i="41"/>
  <c r="N74" i="41"/>
  <c r="O74" i="41"/>
  <c r="N75" i="41"/>
  <c r="O75" i="41"/>
  <c r="N76" i="41"/>
  <c r="O76" i="41"/>
  <c r="N77" i="41"/>
  <c r="O77" i="41"/>
  <c r="N78" i="41"/>
  <c r="O78" i="41"/>
  <c r="N79" i="41"/>
  <c r="O79" i="41"/>
  <c r="N80" i="41"/>
  <c r="O80" i="41"/>
  <c r="N81" i="41"/>
  <c r="O81" i="41"/>
  <c r="N82" i="41"/>
  <c r="O82" i="41"/>
  <c r="N83" i="41"/>
  <c r="O83" i="41"/>
  <c r="N84" i="41"/>
  <c r="O84" i="41"/>
  <c r="N85" i="41"/>
  <c r="O85" i="41"/>
  <c r="N86" i="41"/>
  <c r="O86" i="41"/>
  <c r="N87" i="41"/>
  <c r="O87" i="41"/>
  <c r="N88" i="41"/>
  <c r="O88" i="41"/>
  <c r="N89" i="41"/>
  <c r="O89" i="41"/>
  <c r="N90" i="41"/>
  <c r="O90" i="41"/>
  <c r="N91" i="41"/>
  <c r="O91" i="41"/>
  <c r="N92" i="41"/>
  <c r="O92" i="41"/>
  <c r="N93" i="41"/>
  <c r="O93" i="41"/>
  <c r="N94" i="41"/>
  <c r="O94" i="41"/>
  <c r="N95" i="41"/>
  <c r="O95" i="41"/>
  <c r="N96" i="41"/>
  <c r="O96" i="41"/>
  <c r="N97" i="41"/>
  <c r="O97" i="41"/>
  <c r="N98" i="41"/>
  <c r="O98" i="41"/>
  <c r="N99" i="41"/>
  <c r="O99" i="41"/>
  <c r="N100" i="41"/>
  <c r="O100" i="41"/>
  <c r="N101" i="41"/>
  <c r="O101" i="41"/>
  <c r="N102" i="41"/>
  <c r="O102" i="41"/>
  <c r="N103" i="41"/>
  <c r="O103" i="41"/>
  <c r="N104" i="41"/>
  <c r="O104" i="41"/>
  <c r="N105" i="41"/>
  <c r="O105" i="41"/>
  <c r="N106" i="41"/>
  <c r="O106" i="41"/>
  <c r="N107" i="41"/>
  <c r="O107" i="41"/>
  <c r="N108" i="41"/>
  <c r="O108" i="41"/>
  <c r="N109" i="41"/>
  <c r="O109" i="41"/>
  <c r="N110" i="41"/>
  <c r="O110" i="41"/>
  <c r="N111" i="41"/>
  <c r="O111" i="41"/>
  <c r="N112" i="41"/>
  <c r="O112" i="41"/>
  <c r="N113" i="41"/>
  <c r="O113" i="41"/>
  <c r="N114" i="41"/>
  <c r="O114" i="41"/>
  <c r="N115" i="41"/>
  <c r="O115" i="41"/>
  <c r="N116" i="41"/>
  <c r="O116" i="41"/>
  <c r="N117" i="41"/>
  <c r="O117" i="41"/>
  <c r="N118" i="41"/>
  <c r="O118" i="41"/>
  <c r="N119" i="41"/>
  <c r="O119" i="41"/>
  <c r="N120" i="41"/>
  <c r="O120" i="41"/>
  <c r="N121" i="41"/>
  <c r="O121" i="41"/>
  <c r="N122" i="41"/>
  <c r="O122" i="41"/>
  <c r="N123" i="41"/>
  <c r="O123" i="41"/>
  <c r="N124" i="41"/>
  <c r="O124" i="41"/>
  <c r="N125" i="41"/>
  <c r="O125" i="41"/>
  <c r="N126" i="41"/>
  <c r="O126" i="41"/>
  <c r="N127" i="41"/>
  <c r="O127" i="41"/>
  <c r="N128" i="41"/>
  <c r="O128" i="41"/>
  <c r="N129" i="41"/>
  <c r="O129" i="41"/>
  <c r="N130" i="41"/>
  <c r="O130" i="41"/>
  <c r="N131" i="41"/>
  <c r="O131" i="41"/>
  <c r="N132" i="41"/>
  <c r="O132" i="41"/>
  <c r="N133" i="41"/>
  <c r="O133" i="41"/>
  <c r="N134" i="41"/>
  <c r="O134" i="41"/>
  <c r="N135" i="41"/>
  <c r="O135" i="41"/>
  <c r="N136" i="41"/>
  <c r="O136" i="41"/>
  <c r="N137" i="41"/>
  <c r="O137" i="41"/>
  <c r="N138" i="41"/>
  <c r="O138" i="41"/>
  <c r="N139" i="41"/>
  <c r="O139" i="41"/>
  <c r="N140" i="41"/>
  <c r="O140" i="41"/>
  <c r="N141" i="41"/>
  <c r="O141" i="41"/>
  <c r="N142" i="41"/>
  <c r="O142" i="41"/>
  <c r="N143" i="41"/>
  <c r="O143" i="41"/>
  <c r="N144" i="41"/>
  <c r="O144" i="41"/>
  <c r="N145" i="41"/>
  <c r="O145" i="41"/>
  <c r="N146" i="41"/>
  <c r="O146" i="41"/>
  <c r="N147" i="41"/>
  <c r="O147" i="41"/>
  <c r="N148" i="41"/>
  <c r="O148" i="41"/>
  <c r="N149" i="41"/>
  <c r="O149" i="41"/>
  <c r="N150" i="41"/>
  <c r="O150" i="41"/>
  <c r="N151" i="41"/>
  <c r="O151" i="41"/>
  <c r="N152" i="41"/>
  <c r="O152" i="41"/>
  <c r="N153" i="41"/>
  <c r="O153" i="41"/>
  <c r="N154" i="41"/>
  <c r="O154" i="41"/>
  <c r="N155" i="41"/>
  <c r="O155" i="41"/>
  <c r="N156" i="41"/>
  <c r="O156" i="41"/>
  <c r="N157" i="41"/>
  <c r="O157" i="41"/>
  <c r="N158" i="41"/>
  <c r="O158" i="41"/>
  <c r="N159" i="41"/>
  <c r="O159" i="41"/>
  <c r="N160" i="41"/>
  <c r="O160" i="41"/>
  <c r="N161" i="41"/>
  <c r="O161" i="41"/>
  <c r="N162" i="41"/>
  <c r="O162" i="41"/>
  <c r="N163" i="41"/>
  <c r="O163" i="41"/>
  <c r="N164" i="41"/>
  <c r="O164" i="41"/>
  <c r="N165" i="41"/>
  <c r="O165" i="41"/>
  <c r="N166" i="41"/>
  <c r="O166" i="41"/>
  <c r="N167" i="41"/>
  <c r="O167" i="41"/>
  <c r="N168" i="41"/>
  <c r="O168" i="41"/>
  <c r="N169" i="41"/>
  <c r="O169" i="41"/>
  <c r="N170" i="41"/>
  <c r="O170" i="41"/>
  <c r="N171" i="41"/>
  <c r="O171" i="41"/>
  <c r="N172" i="41"/>
  <c r="O172" i="41"/>
  <c r="N173" i="41"/>
  <c r="O173" i="41"/>
  <c r="N174" i="41"/>
  <c r="O174" i="41"/>
  <c r="N175" i="41"/>
  <c r="O175" i="41"/>
  <c r="N176" i="41"/>
  <c r="O176" i="41"/>
  <c r="N177" i="41"/>
  <c r="O177" i="41"/>
  <c r="N178" i="41"/>
  <c r="O178" i="41"/>
  <c r="N179" i="41"/>
  <c r="O179" i="41"/>
  <c r="N180" i="41"/>
  <c r="O180" i="41"/>
  <c r="N181" i="41"/>
  <c r="O181" i="41"/>
  <c r="N182" i="41"/>
  <c r="O182" i="41"/>
  <c r="N183" i="41"/>
  <c r="O183" i="41"/>
  <c r="N184" i="41"/>
  <c r="O184" i="41"/>
  <c r="N185" i="41"/>
  <c r="O185" i="41"/>
  <c r="N186" i="41"/>
  <c r="O186" i="41"/>
  <c r="N187" i="41"/>
  <c r="O187" i="41"/>
  <c r="N188" i="41"/>
  <c r="O188" i="41"/>
  <c r="N189" i="41"/>
  <c r="O189" i="41"/>
  <c r="N190" i="41"/>
  <c r="O190" i="41"/>
  <c r="N191" i="41"/>
  <c r="O191" i="41"/>
  <c r="N192" i="41"/>
  <c r="O192" i="41"/>
  <c r="N193" i="41"/>
  <c r="O193" i="41"/>
  <c r="N194" i="41"/>
  <c r="O194" i="41"/>
  <c r="N195" i="41"/>
  <c r="O195" i="41"/>
  <c r="N196" i="41"/>
  <c r="O196" i="41"/>
  <c r="N197" i="41"/>
  <c r="O197" i="41"/>
  <c r="N198" i="41"/>
  <c r="O198" i="41"/>
  <c r="N199" i="41"/>
  <c r="O199" i="41"/>
  <c r="N200" i="41"/>
  <c r="O200" i="41"/>
  <c r="N201" i="41"/>
  <c r="O201" i="41"/>
  <c r="N202" i="41"/>
  <c r="O202" i="41"/>
  <c r="N203" i="41"/>
  <c r="O203" i="41"/>
  <c r="N204" i="41"/>
  <c r="O204" i="41"/>
  <c r="N205" i="41"/>
  <c r="O205" i="41"/>
  <c r="N206" i="41"/>
  <c r="O206" i="41"/>
  <c r="N207" i="41"/>
  <c r="O207" i="41"/>
  <c r="N208" i="41"/>
  <c r="O208" i="41"/>
  <c r="N209" i="41"/>
  <c r="O209" i="41"/>
  <c r="N210" i="41"/>
  <c r="O210" i="41"/>
  <c r="N211" i="41"/>
  <c r="O211" i="41"/>
  <c r="N212" i="41"/>
  <c r="O212" i="41"/>
  <c r="N213" i="41"/>
  <c r="O213" i="41"/>
  <c r="N214" i="41"/>
  <c r="O214" i="41"/>
  <c r="N215" i="41"/>
  <c r="O215" i="41"/>
  <c r="N216" i="41"/>
  <c r="O216" i="41"/>
  <c r="N217" i="41"/>
  <c r="O217" i="41"/>
  <c r="N218" i="41"/>
  <c r="O218" i="41"/>
  <c r="N219" i="41"/>
  <c r="O219" i="41"/>
  <c r="N220" i="41"/>
  <c r="O220" i="41"/>
  <c r="N221" i="41"/>
  <c r="O221" i="41"/>
  <c r="N222" i="41"/>
  <c r="O222" i="41"/>
  <c r="N223" i="41"/>
  <c r="O223" i="41"/>
  <c r="N224" i="41"/>
  <c r="O224" i="41"/>
  <c r="N225" i="41"/>
  <c r="O225" i="41"/>
  <c r="N226" i="41"/>
  <c r="O226" i="41"/>
  <c r="N227" i="41"/>
  <c r="O227" i="41"/>
  <c r="N228" i="41"/>
  <c r="O228" i="41"/>
  <c r="N229" i="41"/>
  <c r="O229" i="41"/>
  <c r="N230" i="41"/>
  <c r="O230" i="41"/>
  <c r="N231" i="41"/>
  <c r="O231" i="41"/>
  <c r="N232" i="41"/>
  <c r="O232" i="41"/>
  <c r="N233" i="41"/>
  <c r="O233" i="41"/>
  <c r="N234" i="41"/>
  <c r="O234" i="41"/>
  <c r="N235" i="41"/>
  <c r="O235" i="41"/>
  <c r="N236" i="41"/>
  <c r="O236" i="41"/>
  <c r="N237" i="41"/>
  <c r="O237" i="41"/>
  <c r="N238" i="41"/>
  <c r="O238" i="41"/>
  <c r="N239" i="41"/>
  <c r="O239" i="41"/>
  <c r="N240" i="41"/>
  <c r="O240" i="41"/>
  <c r="N241" i="41"/>
  <c r="O241" i="41"/>
  <c r="N242" i="41"/>
  <c r="O242" i="41"/>
  <c r="N243" i="41"/>
  <c r="O243" i="41"/>
  <c r="N244" i="41"/>
  <c r="O244" i="41"/>
  <c r="N245" i="41"/>
  <c r="O245" i="41"/>
  <c r="N246" i="41"/>
  <c r="O246" i="41"/>
  <c r="N247" i="41"/>
  <c r="O247" i="41"/>
  <c r="N248" i="41"/>
  <c r="O248" i="41"/>
  <c r="N249" i="41"/>
  <c r="O249" i="41"/>
  <c r="N250" i="41"/>
  <c r="O250" i="41"/>
  <c r="N251" i="41"/>
  <c r="O251" i="41"/>
  <c r="N252" i="41"/>
  <c r="O252" i="41"/>
  <c r="N253" i="41"/>
  <c r="O253" i="41"/>
  <c r="N254" i="41"/>
  <c r="O254" i="41"/>
  <c r="N255" i="41"/>
  <c r="O255" i="41"/>
  <c r="N256" i="41"/>
  <c r="O256" i="41"/>
  <c r="N257" i="41"/>
  <c r="O257" i="41"/>
  <c r="N258" i="41"/>
  <c r="O258" i="41"/>
  <c r="N259" i="41"/>
  <c r="O259" i="41"/>
  <c r="N260" i="41"/>
  <c r="O260" i="41"/>
  <c r="O5" i="41"/>
  <c r="H269" i="42" l="1"/>
  <c r="J256" i="45"/>
  <c r="I256" i="45"/>
  <c r="I252" i="59"/>
  <c r="J252" i="59" s="1"/>
  <c r="H235" i="57"/>
  <c r="I235" i="57"/>
  <c r="J235" i="57" s="1"/>
  <c r="I261" i="80"/>
  <c r="J261" i="80" s="1"/>
  <c r="I269" i="42"/>
  <c r="J269" i="42" s="1"/>
  <c r="H262" i="41"/>
  <c r="J262" i="41" s="1"/>
  <c r="E217" i="97" l="1"/>
  <c r="D217" i="97"/>
  <c r="F216" i="97"/>
  <c r="F215" i="97"/>
  <c r="F214" i="97"/>
  <c r="F213" i="97"/>
  <c r="L212" i="97"/>
  <c r="F212" i="97"/>
  <c r="F211" i="97"/>
  <c r="L210" i="97"/>
  <c r="F210" i="97"/>
  <c r="L209" i="97"/>
  <c r="F209" i="97"/>
  <c r="F208" i="97"/>
  <c r="F207" i="97"/>
  <c r="F206" i="97"/>
  <c r="F205" i="97"/>
  <c r="F204" i="97"/>
  <c r="F203" i="97"/>
  <c r="F202" i="97"/>
  <c r="F201" i="97"/>
  <c r="F200" i="97"/>
  <c r="F199" i="97"/>
  <c r="F198" i="97"/>
  <c r="F197" i="97"/>
  <c r="F196" i="97"/>
  <c r="F195" i="97"/>
  <c r="L194" i="97"/>
  <c r="F194" i="97"/>
  <c r="F193" i="97"/>
  <c r="F192" i="97"/>
  <c r="F191" i="97"/>
  <c r="F190" i="97"/>
  <c r="F189" i="97"/>
  <c r="F188" i="97"/>
  <c r="F187" i="97"/>
  <c r="F186" i="97"/>
  <c r="L185" i="97"/>
  <c r="F185" i="97"/>
  <c r="F184" i="97"/>
  <c r="F183" i="97"/>
  <c r="F182" i="97"/>
  <c r="F181" i="97"/>
  <c r="F180" i="97"/>
  <c r="F179" i="97"/>
  <c r="F178" i="97"/>
  <c r="F177" i="97"/>
  <c r="F176" i="97"/>
  <c r="F175" i="97"/>
  <c r="L174" i="97"/>
  <c r="F174" i="97"/>
  <c r="F173" i="97"/>
  <c r="F172" i="97"/>
  <c r="F171" i="97"/>
  <c r="F170" i="97"/>
  <c r="F169" i="97"/>
  <c r="F168" i="97"/>
  <c r="F167" i="97"/>
  <c r="F166" i="97"/>
  <c r="F165" i="97"/>
  <c r="F164" i="97"/>
  <c r="F163" i="97"/>
  <c r="F162" i="97"/>
  <c r="F161" i="97"/>
  <c r="F160" i="97"/>
  <c r="F159" i="97"/>
  <c r="L158" i="97"/>
  <c r="F158" i="97"/>
  <c r="F157" i="97"/>
  <c r="F156" i="97"/>
  <c r="F155" i="97"/>
  <c r="F154" i="97"/>
  <c r="F153" i="97"/>
  <c r="F152" i="97"/>
  <c r="F151" i="97"/>
  <c r="F150" i="97"/>
  <c r="F149" i="97"/>
  <c r="F148" i="97"/>
  <c r="F147" i="97"/>
  <c r="F146" i="97"/>
  <c r="F145" i="97"/>
  <c r="F144" i="97"/>
  <c r="F143" i="97"/>
  <c r="L142" i="97"/>
  <c r="F142" i="97"/>
  <c r="F141" i="97"/>
  <c r="F140" i="97"/>
  <c r="F139" i="97"/>
  <c r="F138" i="97"/>
  <c r="F137" i="97"/>
  <c r="F136" i="97"/>
  <c r="F135" i="97"/>
  <c r="F134" i="97"/>
  <c r="F133" i="97"/>
  <c r="F132" i="97"/>
  <c r="F131" i="97"/>
  <c r="F130" i="97"/>
  <c r="F129" i="97"/>
  <c r="F128" i="97"/>
  <c r="F127" i="97"/>
  <c r="L126" i="97"/>
  <c r="F126" i="97"/>
  <c r="F125" i="97"/>
  <c r="F124" i="97"/>
  <c r="F123" i="97"/>
  <c r="F122" i="97"/>
  <c r="F121" i="97"/>
  <c r="F120" i="97"/>
  <c r="F119" i="97"/>
  <c r="F118" i="97"/>
  <c r="F117" i="97"/>
  <c r="F116" i="97"/>
  <c r="F115" i="97"/>
  <c r="F114" i="97"/>
  <c r="F113" i="97"/>
  <c r="F112" i="97"/>
  <c r="F111" i="97"/>
  <c r="F110" i="97"/>
  <c r="F109" i="97"/>
  <c r="F108" i="97"/>
  <c r="F107" i="97"/>
  <c r="F106" i="97"/>
  <c r="F105" i="97"/>
  <c r="L104" i="97"/>
  <c r="F104" i="97"/>
  <c r="F103" i="97"/>
  <c r="F102" i="97"/>
  <c r="F101" i="97"/>
  <c r="F100" i="97"/>
  <c r="F99" i="97"/>
  <c r="F98" i="97"/>
  <c r="F97" i="97"/>
  <c r="F96" i="97"/>
  <c r="F95" i="97"/>
  <c r="F94" i="97"/>
  <c r="F93" i="97"/>
  <c r="F92" i="97"/>
  <c r="F91" i="97"/>
  <c r="F90" i="97"/>
  <c r="F89" i="97"/>
  <c r="L88" i="97"/>
  <c r="F88" i="97"/>
  <c r="L87" i="97"/>
  <c r="F87" i="97"/>
  <c r="F86" i="97"/>
  <c r="F85" i="97"/>
  <c r="F84" i="97"/>
  <c r="F83" i="97"/>
  <c r="F82" i="97"/>
  <c r="F81" i="97"/>
  <c r="F80" i="97"/>
  <c r="F79" i="97"/>
  <c r="F78" i="97"/>
  <c r="F77" i="97"/>
  <c r="F76" i="97"/>
  <c r="F75" i="97"/>
  <c r="F74" i="97"/>
  <c r="F73" i="97"/>
  <c r="F72" i="97"/>
  <c r="F71" i="97"/>
  <c r="F70" i="97"/>
  <c r="F69" i="97"/>
  <c r="F68" i="97"/>
  <c r="F67" i="97"/>
  <c r="L66" i="97"/>
  <c r="F66" i="97"/>
  <c r="F65" i="97"/>
  <c r="F64" i="97"/>
  <c r="F63" i="97"/>
  <c r="L62" i="97"/>
  <c r="F62" i="97"/>
  <c r="F61" i="97"/>
  <c r="F60" i="97"/>
  <c r="F59" i="97"/>
  <c r="F58" i="97"/>
  <c r="F57" i="97"/>
  <c r="F56" i="97"/>
  <c r="F55" i="97"/>
  <c r="F54" i="97"/>
  <c r="F53" i="97"/>
  <c r="L52" i="97"/>
  <c r="F52" i="97"/>
  <c r="F51" i="97"/>
  <c r="F50" i="97"/>
  <c r="F49" i="97"/>
  <c r="F48" i="97"/>
  <c r="F47" i="97"/>
  <c r="F46" i="97"/>
  <c r="F45" i="97"/>
  <c r="F44" i="97"/>
  <c r="F43" i="97"/>
  <c r="F42" i="97"/>
  <c r="F41" i="97"/>
  <c r="F40" i="97"/>
  <c r="F39" i="97"/>
  <c r="F38" i="97"/>
  <c r="F37" i="97"/>
  <c r="F36" i="97"/>
  <c r="F35" i="97"/>
  <c r="F34" i="97"/>
  <c r="F33" i="97"/>
  <c r="F32" i="97"/>
  <c r="F31" i="97"/>
  <c r="F30" i="97"/>
  <c r="F29" i="97"/>
  <c r="F28" i="97"/>
  <c r="F27" i="97"/>
  <c r="F26" i="97"/>
  <c r="F25" i="97"/>
  <c r="F24" i="97"/>
  <c r="F23" i="97"/>
  <c r="F22" i="97"/>
  <c r="L21" i="97"/>
  <c r="F21" i="97"/>
  <c r="F20" i="97"/>
  <c r="F19" i="97"/>
  <c r="F18" i="97"/>
  <c r="F17" i="97"/>
  <c r="F16" i="97"/>
  <c r="F15" i="97"/>
  <c r="F14" i="97"/>
  <c r="F13" i="97"/>
  <c r="F12" i="97"/>
  <c r="F11" i="97"/>
  <c r="F10" i="97"/>
  <c r="F9" i="97"/>
  <c r="F8" i="97"/>
  <c r="F7" i="97"/>
  <c r="F6" i="97"/>
  <c r="F5" i="97"/>
  <c r="F4" i="97"/>
  <c r="N207" i="96"/>
  <c r="N206" i="96"/>
  <c r="N199" i="96"/>
  <c r="N198" i="96"/>
  <c r="N193" i="96"/>
  <c r="N192" i="96"/>
  <c r="N189" i="96"/>
  <c r="N185" i="96"/>
  <c r="O185" i="96" s="1"/>
  <c r="N184" i="96"/>
  <c r="N181" i="96"/>
  <c r="N175" i="96"/>
  <c r="N174" i="96"/>
  <c r="N168" i="96"/>
  <c r="N164" i="96"/>
  <c r="N159" i="96"/>
  <c r="N158" i="96"/>
  <c r="N155" i="96"/>
  <c r="N151" i="96"/>
  <c r="N150" i="96"/>
  <c r="N147" i="96"/>
  <c r="N143" i="96"/>
  <c r="N142" i="96"/>
  <c r="N139" i="96"/>
  <c r="N135" i="96"/>
  <c r="N134" i="96"/>
  <c r="N131" i="96"/>
  <c r="N126" i="96"/>
  <c r="N123" i="96"/>
  <c r="N116" i="96"/>
  <c r="N108" i="96"/>
  <c r="N100" i="96"/>
  <c r="N80" i="96"/>
  <c r="N74" i="96"/>
  <c r="N54" i="96"/>
  <c r="N44" i="96"/>
  <c r="N38" i="96"/>
  <c r="N35" i="96"/>
  <c r="N30" i="96"/>
  <c r="N27" i="96"/>
  <c r="N22" i="96"/>
  <c r="N19" i="96"/>
  <c r="N14" i="96"/>
  <c r="N11" i="96"/>
  <c r="N6" i="96"/>
  <c r="H216" i="96"/>
  <c r="G216" i="96"/>
  <c r="E216" i="96"/>
  <c r="D216" i="96"/>
  <c r="N215" i="96"/>
  <c r="M215" i="96"/>
  <c r="F215" i="96"/>
  <c r="N214" i="96"/>
  <c r="M214" i="96"/>
  <c r="F214" i="96"/>
  <c r="M213" i="96"/>
  <c r="F213" i="96"/>
  <c r="N212" i="96"/>
  <c r="M212" i="96"/>
  <c r="F212" i="96"/>
  <c r="N211" i="96"/>
  <c r="F211" i="96"/>
  <c r="N210" i="96"/>
  <c r="M210" i="96"/>
  <c r="F210" i="96"/>
  <c r="N209" i="96"/>
  <c r="F209" i="96"/>
  <c r="N208" i="96"/>
  <c r="M208" i="96"/>
  <c r="F208" i="96"/>
  <c r="M207" i="96"/>
  <c r="F207" i="96"/>
  <c r="M206" i="96"/>
  <c r="O206" i="96" s="1"/>
  <c r="F206" i="96"/>
  <c r="N205" i="96"/>
  <c r="M205" i="96"/>
  <c r="F205" i="96"/>
  <c r="N204" i="96"/>
  <c r="M204" i="96"/>
  <c r="F204" i="96"/>
  <c r="N203" i="96"/>
  <c r="M203" i="96"/>
  <c r="F203" i="96"/>
  <c r="N202" i="96"/>
  <c r="F202" i="96"/>
  <c r="N201" i="96"/>
  <c r="F201" i="96"/>
  <c r="N200" i="96"/>
  <c r="M200" i="96"/>
  <c r="F200" i="96"/>
  <c r="M199" i="96"/>
  <c r="F199" i="96"/>
  <c r="F198" i="96"/>
  <c r="N197" i="96"/>
  <c r="M197" i="96"/>
  <c r="F197" i="96"/>
  <c r="N196" i="96"/>
  <c r="M196" i="96"/>
  <c r="F196" i="96"/>
  <c r="N195" i="96"/>
  <c r="M195" i="96"/>
  <c r="F195" i="96"/>
  <c r="N194" i="96"/>
  <c r="M194" i="96"/>
  <c r="F194" i="96"/>
  <c r="M193" i="96"/>
  <c r="O193" i="96" s="1"/>
  <c r="F193" i="96"/>
  <c r="F192" i="96"/>
  <c r="N191" i="96"/>
  <c r="F191" i="96"/>
  <c r="N190" i="96"/>
  <c r="M190" i="96"/>
  <c r="F190" i="96"/>
  <c r="M189" i="96"/>
  <c r="F189" i="96"/>
  <c r="N188" i="96"/>
  <c r="F188" i="96"/>
  <c r="N187" i="96"/>
  <c r="F187" i="96"/>
  <c r="N186" i="96"/>
  <c r="M186" i="96"/>
  <c r="F186" i="96"/>
  <c r="M185" i="96"/>
  <c r="F185" i="96"/>
  <c r="F184" i="96"/>
  <c r="N183" i="96"/>
  <c r="M183" i="96"/>
  <c r="F183" i="96"/>
  <c r="N182" i="96"/>
  <c r="M182" i="96"/>
  <c r="F182" i="96"/>
  <c r="M181" i="96"/>
  <c r="O181" i="96" s="1"/>
  <c r="F181" i="96"/>
  <c r="N180" i="96"/>
  <c r="M180" i="96"/>
  <c r="F180" i="96"/>
  <c r="N179" i="96"/>
  <c r="M179" i="96"/>
  <c r="F179" i="96"/>
  <c r="N178" i="96"/>
  <c r="F178" i="96"/>
  <c r="N177" i="96"/>
  <c r="F177" i="96"/>
  <c r="N176" i="96"/>
  <c r="M176" i="96"/>
  <c r="F176" i="96"/>
  <c r="M175" i="96"/>
  <c r="O175" i="96" s="1"/>
  <c r="F175" i="96"/>
  <c r="F174" i="96"/>
  <c r="N173" i="96"/>
  <c r="M173" i="96"/>
  <c r="F173" i="96"/>
  <c r="N172" i="96"/>
  <c r="M172" i="96"/>
  <c r="F172" i="96"/>
  <c r="M171" i="96"/>
  <c r="F171" i="96"/>
  <c r="N170" i="96"/>
  <c r="M170" i="96"/>
  <c r="F170" i="96"/>
  <c r="M169" i="96"/>
  <c r="F169" i="96"/>
  <c r="F168" i="96"/>
  <c r="N167" i="96"/>
  <c r="M167" i="96"/>
  <c r="F167" i="96"/>
  <c r="N166" i="96"/>
  <c r="M166" i="96"/>
  <c r="F166" i="96"/>
  <c r="N165" i="96"/>
  <c r="M165" i="96"/>
  <c r="F165" i="96"/>
  <c r="M164" i="96"/>
  <c r="F164" i="96"/>
  <c r="N163" i="96"/>
  <c r="M163" i="96"/>
  <c r="F163" i="96"/>
  <c r="N162" i="96"/>
  <c r="F162" i="96"/>
  <c r="N161" i="96"/>
  <c r="F161" i="96"/>
  <c r="N160" i="96"/>
  <c r="M160" i="96"/>
  <c r="F160" i="96"/>
  <c r="M159" i="96"/>
  <c r="F159" i="96"/>
  <c r="M158" i="96"/>
  <c r="F158" i="96"/>
  <c r="N157" i="96"/>
  <c r="F157" i="96"/>
  <c r="N156" i="96"/>
  <c r="M156" i="96"/>
  <c r="F156" i="96"/>
  <c r="M155" i="96"/>
  <c r="F155" i="96"/>
  <c r="N154" i="96"/>
  <c r="F154" i="96"/>
  <c r="N153" i="96"/>
  <c r="F153" i="96"/>
  <c r="N152" i="96"/>
  <c r="M152" i="96"/>
  <c r="F152" i="96"/>
  <c r="M151" i="96"/>
  <c r="O151" i="96" s="1"/>
  <c r="F151" i="96"/>
  <c r="M150" i="96"/>
  <c r="F150" i="96"/>
  <c r="N149" i="96"/>
  <c r="F149" i="96"/>
  <c r="N148" i="96"/>
  <c r="M148" i="96"/>
  <c r="F148" i="96"/>
  <c r="M147" i="96"/>
  <c r="F147" i="96"/>
  <c r="N146" i="96"/>
  <c r="F146" i="96"/>
  <c r="N145" i="96"/>
  <c r="F145" i="96"/>
  <c r="N144" i="96"/>
  <c r="M144" i="96"/>
  <c r="F144" i="96"/>
  <c r="M143" i="96"/>
  <c r="O143" i="96" s="1"/>
  <c r="F143" i="96"/>
  <c r="M142" i="96"/>
  <c r="F142" i="96"/>
  <c r="N141" i="96"/>
  <c r="F141" i="96"/>
  <c r="N140" i="96"/>
  <c r="M140" i="96"/>
  <c r="F140" i="96"/>
  <c r="M139" i="96"/>
  <c r="O139" i="96" s="1"/>
  <c r="F139" i="96"/>
  <c r="N138" i="96"/>
  <c r="F138" i="96"/>
  <c r="N137" i="96"/>
  <c r="F137" i="96"/>
  <c r="N136" i="96"/>
  <c r="M136" i="96"/>
  <c r="F136" i="96"/>
  <c r="M135" i="96"/>
  <c r="F135" i="96"/>
  <c r="M134" i="96"/>
  <c r="F134" i="96"/>
  <c r="N133" i="96"/>
  <c r="F133" i="96"/>
  <c r="N132" i="96"/>
  <c r="M132" i="96"/>
  <c r="F132" i="96"/>
  <c r="M131" i="96"/>
  <c r="O131" i="96" s="1"/>
  <c r="F131" i="96"/>
  <c r="N130" i="96"/>
  <c r="F130" i="96"/>
  <c r="N129" i="96"/>
  <c r="M129" i="96"/>
  <c r="F129" i="96"/>
  <c r="N128" i="96"/>
  <c r="M128" i="96"/>
  <c r="F128" i="96"/>
  <c r="N127" i="96"/>
  <c r="M127" i="96"/>
  <c r="F127" i="96"/>
  <c r="M126" i="96"/>
  <c r="F126" i="96"/>
  <c r="N125" i="96"/>
  <c r="F125" i="96"/>
  <c r="N124" i="96"/>
  <c r="M124" i="96"/>
  <c r="F124" i="96"/>
  <c r="M123" i="96"/>
  <c r="F123" i="96"/>
  <c r="N122" i="96"/>
  <c r="M122" i="96"/>
  <c r="F122" i="96"/>
  <c r="N121" i="96"/>
  <c r="M121" i="96"/>
  <c r="F121" i="96"/>
  <c r="N120" i="96"/>
  <c r="M120" i="96"/>
  <c r="F120" i="96"/>
  <c r="N119" i="96"/>
  <c r="F119" i="96"/>
  <c r="N118" i="96"/>
  <c r="M118" i="96"/>
  <c r="F118" i="96"/>
  <c r="N117" i="96"/>
  <c r="M117" i="96"/>
  <c r="F117" i="96"/>
  <c r="F116" i="96"/>
  <c r="N115" i="96"/>
  <c r="M115" i="96"/>
  <c r="F115" i="96"/>
  <c r="N114" i="96"/>
  <c r="M114" i="96"/>
  <c r="F114" i="96"/>
  <c r="N113" i="96"/>
  <c r="M113" i="96"/>
  <c r="F113" i="96"/>
  <c r="N112" i="96"/>
  <c r="M112" i="96"/>
  <c r="F112" i="96"/>
  <c r="N111" i="96"/>
  <c r="F111" i="96"/>
  <c r="N110" i="96"/>
  <c r="M110" i="96"/>
  <c r="F110" i="96"/>
  <c r="N109" i="96"/>
  <c r="M109" i="96"/>
  <c r="F109" i="96"/>
  <c r="F108" i="96"/>
  <c r="N107" i="96"/>
  <c r="M107" i="96"/>
  <c r="F107" i="96"/>
  <c r="N106" i="96"/>
  <c r="M106" i="96"/>
  <c r="F106" i="96"/>
  <c r="N105" i="96"/>
  <c r="M105" i="96"/>
  <c r="F105" i="96"/>
  <c r="N104" i="96"/>
  <c r="M104" i="96"/>
  <c r="F104" i="96"/>
  <c r="N103" i="96"/>
  <c r="F103" i="96"/>
  <c r="N102" i="96"/>
  <c r="M102" i="96"/>
  <c r="F102" i="96"/>
  <c r="N101" i="96"/>
  <c r="M101" i="96"/>
  <c r="F101" i="96"/>
  <c r="F100" i="96"/>
  <c r="N99" i="96"/>
  <c r="M99" i="96"/>
  <c r="F99" i="96"/>
  <c r="N98" i="96"/>
  <c r="M98" i="96"/>
  <c r="F98" i="96"/>
  <c r="N97" i="96"/>
  <c r="M97" i="96"/>
  <c r="F97" i="96"/>
  <c r="N96" i="96"/>
  <c r="M96" i="96"/>
  <c r="F96" i="96"/>
  <c r="N95" i="96"/>
  <c r="M95" i="96"/>
  <c r="F95" i="96"/>
  <c r="N94" i="96"/>
  <c r="M94" i="96"/>
  <c r="F94" i="96"/>
  <c r="N93" i="96"/>
  <c r="F93" i="96"/>
  <c r="N92" i="96"/>
  <c r="M92" i="96"/>
  <c r="F92" i="96"/>
  <c r="N91" i="96"/>
  <c r="M91" i="96"/>
  <c r="F91" i="96"/>
  <c r="N90" i="96"/>
  <c r="M90" i="96"/>
  <c r="F90" i="96"/>
  <c r="N89" i="96"/>
  <c r="M89" i="96"/>
  <c r="F89" i="96"/>
  <c r="N88" i="96"/>
  <c r="M88" i="96"/>
  <c r="F88" i="96"/>
  <c r="N87" i="96"/>
  <c r="M87" i="96"/>
  <c r="F87" i="96"/>
  <c r="N86" i="96"/>
  <c r="M86" i="96"/>
  <c r="F86" i="96"/>
  <c r="M85" i="96"/>
  <c r="F85" i="96"/>
  <c r="N84" i="96"/>
  <c r="M84" i="96"/>
  <c r="F84" i="96"/>
  <c r="N83" i="96"/>
  <c r="F83" i="96"/>
  <c r="N82" i="96"/>
  <c r="M82" i="96"/>
  <c r="F82" i="96"/>
  <c r="N81" i="96"/>
  <c r="M81" i="96"/>
  <c r="F81" i="96"/>
  <c r="F80" i="96"/>
  <c r="N79" i="96"/>
  <c r="M79" i="96"/>
  <c r="F79" i="96"/>
  <c r="N78" i="96"/>
  <c r="M78" i="96"/>
  <c r="F78" i="96"/>
  <c r="M77" i="96"/>
  <c r="F77" i="96"/>
  <c r="N76" i="96"/>
  <c r="M76" i="96"/>
  <c r="F76" i="96"/>
  <c r="N75" i="96"/>
  <c r="M75" i="96"/>
  <c r="F75" i="96"/>
  <c r="M74" i="96"/>
  <c r="F74" i="96"/>
  <c r="N73" i="96"/>
  <c r="M73" i="96"/>
  <c r="F73" i="96"/>
  <c r="N72" i="96"/>
  <c r="M72" i="96"/>
  <c r="F72" i="96"/>
  <c r="M71" i="96"/>
  <c r="F71" i="96"/>
  <c r="N70" i="96"/>
  <c r="F70" i="96"/>
  <c r="N69" i="96"/>
  <c r="M69" i="96"/>
  <c r="F69" i="96"/>
  <c r="N68" i="96"/>
  <c r="M68" i="96"/>
  <c r="F68" i="96"/>
  <c r="N67" i="96"/>
  <c r="M67" i="96"/>
  <c r="F67" i="96"/>
  <c r="N66" i="96"/>
  <c r="M66" i="96"/>
  <c r="F66" i="96"/>
  <c r="N65" i="96"/>
  <c r="M65" i="96"/>
  <c r="F65" i="96"/>
  <c r="N64" i="96"/>
  <c r="M64" i="96"/>
  <c r="F64" i="96"/>
  <c r="N63" i="96"/>
  <c r="M63" i="96"/>
  <c r="F63" i="96"/>
  <c r="N62" i="96"/>
  <c r="F62" i="96"/>
  <c r="N61" i="96"/>
  <c r="M61" i="96"/>
  <c r="F61" i="96"/>
  <c r="N60" i="96"/>
  <c r="M60" i="96"/>
  <c r="F60" i="96"/>
  <c r="M59" i="96"/>
  <c r="F59" i="96"/>
  <c r="N58" i="96"/>
  <c r="M58" i="96"/>
  <c r="F58" i="96"/>
  <c r="N57" i="96"/>
  <c r="M57" i="96"/>
  <c r="F57" i="96"/>
  <c r="N56" i="96"/>
  <c r="M56" i="96"/>
  <c r="F56" i="96"/>
  <c r="N55" i="96"/>
  <c r="M55" i="96"/>
  <c r="F55" i="96"/>
  <c r="M54" i="96"/>
  <c r="O54" i="96" s="1"/>
  <c r="F54" i="96"/>
  <c r="N53" i="96"/>
  <c r="M53" i="96"/>
  <c r="F53" i="96"/>
  <c r="N52" i="96"/>
  <c r="M52" i="96"/>
  <c r="F52" i="96"/>
  <c r="M51" i="96"/>
  <c r="F51" i="96"/>
  <c r="N50" i="96"/>
  <c r="M50" i="96"/>
  <c r="F50" i="96"/>
  <c r="N49" i="96"/>
  <c r="M49" i="96"/>
  <c r="F49" i="96"/>
  <c r="N48" i="96"/>
  <c r="M48" i="96"/>
  <c r="F48" i="96"/>
  <c r="N47" i="96"/>
  <c r="M47" i="96"/>
  <c r="F47" i="96"/>
  <c r="N46" i="96"/>
  <c r="M46" i="96"/>
  <c r="F46" i="96"/>
  <c r="N45" i="96"/>
  <c r="M45" i="96"/>
  <c r="F45" i="96"/>
  <c r="M44" i="96"/>
  <c r="F44" i="96"/>
  <c r="N43" i="96"/>
  <c r="M43" i="96"/>
  <c r="F43" i="96"/>
  <c r="N42" i="96"/>
  <c r="M42" i="96"/>
  <c r="F42" i="96"/>
  <c r="M41" i="96"/>
  <c r="F41" i="96"/>
  <c r="N40" i="96"/>
  <c r="M40" i="96"/>
  <c r="F40" i="96"/>
  <c r="N39" i="96"/>
  <c r="M39" i="96"/>
  <c r="F39" i="96"/>
  <c r="M38" i="96"/>
  <c r="F38" i="96"/>
  <c r="N37" i="96"/>
  <c r="F37" i="96"/>
  <c r="N36" i="96"/>
  <c r="M36" i="96"/>
  <c r="F36" i="96"/>
  <c r="M35" i="96"/>
  <c r="F35" i="96"/>
  <c r="N34" i="96"/>
  <c r="F34" i="96"/>
  <c r="N33" i="96"/>
  <c r="M33" i="96"/>
  <c r="F33" i="96"/>
  <c r="N32" i="96"/>
  <c r="M32" i="96"/>
  <c r="F32" i="96"/>
  <c r="N31" i="96"/>
  <c r="M31" i="96"/>
  <c r="F31" i="96"/>
  <c r="M30" i="96"/>
  <c r="F30" i="96"/>
  <c r="N29" i="96"/>
  <c r="F29" i="96"/>
  <c r="N28" i="96"/>
  <c r="M28" i="96"/>
  <c r="F28" i="96"/>
  <c r="M27" i="96"/>
  <c r="F27" i="96"/>
  <c r="N26" i="96"/>
  <c r="F26" i="96"/>
  <c r="N25" i="96"/>
  <c r="M25" i="96"/>
  <c r="F25" i="96"/>
  <c r="N24" i="96"/>
  <c r="M24" i="96"/>
  <c r="F24" i="96"/>
  <c r="N23" i="96"/>
  <c r="M23" i="96"/>
  <c r="F23" i="96"/>
  <c r="M22" i="96"/>
  <c r="F22" i="96"/>
  <c r="N21" i="96"/>
  <c r="F21" i="96"/>
  <c r="N20" i="96"/>
  <c r="M20" i="96"/>
  <c r="F20" i="96"/>
  <c r="M19" i="96"/>
  <c r="F19" i="96"/>
  <c r="N18" i="96"/>
  <c r="M18" i="96"/>
  <c r="F18" i="96"/>
  <c r="N17" i="96"/>
  <c r="M17" i="96"/>
  <c r="F17" i="96"/>
  <c r="N16" i="96"/>
  <c r="M16" i="96"/>
  <c r="F16" i="96"/>
  <c r="N15" i="96"/>
  <c r="M15" i="96"/>
  <c r="F15" i="96"/>
  <c r="M14" i="96"/>
  <c r="F14" i="96"/>
  <c r="N13" i="96"/>
  <c r="F13" i="96"/>
  <c r="N12" i="96"/>
  <c r="M12" i="96"/>
  <c r="F12" i="96"/>
  <c r="M11" i="96"/>
  <c r="F11" i="96"/>
  <c r="N10" i="96"/>
  <c r="M10" i="96"/>
  <c r="F10" i="96"/>
  <c r="N9" i="96"/>
  <c r="M9" i="96"/>
  <c r="F9" i="96"/>
  <c r="N8" i="96"/>
  <c r="M8" i="96"/>
  <c r="F8" i="96"/>
  <c r="N7" i="96"/>
  <c r="M7" i="96"/>
  <c r="F7" i="96"/>
  <c r="M6" i="96"/>
  <c r="F6" i="96"/>
  <c r="N5" i="96"/>
  <c r="F5" i="96"/>
  <c r="N4" i="96"/>
  <c r="I216" i="96"/>
  <c r="F4" i="96"/>
  <c r="H217" i="95"/>
  <c r="G217" i="95"/>
  <c r="E217" i="95"/>
  <c r="D217" i="95"/>
  <c r="F216" i="95"/>
  <c r="F215" i="95"/>
  <c r="O214" i="95"/>
  <c r="F214" i="95"/>
  <c r="O213" i="95"/>
  <c r="F213" i="95"/>
  <c r="F212" i="95"/>
  <c r="F211" i="95"/>
  <c r="O210" i="95"/>
  <c r="F210" i="95"/>
  <c r="F209" i="95"/>
  <c r="F208" i="95"/>
  <c r="F207" i="95"/>
  <c r="F206" i="95"/>
  <c r="F205" i="95"/>
  <c r="F204" i="95"/>
  <c r="F203" i="95"/>
  <c r="F202" i="95"/>
  <c r="F201" i="95"/>
  <c r="F200" i="95"/>
  <c r="F199" i="95"/>
  <c r="F198" i="95"/>
  <c r="F197" i="95"/>
  <c r="F196" i="95"/>
  <c r="F195" i="95"/>
  <c r="F194" i="95"/>
  <c r="F193" i="95"/>
  <c r="O192" i="95"/>
  <c r="F192" i="95"/>
  <c r="F191" i="95"/>
  <c r="F190" i="95"/>
  <c r="F189" i="95"/>
  <c r="F188" i="95"/>
  <c r="F187" i="95"/>
  <c r="O186" i="95"/>
  <c r="F186" i="95"/>
  <c r="F185" i="95"/>
  <c r="F184" i="95"/>
  <c r="F183" i="95"/>
  <c r="F182" i="95"/>
  <c r="F181" i="95"/>
  <c r="F180" i="95"/>
  <c r="F179" i="95"/>
  <c r="F178" i="95"/>
  <c r="F177" i="95"/>
  <c r="F176" i="95"/>
  <c r="F175" i="95"/>
  <c r="F174" i="95"/>
  <c r="F173" i="95"/>
  <c r="F172" i="95"/>
  <c r="F171" i="95"/>
  <c r="F170" i="95"/>
  <c r="F169" i="95"/>
  <c r="F168" i="95"/>
  <c r="F167" i="95"/>
  <c r="F166" i="95"/>
  <c r="F165" i="95"/>
  <c r="F164" i="95"/>
  <c r="F163" i="95"/>
  <c r="O162" i="95"/>
  <c r="F162" i="95"/>
  <c r="F161" i="95"/>
  <c r="F160" i="95"/>
  <c r="F159" i="95"/>
  <c r="O158" i="95"/>
  <c r="F158" i="95"/>
  <c r="F157" i="95"/>
  <c r="O156" i="95"/>
  <c r="F156" i="95"/>
  <c r="F155" i="95"/>
  <c r="F154" i="95"/>
  <c r="F153" i="95"/>
  <c r="F152" i="95"/>
  <c r="F151" i="95"/>
  <c r="O150" i="95"/>
  <c r="F150" i="95"/>
  <c r="F149" i="95"/>
  <c r="F148" i="95"/>
  <c r="F147" i="95"/>
  <c r="F146" i="95"/>
  <c r="F145" i="95"/>
  <c r="F144" i="95"/>
  <c r="F143" i="95"/>
  <c r="F142" i="95"/>
  <c r="F141" i="95"/>
  <c r="F140" i="95"/>
  <c r="F139" i="95"/>
  <c r="F138" i="95"/>
  <c r="F137" i="95"/>
  <c r="F136" i="95"/>
  <c r="F135" i="95"/>
  <c r="O134" i="95"/>
  <c r="F134" i="95"/>
  <c r="F133" i="95"/>
  <c r="F132" i="95"/>
  <c r="F131" i="95"/>
  <c r="O130" i="95"/>
  <c r="F130" i="95"/>
  <c r="F129" i="95"/>
  <c r="F128" i="95"/>
  <c r="F127" i="95"/>
  <c r="O126" i="95"/>
  <c r="F126" i="95"/>
  <c r="F125" i="95"/>
  <c r="F124" i="95"/>
  <c r="F123" i="95"/>
  <c r="O122" i="95"/>
  <c r="F122" i="95"/>
  <c r="F121" i="95"/>
  <c r="F120" i="95"/>
  <c r="F119" i="95"/>
  <c r="F118" i="95"/>
  <c r="F117" i="95"/>
  <c r="F116" i="95"/>
  <c r="F115" i="95"/>
  <c r="F114" i="95"/>
  <c r="F113" i="95"/>
  <c r="F112" i="95"/>
  <c r="F111" i="95"/>
  <c r="F110" i="95"/>
  <c r="F109" i="95"/>
  <c r="F108" i="95"/>
  <c r="F107" i="95"/>
  <c r="F106" i="95"/>
  <c r="F105" i="95"/>
  <c r="F104" i="95"/>
  <c r="F103" i="95"/>
  <c r="F102" i="95"/>
  <c r="F101" i="95"/>
  <c r="F100" i="95"/>
  <c r="F99" i="95"/>
  <c r="F98" i="95"/>
  <c r="F97" i="95"/>
  <c r="F96" i="95"/>
  <c r="F95" i="95"/>
  <c r="F94" i="95"/>
  <c r="F93" i="95"/>
  <c r="F92" i="95"/>
  <c r="F91" i="95"/>
  <c r="F90" i="95"/>
  <c r="F89" i="95"/>
  <c r="F88" i="95"/>
  <c r="F87" i="95"/>
  <c r="F86" i="95"/>
  <c r="F85" i="95"/>
  <c r="F84" i="95"/>
  <c r="F83" i="95"/>
  <c r="F82" i="95"/>
  <c r="F81" i="95"/>
  <c r="F80" i="95"/>
  <c r="F79" i="95"/>
  <c r="F78" i="95"/>
  <c r="F77" i="95"/>
  <c r="F76" i="95"/>
  <c r="F75" i="95"/>
  <c r="F74" i="95"/>
  <c r="F73" i="95"/>
  <c r="F72" i="95"/>
  <c r="F71" i="95"/>
  <c r="F70" i="95"/>
  <c r="F69" i="95"/>
  <c r="F68" i="95"/>
  <c r="F67" i="95"/>
  <c r="F66" i="95"/>
  <c r="F65" i="95"/>
  <c r="F64" i="95"/>
  <c r="F63" i="95"/>
  <c r="F62" i="95"/>
  <c r="F61" i="95"/>
  <c r="F60" i="95"/>
  <c r="F59" i="95"/>
  <c r="F58" i="95"/>
  <c r="F57" i="95"/>
  <c r="F56" i="95"/>
  <c r="F55" i="95"/>
  <c r="F54" i="95"/>
  <c r="F53" i="95"/>
  <c r="F52" i="95"/>
  <c r="F51" i="95"/>
  <c r="F50" i="95"/>
  <c r="F49" i="95"/>
  <c r="F48" i="95"/>
  <c r="F47" i="95"/>
  <c r="F46" i="95"/>
  <c r="F45" i="95"/>
  <c r="F44" i="95"/>
  <c r="F43" i="95"/>
  <c r="F42" i="95"/>
  <c r="F41" i="95"/>
  <c r="F40" i="95"/>
  <c r="F39" i="95"/>
  <c r="F38" i="95"/>
  <c r="F37" i="95"/>
  <c r="F36" i="95"/>
  <c r="F35" i="95"/>
  <c r="F34" i="95"/>
  <c r="F33" i="95"/>
  <c r="F32" i="95"/>
  <c r="F31" i="95"/>
  <c r="F30" i="95"/>
  <c r="F29" i="95"/>
  <c r="F28" i="95"/>
  <c r="F27" i="95"/>
  <c r="F26" i="95"/>
  <c r="F25" i="95"/>
  <c r="F24" i="95"/>
  <c r="F23" i="95"/>
  <c r="F22" i="95"/>
  <c r="F21" i="95"/>
  <c r="F20" i="95"/>
  <c r="F19" i="95"/>
  <c r="F18" i="95"/>
  <c r="F17" i="95"/>
  <c r="F16" i="95"/>
  <c r="F15" i="95"/>
  <c r="F14" i="95"/>
  <c r="F13" i="95"/>
  <c r="F12" i="95"/>
  <c r="F11" i="95"/>
  <c r="F10" i="95"/>
  <c r="F9" i="95"/>
  <c r="F8" i="95"/>
  <c r="F7" i="95"/>
  <c r="F6" i="95"/>
  <c r="F5" i="95"/>
  <c r="F4" i="95"/>
  <c r="E215" i="94"/>
  <c r="D215" i="94"/>
  <c r="F214" i="94"/>
  <c r="F213" i="94"/>
  <c r="F212" i="94"/>
  <c r="F211" i="94"/>
  <c r="F210" i="94"/>
  <c r="F209" i="94"/>
  <c r="F208" i="94"/>
  <c r="F207" i="94"/>
  <c r="F206" i="94"/>
  <c r="F205" i="94"/>
  <c r="F204" i="94"/>
  <c r="F203" i="94"/>
  <c r="F202" i="94"/>
  <c r="F201" i="94"/>
  <c r="F200" i="94"/>
  <c r="F199" i="94"/>
  <c r="F198" i="94"/>
  <c r="F197" i="94"/>
  <c r="F196" i="94"/>
  <c r="F195" i="94"/>
  <c r="F194" i="94"/>
  <c r="F193" i="94"/>
  <c r="F192" i="94"/>
  <c r="F191" i="94"/>
  <c r="F190" i="94"/>
  <c r="F189" i="94"/>
  <c r="F188" i="94"/>
  <c r="F187" i="94"/>
  <c r="F186" i="94"/>
  <c r="F185" i="94"/>
  <c r="F184" i="94"/>
  <c r="F183" i="94"/>
  <c r="F182" i="94"/>
  <c r="F181" i="94"/>
  <c r="F180" i="94"/>
  <c r="F179" i="94"/>
  <c r="F178" i="94"/>
  <c r="F177" i="94"/>
  <c r="F176" i="94"/>
  <c r="F175" i="94"/>
  <c r="F174" i="94"/>
  <c r="F173" i="94"/>
  <c r="F172" i="94"/>
  <c r="F171" i="94"/>
  <c r="F170" i="94"/>
  <c r="F169" i="94"/>
  <c r="F168" i="94"/>
  <c r="F167" i="94"/>
  <c r="F166" i="94"/>
  <c r="F165" i="94"/>
  <c r="F164" i="94"/>
  <c r="F163" i="94"/>
  <c r="F162" i="94"/>
  <c r="F161" i="94"/>
  <c r="F160" i="94"/>
  <c r="F159" i="94"/>
  <c r="F158" i="94"/>
  <c r="F157" i="94"/>
  <c r="F156" i="94"/>
  <c r="F155" i="94"/>
  <c r="F154" i="94"/>
  <c r="F153" i="94"/>
  <c r="F152" i="94"/>
  <c r="F151" i="94"/>
  <c r="F150" i="94"/>
  <c r="F149" i="94"/>
  <c r="F148" i="94"/>
  <c r="F147" i="94"/>
  <c r="F146" i="94"/>
  <c r="F145" i="94"/>
  <c r="F144" i="94"/>
  <c r="F143" i="94"/>
  <c r="F142" i="94"/>
  <c r="F141" i="94"/>
  <c r="F140" i="94"/>
  <c r="F139" i="94"/>
  <c r="F138" i="94"/>
  <c r="F137" i="94"/>
  <c r="F136" i="94"/>
  <c r="F135" i="94"/>
  <c r="F134" i="94"/>
  <c r="F133" i="94"/>
  <c r="F132" i="94"/>
  <c r="F131" i="94"/>
  <c r="F130" i="94"/>
  <c r="F129" i="94"/>
  <c r="F128" i="94"/>
  <c r="F127" i="94"/>
  <c r="F126" i="94"/>
  <c r="F125" i="94"/>
  <c r="F124" i="94"/>
  <c r="F123" i="94"/>
  <c r="F122" i="94"/>
  <c r="F121" i="94"/>
  <c r="F120" i="94"/>
  <c r="F119" i="94"/>
  <c r="F118" i="94"/>
  <c r="F117" i="94"/>
  <c r="F116" i="94"/>
  <c r="F115" i="94"/>
  <c r="F114" i="94"/>
  <c r="F113" i="94"/>
  <c r="F112" i="94"/>
  <c r="F111" i="94"/>
  <c r="F110" i="94"/>
  <c r="F109" i="94"/>
  <c r="F108" i="94"/>
  <c r="F107" i="94"/>
  <c r="F106" i="94"/>
  <c r="F105" i="94"/>
  <c r="F104" i="94"/>
  <c r="F103" i="94"/>
  <c r="F102" i="94"/>
  <c r="F101" i="94"/>
  <c r="F100" i="94"/>
  <c r="F99" i="94"/>
  <c r="F98" i="94"/>
  <c r="F97" i="94"/>
  <c r="F96" i="94"/>
  <c r="F95" i="94"/>
  <c r="F94" i="94"/>
  <c r="F93" i="94"/>
  <c r="F92" i="94"/>
  <c r="F91" i="94"/>
  <c r="F90" i="94"/>
  <c r="F89" i="94"/>
  <c r="F88" i="94"/>
  <c r="F87" i="94"/>
  <c r="F86" i="94"/>
  <c r="F85" i="94"/>
  <c r="F84" i="94"/>
  <c r="F83" i="94"/>
  <c r="F82" i="94"/>
  <c r="F81" i="94"/>
  <c r="F80" i="94"/>
  <c r="F79" i="94"/>
  <c r="F78" i="94"/>
  <c r="F77" i="94"/>
  <c r="F76" i="94"/>
  <c r="F75" i="94"/>
  <c r="F74" i="94"/>
  <c r="F73" i="94"/>
  <c r="F72" i="94"/>
  <c r="F71" i="94"/>
  <c r="F70" i="94"/>
  <c r="F69" i="94"/>
  <c r="F68" i="94"/>
  <c r="F67" i="94"/>
  <c r="F66" i="94"/>
  <c r="F65" i="94"/>
  <c r="F64" i="94"/>
  <c r="F63" i="94"/>
  <c r="F62" i="94"/>
  <c r="F61" i="94"/>
  <c r="F60" i="94"/>
  <c r="F59" i="94"/>
  <c r="F58" i="94"/>
  <c r="F57" i="94"/>
  <c r="F56" i="94"/>
  <c r="F55" i="94"/>
  <c r="F54" i="94"/>
  <c r="F53" i="94"/>
  <c r="F52" i="94"/>
  <c r="F51" i="94"/>
  <c r="F50" i="94"/>
  <c r="F49" i="94"/>
  <c r="F48" i="94"/>
  <c r="F47" i="94"/>
  <c r="F46" i="94"/>
  <c r="F45" i="94"/>
  <c r="F44" i="94"/>
  <c r="F43" i="94"/>
  <c r="F42" i="94"/>
  <c r="F41" i="94"/>
  <c r="F40" i="94"/>
  <c r="F39" i="94"/>
  <c r="F38" i="94"/>
  <c r="F37" i="94"/>
  <c r="F36" i="94"/>
  <c r="F35" i="94"/>
  <c r="F34" i="94"/>
  <c r="F33" i="94"/>
  <c r="F32" i="94"/>
  <c r="F31" i="94"/>
  <c r="F30" i="94"/>
  <c r="F29" i="94"/>
  <c r="F28" i="94"/>
  <c r="F27" i="94"/>
  <c r="F26" i="94"/>
  <c r="F25" i="94"/>
  <c r="F24" i="94"/>
  <c r="F23" i="94"/>
  <c r="F22" i="94"/>
  <c r="F21" i="94"/>
  <c r="F20" i="94"/>
  <c r="F19" i="94"/>
  <c r="F18" i="94"/>
  <c r="F17" i="94"/>
  <c r="F16" i="94"/>
  <c r="F15" i="94"/>
  <c r="F14" i="94"/>
  <c r="F13" i="94"/>
  <c r="F12" i="94"/>
  <c r="F11" i="94"/>
  <c r="F10" i="94"/>
  <c r="F9" i="94"/>
  <c r="F8" i="94"/>
  <c r="F7" i="94"/>
  <c r="F6" i="94"/>
  <c r="F5" i="94"/>
  <c r="F4" i="94"/>
  <c r="M263" i="93"/>
  <c r="P263" i="93" s="1"/>
  <c r="K263" i="93"/>
  <c r="E263" i="93"/>
  <c r="D263" i="93"/>
  <c r="F262" i="93"/>
  <c r="F261" i="93"/>
  <c r="F260" i="93"/>
  <c r="F259" i="93"/>
  <c r="F258" i="93"/>
  <c r="F257" i="93"/>
  <c r="F256" i="93"/>
  <c r="F255" i="93"/>
  <c r="F254" i="93"/>
  <c r="F253" i="93"/>
  <c r="F252" i="93"/>
  <c r="F251" i="93"/>
  <c r="F250" i="93"/>
  <c r="F249" i="93"/>
  <c r="F248" i="93"/>
  <c r="F247" i="93"/>
  <c r="F246" i="93"/>
  <c r="F245" i="93"/>
  <c r="F244" i="93"/>
  <c r="F243" i="93"/>
  <c r="F242" i="93"/>
  <c r="F241" i="93"/>
  <c r="F240" i="93"/>
  <c r="F239" i="93"/>
  <c r="F238" i="93"/>
  <c r="F237" i="93"/>
  <c r="F236" i="93"/>
  <c r="F235" i="93"/>
  <c r="F234" i="93"/>
  <c r="F233" i="93"/>
  <c r="F232" i="93"/>
  <c r="F231" i="93"/>
  <c r="F230" i="93"/>
  <c r="F229" i="93"/>
  <c r="F228" i="93"/>
  <c r="F227" i="93"/>
  <c r="F226" i="93"/>
  <c r="F225" i="93"/>
  <c r="F224" i="93"/>
  <c r="F223" i="93"/>
  <c r="F222" i="93"/>
  <c r="F221" i="93"/>
  <c r="F220" i="93"/>
  <c r="F219" i="93"/>
  <c r="F218" i="93"/>
  <c r="F217" i="93"/>
  <c r="F216" i="93"/>
  <c r="F215" i="93"/>
  <c r="F214" i="93"/>
  <c r="F213" i="93"/>
  <c r="F212" i="93"/>
  <c r="F211" i="93"/>
  <c r="F210" i="93"/>
  <c r="F209" i="93"/>
  <c r="F208" i="93"/>
  <c r="F207" i="93"/>
  <c r="F206" i="93"/>
  <c r="F205" i="93"/>
  <c r="F204" i="93"/>
  <c r="F203" i="93"/>
  <c r="F202" i="93"/>
  <c r="F201" i="93"/>
  <c r="F200" i="93"/>
  <c r="F199" i="93"/>
  <c r="F198" i="93"/>
  <c r="F197" i="93"/>
  <c r="F196" i="93"/>
  <c r="F195" i="93"/>
  <c r="F194" i="93"/>
  <c r="F193" i="93"/>
  <c r="F192" i="93"/>
  <c r="F191" i="93"/>
  <c r="F190" i="93"/>
  <c r="F189" i="93"/>
  <c r="F188" i="93"/>
  <c r="F187" i="93"/>
  <c r="F186" i="93"/>
  <c r="F185" i="93"/>
  <c r="F184" i="93"/>
  <c r="F183" i="93"/>
  <c r="F182" i="93"/>
  <c r="F181" i="93"/>
  <c r="F180" i="93"/>
  <c r="F179" i="93"/>
  <c r="F178" i="93"/>
  <c r="F177" i="93"/>
  <c r="F176" i="93"/>
  <c r="F175" i="93"/>
  <c r="F174" i="93"/>
  <c r="F173" i="93"/>
  <c r="F172" i="93"/>
  <c r="F171" i="93"/>
  <c r="F170" i="93"/>
  <c r="F169" i="93"/>
  <c r="F168" i="93"/>
  <c r="F167" i="93"/>
  <c r="F166" i="93"/>
  <c r="F165" i="93"/>
  <c r="F164" i="93"/>
  <c r="F163" i="93"/>
  <c r="F162" i="93"/>
  <c r="F161" i="93"/>
  <c r="F160" i="93"/>
  <c r="F159" i="93"/>
  <c r="F158" i="93"/>
  <c r="F157" i="93"/>
  <c r="F156" i="93"/>
  <c r="F155" i="93"/>
  <c r="F154" i="93"/>
  <c r="F153" i="93"/>
  <c r="F152" i="93"/>
  <c r="F151" i="93"/>
  <c r="F150" i="93"/>
  <c r="F149" i="93"/>
  <c r="F148" i="93"/>
  <c r="F147" i="93"/>
  <c r="F146" i="93"/>
  <c r="F145" i="93"/>
  <c r="F144" i="93"/>
  <c r="F143" i="93"/>
  <c r="F142" i="93"/>
  <c r="F141" i="93"/>
  <c r="F140" i="93"/>
  <c r="F139" i="93"/>
  <c r="F138" i="93"/>
  <c r="F137" i="93"/>
  <c r="F136" i="93"/>
  <c r="F135" i="93"/>
  <c r="F134" i="93"/>
  <c r="F133" i="93"/>
  <c r="F132" i="93"/>
  <c r="F131" i="93"/>
  <c r="F130" i="93"/>
  <c r="F129" i="93"/>
  <c r="F128" i="93"/>
  <c r="F127" i="93"/>
  <c r="F126" i="93"/>
  <c r="F125" i="93"/>
  <c r="F124" i="93"/>
  <c r="F123" i="93"/>
  <c r="F122" i="93"/>
  <c r="F121" i="93"/>
  <c r="F120" i="93"/>
  <c r="F119" i="93"/>
  <c r="F118" i="93"/>
  <c r="F117" i="93"/>
  <c r="F116" i="93"/>
  <c r="F115" i="93"/>
  <c r="F114" i="93"/>
  <c r="F113" i="93"/>
  <c r="F112" i="93"/>
  <c r="F111" i="93"/>
  <c r="F110" i="93"/>
  <c r="F109" i="93"/>
  <c r="F108" i="93"/>
  <c r="F107" i="93"/>
  <c r="F106" i="93"/>
  <c r="F105" i="93"/>
  <c r="F104" i="93"/>
  <c r="F103" i="93"/>
  <c r="F102" i="93"/>
  <c r="F101" i="93"/>
  <c r="F100" i="93"/>
  <c r="F99" i="93"/>
  <c r="F98" i="93"/>
  <c r="F97" i="93"/>
  <c r="F96" i="93"/>
  <c r="F95" i="93"/>
  <c r="F94" i="93"/>
  <c r="F93" i="93"/>
  <c r="F92" i="93"/>
  <c r="F91" i="93"/>
  <c r="F90" i="93"/>
  <c r="F89" i="93"/>
  <c r="F88" i="93"/>
  <c r="F87" i="93"/>
  <c r="F86" i="93"/>
  <c r="F85" i="93"/>
  <c r="F84" i="93"/>
  <c r="F83" i="93"/>
  <c r="F82" i="93"/>
  <c r="F81" i="93"/>
  <c r="F80" i="93"/>
  <c r="F79" i="93"/>
  <c r="F78" i="93"/>
  <c r="F77" i="93"/>
  <c r="F76" i="93"/>
  <c r="F75" i="93"/>
  <c r="F74" i="93"/>
  <c r="F73" i="93"/>
  <c r="F72" i="93"/>
  <c r="F71" i="93"/>
  <c r="F70" i="93"/>
  <c r="F69" i="93"/>
  <c r="F68" i="93"/>
  <c r="F67" i="93"/>
  <c r="F66" i="93"/>
  <c r="F65" i="93"/>
  <c r="F64" i="93"/>
  <c r="F63" i="93"/>
  <c r="F62" i="93"/>
  <c r="F61" i="93"/>
  <c r="F60" i="93"/>
  <c r="F59" i="93"/>
  <c r="F58" i="93"/>
  <c r="F57" i="93"/>
  <c r="F56" i="93"/>
  <c r="F55" i="93"/>
  <c r="F54" i="93"/>
  <c r="F53" i="93"/>
  <c r="F52" i="93"/>
  <c r="F51" i="93"/>
  <c r="F50" i="93"/>
  <c r="F49" i="93"/>
  <c r="F48" i="93"/>
  <c r="F47" i="93"/>
  <c r="F46" i="93"/>
  <c r="F45" i="93"/>
  <c r="F44" i="93"/>
  <c r="F43" i="93"/>
  <c r="F42" i="93"/>
  <c r="F41" i="93"/>
  <c r="F40" i="93"/>
  <c r="F39" i="93"/>
  <c r="F38" i="93"/>
  <c r="F37" i="93"/>
  <c r="F36" i="93"/>
  <c r="F35" i="93"/>
  <c r="F34" i="93"/>
  <c r="F33" i="93"/>
  <c r="F32" i="93"/>
  <c r="F31" i="93"/>
  <c r="F30" i="93"/>
  <c r="F29" i="93"/>
  <c r="F28" i="93"/>
  <c r="F27" i="93"/>
  <c r="F26" i="93"/>
  <c r="F25" i="93"/>
  <c r="F24" i="93"/>
  <c r="F23" i="93"/>
  <c r="F22" i="93"/>
  <c r="F21" i="93"/>
  <c r="F20" i="93"/>
  <c r="F19" i="93"/>
  <c r="F18" i="93"/>
  <c r="F17" i="93"/>
  <c r="F16" i="93"/>
  <c r="F15" i="93"/>
  <c r="F14" i="93"/>
  <c r="F13" i="93"/>
  <c r="F12" i="93"/>
  <c r="F11" i="93"/>
  <c r="F10" i="93"/>
  <c r="F9" i="93"/>
  <c r="F8" i="93"/>
  <c r="F7" i="93"/>
  <c r="F6" i="93"/>
  <c r="F5" i="93"/>
  <c r="F4" i="93"/>
  <c r="L250" i="59"/>
  <c r="O250" i="59" s="1"/>
  <c r="K250" i="59"/>
  <c r="L249" i="59"/>
  <c r="O249" i="59" s="1"/>
  <c r="K249" i="59"/>
  <c r="M248" i="59"/>
  <c r="K248" i="59"/>
  <c r="N248" i="59" s="1"/>
  <c r="K247" i="59"/>
  <c r="K246" i="59"/>
  <c r="N246" i="59" s="1"/>
  <c r="K245" i="59"/>
  <c r="K244" i="59"/>
  <c r="N244" i="59" s="1"/>
  <c r="K243" i="59"/>
  <c r="M242" i="59"/>
  <c r="K242" i="59"/>
  <c r="N242" i="59" s="1"/>
  <c r="K241" i="59"/>
  <c r="K240" i="59"/>
  <c r="N240" i="59" s="1"/>
  <c r="K239" i="59"/>
  <c r="K238" i="59"/>
  <c r="N238" i="59" s="1"/>
  <c r="K237" i="59"/>
  <c r="M236" i="59"/>
  <c r="K236" i="59"/>
  <c r="N236" i="59" s="1"/>
  <c r="K235" i="59"/>
  <c r="M234" i="59"/>
  <c r="K234" i="59"/>
  <c r="N234" i="59" s="1"/>
  <c r="K233" i="59"/>
  <c r="M232" i="59"/>
  <c r="K232" i="59"/>
  <c r="N232" i="59" s="1"/>
  <c r="M231" i="59"/>
  <c r="K230" i="59"/>
  <c r="K229" i="59"/>
  <c r="M228" i="59"/>
  <c r="K228" i="59"/>
  <c r="N228" i="59" s="1"/>
  <c r="K227" i="59"/>
  <c r="M226" i="59"/>
  <c r="K226" i="59"/>
  <c r="N226" i="59" s="1"/>
  <c r="K225" i="59"/>
  <c r="K224" i="59"/>
  <c r="N224" i="59" s="1"/>
  <c r="K223" i="59"/>
  <c r="K222" i="59"/>
  <c r="N222" i="59" s="1"/>
  <c r="K221" i="59"/>
  <c r="M220" i="59"/>
  <c r="K220" i="59"/>
  <c r="N220" i="59" s="1"/>
  <c r="K219" i="59"/>
  <c r="K218" i="59"/>
  <c r="N218" i="59" s="1"/>
  <c r="K217" i="59"/>
  <c r="K216" i="59"/>
  <c r="N216" i="59" s="1"/>
  <c r="K215" i="59"/>
  <c r="M214" i="59"/>
  <c r="K214" i="59"/>
  <c r="N214" i="59" s="1"/>
  <c r="K213" i="59"/>
  <c r="M212" i="59"/>
  <c r="K212" i="59"/>
  <c r="N212" i="59" s="1"/>
  <c r="K211" i="59"/>
  <c r="M210" i="59"/>
  <c r="K210" i="59"/>
  <c r="N210" i="59" s="1"/>
  <c r="K209" i="59"/>
  <c r="K208" i="59"/>
  <c r="N208" i="59" s="1"/>
  <c r="M207" i="59"/>
  <c r="K206" i="59"/>
  <c r="K205" i="59"/>
  <c r="N205" i="59" s="1"/>
  <c r="K204" i="59"/>
  <c r="M203" i="59"/>
  <c r="K203" i="59"/>
  <c r="N203" i="59" s="1"/>
  <c r="K202" i="59"/>
  <c r="M201" i="59"/>
  <c r="K201" i="59"/>
  <c r="N201" i="59" s="1"/>
  <c r="K200" i="59"/>
  <c r="M199" i="59"/>
  <c r="K199" i="59"/>
  <c r="N199" i="59" s="1"/>
  <c r="K198" i="59"/>
  <c r="M197" i="59"/>
  <c r="K197" i="59"/>
  <c r="N197" i="59" s="1"/>
  <c r="K196" i="59"/>
  <c r="K194" i="59"/>
  <c r="N194" i="59" s="1"/>
  <c r="K193" i="59"/>
  <c r="M192" i="59"/>
  <c r="K192" i="59"/>
  <c r="N192" i="59" s="1"/>
  <c r="K191" i="59"/>
  <c r="K190" i="59"/>
  <c r="N190" i="59" s="1"/>
  <c r="K189" i="59"/>
  <c r="K188" i="59"/>
  <c r="N188" i="59" s="1"/>
  <c r="K187" i="59"/>
  <c r="M186" i="59"/>
  <c r="K186" i="59"/>
  <c r="N186" i="59" s="1"/>
  <c r="K185" i="59"/>
  <c r="M184" i="59"/>
  <c r="K184" i="59"/>
  <c r="N184" i="59" s="1"/>
  <c r="K183" i="59"/>
  <c r="M182" i="59"/>
  <c r="K182" i="59"/>
  <c r="N182" i="59" s="1"/>
  <c r="K181" i="59"/>
  <c r="M180" i="59"/>
  <c r="K180" i="59"/>
  <c r="N180" i="59" s="1"/>
  <c r="K179" i="59"/>
  <c r="K178" i="59"/>
  <c r="N178" i="59" s="1"/>
  <c r="K177" i="59"/>
  <c r="M176" i="59"/>
  <c r="K176" i="59"/>
  <c r="N176" i="59" s="1"/>
  <c r="K175" i="59"/>
  <c r="K174" i="59"/>
  <c r="N174" i="59" s="1"/>
  <c r="K173" i="59"/>
  <c r="K172" i="59"/>
  <c r="N172" i="59" s="1"/>
  <c r="K171" i="59"/>
  <c r="M170" i="59"/>
  <c r="K170" i="59"/>
  <c r="N170" i="59" s="1"/>
  <c r="K169" i="59"/>
  <c r="M168" i="59"/>
  <c r="K168" i="59"/>
  <c r="N168" i="59" s="1"/>
  <c r="K167" i="59"/>
  <c r="M166" i="59"/>
  <c r="K166" i="59"/>
  <c r="N166" i="59" s="1"/>
  <c r="K165" i="59"/>
  <c r="M164" i="59"/>
  <c r="K164" i="59"/>
  <c r="N164" i="59" s="1"/>
  <c r="K163" i="59"/>
  <c r="K162" i="59"/>
  <c r="N162" i="59" s="1"/>
  <c r="K161" i="59"/>
  <c r="M160" i="59"/>
  <c r="K160" i="59"/>
  <c r="N160" i="59" s="1"/>
  <c r="K159" i="59"/>
  <c r="K158" i="59"/>
  <c r="N158" i="59" s="1"/>
  <c r="K157" i="59"/>
  <c r="M156" i="59"/>
  <c r="K155" i="59"/>
  <c r="K154" i="59"/>
  <c r="K153" i="59"/>
  <c r="K152" i="59"/>
  <c r="M151" i="59"/>
  <c r="K150" i="59"/>
  <c r="K149" i="59"/>
  <c r="N149" i="59" s="1"/>
  <c r="K148" i="59"/>
  <c r="M147" i="59"/>
  <c r="K147" i="59"/>
  <c r="N147" i="59" s="1"/>
  <c r="K146" i="59"/>
  <c r="K145" i="59"/>
  <c r="N145" i="59" s="1"/>
  <c r="K144" i="59"/>
  <c r="K143" i="59"/>
  <c r="N143" i="59" s="1"/>
  <c r="K142" i="59"/>
  <c r="M141" i="59"/>
  <c r="K141" i="59"/>
  <c r="N141" i="59" s="1"/>
  <c r="K140" i="59"/>
  <c r="M139" i="59"/>
  <c r="K139" i="59"/>
  <c r="N139" i="59" s="1"/>
  <c r="K138" i="59"/>
  <c r="M137" i="59"/>
  <c r="K137" i="59"/>
  <c r="N137" i="59" s="1"/>
  <c r="K136" i="59"/>
  <c r="M135" i="59"/>
  <c r="K135" i="59"/>
  <c r="N135" i="59" s="1"/>
  <c r="K134" i="59"/>
  <c r="K133" i="59"/>
  <c r="N133" i="59" s="1"/>
  <c r="K132" i="59"/>
  <c r="M131" i="59"/>
  <c r="K131" i="59"/>
  <c r="N131" i="59" s="1"/>
  <c r="K130" i="59"/>
  <c r="K129" i="59"/>
  <c r="N129" i="59" s="1"/>
  <c r="K128" i="59"/>
  <c r="K127" i="59"/>
  <c r="N127" i="59" s="1"/>
  <c r="K126" i="59"/>
  <c r="M125" i="59"/>
  <c r="K125" i="59"/>
  <c r="N125" i="59" s="1"/>
  <c r="M124" i="59"/>
  <c r="K123" i="59"/>
  <c r="K122" i="59"/>
  <c r="K121" i="59"/>
  <c r="K120" i="59"/>
  <c r="M119" i="59"/>
  <c r="K119" i="59"/>
  <c r="N119" i="59" s="1"/>
  <c r="K118" i="59"/>
  <c r="K117" i="59"/>
  <c r="N117" i="59" s="1"/>
  <c r="K116" i="59"/>
  <c r="N116" i="59" s="1"/>
  <c r="M115" i="59"/>
  <c r="K115" i="59"/>
  <c r="N115" i="59" s="1"/>
  <c r="M114" i="59"/>
  <c r="K114" i="59"/>
  <c r="N114" i="59" s="1"/>
  <c r="K113" i="59"/>
  <c r="N113" i="59" s="1"/>
  <c r="M112" i="59"/>
  <c r="K111" i="59"/>
  <c r="M110" i="59"/>
  <c r="K110" i="59"/>
  <c r="N110" i="59" s="1"/>
  <c r="K109" i="59"/>
  <c r="M108" i="59"/>
  <c r="K108" i="59"/>
  <c r="N108" i="59" s="1"/>
  <c r="K107" i="59"/>
  <c r="K106" i="59"/>
  <c r="N106" i="59" s="1"/>
  <c r="K105" i="59"/>
  <c r="M104" i="59"/>
  <c r="K104" i="59"/>
  <c r="N104" i="59" s="1"/>
  <c r="K103" i="59"/>
  <c r="K102" i="59"/>
  <c r="N102" i="59" s="1"/>
  <c r="K101" i="59"/>
  <c r="K100" i="59"/>
  <c r="N100" i="59" s="1"/>
  <c r="K99" i="59"/>
  <c r="M98" i="59"/>
  <c r="K98" i="59"/>
  <c r="N98" i="59" s="1"/>
  <c r="K97" i="59"/>
  <c r="M96" i="59"/>
  <c r="K96" i="59"/>
  <c r="N96" i="59" s="1"/>
  <c r="K95" i="59"/>
  <c r="M94" i="59"/>
  <c r="K94" i="59"/>
  <c r="N94" i="59" s="1"/>
  <c r="M93" i="59"/>
  <c r="K92" i="59"/>
  <c r="K91" i="59"/>
  <c r="K90" i="59"/>
  <c r="K89" i="59"/>
  <c r="K88" i="59"/>
  <c r="K87" i="59"/>
  <c r="K86" i="59"/>
  <c r="M85" i="59"/>
  <c r="K84" i="59"/>
  <c r="K83" i="59"/>
  <c r="N83" i="59" s="1"/>
  <c r="K82" i="59"/>
  <c r="K81" i="59"/>
  <c r="N81" i="59" s="1"/>
  <c r="K80" i="59"/>
  <c r="M79" i="59"/>
  <c r="K79" i="59"/>
  <c r="N79" i="59" s="1"/>
  <c r="K78" i="59"/>
  <c r="M77" i="59"/>
  <c r="K77" i="59"/>
  <c r="N77" i="59" s="1"/>
  <c r="K76" i="59"/>
  <c r="M75" i="59"/>
  <c r="K75" i="59"/>
  <c r="N75" i="59" s="1"/>
  <c r="K74" i="59"/>
  <c r="M73" i="59"/>
  <c r="K73" i="59"/>
  <c r="N73" i="59" s="1"/>
  <c r="M72" i="59"/>
  <c r="K71" i="59"/>
  <c r="K70" i="59"/>
  <c r="N70" i="59" s="1"/>
  <c r="K69" i="59"/>
  <c r="M68" i="59"/>
  <c r="K68" i="59"/>
  <c r="N68" i="59" s="1"/>
  <c r="K67" i="59"/>
  <c r="M66" i="59"/>
  <c r="K66" i="59"/>
  <c r="N66" i="59" s="1"/>
  <c r="K65" i="59"/>
  <c r="M64" i="59"/>
  <c r="K64" i="59"/>
  <c r="N64" i="59" s="1"/>
  <c r="K63" i="59"/>
  <c r="M62" i="59"/>
  <c r="K62" i="59"/>
  <c r="N62" i="59" s="1"/>
  <c r="K61" i="59"/>
  <c r="K60" i="59"/>
  <c r="N60" i="59" s="1"/>
  <c r="K59" i="59"/>
  <c r="M58" i="59"/>
  <c r="K58" i="59"/>
  <c r="N58" i="59" s="1"/>
  <c r="K57" i="59"/>
  <c r="K56" i="59"/>
  <c r="N56" i="59" s="1"/>
  <c r="K55" i="59"/>
  <c r="M54" i="59"/>
  <c r="K53" i="59"/>
  <c r="M52" i="59"/>
  <c r="K52" i="59"/>
  <c r="N52" i="59" s="1"/>
  <c r="K51" i="59"/>
  <c r="K50" i="59"/>
  <c r="N50" i="59" s="1"/>
  <c r="K49" i="59"/>
  <c r="K48" i="59"/>
  <c r="N48" i="59" s="1"/>
  <c r="K47" i="59"/>
  <c r="M46" i="59"/>
  <c r="K46" i="59"/>
  <c r="N46" i="59" s="1"/>
  <c r="K45" i="59"/>
  <c r="M44" i="59"/>
  <c r="K44" i="59"/>
  <c r="N44" i="59" s="1"/>
  <c r="M43" i="59"/>
  <c r="K42" i="59"/>
  <c r="M41" i="59"/>
  <c r="K41" i="59"/>
  <c r="N41" i="59" s="1"/>
  <c r="K40" i="59"/>
  <c r="K39" i="59"/>
  <c r="N39" i="59" s="1"/>
  <c r="K38" i="59"/>
  <c r="K37" i="59"/>
  <c r="K36" i="59"/>
  <c r="K35" i="59"/>
  <c r="K34" i="59"/>
  <c r="K33" i="59"/>
  <c r="K32" i="59"/>
  <c r="N32" i="59" s="1"/>
  <c r="K31" i="59"/>
  <c r="N31" i="59" s="1"/>
  <c r="M30" i="59"/>
  <c r="K30" i="59"/>
  <c r="N30" i="59" s="1"/>
  <c r="M29" i="59"/>
  <c r="K29" i="59"/>
  <c r="N29" i="59" s="1"/>
  <c r="K28" i="59"/>
  <c r="N28" i="59" s="1"/>
  <c r="K27" i="59"/>
  <c r="N27" i="59" s="1"/>
  <c r="M26" i="59"/>
  <c r="K26" i="59"/>
  <c r="N26" i="59" s="1"/>
  <c r="M25" i="59"/>
  <c r="K25" i="59"/>
  <c r="N25" i="59" s="1"/>
  <c r="K24" i="59"/>
  <c r="N24" i="59" s="1"/>
  <c r="K23" i="59"/>
  <c r="N23" i="59" s="1"/>
  <c r="M22" i="59"/>
  <c r="K22" i="59"/>
  <c r="N22" i="59" s="1"/>
  <c r="M21" i="59"/>
  <c r="K21" i="59"/>
  <c r="N21" i="59" s="1"/>
  <c r="K20" i="59"/>
  <c r="N20" i="59" s="1"/>
  <c r="K19" i="59"/>
  <c r="N19" i="59" s="1"/>
  <c r="M18" i="59"/>
  <c r="K18" i="59"/>
  <c r="N18" i="59" s="1"/>
  <c r="M17" i="59"/>
  <c r="K17" i="59"/>
  <c r="N17" i="59" s="1"/>
  <c r="K16" i="59"/>
  <c r="N16" i="59" s="1"/>
  <c r="K15" i="59"/>
  <c r="N15" i="59" s="1"/>
  <c r="M14" i="59"/>
  <c r="K14" i="59"/>
  <c r="N14" i="59" s="1"/>
  <c r="K13" i="59"/>
  <c r="N13" i="59" s="1"/>
  <c r="K12" i="59"/>
  <c r="N12" i="59" s="1"/>
  <c r="K11" i="59"/>
  <c r="N11" i="59" s="1"/>
  <c r="M10" i="59"/>
  <c r="K10" i="59"/>
  <c r="N10" i="59" s="1"/>
  <c r="K9" i="59"/>
  <c r="N9" i="59" s="1"/>
  <c r="K8" i="59"/>
  <c r="N8" i="59" s="1"/>
  <c r="K7" i="59"/>
  <c r="N7" i="59" s="1"/>
  <c r="M6" i="59"/>
  <c r="K6" i="59"/>
  <c r="N6" i="59" s="1"/>
  <c r="K5" i="59"/>
  <c r="N5" i="59" s="1"/>
  <c r="O8" i="92"/>
  <c r="O9" i="92"/>
  <c r="O54" i="92"/>
  <c r="O56" i="92"/>
  <c r="O94" i="92"/>
  <c r="O102" i="92"/>
  <c r="O192" i="92"/>
  <c r="O224" i="92"/>
  <c r="O250" i="92"/>
  <c r="O266" i="92"/>
  <c r="K272" i="92"/>
  <c r="N272" i="92" s="1"/>
  <c r="J272" i="92"/>
  <c r="K271" i="92"/>
  <c r="N271" i="92" s="1"/>
  <c r="J271" i="92"/>
  <c r="K270" i="92"/>
  <c r="J270" i="92"/>
  <c r="M270" i="92" s="1"/>
  <c r="J269" i="92"/>
  <c r="J268" i="92"/>
  <c r="J267" i="92"/>
  <c r="L266" i="92"/>
  <c r="J265" i="92"/>
  <c r="J264" i="92"/>
  <c r="L263" i="92"/>
  <c r="J262" i="92"/>
  <c r="L261" i="92"/>
  <c r="J261" i="92"/>
  <c r="M261" i="92" s="1"/>
  <c r="J260" i="92"/>
  <c r="J259" i="92"/>
  <c r="M259" i="92" s="1"/>
  <c r="J258" i="92"/>
  <c r="L257" i="92"/>
  <c r="J257" i="92"/>
  <c r="M257" i="92" s="1"/>
  <c r="J256" i="92"/>
  <c r="J255" i="92"/>
  <c r="M255" i="92" s="1"/>
  <c r="J254" i="92"/>
  <c r="J253" i="92"/>
  <c r="J252" i="92"/>
  <c r="J251" i="92"/>
  <c r="M251" i="92" s="1"/>
  <c r="L250" i="92"/>
  <c r="L249" i="92"/>
  <c r="J249" i="92"/>
  <c r="M249" i="92" s="1"/>
  <c r="J248" i="92"/>
  <c r="L247" i="92"/>
  <c r="J247" i="92"/>
  <c r="M247" i="92" s="1"/>
  <c r="J246" i="92"/>
  <c r="L245" i="92"/>
  <c r="J245" i="92"/>
  <c r="M245" i="92" s="1"/>
  <c r="J244" i="92"/>
  <c r="J243" i="92"/>
  <c r="M243" i="92" s="1"/>
  <c r="J242" i="92"/>
  <c r="L241" i="92"/>
  <c r="J241" i="92"/>
  <c r="M241" i="92" s="1"/>
  <c r="J240" i="92"/>
  <c r="J239" i="92"/>
  <c r="M239" i="92" s="1"/>
  <c r="J238" i="92"/>
  <c r="J237" i="92"/>
  <c r="J236" i="92"/>
  <c r="J235" i="92"/>
  <c r="M235" i="92" s="1"/>
  <c r="J234" i="92"/>
  <c r="L233" i="92"/>
  <c r="J233" i="92"/>
  <c r="M233" i="92" s="1"/>
  <c r="J232" i="92"/>
  <c r="L231" i="92"/>
  <c r="J231" i="92"/>
  <c r="M231" i="92" s="1"/>
  <c r="J230" i="92"/>
  <c r="L229" i="92"/>
  <c r="J229" i="92"/>
  <c r="M229" i="92" s="1"/>
  <c r="J228" i="92"/>
  <c r="J227" i="92"/>
  <c r="M227" i="92" s="1"/>
  <c r="J226" i="92"/>
  <c r="L225" i="92"/>
  <c r="J225" i="92"/>
  <c r="M225" i="92" s="1"/>
  <c r="L224" i="92"/>
  <c r="J223" i="92"/>
  <c r="J222" i="92"/>
  <c r="J221" i="92"/>
  <c r="J220" i="92"/>
  <c r="J219" i="92"/>
  <c r="J218" i="92"/>
  <c r="J217" i="92"/>
  <c r="J216" i="92"/>
  <c r="J215" i="92"/>
  <c r="J214" i="92"/>
  <c r="J213" i="92"/>
  <c r="J212" i="92"/>
  <c r="J211" i="92"/>
  <c r="J210" i="92"/>
  <c r="J209" i="92"/>
  <c r="J208" i="92"/>
  <c r="J207" i="92"/>
  <c r="J206" i="92"/>
  <c r="J205" i="92"/>
  <c r="J204" i="92"/>
  <c r="J203" i="92"/>
  <c r="J202" i="92"/>
  <c r="J201" i="92"/>
  <c r="J200" i="92"/>
  <c r="J199" i="92"/>
  <c r="J198" i="92"/>
  <c r="J197" i="92"/>
  <c r="J196" i="92"/>
  <c r="J195" i="92"/>
  <c r="J194" i="92"/>
  <c r="M194" i="92" s="1"/>
  <c r="J193" i="92"/>
  <c r="L192" i="92"/>
  <c r="J192" i="92"/>
  <c r="M192" i="92" s="1"/>
  <c r="J191" i="92"/>
  <c r="L190" i="92"/>
  <c r="J190" i="92"/>
  <c r="M190" i="92" s="1"/>
  <c r="J189" i="92"/>
  <c r="L188" i="92"/>
  <c r="J188" i="92"/>
  <c r="M188" i="92" s="1"/>
  <c r="J187" i="92"/>
  <c r="J186" i="92"/>
  <c r="M186" i="92" s="1"/>
  <c r="L185" i="92"/>
  <c r="J185" i="92"/>
  <c r="M185" i="92" s="1"/>
  <c r="L184" i="92"/>
  <c r="J183" i="92"/>
  <c r="J182" i="92"/>
  <c r="M182" i="92" s="1"/>
  <c r="J181" i="92"/>
  <c r="J180" i="92"/>
  <c r="J179" i="92"/>
  <c r="J178" i="92"/>
  <c r="M178" i="92" s="1"/>
  <c r="J177" i="92"/>
  <c r="L176" i="92"/>
  <c r="J176" i="92"/>
  <c r="M176" i="92" s="1"/>
  <c r="L175" i="92"/>
  <c r="L174" i="92"/>
  <c r="J174" i="92"/>
  <c r="M174" i="92" s="1"/>
  <c r="J173" i="92"/>
  <c r="M173" i="92" s="1"/>
  <c r="J172" i="92"/>
  <c r="M172" i="92" s="1"/>
  <c r="J171" i="92"/>
  <c r="M171" i="92" s="1"/>
  <c r="L170" i="92"/>
  <c r="J170" i="92"/>
  <c r="M170" i="92" s="1"/>
  <c r="J169" i="92"/>
  <c r="M169" i="92" s="1"/>
  <c r="J168" i="92"/>
  <c r="M168" i="92" s="1"/>
  <c r="J167" i="92"/>
  <c r="M167" i="92" s="1"/>
  <c r="J166" i="92"/>
  <c r="L165" i="92"/>
  <c r="J165" i="92"/>
  <c r="M165" i="92" s="1"/>
  <c r="J164" i="92"/>
  <c r="J163" i="92"/>
  <c r="M163" i="92" s="1"/>
  <c r="J162" i="92"/>
  <c r="J161" i="92"/>
  <c r="J160" i="92"/>
  <c r="J159" i="92"/>
  <c r="M159" i="92" s="1"/>
  <c r="J158" i="92"/>
  <c r="L157" i="92"/>
  <c r="J157" i="92"/>
  <c r="M157" i="92" s="1"/>
  <c r="J156" i="92"/>
  <c r="L155" i="92"/>
  <c r="J155" i="92"/>
  <c r="M155" i="92" s="1"/>
  <c r="J154" i="92"/>
  <c r="L153" i="92"/>
  <c r="J153" i="92"/>
  <c r="M153" i="92" s="1"/>
  <c r="L152" i="92"/>
  <c r="J151" i="92"/>
  <c r="M151" i="92" s="1"/>
  <c r="J150" i="92"/>
  <c r="L149" i="92"/>
  <c r="J149" i="92"/>
  <c r="M149" i="92" s="1"/>
  <c r="J148" i="92"/>
  <c r="J147" i="92"/>
  <c r="M147" i="92" s="1"/>
  <c r="J146" i="92"/>
  <c r="J145" i="92"/>
  <c r="J144" i="92"/>
  <c r="J143" i="92"/>
  <c r="M143" i="92" s="1"/>
  <c r="J142" i="92"/>
  <c r="L141" i="92"/>
  <c r="J141" i="92"/>
  <c r="M141" i="92" s="1"/>
  <c r="J140" i="92"/>
  <c r="L139" i="92"/>
  <c r="J139" i="92"/>
  <c r="M139" i="92" s="1"/>
  <c r="J138" i="92"/>
  <c r="L137" i="92"/>
  <c r="J137" i="92"/>
  <c r="M137" i="92" s="1"/>
  <c r="J136" i="92"/>
  <c r="J135" i="92"/>
  <c r="M135" i="92" s="1"/>
  <c r="J134" i="92"/>
  <c r="L133" i="92"/>
  <c r="J133" i="92"/>
  <c r="M133" i="92" s="1"/>
  <c r="J132" i="92"/>
  <c r="J131" i="92"/>
  <c r="M131" i="92" s="1"/>
  <c r="J130" i="92"/>
  <c r="J129" i="92"/>
  <c r="L128" i="92"/>
  <c r="J127" i="92"/>
  <c r="J126" i="92"/>
  <c r="J125" i="92"/>
  <c r="J124" i="92"/>
  <c r="J123" i="92"/>
  <c r="J122" i="92"/>
  <c r="J121" i="92"/>
  <c r="J120" i="92"/>
  <c r="J119" i="92"/>
  <c r="L118" i="92"/>
  <c r="J117" i="92"/>
  <c r="L116" i="92"/>
  <c r="J116" i="92"/>
  <c r="M116" i="92" s="1"/>
  <c r="J115" i="92"/>
  <c r="L114" i="92"/>
  <c r="J114" i="92"/>
  <c r="M114" i="92" s="1"/>
  <c r="J113" i="92"/>
  <c r="L112" i="92"/>
  <c r="J112" i="92"/>
  <c r="M112" i="92" s="1"/>
  <c r="J111" i="92"/>
  <c r="J110" i="92"/>
  <c r="M110" i="92" s="1"/>
  <c r="O110" i="92" s="1"/>
  <c r="J109" i="92"/>
  <c r="L108" i="92"/>
  <c r="J108" i="92"/>
  <c r="M108" i="92" s="1"/>
  <c r="O108" i="92" s="1"/>
  <c r="J107" i="92"/>
  <c r="J106" i="92"/>
  <c r="M106" i="92" s="1"/>
  <c r="J105" i="92"/>
  <c r="J104" i="92"/>
  <c r="J103" i="92"/>
  <c r="J102" i="92"/>
  <c r="M102" i="92" s="1"/>
  <c r="J101" i="92"/>
  <c r="L100" i="92"/>
  <c r="J99" i="92"/>
  <c r="M99" i="92" s="1"/>
  <c r="J98" i="92"/>
  <c r="L97" i="92"/>
  <c r="J97" i="92"/>
  <c r="M97" i="92" s="1"/>
  <c r="J96" i="92"/>
  <c r="J95" i="92"/>
  <c r="M95" i="92" s="1"/>
  <c r="L94" i="92"/>
  <c r="J93" i="92"/>
  <c r="J92" i="92"/>
  <c r="J91" i="92"/>
  <c r="M91" i="92" s="1"/>
  <c r="J90" i="92"/>
  <c r="L89" i="92"/>
  <c r="J89" i="92"/>
  <c r="M89" i="92" s="1"/>
  <c r="J88" i="92"/>
  <c r="L87" i="92"/>
  <c r="J87" i="92"/>
  <c r="M87" i="92" s="1"/>
  <c r="J86" i="92"/>
  <c r="L85" i="92"/>
  <c r="J85" i="92"/>
  <c r="M85" i="92" s="1"/>
  <c r="J84" i="92"/>
  <c r="J83" i="92"/>
  <c r="M83" i="92" s="1"/>
  <c r="O83" i="92" s="1"/>
  <c r="J82" i="92"/>
  <c r="L81" i="92"/>
  <c r="J81" i="92"/>
  <c r="M81" i="92" s="1"/>
  <c r="J80" i="92"/>
  <c r="J79" i="92"/>
  <c r="M79" i="92" s="1"/>
  <c r="O79" i="92" s="1"/>
  <c r="L78" i="92"/>
  <c r="J77" i="92"/>
  <c r="J76" i="92"/>
  <c r="J75" i="92"/>
  <c r="J74" i="92"/>
  <c r="J73" i="92"/>
  <c r="J72" i="92"/>
  <c r="J71" i="92"/>
  <c r="J70" i="92"/>
  <c r="J69" i="92"/>
  <c r="J68" i="92"/>
  <c r="J67" i="92"/>
  <c r="J66" i="92"/>
  <c r="J65" i="92"/>
  <c r="J64" i="92"/>
  <c r="J63" i="92"/>
  <c r="J62" i="92"/>
  <c r="J61" i="92"/>
  <c r="J60" i="92"/>
  <c r="L59" i="92"/>
  <c r="J58" i="92"/>
  <c r="M58" i="92" s="1"/>
  <c r="J57" i="92"/>
  <c r="L56" i="92"/>
  <c r="J56" i="92"/>
  <c r="M56" i="92" s="1"/>
  <c r="J55" i="92"/>
  <c r="L54" i="92"/>
  <c r="J54" i="92"/>
  <c r="M54" i="92" s="1"/>
  <c r="J53" i="92"/>
  <c r="L52" i="92"/>
  <c r="J52" i="92"/>
  <c r="M52" i="92" s="1"/>
  <c r="J51" i="92"/>
  <c r="J50" i="92"/>
  <c r="M50" i="92" s="1"/>
  <c r="J49" i="92"/>
  <c r="L48" i="92"/>
  <c r="J48" i="92"/>
  <c r="M48" i="92" s="1"/>
  <c r="J47" i="92"/>
  <c r="J46" i="92"/>
  <c r="M46" i="92" s="1"/>
  <c r="J45" i="92"/>
  <c r="J44" i="92"/>
  <c r="J43" i="92"/>
  <c r="L42" i="92"/>
  <c r="J41" i="92"/>
  <c r="J40" i="92"/>
  <c r="J39" i="92"/>
  <c r="J38" i="92"/>
  <c r="J37" i="92"/>
  <c r="J36" i="92"/>
  <c r="J35" i="92"/>
  <c r="J34" i="92"/>
  <c r="J33" i="92"/>
  <c r="J32" i="92"/>
  <c r="J31" i="92"/>
  <c r="J30" i="92"/>
  <c r="J29" i="92"/>
  <c r="J28" i="92"/>
  <c r="J27" i="92"/>
  <c r="J26" i="92"/>
  <c r="J25" i="92"/>
  <c r="J24" i="92"/>
  <c r="J23" i="92"/>
  <c r="J22" i="92"/>
  <c r="J21" i="92"/>
  <c r="J20" i="92"/>
  <c r="J19" i="92"/>
  <c r="J18" i="92"/>
  <c r="J17" i="92"/>
  <c r="J16" i="92"/>
  <c r="L15" i="92"/>
  <c r="J15" i="92"/>
  <c r="M15" i="92" s="1"/>
  <c r="J14" i="92"/>
  <c r="L13" i="92"/>
  <c r="J13" i="92"/>
  <c r="M13" i="92" s="1"/>
  <c r="J12" i="92"/>
  <c r="L11" i="92"/>
  <c r="J10" i="92"/>
  <c r="L9" i="92"/>
  <c r="J9" i="92"/>
  <c r="M9" i="92" s="1"/>
  <c r="L8" i="92"/>
  <c r="J7" i="92"/>
  <c r="L6" i="92"/>
  <c r="J6" i="92"/>
  <c r="M6" i="92" s="1"/>
  <c r="J5" i="92"/>
  <c r="J4" i="92"/>
  <c r="E273" i="92"/>
  <c r="D273" i="92"/>
  <c r="F272" i="92"/>
  <c r="F271" i="92"/>
  <c r="F270" i="92"/>
  <c r="F269" i="92"/>
  <c r="F268" i="92"/>
  <c r="F267" i="92"/>
  <c r="F266" i="92"/>
  <c r="F265" i="92"/>
  <c r="F264" i="92"/>
  <c r="F263" i="92"/>
  <c r="F262" i="92"/>
  <c r="F261" i="92"/>
  <c r="F260" i="92"/>
  <c r="F259" i="92"/>
  <c r="F258" i="92"/>
  <c r="F257" i="92"/>
  <c r="F256" i="92"/>
  <c r="F255" i="92"/>
  <c r="F254" i="92"/>
  <c r="F253" i="92"/>
  <c r="F252" i="92"/>
  <c r="F251" i="92"/>
  <c r="F250" i="92"/>
  <c r="F249" i="92"/>
  <c r="F248" i="92"/>
  <c r="F247" i="92"/>
  <c r="F246" i="92"/>
  <c r="F245" i="92"/>
  <c r="F244" i="92"/>
  <c r="F243" i="92"/>
  <c r="F242" i="92"/>
  <c r="F241" i="92"/>
  <c r="F240" i="92"/>
  <c r="F239" i="92"/>
  <c r="F238" i="92"/>
  <c r="F237" i="92"/>
  <c r="F236" i="92"/>
  <c r="F235" i="92"/>
  <c r="F234" i="92"/>
  <c r="F233" i="92"/>
  <c r="F232" i="92"/>
  <c r="F231" i="92"/>
  <c r="F230" i="92"/>
  <c r="F229" i="92"/>
  <c r="F228" i="92"/>
  <c r="F227" i="92"/>
  <c r="F226" i="92"/>
  <c r="F225" i="92"/>
  <c r="F224" i="92"/>
  <c r="F223" i="92"/>
  <c r="F222" i="92"/>
  <c r="F221" i="92"/>
  <c r="F220" i="92"/>
  <c r="F219" i="92"/>
  <c r="F218" i="92"/>
  <c r="F217" i="92"/>
  <c r="F216" i="92"/>
  <c r="F215" i="92"/>
  <c r="F214" i="92"/>
  <c r="F213" i="92"/>
  <c r="F212" i="92"/>
  <c r="F211" i="92"/>
  <c r="F210" i="92"/>
  <c r="F209" i="92"/>
  <c r="F208" i="92"/>
  <c r="F207" i="92"/>
  <c r="F206" i="92"/>
  <c r="F205" i="92"/>
  <c r="F204" i="92"/>
  <c r="F203" i="92"/>
  <c r="F202" i="92"/>
  <c r="F201" i="92"/>
  <c r="F200" i="92"/>
  <c r="F199" i="92"/>
  <c r="F198" i="92"/>
  <c r="F197" i="92"/>
  <c r="F196" i="92"/>
  <c r="F195" i="92"/>
  <c r="O194" i="92"/>
  <c r="F194" i="92"/>
  <c r="F193" i="92"/>
  <c r="F192" i="92"/>
  <c r="F191" i="92"/>
  <c r="F190" i="92"/>
  <c r="F189" i="92"/>
  <c r="F188" i="92"/>
  <c r="F187" i="92"/>
  <c r="F186" i="92"/>
  <c r="F185" i="92"/>
  <c r="F184" i="92"/>
  <c r="F183" i="92"/>
  <c r="F182" i="92"/>
  <c r="F181" i="92"/>
  <c r="F180" i="92"/>
  <c r="F179" i="92"/>
  <c r="F178" i="92"/>
  <c r="F177" i="92"/>
  <c r="F176" i="92"/>
  <c r="F175" i="92"/>
  <c r="F174" i="92"/>
  <c r="F173" i="92"/>
  <c r="F172" i="92"/>
  <c r="F171" i="92"/>
  <c r="F170" i="92"/>
  <c r="F169" i="92"/>
  <c r="F168" i="92"/>
  <c r="F167" i="92"/>
  <c r="F166" i="92"/>
  <c r="F165" i="92"/>
  <c r="F164" i="92"/>
  <c r="F163" i="92"/>
  <c r="F162" i="92"/>
  <c r="F161" i="92"/>
  <c r="F160" i="92"/>
  <c r="F159" i="92"/>
  <c r="F158" i="92"/>
  <c r="F157" i="92"/>
  <c r="F156" i="92"/>
  <c r="F155" i="92"/>
  <c r="F154" i="92"/>
  <c r="F153" i="92"/>
  <c r="F152" i="92"/>
  <c r="F151" i="92"/>
  <c r="F150" i="92"/>
  <c r="F149" i="92"/>
  <c r="F148" i="92"/>
  <c r="F147" i="92"/>
  <c r="F146" i="92"/>
  <c r="F145" i="92"/>
  <c r="F144" i="92"/>
  <c r="F143" i="92"/>
  <c r="F142" i="92"/>
  <c r="F141" i="92"/>
  <c r="F140" i="92"/>
  <c r="F139" i="92"/>
  <c r="F138" i="92"/>
  <c r="F137" i="92"/>
  <c r="F136" i="92"/>
  <c r="F135" i="92"/>
  <c r="F134" i="92"/>
  <c r="F133" i="92"/>
  <c r="F132" i="92"/>
  <c r="F131" i="92"/>
  <c r="F130" i="92"/>
  <c r="F129" i="92"/>
  <c r="F128" i="92"/>
  <c r="F127" i="92"/>
  <c r="F126" i="92"/>
  <c r="F125" i="92"/>
  <c r="F124" i="92"/>
  <c r="F123" i="92"/>
  <c r="F122" i="92"/>
  <c r="F121" i="92"/>
  <c r="F120" i="92"/>
  <c r="F119" i="92"/>
  <c r="F118" i="92"/>
  <c r="F117" i="92"/>
  <c r="F116" i="92"/>
  <c r="F115" i="92"/>
  <c r="F114" i="92"/>
  <c r="F113" i="92"/>
  <c r="O112" i="92"/>
  <c r="F112" i="92"/>
  <c r="F111" i="92"/>
  <c r="F110" i="92"/>
  <c r="F109" i="92"/>
  <c r="F108" i="92"/>
  <c r="F107" i="92"/>
  <c r="F106" i="92"/>
  <c r="F105" i="92"/>
  <c r="F104" i="92"/>
  <c r="F103" i="92"/>
  <c r="F102" i="92"/>
  <c r="F101" i="92"/>
  <c r="F100" i="92"/>
  <c r="F99" i="92"/>
  <c r="F98" i="92"/>
  <c r="O97" i="92"/>
  <c r="F97" i="92"/>
  <c r="F96" i="92"/>
  <c r="F95" i="92"/>
  <c r="F94" i="92"/>
  <c r="F93" i="92"/>
  <c r="F92" i="92"/>
  <c r="O91" i="92"/>
  <c r="F91" i="92"/>
  <c r="F90" i="92"/>
  <c r="O89" i="92"/>
  <c r="F89" i="92"/>
  <c r="F88" i="92"/>
  <c r="O87" i="92"/>
  <c r="F87" i="92"/>
  <c r="F86" i="92"/>
  <c r="F85" i="92"/>
  <c r="F84" i="92"/>
  <c r="F83" i="92"/>
  <c r="F82" i="92"/>
  <c r="O81" i="92"/>
  <c r="F81" i="92"/>
  <c r="F80" i="92"/>
  <c r="F79" i="92"/>
  <c r="F78" i="92"/>
  <c r="F77" i="92"/>
  <c r="F76" i="92"/>
  <c r="F75" i="92"/>
  <c r="F74" i="92"/>
  <c r="F73" i="92"/>
  <c r="F72" i="92"/>
  <c r="F71" i="92"/>
  <c r="F70" i="92"/>
  <c r="F69" i="92"/>
  <c r="F68" i="92"/>
  <c r="F67" i="92"/>
  <c r="F66" i="92"/>
  <c r="F65" i="92"/>
  <c r="F64" i="92"/>
  <c r="F63" i="92"/>
  <c r="F62" i="92"/>
  <c r="F61" i="92"/>
  <c r="F60" i="92"/>
  <c r="F59" i="92"/>
  <c r="F58" i="92"/>
  <c r="F57" i="92"/>
  <c r="F56" i="92"/>
  <c r="F55" i="92"/>
  <c r="F54" i="92"/>
  <c r="F53" i="92"/>
  <c r="F52" i="92"/>
  <c r="F51" i="92"/>
  <c r="F50" i="92"/>
  <c r="F49" i="92"/>
  <c r="F48" i="92"/>
  <c r="F47" i="92"/>
  <c r="F46" i="92"/>
  <c r="F45" i="92"/>
  <c r="F44" i="92"/>
  <c r="F43" i="92"/>
  <c r="F42" i="92"/>
  <c r="F41" i="92"/>
  <c r="F40" i="92"/>
  <c r="F39" i="92"/>
  <c r="F38" i="92"/>
  <c r="F37" i="92"/>
  <c r="F36" i="92"/>
  <c r="F35" i="92"/>
  <c r="F34" i="92"/>
  <c r="F33" i="92"/>
  <c r="F32" i="92"/>
  <c r="F31" i="92"/>
  <c r="F30" i="92"/>
  <c r="F29" i="92"/>
  <c r="F28" i="92"/>
  <c r="F27" i="92"/>
  <c r="F26" i="92"/>
  <c r="F25" i="92"/>
  <c r="F24" i="92"/>
  <c r="F23" i="92"/>
  <c r="F22" i="92"/>
  <c r="F21" i="92"/>
  <c r="F20" i="92"/>
  <c r="F19" i="92"/>
  <c r="F18" i="92"/>
  <c r="F17" i="92"/>
  <c r="F16" i="92"/>
  <c r="F15" i="92"/>
  <c r="F14" i="92"/>
  <c r="O13" i="92"/>
  <c r="F13" i="92"/>
  <c r="F12" i="92"/>
  <c r="O11" i="92"/>
  <c r="F11" i="92"/>
  <c r="F10" i="92"/>
  <c r="F9" i="92"/>
  <c r="F8" i="92"/>
  <c r="F7" i="92"/>
  <c r="F6" i="92"/>
  <c r="F5" i="92"/>
  <c r="F4" i="92"/>
  <c r="D246" i="91"/>
  <c r="E246" i="91"/>
  <c r="J6" i="91"/>
  <c r="J10" i="91"/>
  <c r="J14" i="91"/>
  <c r="J18" i="91"/>
  <c r="J22" i="91"/>
  <c r="J26" i="91"/>
  <c r="J30" i="91"/>
  <c r="J34" i="91"/>
  <c r="J38" i="91"/>
  <c r="J42" i="91"/>
  <c r="J46" i="91"/>
  <c r="J50" i="91"/>
  <c r="J54" i="91"/>
  <c r="J58" i="91"/>
  <c r="J62" i="91"/>
  <c r="J66" i="91"/>
  <c r="J67" i="91"/>
  <c r="J70" i="91"/>
  <c r="J74" i="91"/>
  <c r="J77" i="91"/>
  <c r="J82" i="91"/>
  <c r="J83" i="91"/>
  <c r="J86" i="91"/>
  <c r="J90" i="91"/>
  <c r="J91" i="91"/>
  <c r="J98" i="91"/>
  <c r="L98" i="91"/>
  <c r="J106" i="91"/>
  <c r="J110" i="91"/>
  <c r="J114" i="91"/>
  <c r="J118" i="91"/>
  <c r="L118" i="91"/>
  <c r="J121" i="91"/>
  <c r="J122" i="91"/>
  <c r="J126" i="91"/>
  <c r="L126" i="91"/>
  <c r="J130" i="91"/>
  <c r="J134" i="91"/>
  <c r="L134" i="91"/>
  <c r="J138" i="91"/>
  <c r="J142" i="91"/>
  <c r="L142" i="91"/>
  <c r="J144" i="91"/>
  <c r="J146" i="91"/>
  <c r="J150" i="91"/>
  <c r="L150" i="91"/>
  <c r="J154" i="91"/>
  <c r="J158" i="91"/>
  <c r="L158" i="91"/>
  <c r="J162" i="91"/>
  <c r="J166" i="91"/>
  <c r="J170" i="91"/>
  <c r="J174" i="91"/>
  <c r="L174" i="91"/>
  <c r="J178" i="91"/>
  <c r="J182" i="91"/>
  <c r="J185" i="91"/>
  <c r="J186" i="91"/>
  <c r="J189" i="91"/>
  <c r="J190" i="91"/>
  <c r="L190" i="91"/>
  <c r="J194" i="91"/>
  <c r="J196" i="91"/>
  <c r="J197" i="91"/>
  <c r="J198" i="91"/>
  <c r="J201" i="91"/>
  <c r="J202" i="91"/>
  <c r="J205" i="91"/>
  <c r="J206" i="91"/>
  <c r="L206" i="91"/>
  <c r="J207" i="91"/>
  <c r="J210" i="91"/>
  <c r="J211" i="91"/>
  <c r="J218" i="91"/>
  <c r="J219" i="91"/>
  <c r="J220" i="91"/>
  <c r="L220" i="91" s="1"/>
  <c r="J222" i="91"/>
  <c r="J225" i="91"/>
  <c r="J226" i="91"/>
  <c r="J229" i="91"/>
  <c r="J230" i="91"/>
  <c r="L230" i="91" s="1"/>
  <c r="J233" i="91"/>
  <c r="J234" i="91"/>
  <c r="L234" i="91"/>
  <c r="J237" i="91"/>
  <c r="J238" i="91"/>
  <c r="J239" i="91"/>
  <c r="J242" i="91"/>
  <c r="L242" i="91"/>
  <c r="J243" i="91"/>
  <c r="J244" i="91"/>
  <c r="J245" i="91"/>
  <c r="G245" i="91"/>
  <c r="I245" i="91" s="1"/>
  <c r="G244" i="91"/>
  <c r="I244" i="91" s="1"/>
  <c r="G243" i="91"/>
  <c r="I243" i="91" s="1"/>
  <c r="G242" i="91"/>
  <c r="I242" i="91" s="1"/>
  <c r="G241" i="91"/>
  <c r="I241" i="91" s="1"/>
  <c r="G240" i="91"/>
  <c r="I240" i="91" s="1"/>
  <c r="I239" i="91"/>
  <c r="I238" i="91"/>
  <c r="G238" i="91"/>
  <c r="G237" i="91"/>
  <c r="I237" i="91" s="1"/>
  <c r="G236" i="91"/>
  <c r="J236" i="91" s="1"/>
  <c r="L236" i="91" s="1"/>
  <c r="G235" i="91"/>
  <c r="J235" i="91" s="1"/>
  <c r="I234" i="91"/>
  <c r="G234" i="91"/>
  <c r="G233" i="91"/>
  <c r="I233" i="91" s="1"/>
  <c r="G232" i="91"/>
  <c r="J232" i="91" s="1"/>
  <c r="G231" i="91"/>
  <c r="J231" i="91" s="1"/>
  <c r="I230" i="91"/>
  <c r="G230" i="91"/>
  <c r="G229" i="91"/>
  <c r="I229" i="91" s="1"/>
  <c r="G228" i="91"/>
  <c r="J228" i="91" s="1"/>
  <c r="G227" i="91"/>
  <c r="J227" i="91" s="1"/>
  <c r="I226" i="91"/>
  <c r="G226" i="91"/>
  <c r="G225" i="91"/>
  <c r="I225" i="91" s="1"/>
  <c r="G224" i="91"/>
  <c r="J224" i="91" s="1"/>
  <c r="G223" i="91"/>
  <c r="J223" i="91" s="1"/>
  <c r="I222" i="91"/>
  <c r="G221" i="91"/>
  <c r="I221" i="91" s="1"/>
  <c r="G220" i="91"/>
  <c r="I220" i="91" s="1"/>
  <c r="G219" i="91"/>
  <c r="I219" i="91" s="1"/>
  <c r="G218" i="91"/>
  <c r="I218" i="91" s="1"/>
  <c r="G217" i="91"/>
  <c r="I217" i="91" s="1"/>
  <c r="G216" i="91"/>
  <c r="I216" i="91" s="1"/>
  <c r="G215" i="91"/>
  <c r="I215" i="91" s="1"/>
  <c r="G214" i="91"/>
  <c r="G213" i="91"/>
  <c r="I213" i="91" s="1"/>
  <c r="G212" i="91"/>
  <c r="I212" i="91" s="1"/>
  <c r="G211" i="91"/>
  <c r="I211" i="91" s="1"/>
  <c r="G210" i="91"/>
  <c r="I210" i="91" s="1"/>
  <c r="G209" i="91"/>
  <c r="I209" i="91" s="1"/>
  <c r="G208" i="91"/>
  <c r="I208" i="91" s="1"/>
  <c r="I207" i="91"/>
  <c r="I206" i="91"/>
  <c r="G206" i="91"/>
  <c r="G205" i="91"/>
  <c r="I205" i="91" s="1"/>
  <c r="G204" i="91"/>
  <c r="J204" i="91" s="1"/>
  <c r="G203" i="91"/>
  <c r="J203" i="91" s="1"/>
  <c r="I202" i="91"/>
  <c r="G202" i="91"/>
  <c r="G201" i="91"/>
  <c r="I201" i="91" s="1"/>
  <c r="G200" i="91"/>
  <c r="J200" i="91" s="1"/>
  <c r="G199" i="91"/>
  <c r="J199" i="91" s="1"/>
  <c r="I198" i="91"/>
  <c r="G198" i="91"/>
  <c r="G197" i="91"/>
  <c r="I197" i="91" s="1"/>
  <c r="I196" i="91"/>
  <c r="G195" i="91"/>
  <c r="I195" i="91" s="1"/>
  <c r="G194" i="91"/>
  <c r="I194" i="91" s="1"/>
  <c r="G193" i="91"/>
  <c r="I193" i="91" s="1"/>
  <c r="G192" i="91"/>
  <c r="G191" i="91"/>
  <c r="I191" i="91" s="1"/>
  <c r="G190" i="91"/>
  <c r="I190" i="91" s="1"/>
  <c r="I189" i="91"/>
  <c r="G188" i="91"/>
  <c r="J188" i="91" s="1"/>
  <c r="G187" i="91"/>
  <c r="J187" i="91" s="1"/>
  <c r="I186" i="91"/>
  <c r="G186" i="91"/>
  <c r="G185" i="91"/>
  <c r="I185" i="91" s="1"/>
  <c r="G184" i="91"/>
  <c r="J184" i="91" s="1"/>
  <c r="G183" i="91"/>
  <c r="J183" i="91" s="1"/>
  <c r="I182" i="91"/>
  <c r="G182" i="91"/>
  <c r="G181" i="91"/>
  <c r="I181" i="91" s="1"/>
  <c r="G180" i="91"/>
  <c r="J180" i="91" s="1"/>
  <c r="G179" i="91"/>
  <c r="J179" i="91" s="1"/>
  <c r="I178" i="91"/>
  <c r="G178" i="91"/>
  <c r="G177" i="91"/>
  <c r="I177" i="91" s="1"/>
  <c r="G176" i="91"/>
  <c r="J176" i="91" s="1"/>
  <c r="G175" i="91"/>
  <c r="J175" i="91" s="1"/>
  <c r="I174" i="91"/>
  <c r="G174" i="91"/>
  <c r="G173" i="91"/>
  <c r="I173" i="91" s="1"/>
  <c r="G172" i="91"/>
  <c r="J172" i="91" s="1"/>
  <c r="G171" i="91"/>
  <c r="J171" i="91" s="1"/>
  <c r="I170" i="91"/>
  <c r="G170" i="91"/>
  <c r="G169" i="91"/>
  <c r="I169" i="91" s="1"/>
  <c r="G168" i="91"/>
  <c r="J168" i="91" s="1"/>
  <c r="G167" i="91"/>
  <c r="J167" i="91" s="1"/>
  <c r="I166" i="91"/>
  <c r="G166" i="91"/>
  <c r="G165" i="91"/>
  <c r="I165" i="91" s="1"/>
  <c r="G164" i="91"/>
  <c r="J164" i="91" s="1"/>
  <c r="G163" i="91"/>
  <c r="J163" i="91" s="1"/>
  <c r="I162" i="91"/>
  <c r="G162" i="91"/>
  <c r="G161" i="91"/>
  <c r="I161" i="91" s="1"/>
  <c r="G160" i="91"/>
  <c r="J160" i="91" s="1"/>
  <c r="G159" i="91"/>
  <c r="J159" i="91" s="1"/>
  <c r="I158" i="91"/>
  <c r="G158" i="91"/>
  <c r="G157" i="91"/>
  <c r="I157" i="91" s="1"/>
  <c r="G156" i="91"/>
  <c r="J156" i="91" s="1"/>
  <c r="L156" i="91" s="1"/>
  <c r="G155" i="91"/>
  <c r="J155" i="91" s="1"/>
  <c r="I154" i="91"/>
  <c r="G154" i="91"/>
  <c r="G153" i="91"/>
  <c r="I153" i="91" s="1"/>
  <c r="G152" i="91"/>
  <c r="J152" i="91" s="1"/>
  <c r="L152" i="91" s="1"/>
  <c r="G151" i="91"/>
  <c r="J151" i="91" s="1"/>
  <c r="I150" i="91"/>
  <c r="G150" i="91"/>
  <c r="G149" i="91"/>
  <c r="I149" i="91" s="1"/>
  <c r="G148" i="91"/>
  <c r="J148" i="91" s="1"/>
  <c r="L148" i="91" s="1"/>
  <c r="G147" i="91"/>
  <c r="J147" i="91" s="1"/>
  <c r="I146" i="91"/>
  <c r="G146" i="91"/>
  <c r="G145" i="91"/>
  <c r="I145" i="91" s="1"/>
  <c r="I144" i="91"/>
  <c r="G143" i="91"/>
  <c r="I143" i="91" s="1"/>
  <c r="G142" i="91"/>
  <c r="I142" i="91" s="1"/>
  <c r="G141" i="91"/>
  <c r="I141" i="91" s="1"/>
  <c r="G140" i="91"/>
  <c r="G139" i="91"/>
  <c r="I139" i="91" s="1"/>
  <c r="G138" i="91"/>
  <c r="I138" i="91" s="1"/>
  <c r="G137" i="91"/>
  <c r="I137" i="91" s="1"/>
  <c r="G136" i="91"/>
  <c r="I136" i="91" s="1"/>
  <c r="G135" i="91"/>
  <c r="I135" i="91" s="1"/>
  <c r="G134" i="91"/>
  <c r="I134" i="91" s="1"/>
  <c r="G133" i="91"/>
  <c r="I133" i="91" s="1"/>
  <c r="G132" i="91"/>
  <c r="G131" i="91"/>
  <c r="I131" i="91" s="1"/>
  <c r="G130" i="91"/>
  <c r="I130" i="91" s="1"/>
  <c r="G129" i="91"/>
  <c r="I129" i="91" s="1"/>
  <c r="G128" i="91"/>
  <c r="I128" i="91" s="1"/>
  <c r="G127" i="91"/>
  <c r="I127" i="91" s="1"/>
  <c r="G126" i="91"/>
  <c r="I126" i="91" s="1"/>
  <c r="G125" i="91"/>
  <c r="I125" i="91" s="1"/>
  <c r="G124" i="91"/>
  <c r="G123" i="91"/>
  <c r="I123" i="91" s="1"/>
  <c r="G122" i="91"/>
  <c r="I122" i="91" s="1"/>
  <c r="I121" i="91"/>
  <c r="G120" i="91"/>
  <c r="J120" i="91" s="1"/>
  <c r="L120" i="91" s="1"/>
  <c r="G119" i="91"/>
  <c r="J119" i="91" s="1"/>
  <c r="I118" i="91"/>
  <c r="G118" i="91"/>
  <c r="G117" i="91"/>
  <c r="I117" i="91" s="1"/>
  <c r="G116" i="91"/>
  <c r="J116" i="91" s="1"/>
  <c r="L116" i="91" s="1"/>
  <c r="G115" i="91"/>
  <c r="J115" i="91" s="1"/>
  <c r="I114" i="91"/>
  <c r="G114" i="91"/>
  <c r="G113" i="91"/>
  <c r="I113" i="91" s="1"/>
  <c r="G112" i="91"/>
  <c r="J112" i="91" s="1"/>
  <c r="G111" i="91"/>
  <c r="J111" i="91" s="1"/>
  <c r="L111" i="91" s="1"/>
  <c r="I110" i="91"/>
  <c r="G109" i="91"/>
  <c r="I109" i="91" s="1"/>
  <c r="G108" i="91"/>
  <c r="I108" i="91" s="1"/>
  <c r="G107" i="91"/>
  <c r="I107" i="91" s="1"/>
  <c r="G106" i="91"/>
  <c r="I106" i="91" s="1"/>
  <c r="G105" i="91"/>
  <c r="I105" i="91" s="1"/>
  <c r="G104" i="91"/>
  <c r="I104" i="91" s="1"/>
  <c r="G103" i="91"/>
  <c r="I103" i="91" s="1"/>
  <c r="G102" i="91"/>
  <c r="G101" i="91"/>
  <c r="I101" i="91" s="1"/>
  <c r="G100" i="91"/>
  <c r="I100" i="91" s="1"/>
  <c r="G99" i="91"/>
  <c r="I99" i="91" s="1"/>
  <c r="G98" i="91"/>
  <c r="I98" i="91" s="1"/>
  <c r="G97" i="91"/>
  <c r="I97" i="91" s="1"/>
  <c r="G96" i="91"/>
  <c r="I96" i="91" s="1"/>
  <c r="G95" i="91"/>
  <c r="I95" i="91" s="1"/>
  <c r="G94" i="91"/>
  <c r="G93" i="91"/>
  <c r="I93" i="91" s="1"/>
  <c r="G92" i="91"/>
  <c r="I92" i="91" s="1"/>
  <c r="I91" i="91"/>
  <c r="G90" i="91"/>
  <c r="I90" i="91" s="1"/>
  <c r="G89" i="91"/>
  <c r="J89" i="91" s="1"/>
  <c r="L89" i="91" s="1"/>
  <c r="I88" i="91"/>
  <c r="G88" i="91"/>
  <c r="J88" i="91" s="1"/>
  <c r="G87" i="91"/>
  <c r="J87" i="91" s="1"/>
  <c r="G86" i="91"/>
  <c r="I86" i="91" s="1"/>
  <c r="G85" i="91"/>
  <c r="J85" i="91" s="1"/>
  <c r="I84" i="91"/>
  <c r="G84" i="91"/>
  <c r="J84" i="91" s="1"/>
  <c r="I83" i="91"/>
  <c r="G82" i="91"/>
  <c r="I82" i="91" s="1"/>
  <c r="G81" i="91"/>
  <c r="I81" i="91" s="1"/>
  <c r="G80" i="91"/>
  <c r="I80" i="91" s="1"/>
  <c r="G79" i="91"/>
  <c r="I79" i="91" s="1"/>
  <c r="G78" i="91"/>
  <c r="I78" i="91" s="1"/>
  <c r="I77" i="91"/>
  <c r="I76" i="91"/>
  <c r="G76" i="91"/>
  <c r="J76" i="91" s="1"/>
  <c r="G75" i="91"/>
  <c r="J75" i="91" s="1"/>
  <c r="I74" i="91"/>
  <c r="G74" i="91"/>
  <c r="G73" i="91"/>
  <c r="I72" i="91"/>
  <c r="G72" i="91"/>
  <c r="J72" i="91" s="1"/>
  <c r="G71" i="91"/>
  <c r="J71" i="91" s="1"/>
  <c r="I70" i="91"/>
  <c r="G70" i="91"/>
  <c r="G69" i="91"/>
  <c r="I68" i="91"/>
  <c r="H68" i="91"/>
  <c r="H246" i="91" s="1"/>
  <c r="G68" i="91"/>
  <c r="J68" i="91" s="1"/>
  <c r="I67" i="91"/>
  <c r="I66" i="91"/>
  <c r="G66" i="91"/>
  <c r="G65" i="91"/>
  <c r="I64" i="91"/>
  <c r="G64" i="91"/>
  <c r="J64" i="91" s="1"/>
  <c r="G63" i="91"/>
  <c r="J63" i="91" s="1"/>
  <c r="I62" i="91"/>
  <c r="G62" i="91"/>
  <c r="G61" i="91"/>
  <c r="I60" i="91"/>
  <c r="G60" i="91"/>
  <c r="J60" i="91" s="1"/>
  <c r="G59" i="91"/>
  <c r="J59" i="91" s="1"/>
  <c r="I58" i="91"/>
  <c r="G58" i="91"/>
  <c r="G57" i="91"/>
  <c r="I56" i="91"/>
  <c r="G56" i="91"/>
  <c r="J56" i="91" s="1"/>
  <c r="G55" i="91"/>
  <c r="J55" i="91" s="1"/>
  <c r="I54" i="91"/>
  <c r="G54" i="91"/>
  <c r="G53" i="91"/>
  <c r="G246" i="91" s="1"/>
  <c r="I52" i="91"/>
  <c r="G52" i="91"/>
  <c r="J52" i="91" s="1"/>
  <c r="G51" i="91"/>
  <c r="J51" i="91" s="1"/>
  <c r="I50" i="91"/>
  <c r="G49" i="91"/>
  <c r="I49" i="91" s="1"/>
  <c r="G48" i="91"/>
  <c r="I48" i="91" s="1"/>
  <c r="G47" i="91"/>
  <c r="G46" i="91"/>
  <c r="I46" i="91" s="1"/>
  <c r="G45" i="91"/>
  <c r="I45" i="91" s="1"/>
  <c r="G44" i="91"/>
  <c r="I44" i="91" s="1"/>
  <c r="G43" i="91"/>
  <c r="I43" i="91" s="1"/>
  <c r="I42" i="91"/>
  <c r="G41" i="91"/>
  <c r="J41" i="91" s="1"/>
  <c r="I40" i="91"/>
  <c r="G40" i="91"/>
  <c r="J40" i="91" s="1"/>
  <c r="G39" i="91"/>
  <c r="J39" i="91" s="1"/>
  <c r="G38" i="91"/>
  <c r="I38" i="91" s="1"/>
  <c r="G37" i="91"/>
  <c r="J37" i="91" s="1"/>
  <c r="I36" i="91"/>
  <c r="G36" i="91"/>
  <c r="J36" i="91" s="1"/>
  <c r="G35" i="91"/>
  <c r="J35" i="91" s="1"/>
  <c r="G34" i="91"/>
  <c r="I34" i="91" s="1"/>
  <c r="G33" i="91"/>
  <c r="J33" i="91" s="1"/>
  <c r="I32" i="91"/>
  <c r="G32" i="91"/>
  <c r="J32" i="91" s="1"/>
  <c r="G31" i="91"/>
  <c r="J31" i="91" s="1"/>
  <c r="G30" i="91"/>
  <c r="I30" i="91" s="1"/>
  <c r="G29" i="91"/>
  <c r="J29" i="91" s="1"/>
  <c r="I28" i="91"/>
  <c r="G28" i="91"/>
  <c r="J28" i="91" s="1"/>
  <c r="G27" i="91"/>
  <c r="J27" i="91" s="1"/>
  <c r="G26" i="91"/>
  <c r="I26" i="91" s="1"/>
  <c r="G25" i="91"/>
  <c r="J25" i="91" s="1"/>
  <c r="I24" i="91"/>
  <c r="G24" i="91"/>
  <c r="J24" i="91" s="1"/>
  <c r="G23" i="91"/>
  <c r="J23" i="91" s="1"/>
  <c r="G22" i="91"/>
  <c r="I22" i="91" s="1"/>
  <c r="G21" i="91"/>
  <c r="J21" i="91" s="1"/>
  <c r="I20" i="91"/>
  <c r="G20" i="91"/>
  <c r="J20" i="91" s="1"/>
  <c r="G19" i="91"/>
  <c r="J19" i="91" s="1"/>
  <c r="G18" i="91"/>
  <c r="I18" i="91" s="1"/>
  <c r="G17" i="91"/>
  <c r="J17" i="91" s="1"/>
  <c r="I16" i="91"/>
  <c r="G16" i="91"/>
  <c r="J16" i="91" s="1"/>
  <c r="G15" i="91"/>
  <c r="J15" i="91" s="1"/>
  <c r="G14" i="91"/>
  <c r="I14" i="91" s="1"/>
  <c r="G13" i="91"/>
  <c r="J13" i="91" s="1"/>
  <c r="I12" i="91"/>
  <c r="G12" i="91"/>
  <c r="J12" i="91" s="1"/>
  <c r="G11" i="91"/>
  <c r="J11" i="91" s="1"/>
  <c r="G10" i="91"/>
  <c r="I10" i="91" s="1"/>
  <c r="G9" i="91"/>
  <c r="J9" i="91" s="1"/>
  <c r="I8" i="91"/>
  <c r="G8" i="91"/>
  <c r="J8" i="91" s="1"/>
  <c r="G7" i="91"/>
  <c r="J7" i="91" s="1"/>
  <c r="G6" i="91"/>
  <c r="I6" i="91" s="1"/>
  <c r="G5" i="91"/>
  <c r="J5" i="91" s="1"/>
  <c r="I4" i="91"/>
  <c r="G4" i="91"/>
  <c r="F245" i="91"/>
  <c r="L244" i="91"/>
  <c r="F244" i="91"/>
  <c r="F243" i="91"/>
  <c r="F242" i="91"/>
  <c r="F241" i="91"/>
  <c r="F240" i="91"/>
  <c r="F239" i="91"/>
  <c r="F238" i="91"/>
  <c r="F237" i="91"/>
  <c r="F236" i="91"/>
  <c r="F235" i="91"/>
  <c r="F234" i="91"/>
  <c r="F233" i="91"/>
  <c r="F232" i="91"/>
  <c r="F231" i="91"/>
  <c r="F230" i="91"/>
  <c r="F229" i="91"/>
  <c r="F228" i="91"/>
  <c r="F227" i="91"/>
  <c r="F226" i="91"/>
  <c r="F225" i="91"/>
  <c r="F224" i="91"/>
  <c r="F223" i="91"/>
  <c r="F222" i="91"/>
  <c r="F221" i="91"/>
  <c r="F220" i="91"/>
  <c r="F219" i="91"/>
  <c r="L218" i="91"/>
  <c r="F218" i="91"/>
  <c r="F217" i="91"/>
  <c r="F216" i="91"/>
  <c r="F215" i="91"/>
  <c r="F214" i="91"/>
  <c r="F213" i="91"/>
  <c r="F212" i="91"/>
  <c r="F211" i="91"/>
  <c r="F210" i="91"/>
  <c r="F209" i="91"/>
  <c r="F208" i="91"/>
  <c r="F207" i="91"/>
  <c r="F206" i="91"/>
  <c r="F205" i="91"/>
  <c r="F204" i="91"/>
  <c r="F203" i="91"/>
  <c r="F202" i="91"/>
  <c r="F201" i="91"/>
  <c r="F200" i="91"/>
  <c r="F199" i="91"/>
  <c r="F198" i="91"/>
  <c r="F197" i="91"/>
  <c r="F196" i="91"/>
  <c r="F195" i="91"/>
  <c r="F194" i="91"/>
  <c r="F193" i="91"/>
  <c r="F192" i="91"/>
  <c r="F191" i="91"/>
  <c r="F190" i="91"/>
  <c r="F189" i="91"/>
  <c r="F188" i="91"/>
  <c r="F187" i="91"/>
  <c r="F186" i="91"/>
  <c r="F185" i="91"/>
  <c r="F184" i="91"/>
  <c r="F183" i="91"/>
  <c r="F182" i="91"/>
  <c r="F181" i="91"/>
  <c r="F180" i="91"/>
  <c r="F179" i="91"/>
  <c r="F178" i="91"/>
  <c r="F177" i="91"/>
  <c r="F176" i="91"/>
  <c r="F175" i="91"/>
  <c r="F174" i="91"/>
  <c r="F173" i="91"/>
  <c r="F172" i="91"/>
  <c r="F171" i="91"/>
  <c r="F170" i="91"/>
  <c r="F169" i="91"/>
  <c r="F168" i="91"/>
  <c r="F167" i="91"/>
  <c r="F166" i="91"/>
  <c r="F165" i="91"/>
  <c r="F164" i="91"/>
  <c r="F163" i="91"/>
  <c r="F162" i="91"/>
  <c r="F161" i="91"/>
  <c r="F160" i="91"/>
  <c r="F159" i="91"/>
  <c r="F158" i="91"/>
  <c r="F157" i="91"/>
  <c r="F156" i="91"/>
  <c r="F155" i="91"/>
  <c r="F154" i="91"/>
  <c r="F153" i="91"/>
  <c r="F152" i="91"/>
  <c r="F151" i="91"/>
  <c r="F150" i="91"/>
  <c r="F149" i="91"/>
  <c r="F148" i="91"/>
  <c r="F147" i="91"/>
  <c r="F146" i="91"/>
  <c r="F145" i="91"/>
  <c r="L144" i="91"/>
  <c r="F144" i="91"/>
  <c r="F143" i="91"/>
  <c r="F142" i="91"/>
  <c r="F141" i="91"/>
  <c r="F140" i="91"/>
  <c r="F139" i="91"/>
  <c r="F138" i="91"/>
  <c r="F137" i="91"/>
  <c r="F136" i="91"/>
  <c r="F135" i="91"/>
  <c r="F134" i="91"/>
  <c r="F133" i="91"/>
  <c r="F132" i="91"/>
  <c r="F131" i="91"/>
  <c r="F130" i="91"/>
  <c r="F129" i="91"/>
  <c r="F128" i="91"/>
  <c r="F127" i="91"/>
  <c r="F126" i="91"/>
  <c r="F125" i="91"/>
  <c r="F124" i="91"/>
  <c r="F123" i="91"/>
  <c r="F122" i="91"/>
  <c r="F121" i="91"/>
  <c r="F120" i="91"/>
  <c r="F119" i="91"/>
  <c r="F118" i="91"/>
  <c r="F117" i="91"/>
  <c r="F116" i="91"/>
  <c r="F115" i="91"/>
  <c r="F114" i="91"/>
  <c r="F113" i="91"/>
  <c r="F112" i="91"/>
  <c r="F111" i="91"/>
  <c r="F110" i="91"/>
  <c r="F109" i="91"/>
  <c r="F108" i="91"/>
  <c r="F107" i="91"/>
  <c r="F106" i="91"/>
  <c r="F105" i="91"/>
  <c r="F104" i="91"/>
  <c r="F103" i="91"/>
  <c r="F102" i="91"/>
  <c r="F101" i="91"/>
  <c r="F100" i="91"/>
  <c r="F99" i="91"/>
  <c r="F98" i="91"/>
  <c r="F97" i="91"/>
  <c r="F96" i="91"/>
  <c r="F95" i="91"/>
  <c r="F94" i="91"/>
  <c r="F93" i="91"/>
  <c r="F92" i="91"/>
  <c r="L91" i="91"/>
  <c r="F91" i="91"/>
  <c r="F90" i="91"/>
  <c r="F89" i="91"/>
  <c r="F88" i="91"/>
  <c r="F87" i="91"/>
  <c r="F86" i="91"/>
  <c r="F85" i="91"/>
  <c r="F84" i="91"/>
  <c r="F83" i="91"/>
  <c r="F82" i="91"/>
  <c r="F81" i="91"/>
  <c r="F80" i="91"/>
  <c r="F79" i="91"/>
  <c r="F78" i="91"/>
  <c r="F77" i="91"/>
  <c r="F76" i="91"/>
  <c r="F75" i="91"/>
  <c r="F74" i="91"/>
  <c r="F73" i="91"/>
  <c r="F72" i="91"/>
  <c r="F71" i="91"/>
  <c r="F70" i="91"/>
  <c r="F69" i="91"/>
  <c r="F68" i="91"/>
  <c r="F67" i="91"/>
  <c r="F66" i="91"/>
  <c r="F65" i="91"/>
  <c r="F64" i="91"/>
  <c r="F63" i="91"/>
  <c r="F62" i="91"/>
  <c r="F61" i="91"/>
  <c r="F60" i="91"/>
  <c r="F59" i="91"/>
  <c r="F58" i="91"/>
  <c r="F57" i="91"/>
  <c r="F56" i="91"/>
  <c r="F55" i="91"/>
  <c r="F54" i="91"/>
  <c r="F53" i="91"/>
  <c r="F52" i="91"/>
  <c r="F51" i="91"/>
  <c r="F50" i="91"/>
  <c r="F49" i="91"/>
  <c r="F48" i="91"/>
  <c r="F47" i="91"/>
  <c r="F46" i="91"/>
  <c r="F45" i="91"/>
  <c r="F44" i="91"/>
  <c r="F43" i="91"/>
  <c r="F42" i="91"/>
  <c r="F41" i="91"/>
  <c r="F40" i="91"/>
  <c r="F39" i="91"/>
  <c r="F38" i="91"/>
  <c r="F37" i="91"/>
  <c r="F36" i="91"/>
  <c r="F35" i="91"/>
  <c r="F34" i="91"/>
  <c r="F33" i="91"/>
  <c r="F32" i="91"/>
  <c r="F31" i="91"/>
  <c r="F30" i="91"/>
  <c r="F29" i="91"/>
  <c r="F28" i="91"/>
  <c r="F27" i="91"/>
  <c r="F26" i="91"/>
  <c r="F25" i="91"/>
  <c r="F24" i="91"/>
  <c r="F23" i="91"/>
  <c r="F22" i="91"/>
  <c r="F21" i="91"/>
  <c r="F20" i="91"/>
  <c r="F19" i="91"/>
  <c r="F18" i="91"/>
  <c r="F17" i="91"/>
  <c r="F16" i="91"/>
  <c r="F15" i="91"/>
  <c r="F14" i="91"/>
  <c r="F13" i="91"/>
  <c r="F12" i="91"/>
  <c r="F11" i="91"/>
  <c r="F10" i="91"/>
  <c r="F9" i="91"/>
  <c r="F8" i="91"/>
  <c r="F7" i="91"/>
  <c r="F6" i="91"/>
  <c r="F5" i="91"/>
  <c r="F4" i="91"/>
  <c r="I61" i="91" l="1"/>
  <c r="J61" i="91"/>
  <c r="L170" i="91"/>
  <c r="L98" i="92"/>
  <c r="M98" i="92"/>
  <c r="F246" i="91"/>
  <c r="J57" i="91"/>
  <c r="I57" i="91"/>
  <c r="L7" i="92"/>
  <c r="M7" i="92"/>
  <c r="O7" i="92" s="1"/>
  <c r="L20" i="92"/>
  <c r="M20" i="92"/>
  <c r="L28" i="92"/>
  <c r="M28" i="92"/>
  <c r="O28" i="92" s="1"/>
  <c r="L36" i="92"/>
  <c r="M36" i="92"/>
  <c r="O36" i="92" s="1"/>
  <c r="M44" i="92"/>
  <c r="O44" i="92" s="1"/>
  <c r="L44" i="92"/>
  <c r="L134" i="92"/>
  <c r="M134" i="92"/>
  <c r="O134" i="92" s="1"/>
  <c r="L166" i="92"/>
  <c r="M166" i="92"/>
  <c r="L242" i="92"/>
  <c r="M242" i="92"/>
  <c r="O242" i="92" s="1"/>
  <c r="I192" i="91"/>
  <c r="J192" i="91"/>
  <c r="M93" i="92"/>
  <c r="O93" i="92" s="1"/>
  <c r="L93" i="92"/>
  <c r="M180" i="92"/>
  <c r="L180" i="92"/>
  <c r="I94" i="91"/>
  <c r="J94" i="91"/>
  <c r="I132" i="91"/>
  <c r="J132" i="91"/>
  <c r="L132" i="91" s="1"/>
  <c r="I214" i="91"/>
  <c r="J214" i="91"/>
  <c r="L214" i="91" s="1"/>
  <c r="L186" i="91"/>
  <c r="L121" i="92"/>
  <c r="M121" i="92"/>
  <c r="M129" i="92"/>
  <c r="L129" i="92"/>
  <c r="M161" i="92"/>
  <c r="L161" i="92"/>
  <c r="M237" i="92"/>
  <c r="L237" i="92"/>
  <c r="N270" i="92"/>
  <c r="K273" i="92"/>
  <c r="L270" i="92"/>
  <c r="I102" i="91"/>
  <c r="J102" i="91"/>
  <c r="L102" i="91" s="1"/>
  <c r="I140" i="91"/>
  <c r="J140" i="91"/>
  <c r="L140" i="91" s="1"/>
  <c r="L202" i="91"/>
  <c r="I47" i="91"/>
  <c r="J47" i="91"/>
  <c r="I69" i="91"/>
  <c r="J69" i="91"/>
  <c r="J246" i="91"/>
  <c r="L246" i="91" s="1"/>
  <c r="L82" i="92"/>
  <c r="M82" i="92"/>
  <c r="L109" i="92"/>
  <c r="M109" i="92"/>
  <c r="M264" i="92"/>
  <c r="O264" i="92" s="1"/>
  <c r="L264" i="92"/>
  <c r="I73" i="91"/>
  <c r="J73" i="91"/>
  <c r="I53" i="91"/>
  <c r="J53" i="91"/>
  <c r="I124" i="91"/>
  <c r="J124" i="91"/>
  <c r="L124" i="91" s="1"/>
  <c r="I65" i="91"/>
  <c r="J65" i="91"/>
  <c r="J273" i="92"/>
  <c r="L60" i="92"/>
  <c r="M60" i="92"/>
  <c r="O60" i="92" s="1"/>
  <c r="L68" i="92"/>
  <c r="M68" i="92"/>
  <c r="L76" i="92"/>
  <c r="M76" i="92"/>
  <c r="L150" i="92"/>
  <c r="M150" i="92"/>
  <c r="L203" i="92"/>
  <c r="M203" i="92"/>
  <c r="L211" i="92"/>
  <c r="M211" i="92"/>
  <c r="L219" i="92"/>
  <c r="M219" i="92"/>
  <c r="L226" i="92"/>
  <c r="M226" i="92"/>
  <c r="O226" i="92" s="1"/>
  <c r="L258" i="92"/>
  <c r="M258" i="92"/>
  <c r="O258" i="92" s="1"/>
  <c r="M104" i="92"/>
  <c r="L104" i="92"/>
  <c r="M196" i="92"/>
  <c r="O196" i="92" s="1"/>
  <c r="L196" i="92"/>
  <c r="L49" i="92"/>
  <c r="M49" i="92"/>
  <c r="M145" i="92"/>
  <c r="L145" i="92"/>
  <c r="M253" i="92"/>
  <c r="L253" i="92"/>
  <c r="M36" i="59"/>
  <c r="N36" i="59"/>
  <c r="M132" i="59"/>
  <c r="N132" i="59"/>
  <c r="M243" i="59"/>
  <c r="N243" i="59"/>
  <c r="M53" i="59"/>
  <c r="N53" i="59"/>
  <c r="M120" i="59"/>
  <c r="N120" i="59"/>
  <c r="M155" i="59"/>
  <c r="N155" i="59"/>
  <c r="M177" i="59"/>
  <c r="N177" i="59"/>
  <c r="L138" i="91"/>
  <c r="L14" i="92"/>
  <c r="M14" i="92"/>
  <c r="L21" i="92"/>
  <c r="M21" i="92"/>
  <c r="O21" i="92" s="1"/>
  <c r="L29" i="92"/>
  <c r="M29" i="92"/>
  <c r="O29" i="92" s="1"/>
  <c r="L37" i="92"/>
  <c r="M37" i="92"/>
  <c r="O37" i="92" s="1"/>
  <c r="L55" i="92"/>
  <c r="M55" i="92"/>
  <c r="L61" i="92"/>
  <c r="M61" i="92"/>
  <c r="O61" i="92" s="1"/>
  <c r="L69" i="92"/>
  <c r="M69" i="92"/>
  <c r="L77" i="92"/>
  <c r="M77" i="92"/>
  <c r="O77" i="92" s="1"/>
  <c r="L88" i="92"/>
  <c r="M88" i="92"/>
  <c r="L115" i="92"/>
  <c r="M115" i="92"/>
  <c r="L122" i="92"/>
  <c r="M122" i="92"/>
  <c r="O122" i="92" s="1"/>
  <c r="L140" i="92"/>
  <c r="M140" i="92"/>
  <c r="L156" i="92"/>
  <c r="M156" i="92"/>
  <c r="L191" i="92"/>
  <c r="M191" i="92"/>
  <c r="L204" i="92"/>
  <c r="M204" i="92"/>
  <c r="L212" i="92"/>
  <c r="M212" i="92"/>
  <c r="L220" i="92"/>
  <c r="M220" i="92"/>
  <c r="O220" i="92" s="1"/>
  <c r="L232" i="92"/>
  <c r="M232" i="92"/>
  <c r="O232" i="92" s="1"/>
  <c r="L248" i="92"/>
  <c r="M248" i="92"/>
  <c r="O248" i="92" s="1"/>
  <c r="M37" i="59"/>
  <c r="N37" i="59"/>
  <c r="M48" i="59"/>
  <c r="M65" i="59"/>
  <c r="N65" i="59"/>
  <c r="M70" i="59"/>
  <c r="M76" i="59"/>
  <c r="N76" i="59"/>
  <c r="M81" i="59"/>
  <c r="M88" i="59"/>
  <c r="N88" i="59"/>
  <c r="M95" i="59"/>
  <c r="N95" i="59"/>
  <c r="M100" i="59"/>
  <c r="M111" i="59"/>
  <c r="N111" i="59"/>
  <c r="M121" i="59"/>
  <c r="N121" i="59"/>
  <c r="M127" i="59"/>
  <c r="M138" i="59"/>
  <c r="N138" i="59"/>
  <c r="M143" i="59"/>
  <c r="M167" i="59"/>
  <c r="N167" i="59"/>
  <c r="M172" i="59"/>
  <c r="M183" i="59"/>
  <c r="N183" i="59"/>
  <c r="M188" i="59"/>
  <c r="M200" i="59"/>
  <c r="N200" i="59"/>
  <c r="M205" i="59"/>
  <c r="M211" i="59"/>
  <c r="N211" i="59"/>
  <c r="M216" i="59"/>
  <c r="M227" i="59"/>
  <c r="N227" i="59"/>
  <c r="M233" i="59"/>
  <c r="N233" i="59"/>
  <c r="M238" i="59"/>
  <c r="M249" i="59"/>
  <c r="N249" i="59"/>
  <c r="M42" i="59"/>
  <c r="N42" i="59"/>
  <c r="M87" i="59"/>
  <c r="N87" i="59"/>
  <c r="L222" i="91"/>
  <c r="L194" i="91"/>
  <c r="L146" i="91"/>
  <c r="I5" i="91"/>
  <c r="I246" i="91" s="1"/>
  <c r="I9" i="91"/>
  <c r="I13" i="91"/>
  <c r="I17" i="91"/>
  <c r="I21" i="91"/>
  <c r="I25" i="91"/>
  <c r="I29" i="91"/>
  <c r="I33" i="91"/>
  <c r="I37" i="91"/>
  <c r="I41" i="91"/>
  <c r="I85" i="91"/>
  <c r="I89" i="91"/>
  <c r="I111" i="91"/>
  <c r="I115" i="91"/>
  <c r="I119" i="91"/>
  <c r="I147" i="91"/>
  <c r="I151" i="91"/>
  <c r="I155" i="91"/>
  <c r="I159" i="91"/>
  <c r="I163" i="91"/>
  <c r="I167" i="91"/>
  <c r="I171" i="91"/>
  <c r="I175" i="91"/>
  <c r="I179" i="91"/>
  <c r="I183" i="91"/>
  <c r="I187" i="91"/>
  <c r="I199" i="91"/>
  <c r="I203" i="91"/>
  <c r="I223" i="91"/>
  <c r="I227" i="91"/>
  <c r="I231" i="91"/>
  <c r="I235" i="91"/>
  <c r="L22" i="92"/>
  <c r="M22" i="92"/>
  <c r="L30" i="92"/>
  <c r="M30" i="92"/>
  <c r="L38" i="92"/>
  <c r="M38" i="92"/>
  <c r="L45" i="92"/>
  <c r="M45" i="92"/>
  <c r="O45" i="92" s="1"/>
  <c r="L50" i="92"/>
  <c r="L62" i="92"/>
  <c r="M62" i="92"/>
  <c r="L70" i="92"/>
  <c r="M70" i="92"/>
  <c r="O70" i="92" s="1"/>
  <c r="L83" i="92"/>
  <c r="L99" i="92"/>
  <c r="L105" i="92"/>
  <c r="M105" i="92"/>
  <c r="O105" i="92" s="1"/>
  <c r="L110" i="92"/>
  <c r="L123" i="92"/>
  <c r="M123" i="92"/>
  <c r="L130" i="92"/>
  <c r="M130" i="92"/>
  <c r="O130" i="92" s="1"/>
  <c r="L135" i="92"/>
  <c r="L146" i="92"/>
  <c r="M146" i="92"/>
  <c r="L151" i="92"/>
  <c r="L162" i="92"/>
  <c r="M162" i="92"/>
  <c r="L167" i="92"/>
  <c r="L171" i="92"/>
  <c r="L181" i="92"/>
  <c r="M181" i="92"/>
  <c r="L186" i="92"/>
  <c r="L197" i="92"/>
  <c r="M197" i="92"/>
  <c r="L205" i="92"/>
  <c r="M205" i="92"/>
  <c r="L213" i="92"/>
  <c r="M213" i="92"/>
  <c r="L221" i="92"/>
  <c r="M221" i="92"/>
  <c r="L227" i="92"/>
  <c r="L238" i="92"/>
  <c r="M238" i="92"/>
  <c r="O238" i="92" s="1"/>
  <c r="L243" i="92"/>
  <c r="L254" i="92"/>
  <c r="M254" i="92"/>
  <c r="O254" i="92" s="1"/>
  <c r="L259" i="92"/>
  <c r="L265" i="92"/>
  <c r="M265" i="92"/>
  <c r="L271" i="92"/>
  <c r="M271" i="92"/>
  <c r="M7" i="59"/>
  <c r="M11" i="59"/>
  <c r="M15" i="59"/>
  <c r="M19" i="59"/>
  <c r="M23" i="59"/>
  <c r="M27" i="59"/>
  <c r="M31" i="59"/>
  <c r="M38" i="59"/>
  <c r="N38" i="59"/>
  <c r="M49" i="59"/>
  <c r="N49" i="59"/>
  <c r="M55" i="59"/>
  <c r="N55" i="59"/>
  <c r="M60" i="59"/>
  <c r="M71" i="59"/>
  <c r="N71" i="59"/>
  <c r="M82" i="59"/>
  <c r="N82" i="59"/>
  <c r="M89" i="59"/>
  <c r="N89" i="59"/>
  <c r="M101" i="59"/>
  <c r="N101" i="59"/>
  <c r="M106" i="59"/>
  <c r="M116" i="59"/>
  <c r="M122" i="59"/>
  <c r="N122" i="59"/>
  <c r="M128" i="59"/>
  <c r="N128" i="59"/>
  <c r="M133" i="59"/>
  <c r="M144" i="59"/>
  <c r="N144" i="59"/>
  <c r="M149" i="59"/>
  <c r="M157" i="59"/>
  <c r="N157" i="59"/>
  <c r="M162" i="59"/>
  <c r="M173" i="59"/>
  <c r="N173" i="59"/>
  <c r="M178" i="59"/>
  <c r="M189" i="59"/>
  <c r="N189" i="59"/>
  <c r="M194" i="59"/>
  <c r="M206" i="59"/>
  <c r="N206" i="59"/>
  <c r="M217" i="59"/>
  <c r="N217" i="59"/>
  <c r="M222" i="59"/>
  <c r="M239" i="59"/>
  <c r="N239" i="59"/>
  <c r="M244" i="59"/>
  <c r="M221" i="59"/>
  <c r="N221" i="59"/>
  <c r="L226" i="91"/>
  <c r="L182" i="91"/>
  <c r="J241" i="91"/>
  <c r="J221" i="91"/>
  <c r="J217" i="91"/>
  <c r="J213" i="91"/>
  <c r="J209" i="91"/>
  <c r="J193" i="91"/>
  <c r="J181" i="91"/>
  <c r="J177" i="91"/>
  <c r="J173" i="91"/>
  <c r="J169" i="91"/>
  <c r="J165" i="91"/>
  <c r="J161" i="91"/>
  <c r="J157" i="91"/>
  <c r="J153" i="91"/>
  <c r="J149" i="91"/>
  <c r="J145" i="91"/>
  <c r="J141" i="91"/>
  <c r="J137" i="91"/>
  <c r="J133" i="91"/>
  <c r="J129" i="91"/>
  <c r="J125" i="91"/>
  <c r="J117" i="91"/>
  <c r="J113" i="91"/>
  <c r="J109" i="91"/>
  <c r="L109" i="91" s="1"/>
  <c r="J105" i="91"/>
  <c r="J101" i="91"/>
  <c r="J97" i="91"/>
  <c r="L97" i="91" s="1"/>
  <c r="J93" i="91"/>
  <c r="L93" i="91" s="1"/>
  <c r="J81" i="91"/>
  <c r="L81" i="91" s="1"/>
  <c r="J49" i="91"/>
  <c r="J45" i="91"/>
  <c r="L23" i="92"/>
  <c r="M23" i="92"/>
  <c r="L31" i="92"/>
  <c r="M31" i="92"/>
  <c r="L39" i="92"/>
  <c r="M39" i="92"/>
  <c r="L51" i="92"/>
  <c r="M51" i="92"/>
  <c r="O51" i="92" s="1"/>
  <c r="L63" i="92"/>
  <c r="M63" i="92"/>
  <c r="O63" i="92" s="1"/>
  <c r="L71" i="92"/>
  <c r="M71" i="92"/>
  <c r="O71" i="92" s="1"/>
  <c r="L84" i="92"/>
  <c r="M84" i="92"/>
  <c r="L111" i="92"/>
  <c r="M111" i="92"/>
  <c r="L124" i="92"/>
  <c r="M124" i="92"/>
  <c r="L136" i="92"/>
  <c r="M136" i="92"/>
  <c r="L187" i="92"/>
  <c r="M187" i="92"/>
  <c r="L198" i="92"/>
  <c r="M198" i="92"/>
  <c r="L206" i="92"/>
  <c r="M206" i="92"/>
  <c r="L214" i="92"/>
  <c r="M214" i="92"/>
  <c r="L222" i="92"/>
  <c r="M222" i="92"/>
  <c r="O222" i="92" s="1"/>
  <c r="L228" i="92"/>
  <c r="M228" i="92"/>
  <c r="O228" i="92" s="1"/>
  <c r="L244" i="92"/>
  <c r="M244" i="92"/>
  <c r="O244" i="92" s="1"/>
  <c r="L260" i="92"/>
  <c r="M260" i="92"/>
  <c r="O260" i="92" s="1"/>
  <c r="M61" i="59"/>
  <c r="N61" i="59"/>
  <c r="M90" i="59"/>
  <c r="N90" i="59"/>
  <c r="M107" i="59"/>
  <c r="N107" i="59"/>
  <c r="M123" i="59"/>
  <c r="N123" i="59"/>
  <c r="M134" i="59"/>
  <c r="N134" i="59"/>
  <c r="M150" i="59"/>
  <c r="N150" i="59"/>
  <c r="M163" i="59"/>
  <c r="N163" i="59"/>
  <c r="M179" i="59"/>
  <c r="N179" i="59"/>
  <c r="M196" i="59"/>
  <c r="N196" i="59"/>
  <c r="M223" i="59"/>
  <c r="N223" i="59"/>
  <c r="M245" i="59"/>
  <c r="N245" i="59"/>
  <c r="M250" i="59"/>
  <c r="N250" i="59"/>
  <c r="M105" i="59"/>
  <c r="N105" i="59"/>
  <c r="M148" i="59"/>
  <c r="N148" i="59"/>
  <c r="L154" i="91"/>
  <c r="L122" i="91"/>
  <c r="J78" i="91"/>
  <c r="I112" i="91"/>
  <c r="I116" i="91"/>
  <c r="I120" i="91"/>
  <c r="I148" i="91"/>
  <c r="I152" i="91"/>
  <c r="I156" i="91"/>
  <c r="I160" i="91"/>
  <c r="I164" i="91"/>
  <c r="I168" i="91"/>
  <c r="I172" i="91"/>
  <c r="I176" i="91"/>
  <c r="I180" i="91"/>
  <c r="I184" i="91"/>
  <c r="I188" i="91"/>
  <c r="I200" i="91"/>
  <c r="I204" i="91"/>
  <c r="I224" i="91"/>
  <c r="I228" i="91"/>
  <c r="I232" i="91"/>
  <c r="I236" i="91"/>
  <c r="L4" i="92"/>
  <c r="M4" i="92"/>
  <c r="L10" i="92"/>
  <c r="M10" i="92"/>
  <c r="L16" i="92"/>
  <c r="M16" i="92"/>
  <c r="L24" i="92"/>
  <c r="M24" i="92"/>
  <c r="L32" i="92"/>
  <c r="M32" i="92"/>
  <c r="O32" i="92" s="1"/>
  <c r="L40" i="92"/>
  <c r="M40" i="92"/>
  <c r="O40" i="92" s="1"/>
  <c r="L46" i="92"/>
  <c r="L57" i="92"/>
  <c r="M57" i="92"/>
  <c r="L64" i="92"/>
  <c r="M64" i="92"/>
  <c r="L72" i="92"/>
  <c r="M72" i="92"/>
  <c r="L79" i="92"/>
  <c r="L90" i="92"/>
  <c r="M90" i="92"/>
  <c r="L95" i="92"/>
  <c r="L101" i="92"/>
  <c r="M101" i="92"/>
  <c r="O101" i="92" s="1"/>
  <c r="L106" i="92"/>
  <c r="L117" i="92"/>
  <c r="M117" i="92"/>
  <c r="L125" i="92"/>
  <c r="M125" i="92"/>
  <c r="L131" i="92"/>
  <c r="L142" i="92"/>
  <c r="M142" i="92"/>
  <c r="L147" i="92"/>
  <c r="L158" i="92"/>
  <c r="M158" i="92"/>
  <c r="L163" i="92"/>
  <c r="L168" i="92"/>
  <c r="L172" i="92"/>
  <c r="L177" i="92"/>
  <c r="M177" i="92"/>
  <c r="L182" i="92"/>
  <c r="L193" i="92"/>
  <c r="M193" i="92"/>
  <c r="L199" i="92"/>
  <c r="M199" i="92"/>
  <c r="L207" i="92"/>
  <c r="M207" i="92"/>
  <c r="L215" i="92"/>
  <c r="M215" i="92"/>
  <c r="L223" i="92"/>
  <c r="M223" i="92"/>
  <c r="L234" i="92"/>
  <c r="M234" i="92"/>
  <c r="L239" i="92"/>
  <c r="L255" i="92"/>
  <c r="L267" i="92"/>
  <c r="M267" i="92"/>
  <c r="L272" i="92"/>
  <c r="M272" i="92"/>
  <c r="O272" i="92" s="1"/>
  <c r="M8" i="59"/>
  <c r="M12" i="59"/>
  <c r="M16" i="59"/>
  <c r="M20" i="59"/>
  <c r="M24" i="59"/>
  <c r="M28" i="59"/>
  <c r="M32" i="59"/>
  <c r="M39" i="59"/>
  <c r="M45" i="59"/>
  <c r="N45" i="59"/>
  <c r="M50" i="59"/>
  <c r="M56" i="59"/>
  <c r="M67" i="59"/>
  <c r="N67" i="59"/>
  <c r="M78" i="59"/>
  <c r="N78" i="59"/>
  <c r="M83" i="59"/>
  <c r="M91" i="59"/>
  <c r="N91" i="59"/>
  <c r="M97" i="59"/>
  <c r="N97" i="59"/>
  <c r="M102" i="59"/>
  <c r="M113" i="59"/>
  <c r="M117" i="59"/>
  <c r="M129" i="59"/>
  <c r="M140" i="59"/>
  <c r="N140" i="59"/>
  <c r="M145" i="59"/>
  <c r="M158" i="59"/>
  <c r="M169" i="59"/>
  <c r="N169" i="59"/>
  <c r="M174" i="59"/>
  <c r="M185" i="59"/>
  <c r="N185" i="59"/>
  <c r="M190" i="59"/>
  <c r="M202" i="59"/>
  <c r="N202" i="59"/>
  <c r="M213" i="59"/>
  <c r="N213" i="59"/>
  <c r="M218" i="59"/>
  <c r="M229" i="59"/>
  <c r="N229" i="59"/>
  <c r="M235" i="59"/>
  <c r="N235" i="59"/>
  <c r="M240" i="59"/>
  <c r="M59" i="59"/>
  <c r="N59" i="59"/>
  <c r="L238" i="91"/>
  <c r="L178" i="91"/>
  <c r="I51" i="91"/>
  <c r="I55" i="91"/>
  <c r="I59" i="91"/>
  <c r="I63" i="91"/>
  <c r="I71" i="91"/>
  <c r="I75" i="91"/>
  <c r="J240" i="91"/>
  <c r="L240" i="91" s="1"/>
  <c r="J216" i="91"/>
  <c r="J212" i="91"/>
  <c r="J208" i="91"/>
  <c r="J136" i="91"/>
  <c r="L136" i="91" s="1"/>
  <c r="J128" i="91"/>
  <c r="L128" i="91" s="1"/>
  <c r="J108" i="91"/>
  <c r="J104" i="91"/>
  <c r="L104" i="91" s="1"/>
  <c r="J100" i="91"/>
  <c r="J96" i="91"/>
  <c r="J92" i="91"/>
  <c r="J80" i="91"/>
  <c r="J48" i="91"/>
  <c r="J44" i="91"/>
  <c r="L5" i="92"/>
  <c r="M5" i="92"/>
  <c r="O5" i="92" s="1"/>
  <c r="L17" i="92"/>
  <c r="M17" i="92"/>
  <c r="O17" i="92" s="1"/>
  <c r="L25" i="92"/>
  <c r="M25" i="92"/>
  <c r="L33" i="92"/>
  <c r="M33" i="92"/>
  <c r="L41" i="92"/>
  <c r="M41" i="92"/>
  <c r="L47" i="92"/>
  <c r="M47" i="92"/>
  <c r="O47" i="92" s="1"/>
  <c r="L65" i="92"/>
  <c r="M65" i="92"/>
  <c r="O65" i="92" s="1"/>
  <c r="L73" i="92"/>
  <c r="M73" i="92"/>
  <c r="L80" i="92"/>
  <c r="M80" i="92"/>
  <c r="L96" i="92"/>
  <c r="M96" i="92"/>
  <c r="L107" i="92"/>
  <c r="M107" i="92"/>
  <c r="L126" i="92"/>
  <c r="M126" i="92"/>
  <c r="O126" i="92" s="1"/>
  <c r="L132" i="92"/>
  <c r="M132" i="92"/>
  <c r="L148" i="92"/>
  <c r="M148" i="92"/>
  <c r="L164" i="92"/>
  <c r="M164" i="92"/>
  <c r="L183" i="92"/>
  <c r="M183" i="92"/>
  <c r="L200" i="92"/>
  <c r="M200" i="92"/>
  <c r="L208" i="92"/>
  <c r="M208" i="92"/>
  <c r="L216" i="92"/>
  <c r="M216" i="92"/>
  <c r="L240" i="92"/>
  <c r="M240" i="92"/>
  <c r="O240" i="92" s="1"/>
  <c r="L256" i="92"/>
  <c r="M256" i="92"/>
  <c r="O256" i="92" s="1"/>
  <c r="L268" i="92"/>
  <c r="M268" i="92"/>
  <c r="O268" i="92" s="1"/>
  <c r="M33" i="59"/>
  <c r="N33" i="59"/>
  <c r="M40" i="59"/>
  <c r="N40" i="59"/>
  <c r="M51" i="59"/>
  <c r="N51" i="59"/>
  <c r="M57" i="59"/>
  <c r="N57" i="59"/>
  <c r="M84" i="59"/>
  <c r="N84" i="59"/>
  <c r="M92" i="59"/>
  <c r="N92" i="59"/>
  <c r="M103" i="59"/>
  <c r="N103" i="59"/>
  <c r="M118" i="59"/>
  <c r="N118" i="59"/>
  <c r="M130" i="59"/>
  <c r="N130" i="59"/>
  <c r="M146" i="59"/>
  <c r="N146" i="59"/>
  <c r="M152" i="59"/>
  <c r="N152" i="59"/>
  <c r="M159" i="59"/>
  <c r="N159" i="59"/>
  <c r="M175" i="59"/>
  <c r="N175" i="59"/>
  <c r="M191" i="59"/>
  <c r="N191" i="59"/>
  <c r="M208" i="59"/>
  <c r="M219" i="59"/>
  <c r="N219" i="59"/>
  <c r="M224" i="59"/>
  <c r="M230" i="59"/>
  <c r="N230" i="59"/>
  <c r="M241" i="59"/>
  <c r="N241" i="59"/>
  <c r="M246" i="59"/>
  <c r="L210" i="91"/>
  <c r="L166" i="91"/>
  <c r="L114" i="91"/>
  <c r="I7" i="91"/>
  <c r="I11" i="91"/>
  <c r="I15" i="91"/>
  <c r="I19" i="91"/>
  <c r="I23" i="91"/>
  <c r="I27" i="91"/>
  <c r="I31" i="91"/>
  <c r="I35" i="91"/>
  <c r="I39" i="91"/>
  <c r="I87" i="91"/>
  <c r="L12" i="92"/>
  <c r="M12" i="92"/>
  <c r="L18" i="92"/>
  <c r="M18" i="92"/>
  <c r="L26" i="92"/>
  <c r="M26" i="92"/>
  <c r="L34" i="92"/>
  <c r="M34" i="92"/>
  <c r="L53" i="92"/>
  <c r="M53" i="92"/>
  <c r="L58" i="92"/>
  <c r="L66" i="92"/>
  <c r="M66" i="92"/>
  <c r="L74" i="92"/>
  <c r="M74" i="92"/>
  <c r="O74" i="92" s="1"/>
  <c r="L86" i="92"/>
  <c r="M86" i="92"/>
  <c r="L91" i="92"/>
  <c r="L102" i="92"/>
  <c r="L113" i="92"/>
  <c r="M113" i="92"/>
  <c r="L119" i="92"/>
  <c r="M119" i="92"/>
  <c r="L127" i="92"/>
  <c r="M127" i="92"/>
  <c r="L138" i="92"/>
  <c r="M138" i="92"/>
  <c r="L143" i="92"/>
  <c r="L154" i="92"/>
  <c r="M154" i="92"/>
  <c r="L159" i="92"/>
  <c r="L169" i="92"/>
  <c r="L173" i="92"/>
  <c r="L178" i="92"/>
  <c r="L189" i="92"/>
  <c r="M189" i="92"/>
  <c r="L194" i="92"/>
  <c r="L201" i="92"/>
  <c r="M201" i="92"/>
  <c r="L209" i="92"/>
  <c r="M209" i="92"/>
  <c r="L217" i="92"/>
  <c r="M217" i="92"/>
  <c r="L230" i="92"/>
  <c r="M230" i="92"/>
  <c r="L235" i="92"/>
  <c r="L246" i="92"/>
  <c r="M246" i="92"/>
  <c r="O246" i="92" s="1"/>
  <c r="L251" i="92"/>
  <c r="L262" i="92"/>
  <c r="M262" i="92"/>
  <c r="O262" i="92" s="1"/>
  <c r="L269" i="92"/>
  <c r="M269" i="92"/>
  <c r="M5" i="59"/>
  <c r="M9" i="59"/>
  <c r="M13" i="59"/>
  <c r="M34" i="59"/>
  <c r="N34" i="59"/>
  <c r="M63" i="59"/>
  <c r="N63" i="59"/>
  <c r="M74" i="59"/>
  <c r="N74" i="59"/>
  <c r="M109" i="59"/>
  <c r="N109" i="59"/>
  <c r="M136" i="59"/>
  <c r="N136" i="59"/>
  <c r="M153" i="59"/>
  <c r="N153" i="59"/>
  <c r="M165" i="59"/>
  <c r="N165" i="59"/>
  <c r="M181" i="59"/>
  <c r="N181" i="59"/>
  <c r="M198" i="59"/>
  <c r="N198" i="59"/>
  <c r="M209" i="59"/>
  <c r="N209" i="59"/>
  <c r="M225" i="59"/>
  <c r="N225" i="59"/>
  <c r="M247" i="59"/>
  <c r="N247" i="59"/>
  <c r="M161" i="59"/>
  <c r="N161" i="59"/>
  <c r="M193" i="59"/>
  <c r="N193" i="59"/>
  <c r="L198" i="91"/>
  <c r="L162" i="91"/>
  <c r="L130" i="91"/>
  <c r="J215" i="91"/>
  <c r="J195" i="91"/>
  <c r="J191" i="91"/>
  <c r="J143" i="91"/>
  <c r="J139" i="91"/>
  <c r="J135" i="91"/>
  <c r="J131" i="91"/>
  <c r="J127" i="91"/>
  <c r="J123" i="91"/>
  <c r="J107" i="91"/>
  <c r="L107" i="91" s="1"/>
  <c r="J103" i="91"/>
  <c r="J99" i="91"/>
  <c r="J95" i="91"/>
  <c r="L95" i="91" s="1"/>
  <c r="J79" i="91"/>
  <c r="J43" i="91"/>
  <c r="L19" i="92"/>
  <c r="M19" i="92"/>
  <c r="L27" i="92"/>
  <c r="M27" i="92"/>
  <c r="L35" i="92"/>
  <c r="M35" i="92"/>
  <c r="L43" i="92"/>
  <c r="M43" i="92"/>
  <c r="L67" i="92"/>
  <c r="M67" i="92"/>
  <c r="O67" i="92" s="1"/>
  <c r="L75" i="92"/>
  <c r="M75" i="92"/>
  <c r="L92" i="92"/>
  <c r="M92" i="92"/>
  <c r="O92" i="92" s="1"/>
  <c r="L103" i="92"/>
  <c r="M103" i="92"/>
  <c r="O103" i="92" s="1"/>
  <c r="L120" i="92"/>
  <c r="M120" i="92"/>
  <c r="L144" i="92"/>
  <c r="M144" i="92"/>
  <c r="L160" i="92"/>
  <c r="M160" i="92"/>
  <c r="L179" i="92"/>
  <c r="M179" i="92"/>
  <c r="L195" i="92"/>
  <c r="M195" i="92"/>
  <c r="L202" i="92"/>
  <c r="M202" i="92"/>
  <c r="L210" i="92"/>
  <c r="M210" i="92"/>
  <c r="L218" i="92"/>
  <c r="M218" i="92"/>
  <c r="L236" i="92"/>
  <c r="M236" i="92"/>
  <c r="O236" i="92" s="1"/>
  <c r="L252" i="92"/>
  <c r="M252" i="92"/>
  <c r="O252" i="92" s="1"/>
  <c r="M35" i="59"/>
  <c r="N35" i="59"/>
  <c r="M47" i="59"/>
  <c r="N47" i="59"/>
  <c r="M69" i="59"/>
  <c r="N69" i="59"/>
  <c r="M80" i="59"/>
  <c r="N80" i="59"/>
  <c r="M86" i="59"/>
  <c r="N86" i="59"/>
  <c r="M99" i="59"/>
  <c r="N99" i="59"/>
  <c r="M126" i="59"/>
  <c r="N126" i="59"/>
  <c r="M142" i="59"/>
  <c r="N142" i="59"/>
  <c r="M154" i="59"/>
  <c r="N154" i="59"/>
  <c r="M171" i="59"/>
  <c r="N171" i="59"/>
  <c r="M187" i="59"/>
  <c r="N187" i="59"/>
  <c r="M204" i="59"/>
  <c r="N204" i="59"/>
  <c r="M215" i="59"/>
  <c r="N215" i="59"/>
  <c r="M237" i="59"/>
  <c r="N237" i="59"/>
  <c r="O183" i="96"/>
  <c r="O33" i="96"/>
  <c r="O182" i="96"/>
  <c r="L63" i="97"/>
  <c r="L134" i="97"/>
  <c r="L150" i="97"/>
  <c r="L186" i="97"/>
  <c r="L198" i="97"/>
  <c r="L23" i="97"/>
  <c r="L168" i="97"/>
  <c r="L64" i="97"/>
  <c r="L68" i="97"/>
  <c r="L82" i="97"/>
  <c r="L86" i="97"/>
  <c r="L90" i="97"/>
  <c r="L193" i="97"/>
  <c r="L94" i="97"/>
  <c r="L95" i="97"/>
  <c r="L96" i="97"/>
  <c r="L97" i="97"/>
  <c r="L112" i="97"/>
  <c r="L116" i="97"/>
  <c r="L128" i="97"/>
  <c r="L144" i="97"/>
  <c r="L160" i="97"/>
  <c r="L164" i="97"/>
  <c r="L206" i="97"/>
  <c r="L71" i="97"/>
  <c r="L72" i="97"/>
  <c r="L73" i="97"/>
  <c r="L74" i="97"/>
  <c r="L76" i="97"/>
  <c r="L11" i="97"/>
  <c r="L13" i="97"/>
  <c r="L15" i="97"/>
  <c r="L45" i="97"/>
  <c r="L100" i="97"/>
  <c r="L54" i="97"/>
  <c r="L55" i="97"/>
  <c r="L56" i="97"/>
  <c r="L58" i="97"/>
  <c r="L84" i="97"/>
  <c r="L120" i="97"/>
  <c r="L136" i="97"/>
  <c r="L152" i="97"/>
  <c r="L172" i="97"/>
  <c r="L188" i="97"/>
  <c r="L201" i="97"/>
  <c r="L202" i="97"/>
  <c r="L216" i="97"/>
  <c r="L57" i="97"/>
  <c r="L65" i="97"/>
  <c r="L89" i="97"/>
  <c r="L17" i="97"/>
  <c r="L19" i="97"/>
  <c r="L47" i="97"/>
  <c r="L192" i="97"/>
  <c r="L208" i="97"/>
  <c r="L5" i="97"/>
  <c r="L7" i="97"/>
  <c r="L37" i="97"/>
  <c r="L39" i="97"/>
  <c r="L41" i="97"/>
  <c r="L27" i="97"/>
  <c r="L29" i="97"/>
  <c r="L31" i="97"/>
  <c r="L33" i="97"/>
  <c r="L35" i="97"/>
  <c r="L78" i="97"/>
  <c r="L79" i="97"/>
  <c r="L80" i="97"/>
  <c r="L108" i="97"/>
  <c r="L180" i="97"/>
  <c r="L184" i="97"/>
  <c r="L200" i="97"/>
  <c r="O196" i="96"/>
  <c r="O52" i="96"/>
  <c r="O53" i="96"/>
  <c r="O97" i="96"/>
  <c r="O129" i="96"/>
  <c r="O98" i="96"/>
  <c r="O99" i="96"/>
  <c r="O135" i="96"/>
  <c r="O9" i="96"/>
  <c r="O10" i="96"/>
  <c r="O20" i="96"/>
  <c r="O46" i="96"/>
  <c r="O87" i="96"/>
  <c r="O90" i="96"/>
  <c r="O91" i="96"/>
  <c r="O92" i="96"/>
  <c r="O180" i="96"/>
  <c r="O214" i="96"/>
  <c r="O215" i="96"/>
  <c r="O17" i="96"/>
  <c r="O18" i="96"/>
  <c r="O61" i="96"/>
  <c r="O75" i="96"/>
  <c r="O84" i="96"/>
  <c r="O113" i="96"/>
  <c r="O114" i="96"/>
  <c r="O115" i="96"/>
  <c r="O124" i="96"/>
  <c r="O117" i="96"/>
  <c r="O163" i="96"/>
  <c r="O16" i="96"/>
  <c r="O48" i="96"/>
  <c r="O63" i="96"/>
  <c r="O69" i="96"/>
  <c r="O199" i="96"/>
  <c r="O12" i="96"/>
  <c r="O24" i="96"/>
  <c r="O58" i="96"/>
  <c r="O73" i="96"/>
  <c r="O81" i="96"/>
  <c r="O101" i="96"/>
  <c r="O109" i="96"/>
  <c r="O159" i="96"/>
  <c r="O165" i="96"/>
  <c r="O203" i="96"/>
  <c r="O32" i="96"/>
  <c r="O40" i="96"/>
  <c r="O127" i="96"/>
  <c r="O195" i="96"/>
  <c r="O6" i="96"/>
  <c r="O22" i="96"/>
  <c r="O38" i="96"/>
  <c r="O147" i="96"/>
  <c r="O8" i="96"/>
  <c r="O28" i="96"/>
  <c r="O36" i="96"/>
  <c r="O79" i="96"/>
  <c r="O95" i="96"/>
  <c r="O166" i="96"/>
  <c r="O167" i="96"/>
  <c r="O179" i="96"/>
  <c r="O4" i="96"/>
  <c r="O42" i="96"/>
  <c r="O43" i="96"/>
  <c r="O49" i="96"/>
  <c r="O50" i="96"/>
  <c r="O82" i="96"/>
  <c r="O106" i="96"/>
  <c r="O107" i="96"/>
  <c r="O121" i="96"/>
  <c r="O122" i="96"/>
  <c r="O190" i="96"/>
  <c r="O14" i="96"/>
  <c r="O30" i="96"/>
  <c r="O65" i="96"/>
  <c r="O66" i="96"/>
  <c r="O67" i="96"/>
  <c r="O68" i="96"/>
  <c r="O155" i="96"/>
  <c r="O166" i="95"/>
  <c r="O169" i="95"/>
  <c r="O25" i="95"/>
  <c r="O35" i="95"/>
  <c r="O39" i="95"/>
  <c r="O43" i="95"/>
  <c r="O160" i="95"/>
  <c r="O52" i="95"/>
  <c r="O100" i="95"/>
  <c r="O106" i="95"/>
  <c r="O116" i="95"/>
  <c r="O146" i="95"/>
  <c r="O182" i="95"/>
  <c r="O94" i="95"/>
  <c r="O61" i="95"/>
  <c r="O65" i="95"/>
  <c r="O72" i="95"/>
  <c r="O88" i="95"/>
  <c r="O114" i="95"/>
  <c r="O97" i="95"/>
  <c r="O142" i="95"/>
  <c r="O173" i="95"/>
  <c r="O202" i="95"/>
  <c r="O190" i="95"/>
  <c r="O7" i="95"/>
  <c r="O13" i="95"/>
  <c r="O17" i="95"/>
  <c r="O27" i="95"/>
  <c r="O31" i="95"/>
  <c r="O49" i="95"/>
  <c r="O178" i="95"/>
  <c r="O189" i="95"/>
  <c r="O21" i="95"/>
  <c r="O78" i="95"/>
  <c r="O84" i="95"/>
  <c r="O140" i="95"/>
  <c r="O144" i="95"/>
  <c r="O181" i="95"/>
  <c r="O197" i="95"/>
  <c r="O205" i="95"/>
  <c r="O45" i="95"/>
  <c r="O102" i="95"/>
  <c r="O108" i="95"/>
  <c r="O11" i="95"/>
  <c r="O76" i="95"/>
  <c r="O80" i="95"/>
  <c r="O118" i="95"/>
  <c r="O136" i="95"/>
  <c r="O138" i="95"/>
  <c r="O19" i="95"/>
  <c r="O23" i="95"/>
  <c r="O37" i="95"/>
  <c r="O41" i="95"/>
  <c r="O86" i="95"/>
  <c r="O184" i="95"/>
  <c r="O74" i="95"/>
  <c r="O154" i="95"/>
  <c r="O5" i="95"/>
  <c r="O9" i="95"/>
  <c r="O15" i="95"/>
  <c r="O29" i="95"/>
  <c r="O33" i="95"/>
  <c r="O47" i="95"/>
  <c r="O54" i="95"/>
  <c r="O57" i="95"/>
  <c r="O82" i="95"/>
  <c r="O92" i="95"/>
  <c r="O110" i="95"/>
  <c r="O120" i="95"/>
  <c r="O148" i="95"/>
  <c r="O206" i="95"/>
  <c r="O212" i="95"/>
  <c r="O194" i="95"/>
  <c r="O163" i="95"/>
  <c r="O209" i="95"/>
  <c r="O216" i="95"/>
  <c r="O96" i="95"/>
  <c r="O105" i="95"/>
  <c r="O113" i="95"/>
  <c r="O157" i="95"/>
  <c r="O161" i="95"/>
  <c r="O165" i="95"/>
  <c r="O185" i="95"/>
  <c r="O56" i="95"/>
  <c r="O64" i="95"/>
  <c r="O71" i="95"/>
  <c r="O90" i="95"/>
  <c r="O104" i="95"/>
  <c r="O112" i="95"/>
  <c r="O121" i="95"/>
  <c r="O141" i="95"/>
  <c r="O145" i="95"/>
  <c r="O149" i="95"/>
  <c r="O174" i="95"/>
  <c r="O177" i="95"/>
  <c r="O201" i="95"/>
  <c r="O63" i="95"/>
  <c r="O89" i="95"/>
  <c r="O98" i="95"/>
  <c r="O125" i="95"/>
  <c r="O129" i="95"/>
  <c r="O133" i="95"/>
  <c r="O170" i="95"/>
  <c r="O198" i="95"/>
  <c r="K215" i="94"/>
  <c r="K234" i="57"/>
  <c r="L132" i="97"/>
  <c r="L182" i="97"/>
  <c r="L199" i="97"/>
  <c r="L81" i="97"/>
  <c r="H217" i="97"/>
  <c r="L102" i="97"/>
  <c r="L118" i="97"/>
  <c r="L203" i="97"/>
  <c r="G217" i="97"/>
  <c r="L109" i="97"/>
  <c r="L127" i="97"/>
  <c r="L143" i="97"/>
  <c r="L159" i="97"/>
  <c r="L187" i="97"/>
  <c r="L204" i="97"/>
  <c r="L6" i="97"/>
  <c r="L8" i="97"/>
  <c r="L10" i="97"/>
  <c r="L12" i="97"/>
  <c r="L14" i="97"/>
  <c r="L16" i="97"/>
  <c r="L18" i="97"/>
  <c r="L20" i="97"/>
  <c r="L22" i="97"/>
  <c r="L24" i="97"/>
  <c r="L26" i="97"/>
  <c r="L28" i="97"/>
  <c r="L30" i="97"/>
  <c r="L32" i="97"/>
  <c r="L34" i="97"/>
  <c r="L36" i="97"/>
  <c r="L38" i="97"/>
  <c r="L40" i="97"/>
  <c r="L42" i="97"/>
  <c r="L44" i="97"/>
  <c r="L46" i="97"/>
  <c r="L48" i="97"/>
  <c r="L50" i="97"/>
  <c r="L60" i="97"/>
  <c r="L98" i="97"/>
  <c r="L101" i="97"/>
  <c r="L117" i="97"/>
  <c r="L124" i="97"/>
  <c r="L135" i="97"/>
  <c r="L151" i="97"/>
  <c r="L156" i="97"/>
  <c r="L190" i="97"/>
  <c r="L196" i="97"/>
  <c r="L207" i="97"/>
  <c r="L214" i="97"/>
  <c r="L9" i="97"/>
  <c r="L25" i="97"/>
  <c r="L43" i="97"/>
  <c r="L49" i="97"/>
  <c r="L70" i="97"/>
  <c r="L92" i="97"/>
  <c r="L105" i="97"/>
  <c r="L106" i="97"/>
  <c r="L113" i="97"/>
  <c r="L114" i="97"/>
  <c r="L121" i="97"/>
  <c r="L122" i="97"/>
  <c r="L129" i="97"/>
  <c r="L130" i="97"/>
  <c r="L137" i="97"/>
  <c r="L138" i="97"/>
  <c r="L140" i="97"/>
  <c r="L145" i="97"/>
  <c r="L146" i="97"/>
  <c r="L148" i="97"/>
  <c r="L153" i="97"/>
  <c r="L154" i="97"/>
  <c r="L161" i="97"/>
  <c r="L162" i="97"/>
  <c r="L169" i="97"/>
  <c r="L170" i="97"/>
  <c r="L177" i="97"/>
  <c r="L178" i="97"/>
  <c r="L110" i="97"/>
  <c r="L166" i="97"/>
  <c r="L176" i="97"/>
  <c r="L195" i="97"/>
  <c r="L103" i="97"/>
  <c r="L111" i="97"/>
  <c r="L119" i="97"/>
  <c r="L167" i="97"/>
  <c r="L175" i="97"/>
  <c r="L183" i="97"/>
  <c r="L191" i="97"/>
  <c r="L215" i="97"/>
  <c r="F217" i="97"/>
  <c r="L53" i="97"/>
  <c r="L61" i="97"/>
  <c r="L69" i="97"/>
  <c r="L77" i="97"/>
  <c r="L85" i="97"/>
  <c r="L93" i="97"/>
  <c r="L125" i="97"/>
  <c r="L133" i="97"/>
  <c r="L141" i="97"/>
  <c r="L149" i="97"/>
  <c r="L157" i="97"/>
  <c r="L165" i="97"/>
  <c r="L173" i="97"/>
  <c r="L181" i="97"/>
  <c r="L189" i="97"/>
  <c r="L197" i="97"/>
  <c r="L205" i="97"/>
  <c r="L213" i="97"/>
  <c r="L51" i="97"/>
  <c r="L59" i="97"/>
  <c r="L67" i="97"/>
  <c r="L75" i="97"/>
  <c r="L83" i="97"/>
  <c r="L91" i="97"/>
  <c r="L99" i="97"/>
  <c r="L107" i="97"/>
  <c r="L115" i="97"/>
  <c r="L123" i="97"/>
  <c r="L131" i="97"/>
  <c r="L139" i="97"/>
  <c r="L147" i="97"/>
  <c r="L155" i="97"/>
  <c r="L163" i="97"/>
  <c r="L171" i="97"/>
  <c r="L179" i="97"/>
  <c r="L211" i="97"/>
  <c r="M116" i="96"/>
  <c r="O116" i="96" s="1"/>
  <c r="M119" i="96"/>
  <c r="O119" i="96" s="1"/>
  <c r="M133" i="96"/>
  <c r="O133" i="96" s="1"/>
  <c r="M162" i="96"/>
  <c r="O162" i="96" s="1"/>
  <c r="N169" i="96"/>
  <c r="O169" i="96" s="1"/>
  <c r="O11" i="96"/>
  <c r="O19" i="96"/>
  <c r="O44" i="96"/>
  <c r="O123" i="96"/>
  <c r="M130" i="96"/>
  <c r="O130" i="96" s="1"/>
  <c r="O164" i="96"/>
  <c r="M21" i="96"/>
  <c r="O21" i="96" s="1"/>
  <c r="M29" i="96"/>
  <c r="O29" i="96" s="1"/>
  <c r="M37" i="96"/>
  <c r="O37" i="96" s="1"/>
  <c r="M62" i="96"/>
  <c r="O62" i="96" s="1"/>
  <c r="N85" i="96"/>
  <c r="O85" i="96" s="1"/>
  <c r="M108" i="96"/>
  <c r="O108" i="96" s="1"/>
  <c r="M111" i="96"/>
  <c r="O111" i="96" s="1"/>
  <c r="M125" i="96"/>
  <c r="O125" i="96" s="1"/>
  <c r="M154" i="96"/>
  <c r="O154" i="96" s="1"/>
  <c r="M157" i="96"/>
  <c r="O157" i="96" s="1"/>
  <c r="M174" i="96"/>
  <c r="O174" i="96" s="1"/>
  <c r="M177" i="96"/>
  <c r="O177" i="96" s="1"/>
  <c r="M188" i="96"/>
  <c r="O188" i="96" s="1"/>
  <c r="M191" i="96"/>
  <c r="O191" i="96" s="1"/>
  <c r="M211" i="96"/>
  <c r="O211" i="96" s="1"/>
  <c r="M5" i="96"/>
  <c r="O5" i="96" s="1"/>
  <c r="M13" i="96"/>
  <c r="O13" i="96" s="1"/>
  <c r="M34" i="96"/>
  <c r="O34" i="96" s="1"/>
  <c r="O35" i="96"/>
  <c r="N41" i="96"/>
  <c r="O41" i="96" s="1"/>
  <c r="N71" i="96"/>
  <c r="O71" i="96" s="1"/>
  <c r="O74" i="96"/>
  <c r="M80" i="96"/>
  <c r="O80" i="96" s="1"/>
  <c r="M83" i="96"/>
  <c r="O83" i="96" s="1"/>
  <c r="M70" i="96"/>
  <c r="O70" i="96" s="1"/>
  <c r="N77" i="96"/>
  <c r="O77" i="96" s="1"/>
  <c r="M100" i="96"/>
  <c r="O100" i="96" s="1"/>
  <c r="M103" i="96"/>
  <c r="O103" i="96" s="1"/>
  <c r="M146" i="96"/>
  <c r="O146" i="96" s="1"/>
  <c r="M149" i="96"/>
  <c r="O149" i="96" s="1"/>
  <c r="M209" i="96"/>
  <c r="O209" i="96" s="1"/>
  <c r="N213" i="96"/>
  <c r="O213" i="96" s="1"/>
  <c r="O7" i="96"/>
  <c r="O15" i="96"/>
  <c r="O25" i="96"/>
  <c r="M26" i="96"/>
  <c r="O26" i="96" s="1"/>
  <c r="O27" i="96"/>
  <c r="N51" i="96"/>
  <c r="O51" i="96" s="1"/>
  <c r="O89" i="96"/>
  <c r="O105" i="96"/>
  <c r="O204" i="96"/>
  <c r="O205" i="96"/>
  <c r="N59" i="96"/>
  <c r="O59" i="96" s="1"/>
  <c r="M93" i="96"/>
  <c r="O93" i="96" s="1"/>
  <c r="M138" i="96"/>
  <c r="O138" i="96" s="1"/>
  <c r="M141" i="96"/>
  <c r="O141" i="96" s="1"/>
  <c r="N171" i="96"/>
  <c r="O171" i="96" s="1"/>
  <c r="M198" i="96"/>
  <c r="O198" i="96" s="1"/>
  <c r="M201" i="96"/>
  <c r="O201" i="96" s="1"/>
  <c r="O45" i="96"/>
  <c r="O55" i="96"/>
  <c r="O57" i="96"/>
  <c r="O60" i="96"/>
  <c r="O76" i="96"/>
  <c r="O132" i="96"/>
  <c r="O156" i="96"/>
  <c r="O158" i="96"/>
  <c r="O197" i="96"/>
  <c r="O212" i="96"/>
  <c r="M168" i="96"/>
  <c r="O168" i="96" s="1"/>
  <c r="M178" i="96"/>
  <c r="O178" i="96" s="1"/>
  <c r="O23" i="96"/>
  <c r="O31" i="96"/>
  <c r="O39" i="96"/>
  <c r="O47" i="96"/>
  <c r="O78" i="96"/>
  <c r="O86" i="96"/>
  <c r="O94" i="96"/>
  <c r="O102" i="96"/>
  <c r="O110" i="96"/>
  <c r="O118" i="96"/>
  <c r="O126" i="96"/>
  <c r="O134" i="96"/>
  <c r="O140" i="96"/>
  <c r="O142" i="96"/>
  <c r="O148" i="96"/>
  <c r="O150" i="96"/>
  <c r="O172" i="96"/>
  <c r="O173" i="96"/>
  <c r="O189" i="96"/>
  <c r="O207" i="96"/>
  <c r="M137" i="96"/>
  <c r="O137" i="96" s="1"/>
  <c r="M145" i="96"/>
  <c r="O145" i="96" s="1"/>
  <c r="M153" i="96"/>
  <c r="O153" i="96" s="1"/>
  <c r="M161" i="96"/>
  <c r="O161" i="96" s="1"/>
  <c r="M184" i="96"/>
  <c r="O184" i="96" s="1"/>
  <c r="M187" i="96"/>
  <c r="O187" i="96" s="1"/>
  <c r="M192" i="96"/>
  <c r="O192" i="96" s="1"/>
  <c r="M202" i="96"/>
  <c r="O202" i="96" s="1"/>
  <c r="O170" i="96"/>
  <c r="O186" i="96"/>
  <c r="O194" i="96"/>
  <c r="O210" i="96"/>
  <c r="F216" i="96"/>
  <c r="O56" i="96"/>
  <c r="O64" i="96"/>
  <c r="O72" i="96"/>
  <c r="O88" i="96"/>
  <c r="O96" i="96"/>
  <c r="O104" i="96"/>
  <c r="O112" i="96"/>
  <c r="O120" i="96"/>
  <c r="O128" i="96"/>
  <c r="O136" i="96"/>
  <c r="O144" i="96"/>
  <c r="O152" i="96"/>
  <c r="O160" i="96"/>
  <c r="O176" i="96"/>
  <c r="O200" i="96"/>
  <c r="O208" i="96"/>
  <c r="O171" i="95"/>
  <c r="O199" i="95"/>
  <c r="O58" i="95"/>
  <c r="O60" i="95"/>
  <c r="O62" i="95"/>
  <c r="O69" i="95"/>
  <c r="O91" i="95"/>
  <c r="J217" i="95"/>
  <c r="O175" i="95"/>
  <c r="O203" i="95"/>
  <c r="O208" i="95"/>
  <c r="O66" i="95"/>
  <c r="O68" i="95"/>
  <c r="O70" i="95"/>
  <c r="O73" i="95"/>
  <c r="O77" i="95"/>
  <c r="O79" i="95"/>
  <c r="O93" i="95"/>
  <c r="O101" i="95"/>
  <c r="O109" i="95"/>
  <c r="O117" i="95"/>
  <c r="O204" i="95"/>
  <c r="K217" i="95"/>
  <c r="O179" i="95"/>
  <c r="O207" i="95"/>
  <c r="O119" i="95"/>
  <c r="O6" i="95"/>
  <c r="O8" i="95"/>
  <c r="O10" i="95"/>
  <c r="O12" i="95"/>
  <c r="O14" i="95"/>
  <c r="O16" i="95"/>
  <c r="O18" i="95"/>
  <c r="O20" i="95"/>
  <c r="O22" i="95"/>
  <c r="O24" i="95"/>
  <c r="O26" i="95"/>
  <c r="O28" i="95"/>
  <c r="O30" i="95"/>
  <c r="O32" i="95"/>
  <c r="O34" i="95"/>
  <c r="O36" i="95"/>
  <c r="O38" i="95"/>
  <c r="O40" i="95"/>
  <c r="O42" i="95"/>
  <c r="O44" i="95"/>
  <c r="O46" i="95"/>
  <c r="O48" i="95"/>
  <c r="O50" i="95"/>
  <c r="O53" i="95"/>
  <c r="O55" i="95"/>
  <c r="O81" i="95"/>
  <c r="O85" i="95"/>
  <c r="O87" i="95"/>
  <c r="O95" i="95"/>
  <c r="O103" i="95"/>
  <c r="O111" i="95"/>
  <c r="O124" i="95"/>
  <c r="O128" i="95"/>
  <c r="O132" i="95"/>
  <c r="O137" i="95"/>
  <c r="O152" i="95"/>
  <c r="O153" i="95"/>
  <c r="O164" i="95"/>
  <c r="O168" i="95"/>
  <c r="O172" i="95"/>
  <c r="O176" i="95"/>
  <c r="O180" i="95"/>
  <c r="O188" i="95"/>
  <c r="O193" i="95"/>
  <c r="O196" i="95"/>
  <c r="O167" i="95"/>
  <c r="O200" i="95"/>
  <c r="O127" i="95"/>
  <c r="O135" i="95"/>
  <c r="O143" i="95"/>
  <c r="O151" i="95"/>
  <c r="O159" i="95"/>
  <c r="O183" i="95"/>
  <c r="O191" i="95"/>
  <c r="O215" i="95"/>
  <c r="F217" i="95"/>
  <c r="I217" i="95"/>
  <c r="O51" i="95"/>
  <c r="O59" i="95"/>
  <c r="O67" i="95"/>
  <c r="O75" i="95"/>
  <c r="O83" i="95"/>
  <c r="O99" i="95"/>
  <c r="O107" i="95"/>
  <c r="O115" i="95"/>
  <c r="O123" i="95"/>
  <c r="O131" i="95"/>
  <c r="O139" i="95"/>
  <c r="O147" i="95"/>
  <c r="O155" i="95"/>
  <c r="O187" i="95"/>
  <c r="O195" i="95"/>
  <c r="O211" i="95"/>
  <c r="J215" i="94"/>
  <c r="F215" i="94"/>
  <c r="J263" i="93"/>
  <c r="L263" i="93"/>
  <c r="N263" i="93"/>
  <c r="F263" i="93"/>
  <c r="O6" i="92"/>
  <c r="O16" i="92"/>
  <c r="O20" i="92"/>
  <c r="O31" i="92"/>
  <c r="O34" i="92"/>
  <c r="O38" i="92"/>
  <c r="O42" i="92"/>
  <c r="O55" i="92"/>
  <c r="O69" i="92"/>
  <c r="O72" i="92"/>
  <c r="O76" i="92"/>
  <c r="O86" i="92"/>
  <c r="O95" i="92"/>
  <c r="O100" i="92"/>
  <c r="O114" i="92"/>
  <c r="O118" i="92"/>
  <c r="O138" i="92"/>
  <c r="O218" i="92"/>
  <c r="O234" i="92"/>
  <c r="O270" i="92"/>
  <c r="O58" i="92"/>
  <c r="O19" i="92"/>
  <c r="O99" i="92"/>
  <c r="O120" i="92"/>
  <c r="O124" i="92"/>
  <c r="O128" i="92"/>
  <c r="O136" i="92"/>
  <c r="O144" i="92"/>
  <c r="O39" i="92"/>
  <c r="O49" i="92"/>
  <c r="O53" i="92"/>
  <c r="O33" i="92"/>
  <c r="O35" i="92"/>
  <c r="O12" i="92"/>
  <c r="O22" i="92"/>
  <c r="O23" i="92"/>
  <c r="O14" i="92"/>
  <c r="O15" i="92"/>
  <c r="O84" i="92"/>
  <c r="O85" i="92"/>
  <c r="O10" i="92"/>
  <c r="O18" i="92"/>
  <c r="O25" i="92"/>
  <c r="O27" i="92"/>
  <c r="O30" i="92"/>
  <c r="O41" i="92"/>
  <c r="O43" i="92"/>
  <c r="O46" i="92"/>
  <c r="O57" i="92"/>
  <c r="O59" i="92"/>
  <c r="O62" i="92"/>
  <c r="O73" i="92"/>
  <c r="O75" i="92"/>
  <c r="O78" i="92"/>
  <c r="O88" i="92"/>
  <c r="O96" i="92"/>
  <c r="O104" i="92"/>
  <c r="O48" i="92"/>
  <c r="O50" i="92"/>
  <c r="O52" i="92"/>
  <c r="O64" i="92"/>
  <c r="O66" i="92"/>
  <c r="O68" i="92"/>
  <c r="O80" i="92"/>
  <c r="O82" i="92"/>
  <c r="O90" i="92"/>
  <c r="O98" i="92"/>
  <c r="O106" i="92"/>
  <c r="O109" i="92"/>
  <c r="O113" i="92"/>
  <c r="O117" i="92"/>
  <c r="O121" i="92"/>
  <c r="O125" i="92"/>
  <c r="O129" i="92"/>
  <c r="O133" i="92"/>
  <c r="O137" i="92"/>
  <c r="O141" i="92"/>
  <c r="O142" i="92"/>
  <c r="O145" i="92"/>
  <c r="O146" i="92"/>
  <c r="O149" i="92"/>
  <c r="O150" i="92"/>
  <c r="O153" i="92"/>
  <c r="O154" i="92"/>
  <c r="O157" i="92"/>
  <c r="O158" i="92"/>
  <c r="O161" i="92"/>
  <c r="O162" i="92"/>
  <c r="O165" i="92"/>
  <c r="O166" i="92"/>
  <c r="O169" i="92"/>
  <c r="O170" i="92"/>
  <c r="O173" i="92"/>
  <c r="O174" i="92"/>
  <c r="O177" i="92"/>
  <c r="O178" i="92"/>
  <c r="O180" i="92"/>
  <c r="O181" i="92"/>
  <c r="O182" i="92"/>
  <c r="O184" i="92"/>
  <c r="O185" i="92"/>
  <c r="O186" i="92"/>
  <c r="O188" i="92"/>
  <c r="O189" i="92"/>
  <c r="O190" i="92"/>
  <c r="O193" i="92"/>
  <c r="O197" i="92"/>
  <c r="O198" i="92"/>
  <c r="O200" i="92"/>
  <c r="O201" i="92"/>
  <c r="O202" i="92"/>
  <c r="O204" i="92"/>
  <c r="O205" i="92"/>
  <c r="O206" i="92"/>
  <c r="O208" i="92"/>
  <c r="O209" i="92"/>
  <c r="O210" i="92"/>
  <c r="O212" i="92"/>
  <c r="O213" i="92"/>
  <c r="O214" i="92"/>
  <c r="O216" i="92"/>
  <c r="O217" i="92"/>
  <c r="O221" i="92"/>
  <c r="O225" i="92"/>
  <c r="O229" i="92"/>
  <c r="O230" i="92"/>
  <c r="O233" i="92"/>
  <c r="O237" i="92"/>
  <c r="O241" i="92"/>
  <c r="O245" i="92"/>
  <c r="O249" i="92"/>
  <c r="O253" i="92"/>
  <c r="O257" i="92"/>
  <c r="O261" i="92"/>
  <c r="O265" i="92"/>
  <c r="O269" i="92"/>
  <c r="N273" i="92"/>
  <c r="F273" i="92"/>
  <c r="O4" i="92"/>
  <c r="O26" i="92"/>
  <c r="L273" i="92"/>
  <c r="O24" i="92"/>
  <c r="O107" i="92"/>
  <c r="O111" i="92"/>
  <c r="O115" i="92"/>
  <c r="O119" i="92"/>
  <c r="O123" i="92"/>
  <c r="O127" i="92"/>
  <c r="O131" i="92"/>
  <c r="O135" i="92"/>
  <c r="O139" i="92"/>
  <c r="O143" i="92"/>
  <c r="O147" i="92"/>
  <c r="O151" i="92"/>
  <c r="O155" i="92"/>
  <c r="O159" i="92"/>
  <c r="O163" i="92"/>
  <c r="O167" i="92"/>
  <c r="O171" i="92"/>
  <c r="O175" i="92"/>
  <c r="O179" i="92"/>
  <c r="O183" i="92"/>
  <c r="O187" i="92"/>
  <c r="O191" i="92"/>
  <c r="O195" i="92"/>
  <c r="O199" i="92"/>
  <c r="O203" i="92"/>
  <c r="O207" i="92"/>
  <c r="O211" i="92"/>
  <c r="O215" i="92"/>
  <c r="O219" i="92"/>
  <c r="O223" i="92"/>
  <c r="O227" i="92"/>
  <c r="O231" i="92"/>
  <c r="O235" i="92"/>
  <c r="O239" i="92"/>
  <c r="O243" i="92"/>
  <c r="O247" i="92"/>
  <c r="O251" i="92"/>
  <c r="O255" i="92"/>
  <c r="O259" i="92"/>
  <c r="O263" i="92"/>
  <c r="O267" i="92"/>
  <c r="O271" i="92"/>
  <c r="O116" i="92"/>
  <c r="O132" i="92"/>
  <c r="O140" i="92"/>
  <c r="O148" i="92"/>
  <c r="O152" i="92"/>
  <c r="O156" i="92"/>
  <c r="O160" i="92"/>
  <c r="O164" i="92"/>
  <c r="O168" i="92"/>
  <c r="O172" i="92"/>
  <c r="O176" i="92"/>
  <c r="L7" i="91"/>
  <c r="L11" i="91"/>
  <c r="L15" i="91"/>
  <c r="L19" i="91"/>
  <c r="L23" i="91"/>
  <c r="L27" i="91"/>
  <c r="L31" i="91"/>
  <c r="L35" i="91"/>
  <c r="L39" i="91"/>
  <c r="L43" i="91"/>
  <c r="L47" i="91"/>
  <c r="L51" i="91"/>
  <c r="L55" i="91"/>
  <c r="L59" i="91"/>
  <c r="L63" i="91"/>
  <c r="L67" i="91"/>
  <c r="L71" i="91"/>
  <c r="L75" i="91"/>
  <c r="L79" i="91"/>
  <c r="L82" i="91"/>
  <c r="L86" i="91"/>
  <c r="L227" i="91"/>
  <c r="L9" i="91"/>
  <c r="L13" i="91"/>
  <c r="L17" i="91"/>
  <c r="L21" i="91"/>
  <c r="L25" i="91"/>
  <c r="L29" i="91"/>
  <c r="L33" i="91"/>
  <c r="L37" i="91"/>
  <c r="L41" i="91"/>
  <c r="L45" i="91"/>
  <c r="L49" i="91"/>
  <c r="L53" i="91"/>
  <c r="L57" i="91"/>
  <c r="L61" i="91"/>
  <c r="L65" i="91"/>
  <c r="L69" i="91"/>
  <c r="L73" i="91"/>
  <c r="L77" i="91"/>
  <c r="L88" i="91"/>
  <c r="L105" i="91"/>
  <c r="L113" i="91"/>
  <c r="L233" i="91"/>
  <c r="L237" i="91"/>
  <c r="L8" i="91"/>
  <c r="L10" i="91"/>
  <c r="L12" i="91"/>
  <c r="L14" i="91"/>
  <c r="L16" i="91"/>
  <c r="L18" i="91"/>
  <c r="L20" i="91"/>
  <c r="L22" i="91"/>
  <c r="L24" i="91"/>
  <c r="L26" i="91"/>
  <c r="L28" i="91"/>
  <c r="L30" i="91"/>
  <c r="L32" i="91"/>
  <c r="L34" i="91"/>
  <c r="L36" i="91"/>
  <c r="L38" i="91"/>
  <c r="L40" i="91"/>
  <c r="L42" i="91"/>
  <c r="L44" i="91"/>
  <c r="L46" i="91"/>
  <c r="L48" i="91"/>
  <c r="L50" i="91"/>
  <c r="L52" i="91"/>
  <c r="L54" i="91"/>
  <c r="L56" i="91"/>
  <c r="L58" i="91"/>
  <c r="L60" i="91"/>
  <c r="L62" i="91"/>
  <c r="L64" i="91"/>
  <c r="L66" i="91"/>
  <c r="L68" i="91"/>
  <c r="L70" i="91"/>
  <c r="L72" i="91"/>
  <c r="L74" i="91"/>
  <c r="L76" i="91"/>
  <c r="L78" i="91"/>
  <c r="L80" i="91"/>
  <c r="L99" i="91"/>
  <c r="L101" i="91"/>
  <c r="L103" i="91"/>
  <c r="L106" i="91"/>
  <c r="L110" i="91"/>
  <c r="L112" i="91"/>
  <c r="L83" i="91"/>
  <c r="L85" i="91"/>
  <c r="L87" i="91"/>
  <c r="L90" i="91"/>
  <c r="L94" i="91"/>
  <c r="L96" i="91"/>
  <c r="L115" i="91"/>
  <c r="L117" i="91"/>
  <c r="L119" i="91"/>
  <c r="L121" i="91"/>
  <c r="L123" i="91"/>
  <c r="L125" i="91"/>
  <c r="L127" i="91"/>
  <c r="L129" i="91"/>
  <c r="L131" i="91"/>
  <c r="L133" i="91"/>
  <c r="L135" i="91"/>
  <c r="L137" i="91"/>
  <c r="L139" i="91"/>
  <c r="L141" i="91"/>
  <c r="L143" i="91"/>
  <c r="L145" i="91"/>
  <c r="L147" i="91"/>
  <c r="L149" i="91"/>
  <c r="L151" i="91"/>
  <c r="L153" i="91"/>
  <c r="L155" i="91"/>
  <c r="L157" i="91"/>
  <c r="L159" i="91"/>
  <c r="L161" i="91"/>
  <c r="L163" i="91"/>
  <c r="L165" i="91"/>
  <c r="L167" i="91"/>
  <c r="L169" i="91"/>
  <c r="L171" i="91"/>
  <c r="L173" i="91"/>
  <c r="L175" i="91"/>
  <c r="L177" i="91"/>
  <c r="L179" i="91"/>
  <c r="L181" i="91"/>
  <c r="L183" i="91"/>
  <c r="L185" i="91"/>
  <c r="L187" i="91"/>
  <c r="L189" i="91"/>
  <c r="L191" i="91"/>
  <c r="L193" i="91"/>
  <c r="L195" i="91"/>
  <c r="L197" i="91"/>
  <c r="L199" i="91"/>
  <c r="L201" i="91"/>
  <c r="L203" i="91"/>
  <c r="L205" i="91"/>
  <c r="L207" i="91"/>
  <c r="L209" i="91"/>
  <c r="L211" i="91"/>
  <c r="L213" i="91"/>
  <c r="L215" i="91"/>
  <c r="L217" i="91"/>
  <c r="L219" i="91"/>
  <c r="L221" i="91"/>
  <c r="L223" i="91"/>
  <c r="L225" i="91"/>
  <c r="L229" i="91"/>
  <c r="L231" i="91"/>
  <c r="L235" i="91"/>
  <c r="L239" i="91"/>
  <c r="L241" i="91"/>
  <c r="L243" i="91"/>
  <c r="L245" i="91"/>
  <c r="L160" i="91"/>
  <c r="L164" i="91"/>
  <c r="L168" i="91"/>
  <c r="L172" i="91"/>
  <c r="L176" i="91"/>
  <c r="L180" i="91"/>
  <c r="L184" i="91"/>
  <c r="L188" i="91"/>
  <c r="L192" i="91"/>
  <c r="L196" i="91"/>
  <c r="L200" i="91"/>
  <c r="L204" i="91"/>
  <c r="L208" i="91"/>
  <c r="L212" i="91"/>
  <c r="L216" i="91"/>
  <c r="L224" i="91"/>
  <c r="L228" i="91"/>
  <c r="L232" i="91"/>
  <c r="L84" i="91"/>
  <c r="L92" i="91"/>
  <c r="L100" i="91"/>
  <c r="L108" i="91"/>
  <c r="O263" i="93" l="1"/>
  <c r="Q263" i="93"/>
  <c r="R263" i="93" s="1"/>
  <c r="M273" i="92"/>
  <c r="O273" i="92" s="1"/>
  <c r="K217" i="97"/>
  <c r="J217" i="97"/>
  <c r="L217" i="95"/>
  <c r="M215" i="94"/>
  <c r="N215" i="94"/>
  <c r="L215" i="94"/>
  <c r="L4" i="97"/>
  <c r="I217" i="97"/>
  <c r="N216" i="96"/>
  <c r="M216" i="96"/>
  <c r="M217" i="95"/>
  <c r="N217" i="95"/>
  <c r="L217" i="97" l="1"/>
  <c r="O216" i="96"/>
  <c r="O217" i="95"/>
  <c r="O215" i="94"/>
  <c r="K259" i="80"/>
  <c r="K258" i="80"/>
  <c r="K257" i="80"/>
  <c r="K256" i="80"/>
  <c r="K255" i="80"/>
  <c r="K254" i="80"/>
  <c r="K253" i="80"/>
  <c r="M252" i="80"/>
  <c r="K251" i="80"/>
  <c r="N251" i="80" s="1"/>
  <c r="K250" i="80"/>
  <c r="N250" i="80" s="1"/>
  <c r="K249" i="80"/>
  <c r="N249" i="80" s="1"/>
  <c r="K248" i="80"/>
  <c r="N248" i="80" s="1"/>
  <c r="K247" i="80"/>
  <c r="N247" i="80" s="1"/>
  <c r="K246" i="80"/>
  <c r="N246" i="80" s="1"/>
  <c r="K245" i="80"/>
  <c r="N245" i="80" s="1"/>
  <c r="K244" i="80"/>
  <c r="N244" i="80" s="1"/>
  <c r="K243" i="80"/>
  <c r="N243" i="80" s="1"/>
  <c r="K242" i="80"/>
  <c r="N242" i="80" s="1"/>
  <c r="K241" i="80"/>
  <c r="N241" i="80" s="1"/>
  <c r="K240" i="80"/>
  <c r="N240" i="80" s="1"/>
  <c r="K239" i="80"/>
  <c r="N239" i="80" s="1"/>
  <c r="K238" i="80"/>
  <c r="N238" i="80" s="1"/>
  <c r="K237" i="80"/>
  <c r="N237" i="80" s="1"/>
  <c r="M236" i="80"/>
  <c r="K235" i="80"/>
  <c r="K234" i="80"/>
  <c r="K233" i="80"/>
  <c r="K232" i="80"/>
  <c r="K231" i="80"/>
  <c r="K230" i="80"/>
  <c r="K229" i="80"/>
  <c r="K228" i="80"/>
  <c r="K227" i="80"/>
  <c r="K226" i="80"/>
  <c r="K225" i="80"/>
  <c r="K224" i="80"/>
  <c r="K223" i="80"/>
  <c r="K222" i="80"/>
  <c r="M221" i="80"/>
  <c r="K220" i="80"/>
  <c r="N220" i="80" s="1"/>
  <c r="K219" i="80"/>
  <c r="N219" i="80" s="1"/>
  <c r="K218" i="80"/>
  <c r="N218" i="80" s="1"/>
  <c r="K217" i="80"/>
  <c r="N217" i="80" s="1"/>
  <c r="K216" i="80"/>
  <c r="N216" i="80" s="1"/>
  <c r="K215" i="80"/>
  <c r="N215" i="80" s="1"/>
  <c r="K214" i="80"/>
  <c r="N214" i="80" s="1"/>
  <c r="K213" i="80"/>
  <c r="N213" i="80" s="1"/>
  <c r="K212" i="80"/>
  <c r="N212" i="80" s="1"/>
  <c r="K211" i="80"/>
  <c r="N211" i="80" s="1"/>
  <c r="M210" i="80"/>
  <c r="K209" i="80"/>
  <c r="K208" i="80"/>
  <c r="K207" i="80"/>
  <c r="K206" i="80"/>
  <c r="K205" i="80"/>
  <c r="K204" i="80"/>
  <c r="K203" i="80"/>
  <c r="K202" i="80"/>
  <c r="M201" i="80"/>
  <c r="K200" i="80"/>
  <c r="N200" i="80" s="1"/>
  <c r="K199" i="80"/>
  <c r="N199" i="80" s="1"/>
  <c r="K198" i="80"/>
  <c r="N198" i="80" s="1"/>
  <c r="K197" i="80"/>
  <c r="N197" i="80" s="1"/>
  <c r="K196" i="80"/>
  <c r="N196" i="80" s="1"/>
  <c r="K195" i="80"/>
  <c r="N195" i="80" s="1"/>
  <c r="K194" i="80"/>
  <c r="N194" i="80" s="1"/>
  <c r="K193" i="80"/>
  <c r="N193" i="80" s="1"/>
  <c r="K192" i="80"/>
  <c r="N192" i="80" s="1"/>
  <c r="K191" i="80"/>
  <c r="N191" i="80" s="1"/>
  <c r="K190" i="80"/>
  <c r="N190" i="80" s="1"/>
  <c r="K189" i="80"/>
  <c r="N189" i="80" s="1"/>
  <c r="M188" i="80"/>
  <c r="K187" i="80"/>
  <c r="K186" i="80"/>
  <c r="K185" i="80"/>
  <c r="K184" i="80"/>
  <c r="K183" i="80"/>
  <c r="K182" i="80"/>
  <c r="K181" i="80"/>
  <c r="K180" i="80"/>
  <c r="K179" i="80"/>
  <c r="K178" i="80"/>
  <c r="K177" i="80"/>
  <c r="K176" i="80"/>
  <c r="K175" i="80"/>
  <c r="K174" i="80"/>
  <c r="K173" i="80"/>
  <c r="K172" i="80"/>
  <c r="K171" i="80"/>
  <c r="K170" i="80"/>
  <c r="K169" i="80"/>
  <c r="K168" i="80"/>
  <c r="K167" i="80"/>
  <c r="K166" i="80"/>
  <c r="K165" i="80"/>
  <c r="K164" i="80"/>
  <c r="K163" i="80"/>
  <c r="K162" i="80"/>
  <c r="K161" i="80"/>
  <c r="K160" i="80"/>
  <c r="K159" i="80"/>
  <c r="K158" i="80"/>
  <c r="K157" i="80"/>
  <c r="K156" i="80"/>
  <c r="K155" i="80"/>
  <c r="M154" i="80"/>
  <c r="M153" i="80"/>
  <c r="K153" i="80"/>
  <c r="N153" i="80" s="1"/>
  <c r="M152" i="80"/>
  <c r="K152" i="80"/>
  <c r="N152" i="80" s="1"/>
  <c r="K151" i="80"/>
  <c r="N151" i="80" s="1"/>
  <c r="M150" i="80"/>
  <c r="K150" i="80"/>
  <c r="N150" i="80" s="1"/>
  <c r="M149" i="80"/>
  <c r="K149" i="80"/>
  <c r="N149" i="80" s="1"/>
  <c r="M148" i="80"/>
  <c r="K148" i="80"/>
  <c r="N148" i="80" s="1"/>
  <c r="K147" i="80"/>
  <c r="N147" i="80" s="1"/>
  <c r="M146" i="80"/>
  <c r="K146" i="80"/>
  <c r="N146" i="80" s="1"/>
  <c r="M145" i="80"/>
  <c r="K145" i="80"/>
  <c r="N145" i="80" s="1"/>
  <c r="M144" i="80"/>
  <c r="K144" i="80"/>
  <c r="N144" i="80" s="1"/>
  <c r="K143" i="80"/>
  <c r="N143" i="80" s="1"/>
  <c r="M142" i="80"/>
  <c r="K142" i="80"/>
  <c r="N142" i="80" s="1"/>
  <c r="M141" i="80"/>
  <c r="K141" i="80"/>
  <c r="N141" i="80" s="1"/>
  <c r="M140" i="80"/>
  <c r="K140" i="80"/>
  <c r="N140" i="80" s="1"/>
  <c r="K139" i="80"/>
  <c r="N139" i="80" s="1"/>
  <c r="M138" i="80"/>
  <c r="K138" i="80"/>
  <c r="N138" i="80" s="1"/>
  <c r="M137" i="80"/>
  <c r="K137" i="80"/>
  <c r="N137" i="80" s="1"/>
  <c r="M136" i="80"/>
  <c r="K136" i="80"/>
  <c r="N136" i="80" s="1"/>
  <c r="K135" i="80"/>
  <c r="N135" i="80" s="1"/>
  <c r="M134" i="80"/>
  <c r="K134" i="80"/>
  <c r="N134" i="80" s="1"/>
  <c r="M133" i="80"/>
  <c r="K133" i="80"/>
  <c r="N133" i="80" s="1"/>
  <c r="M132" i="80"/>
  <c r="K132" i="80"/>
  <c r="N132" i="80" s="1"/>
  <c r="K131" i="80"/>
  <c r="N131" i="80" s="1"/>
  <c r="M130" i="80"/>
  <c r="K129" i="80"/>
  <c r="K128" i="80"/>
  <c r="K127" i="80"/>
  <c r="K126" i="80"/>
  <c r="K125" i="80"/>
  <c r="K124" i="80"/>
  <c r="K123" i="80"/>
  <c r="K122" i="80"/>
  <c r="K121" i="80"/>
  <c r="M120" i="80"/>
  <c r="K119" i="80"/>
  <c r="N119" i="80" s="1"/>
  <c r="K118" i="80"/>
  <c r="N118" i="80" s="1"/>
  <c r="K117" i="80"/>
  <c r="N117" i="80" s="1"/>
  <c r="K116" i="80"/>
  <c r="N116" i="80" s="1"/>
  <c r="K115" i="80"/>
  <c r="N115" i="80" s="1"/>
  <c r="K114" i="80"/>
  <c r="N114" i="80" s="1"/>
  <c r="K113" i="80"/>
  <c r="N113" i="80" s="1"/>
  <c r="K112" i="80"/>
  <c r="N112" i="80" s="1"/>
  <c r="K111" i="80"/>
  <c r="N111" i="80" s="1"/>
  <c r="K110" i="80"/>
  <c r="N110" i="80" s="1"/>
  <c r="K109" i="80"/>
  <c r="N109" i="80" s="1"/>
  <c r="K108" i="80"/>
  <c r="N108" i="80" s="1"/>
  <c r="K107" i="80"/>
  <c r="N107" i="80" s="1"/>
  <c r="K106" i="80"/>
  <c r="N106" i="80" s="1"/>
  <c r="K105" i="80"/>
  <c r="N105" i="80" s="1"/>
  <c r="K104" i="80"/>
  <c r="N104" i="80" s="1"/>
  <c r="M103" i="80"/>
  <c r="K102" i="80"/>
  <c r="K101" i="80"/>
  <c r="K100" i="80"/>
  <c r="K99" i="80"/>
  <c r="K98" i="80"/>
  <c r="M97" i="80"/>
  <c r="M96" i="80"/>
  <c r="K96" i="80"/>
  <c r="N96" i="80" s="1"/>
  <c r="M95" i="80"/>
  <c r="K94" i="80"/>
  <c r="K93" i="80"/>
  <c r="K92" i="80"/>
  <c r="K91" i="80"/>
  <c r="K90" i="80"/>
  <c r="K89" i="80"/>
  <c r="K88" i="80"/>
  <c r="K87" i="80"/>
  <c r="K86" i="80"/>
  <c r="K85" i="80"/>
  <c r="K84" i="80"/>
  <c r="K83" i="80"/>
  <c r="K82" i="80"/>
  <c r="K81" i="80"/>
  <c r="M80" i="80"/>
  <c r="M79" i="80"/>
  <c r="K79" i="80"/>
  <c r="N79" i="80" s="1"/>
  <c r="K78" i="80"/>
  <c r="N78" i="80" s="1"/>
  <c r="M77" i="80"/>
  <c r="K77" i="80"/>
  <c r="N77" i="80" s="1"/>
  <c r="M76" i="80"/>
  <c r="K76" i="80"/>
  <c r="N76" i="80" s="1"/>
  <c r="M75" i="80"/>
  <c r="K75" i="80"/>
  <c r="N75" i="80" s="1"/>
  <c r="K74" i="80"/>
  <c r="N74" i="80" s="1"/>
  <c r="M73" i="80"/>
  <c r="K73" i="80"/>
  <c r="N73" i="80" s="1"/>
  <c r="M72" i="80"/>
  <c r="K72" i="80"/>
  <c r="N72" i="80" s="1"/>
  <c r="M71" i="80"/>
  <c r="K71" i="80"/>
  <c r="N71" i="80" s="1"/>
  <c r="K70" i="80"/>
  <c r="N70" i="80" s="1"/>
  <c r="M69" i="80"/>
  <c r="K69" i="80"/>
  <c r="N69" i="80" s="1"/>
  <c r="M68" i="80"/>
  <c r="K68" i="80"/>
  <c r="N68" i="80" s="1"/>
  <c r="M67" i="80"/>
  <c r="K67" i="80"/>
  <c r="N67" i="80" s="1"/>
  <c r="K66" i="80"/>
  <c r="N66" i="80" s="1"/>
  <c r="M65" i="80"/>
  <c r="K65" i="80"/>
  <c r="N65" i="80" s="1"/>
  <c r="M64" i="80"/>
  <c r="K64" i="80"/>
  <c r="N64" i="80" s="1"/>
  <c r="M63" i="80"/>
  <c r="K62" i="80"/>
  <c r="K61" i="80"/>
  <c r="M60" i="80"/>
  <c r="M59" i="80"/>
  <c r="K58" i="80"/>
  <c r="K57" i="80"/>
  <c r="K56" i="80"/>
  <c r="K55" i="80"/>
  <c r="K54" i="80"/>
  <c r="K53" i="80"/>
  <c r="K52" i="80"/>
  <c r="K51" i="80"/>
  <c r="K50" i="80"/>
  <c r="M49" i="80"/>
  <c r="K48" i="80"/>
  <c r="N48" i="80" s="1"/>
  <c r="K47" i="80"/>
  <c r="N47" i="80" s="1"/>
  <c r="K46" i="80"/>
  <c r="N46" i="80" s="1"/>
  <c r="K45" i="80"/>
  <c r="N45" i="80" s="1"/>
  <c r="K44" i="80"/>
  <c r="N44" i="80" s="1"/>
  <c r="K43" i="80"/>
  <c r="N43" i="80" s="1"/>
  <c r="K42" i="80"/>
  <c r="N42" i="80" s="1"/>
  <c r="K41" i="80"/>
  <c r="N41" i="80" s="1"/>
  <c r="K40" i="80"/>
  <c r="N40" i="80" s="1"/>
  <c r="K39" i="80"/>
  <c r="N39" i="80" s="1"/>
  <c r="K38" i="80"/>
  <c r="N38" i="80" s="1"/>
  <c r="K37" i="80"/>
  <c r="N37" i="80" s="1"/>
  <c r="K36" i="80"/>
  <c r="N36" i="80" s="1"/>
  <c r="K35" i="80"/>
  <c r="N35" i="80" s="1"/>
  <c r="K34" i="80"/>
  <c r="N34" i="80" s="1"/>
  <c r="K33" i="80"/>
  <c r="N33" i="80" s="1"/>
  <c r="K32" i="80"/>
  <c r="N32" i="80" s="1"/>
  <c r="K31" i="80"/>
  <c r="N31" i="80" s="1"/>
  <c r="K30" i="80"/>
  <c r="N30" i="80" s="1"/>
  <c r="K29" i="80"/>
  <c r="N29" i="80" s="1"/>
  <c r="K28" i="80"/>
  <c r="N28" i="80" s="1"/>
  <c r="K27" i="80"/>
  <c r="N27" i="80" s="1"/>
  <c r="K26" i="80"/>
  <c r="N26" i="80" s="1"/>
  <c r="K25" i="80"/>
  <c r="N25" i="80" s="1"/>
  <c r="K24" i="80"/>
  <c r="N24" i="80" s="1"/>
  <c r="K23" i="80"/>
  <c r="N23" i="80" s="1"/>
  <c r="K22" i="80"/>
  <c r="N22" i="80" s="1"/>
  <c r="K21" i="80"/>
  <c r="N21" i="80" s="1"/>
  <c r="K20" i="80"/>
  <c r="N20" i="80" s="1"/>
  <c r="K19" i="80"/>
  <c r="N19" i="80" s="1"/>
  <c r="M18" i="80"/>
  <c r="K17" i="80"/>
  <c r="K16" i="80"/>
  <c r="K15" i="80"/>
  <c r="K14" i="80"/>
  <c r="K13" i="80"/>
  <c r="K12" i="80"/>
  <c r="M11" i="80"/>
  <c r="K10" i="80"/>
  <c r="N10" i="80" s="1"/>
  <c r="K9" i="80"/>
  <c r="N9" i="80" s="1"/>
  <c r="K8" i="80"/>
  <c r="N8" i="80" s="1"/>
  <c r="K7" i="80"/>
  <c r="N7" i="80" s="1"/>
  <c r="K6" i="80"/>
  <c r="N6" i="80" s="1"/>
  <c r="K5" i="80"/>
  <c r="N5" i="80" s="1"/>
  <c r="K267" i="42"/>
  <c r="K266" i="42"/>
  <c r="K265" i="42"/>
  <c r="K264" i="42"/>
  <c r="K263" i="42"/>
  <c r="K262" i="42"/>
  <c r="M261" i="42"/>
  <c r="K260" i="42"/>
  <c r="K259" i="42"/>
  <c r="N259" i="42" s="1"/>
  <c r="K258" i="42"/>
  <c r="K257" i="42"/>
  <c r="N257" i="42" s="1"/>
  <c r="K256" i="42"/>
  <c r="K255" i="42"/>
  <c r="K254" i="42"/>
  <c r="K253" i="42"/>
  <c r="K252" i="42"/>
  <c r="K251" i="42"/>
  <c r="K250" i="42"/>
  <c r="K249" i="42"/>
  <c r="N249" i="42" s="1"/>
  <c r="K248" i="42"/>
  <c r="K247" i="42"/>
  <c r="K246" i="42"/>
  <c r="K245" i="42"/>
  <c r="M244" i="42"/>
  <c r="K243" i="42"/>
  <c r="K242" i="42"/>
  <c r="K241" i="42"/>
  <c r="K240" i="42"/>
  <c r="N240" i="42" s="1"/>
  <c r="K239" i="42"/>
  <c r="M238" i="42"/>
  <c r="K238" i="42"/>
  <c r="N238" i="42" s="1"/>
  <c r="K237" i="42"/>
  <c r="K236" i="42"/>
  <c r="K235" i="42"/>
  <c r="K234" i="42"/>
  <c r="N234" i="42" s="1"/>
  <c r="K233" i="42"/>
  <c r="M232" i="42"/>
  <c r="K232" i="42"/>
  <c r="N232" i="42" s="1"/>
  <c r="K231" i="42"/>
  <c r="K230" i="42"/>
  <c r="N230" i="42" s="1"/>
  <c r="K229" i="42"/>
  <c r="M228" i="42"/>
  <c r="K227" i="42"/>
  <c r="M226" i="42"/>
  <c r="K226" i="42"/>
  <c r="N226" i="42" s="1"/>
  <c r="K225" i="42"/>
  <c r="K224" i="42"/>
  <c r="N224" i="42" s="1"/>
  <c r="K223" i="42"/>
  <c r="K222" i="42"/>
  <c r="K221" i="42"/>
  <c r="K220" i="42"/>
  <c r="K219" i="42"/>
  <c r="K218" i="42"/>
  <c r="N218" i="42" s="1"/>
  <c r="K217" i="42"/>
  <c r="K216" i="42"/>
  <c r="N216" i="42" s="1"/>
  <c r="M215" i="42"/>
  <c r="K214" i="42"/>
  <c r="K213" i="42"/>
  <c r="N213" i="42" s="1"/>
  <c r="K212" i="42"/>
  <c r="K211" i="42"/>
  <c r="K210" i="42"/>
  <c r="K209" i="42"/>
  <c r="M208" i="42"/>
  <c r="M207" i="42"/>
  <c r="K207" i="42"/>
  <c r="N207" i="42" s="1"/>
  <c r="K206" i="42"/>
  <c r="K205" i="42"/>
  <c r="N205" i="42" s="1"/>
  <c r="K204" i="42"/>
  <c r="K203" i="42"/>
  <c r="K202" i="42"/>
  <c r="M201" i="42"/>
  <c r="K201" i="42"/>
  <c r="N201" i="42" s="1"/>
  <c r="K200" i="42"/>
  <c r="K199" i="42"/>
  <c r="N199" i="42" s="1"/>
  <c r="K198" i="42"/>
  <c r="M197" i="42"/>
  <c r="K197" i="42"/>
  <c r="N197" i="42" s="1"/>
  <c r="K196" i="42"/>
  <c r="K195" i="42"/>
  <c r="K194" i="42"/>
  <c r="K193" i="42"/>
  <c r="K192" i="42"/>
  <c r="K191" i="42"/>
  <c r="N191" i="42" s="1"/>
  <c r="K190" i="42"/>
  <c r="M189" i="42"/>
  <c r="K189" i="42"/>
  <c r="N189" i="42" s="1"/>
  <c r="K188" i="42"/>
  <c r="K187" i="42"/>
  <c r="K186" i="42"/>
  <c r="K185" i="42"/>
  <c r="K184" i="42"/>
  <c r="K183" i="42"/>
  <c r="N183" i="42" s="1"/>
  <c r="K182" i="42"/>
  <c r="K181" i="42"/>
  <c r="N181" i="42" s="1"/>
  <c r="K180" i="42"/>
  <c r="K179" i="42"/>
  <c r="K178" i="42"/>
  <c r="K177" i="42"/>
  <c r="K176" i="42"/>
  <c r="K175" i="42"/>
  <c r="N175" i="42" s="1"/>
  <c r="K174" i="42"/>
  <c r="M173" i="42"/>
  <c r="K173" i="42"/>
  <c r="N173" i="42" s="1"/>
  <c r="K172" i="42"/>
  <c r="K171" i="42"/>
  <c r="K170" i="42"/>
  <c r="K169" i="42"/>
  <c r="K168" i="42"/>
  <c r="K167" i="42"/>
  <c r="N167" i="42" s="1"/>
  <c r="K166" i="42"/>
  <c r="M165" i="42"/>
  <c r="K165" i="42"/>
  <c r="N165" i="42" s="1"/>
  <c r="K164" i="42"/>
  <c r="K163" i="42"/>
  <c r="K162" i="42"/>
  <c r="K161" i="42"/>
  <c r="K160" i="42"/>
  <c r="M159" i="42"/>
  <c r="K158" i="42"/>
  <c r="K157" i="42"/>
  <c r="M156" i="42"/>
  <c r="K156" i="42"/>
  <c r="N156" i="42" s="1"/>
  <c r="K155" i="42"/>
  <c r="K154" i="42"/>
  <c r="N154" i="42" s="1"/>
  <c r="K153" i="42"/>
  <c r="K152" i="42"/>
  <c r="K151" i="42"/>
  <c r="M150" i="42"/>
  <c r="K150" i="42"/>
  <c r="N150" i="42" s="1"/>
  <c r="K149" i="42"/>
  <c r="K148" i="42"/>
  <c r="N148" i="42" s="1"/>
  <c r="K147" i="42"/>
  <c r="M146" i="42"/>
  <c r="K146" i="42"/>
  <c r="N146" i="42" s="1"/>
  <c r="K145" i="42"/>
  <c r="K144" i="42"/>
  <c r="K143" i="42"/>
  <c r="K142" i="42"/>
  <c r="K141" i="42"/>
  <c r="K140" i="42"/>
  <c r="N140" i="42" s="1"/>
  <c r="K139" i="42"/>
  <c r="M138" i="42"/>
  <c r="K138" i="42"/>
  <c r="N138" i="42" s="1"/>
  <c r="K137" i="42"/>
  <c r="M136" i="42"/>
  <c r="K135" i="42"/>
  <c r="K134" i="42"/>
  <c r="N134" i="42" s="1"/>
  <c r="K133" i="42"/>
  <c r="M132" i="42"/>
  <c r="K132" i="42"/>
  <c r="N132" i="42" s="1"/>
  <c r="K131" i="42"/>
  <c r="K130" i="42"/>
  <c r="K129" i="42"/>
  <c r="K128" i="42"/>
  <c r="N128" i="42" s="1"/>
  <c r="K127" i="42"/>
  <c r="M126" i="42"/>
  <c r="K126" i="42"/>
  <c r="N126" i="42" s="1"/>
  <c r="K125" i="42"/>
  <c r="M124" i="42"/>
  <c r="M123" i="42"/>
  <c r="K123" i="42"/>
  <c r="N123" i="42" s="1"/>
  <c r="K122" i="42"/>
  <c r="K121" i="42"/>
  <c r="N121" i="42" s="1"/>
  <c r="K120" i="42"/>
  <c r="K119" i="42"/>
  <c r="K118" i="42"/>
  <c r="K117" i="42"/>
  <c r="K116" i="42"/>
  <c r="M115" i="42"/>
  <c r="K115" i="42"/>
  <c r="N115" i="42" s="1"/>
  <c r="K114" i="42"/>
  <c r="K113" i="42"/>
  <c r="N113" i="42" s="1"/>
  <c r="K112" i="42"/>
  <c r="K111" i="42"/>
  <c r="K110" i="42"/>
  <c r="K109" i="42"/>
  <c r="K108" i="42"/>
  <c r="M107" i="42"/>
  <c r="K107" i="42"/>
  <c r="N107" i="42" s="1"/>
  <c r="K106" i="42"/>
  <c r="M105" i="42"/>
  <c r="K104" i="42"/>
  <c r="K103" i="42"/>
  <c r="K102" i="42"/>
  <c r="K101" i="42"/>
  <c r="N101" i="42" s="1"/>
  <c r="K100" i="42"/>
  <c r="K99" i="42"/>
  <c r="N99" i="42" s="1"/>
  <c r="K98" i="42"/>
  <c r="M97" i="42"/>
  <c r="M96" i="42"/>
  <c r="K96" i="42"/>
  <c r="N96" i="42" s="1"/>
  <c r="K95" i="42"/>
  <c r="K94" i="42"/>
  <c r="K93" i="42"/>
  <c r="K92" i="42"/>
  <c r="K91" i="42"/>
  <c r="K90" i="42"/>
  <c r="N90" i="42" s="1"/>
  <c r="K89" i="42"/>
  <c r="M88" i="42"/>
  <c r="K88" i="42"/>
  <c r="N88" i="42" s="1"/>
  <c r="K87" i="42"/>
  <c r="K86" i="42"/>
  <c r="K85" i="42"/>
  <c r="K84" i="42"/>
  <c r="K83" i="42"/>
  <c r="K82" i="42"/>
  <c r="N82" i="42" s="1"/>
  <c r="M81" i="42"/>
  <c r="K80" i="42"/>
  <c r="N80" i="42" s="1"/>
  <c r="K79" i="42"/>
  <c r="K78" i="42"/>
  <c r="K77" i="42"/>
  <c r="K76" i="42"/>
  <c r="N76" i="42" s="1"/>
  <c r="K75" i="42"/>
  <c r="K74" i="42"/>
  <c r="N74" i="42" s="1"/>
  <c r="K73" i="42"/>
  <c r="K72" i="42"/>
  <c r="N72" i="42" s="1"/>
  <c r="K71" i="42"/>
  <c r="K70" i="42"/>
  <c r="K69" i="42"/>
  <c r="K68" i="42"/>
  <c r="N68" i="42" s="1"/>
  <c r="K67" i="42"/>
  <c r="K66" i="42"/>
  <c r="N66" i="42" s="1"/>
  <c r="K65" i="42"/>
  <c r="M64" i="42"/>
  <c r="K63" i="42"/>
  <c r="N63" i="42" s="1"/>
  <c r="K62" i="42"/>
  <c r="M61" i="42"/>
  <c r="K61" i="42"/>
  <c r="N61" i="42" s="1"/>
  <c r="K60" i="42"/>
  <c r="K59" i="42"/>
  <c r="K58" i="42"/>
  <c r="K57" i="42"/>
  <c r="K56" i="42"/>
  <c r="K55" i="42"/>
  <c r="N55" i="42" s="1"/>
  <c r="K54" i="42"/>
  <c r="M53" i="42"/>
  <c r="K53" i="42"/>
  <c r="N53" i="42" s="1"/>
  <c r="K52" i="42"/>
  <c r="K51" i="42"/>
  <c r="M50" i="42"/>
  <c r="K49" i="42"/>
  <c r="K48" i="42"/>
  <c r="K47" i="42"/>
  <c r="N47" i="42" s="1"/>
  <c r="K46" i="42"/>
  <c r="M45" i="42"/>
  <c r="K45" i="42"/>
  <c r="N45" i="42" s="1"/>
  <c r="K44" i="42"/>
  <c r="K43" i="42"/>
  <c r="K42" i="42"/>
  <c r="K41" i="42"/>
  <c r="K40" i="42"/>
  <c r="K39" i="42"/>
  <c r="N39" i="42" s="1"/>
  <c r="K38" i="42"/>
  <c r="K37" i="42"/>
  <c r="N37" i="42" s="1"/>
  <c r="K36" i="42"/>
  <c r="K35" i="42"/>
  <c r="K34" i="42"/>
  <c r="K33" i="42"/>
  <c r="K32" i="42"/>
  <c r="K31" i="42"/>
  <c r="N31" i="42" s="1"/>
  <c r="K30" i="42"/>
  <c r="M29" i="42"/>
  <c r="K29" i="42"/>
  <c r="N29" i="42" s="1"/>
  <c r="K28" i="42"/>
  <c r="K27" i="42"/>
  <c r="K26" i="42"/>
  <c r="K25" i="42"/>
  <c r="K24" i="42"/>
  <c r="K23" i="42"/>
  <c r="N23" i="42" s="1"/>
  <c r="K22" i="42"/>
  <c r="M21" i="42"/>
  <c r="K21" i="42"/>
  <c r="N21" i="42" s="1"/>
  <c r="K20" i="42"/>
  <c r="K19" i="42"/>
  <c r="K18" i="42"/>
  <c r="K17" i="42"/>
  <c r="N17" i="42" s="1"/>
  <c r="K16" i="42"/>
  <c r="M15" i="42"/>
  <c r="K15" i="42"/>
  <c r="N15" i="42" s="1"/>
  <c r="K14" i="42"/>
  <c r="K13" i="42"/>
  <c r="N13" i="42" s="1"/>
  <c r="K12" i="42"/>
  <c r="K11" i="42"/>
  <c r="K10" i="42"/>
  <c r="K9" i="42"/>
  <c r="K8" i="42"/>
  <c r="M7" i="42"/>
  <c r="K7" i="42"/>
  <c r="N7" i="42" s="1"/>
  <c r="K6" i="42"/>
  <c r="L7" i="86"/>
  <c r="L8" i="86"/>
  <c r="L9" i="86"/>
  <c r="L10" i="86"/>
  <c r="L11" i="86"/>
  <c r="L12" i="86"/>
  <c r="L13" i="86"/>
  <c r="L14" i="86"/>
  <c r="L15" i="86"/>
  <c r="L16" i="86"/>
  <c r="L17" i="86"/>
  <c r="L18" i="86"/>
  <c r="L19" i="86"/>
  <c r="L20" i="86"/>
  <c r="L21" i="86"/>
  <c r="L22" i="86"/>
  <c r="L23" i="86"/>
  <c r="L24" i="86"/>
  <c r="L25" i="86"/>
  <c r="L26" i="86"/>
  <c r="L27" i="86"/>
  <c r="L28" i="86"/>
  <c r="L29" i="86"/>
  <c r="L30" i="86"/>
  <c r="L31" i="86"/>
  <c r="L32" i="86"/>
  <c r="L33" i="86"/>
  <c r="L34" i="86"/>
  <c r="L35" i="86"/>
  <c r="L36" i="86"/>
  <c r="L37" i="86"/>
  <c r="L38" i="86"/>
  <c r="L39" i="86"/>
  <c r="L40" i="86"/>
  <c r="L41" i="86"/>
  <c r="L42" i="86"/>
  <c r="L43" i="86"/>
  <c r="L44" i="86"/>
  <c r="L45" i="86"/>
  <c r="L46" i="86"/>
  <c r="L47" i="86"/>
  <c r="L48" i="86"/>
  <c r="L49" i="86"/>
  <c r="L50" i="86"/>
  <c r="L51" i="86"/>
  <c r="L52" i="86"/>
  <c r="L53" i="86"/>
  <c r="L54" i="86"/>
  <c r="L55" i="86"/>
  <c r="L56" i="86"/>
  <c r="L57" i="86"/>
  <c r="L58" i="86"/>
  <c r="L59" i="86"/>
  <c r="L60" i="86"/>
  <c r="L61" i="86"/>
  <c r="L62" i="86"/>
  <c r="L63" i="86"/>
  <c r="L64" i="86"/>
  <c r="L65" i="86"/>
  <c r="L66" i="86"/>
  <c r="L67" i="86"/>
  <c r="L68" i="86"/>
  <c r="L69" i="86"/>
  <c r="L70" i="86"/>
  <c r="L71" i="86"/>
  <c r="L72" i="86"/>
  <c r="L73" i="86"/>
  <c r="L74" i="86"/>
  <c r="L75" i="86"/>
  <c r="L76" i="86"/>
  <c r="L77" i="86"/>
  <c r="L78" i="86"/>
  <c r="L79" i="86"/>
  <c r="L80" i="86"/>
  <c r="L81" i="86"/>
  <c r="L82" i="86"/>
  <c r="L83" i="86"/>
  <c r="L84" i="86"/>
  <c r="L85" i="86"/>
  <c r="L86" i="86"/>
  <c r="L87" i="86"/>
  <c r="L88" i="86"/>
  <c r="L89" i="86"/>
  <c r="L90" i="86"/>
  <c r="L91" i="86"/>
  <c r="L92" i="86"/>
  <c r="L93" i="86"/>
  <c r="L94" i="86"/>
  <c r="L95" i="86"/>
  <c r="L96" i="86"/>
  <c r="L97" i="86"/>
  <c r="L98" i="86"/>
  <c r="L99" i="86"/>
  <c r="L100" i="86"/>
  <c r="L101" i="86"/>
  <c r="L102" i="86"/>
  <c r="L103" i="86"/>
  <c r="L104" i="86"/>
  <c r="L105" i="86"/>
  <c r="L106" i="86"/>
  <c r="L107" i="86"/>
  <c r="L108" i="86"/>
  <c r="L109" i="86"/>
  <c r="L110" i="86"/>
  <c r="L111" i="86"/>
  <c r="L112" i="86"/>
  <c r="L113" i="86"/>
  <c r="L114" i="86"/>
  <c r="L115" i="86"/>
  <c r="L116" i="86"/>
  <c r="L117" i="86"/>
  <c r="L118" i="86"/>
  <c r="L119" i="86"/>
  <c r="L120" i="86"/>
  <c r="L121" i="86"/>
  <c r="L122" i="86"/>
  <c r="L123" i="86"/>
  <c r="L124" i="86"/>
  <c r="L125" i="86"/>
  <c r="L126" i="86"/>
  <c r="L127" i="86"/>
  <c r="L128" i="86"/>
  <c r="L129" i="86"/>
  <c r="L130" i="86"/>
  <c r="L131" i="86"/>
  <c r="L132" i="86"/>
  <c r="L133" i="86"/>
  <c r="L134" i="86"/>
  <c r="L135" i="86"/>
  <c r="L136" i="86"/>
  <c r="L137" i="86"/>
  <c r="L138" i="86"/>
  <c r="L139" i="86"/>
  <c r="L140" i="86"/>
  <c r="L141" i="86"/>
  <c r="L142" i="86"/>
  <c r="L143" i="86"/>
  <c r="L144" i="86"/>
  <c r="L145" i="86"/>
  <c r="L146" i="86"/>
  <c r="L147" i="86"/>
  <c r="L148" i="86"/>
  <c r="L149" i="86"/>
  <c r="L150" i="86"/>
  <c r="L151" i="86"/>
  <c r="L152" i="86"/>
  <c r="L153" i="86"/>
  <c r="L154" i="86"/>
  <c r="L155" i="86"/>
  <c r="L156" i="86"/>
  <c r="L157" i="86"/>
  <c r="L158" i="86"/>
  <c r="L159" i="86"/>
  <c r="L160" i="86"/>
  <c r="L161" i="86"/>
  <c r="L162" i="86"/>
  <c r="L163" i="86"/>
  <c r="L164" i="86"/>
  <c r="L165" i="86"/>
  <c r="L166" i="86"/>
  <c r="L167" i="86"/>
  <c r="L168" i="86"/>
  <c r="L169" i="86"/>
  <c r="L170" i="86"/>
  <c r="L171" i="86"/>
  <c r="L172" i="86"/>
  <c r="L173" i="86"/>
  <c r="L174" i="86"/>
  <c r="L175" i="86"/>
  <c r="L176" i="86"/>
  <c r="L177" i="86"/>
  <c r="L178" i="86"/>
  <c r="L179" i="86"/>
  <c r="L180" i="86"/>
  <c r="L181" i="86"/>
  <c r="L182" i="86"/>
  <c r="L183" i="86"/>
  <c r="L184" i="86"/>
  <c r="L185" i="86"/>
  <c r="L186" i="86"/>
  <c r="L187" i="86"/>
  <c r="L188" i="86"/>
  <c r="L189" i="86"/>
  <c r="L190" i="86"/>
  <c r="L191" i="86"/>
  <c r="L192" i="86"/>
  <c r="L193" i="86"/>
  <c r="L194" i="86"/>
  <c r="L195" i="86"/>
  <c r="L196" i="86"/>
  <c r="L197" i="86"/>
  <c r="L198" i="86"/>
  <c r="L199" i="86"/>
  <c r="L200" i="86"/>
  <c r="L201" i="86"/>
  <c r="L202" i="86"/>
  <c r="L203" i="86"/>
  <c r="L204" i="86"/>
  <c r="L205" i="86"/>
  <c r="L206" i="86"/>
  <c r="L207" i="86"/>
  <c r="L208" i="86"/>
  <c r="L209" i="86"/>
  <c r="L210" i="86"/>
  <c r="L211" i="86"/>
  <c r="L212" i="86"/>
  <c r="L213" i="86"/>
  <c r="L214" i="86"/>
  <c r="L215" i="86"/>
  <c r="L216" i="86"/>
  <c r="L217" i="86"/>
  <c r="L218" i="86"/>
  <c r="L219" i="86"/>
  <c r="L220" i="86"/>
  <c r="L221" i="86"/>
  <c r="L222" i="86"/>
  <c r="L223" i="86"/>
  <c r="L224" i="86"/>
  <c r="L225" i="86"/>
  <c r="L226" i="86"/>
  <c r="L227" i="86"/>
  <c r="L228" i="86"/>
  <c r="L229" i="86"/>
  <c r="L230" i="86"/>
  <c r="L231" i="86"/>
  <c r="L232" i="86"/>
  <c r="L233" i="86"/>
  <c r="K47" i="86"/>
  <c r="K58" i="86"/>
  <c r="K71" i="86"/>
  <c r="K74" i="86"/>
  <c r="K81" i="86"/>
  <c r="K88" i="86"/>
  <c r="K102" i="86"/>
  <c r="K112" i="86"/>
  <c r="K129" i="86"/>
  <c r="K137" i="86"/>
  <c r="K150" i="86"/>
  <c r="K179" i="86"/>
  <c r="K186" i="86"/>
  <c r="K196" i="86"/>
  <c r="K211" i="86"/>
  <c r="K227" i="86"/>
  <c r="L261" i="41"/>
  <c r="K261" i="41"/>
  <c r="M91" i="42" l="1"/>
  <c r="N91" i="42"/>
  <c r="M23" i="42"/>
  <c r="M62" i="42"/>
  <c r="N62" i="42"/>
  <c r="M6" i="42"/>
  <c r="N6" i="42"/>
  <c r="M18" i="42"/>
  <c r="N18" i="42"/>
  <c r="M24" i="42"/>
  <c r="N24" i="42"/>
  <c r="M37" i="42"/>
  <c r="M44" i="42"/>
  <c r="N44" i="42"/>
  <c r="M56" i="42"/>
  <c r="N56" i="42"/>
  <c r="M68" i="42"/>
  <c r="M74" i="42"/>
  <c r="M80" i="42"/>
  <c r="M87" i="42"/>
  <c r="N87" i="42"/>
  <c r="M93" i="42"/>
  <c r="N93" i="42"/>
  <c r="M99" i="42"/>
  <c r="M106" i="42"/>
  <c r="N106" i="42"/>
  <c r="M119" i="42"/>
  <c r="N119" i="42"/>
  <c r="M125" i="42"/>
  <c r="N125" i="42"/>
  <c r="M131" i="42"/>
  <c r="N131" i="42"/>
  <c r="M137" i="42"/>
  <c r="N137" i="42"/>
  <c r="M143" i="42"/>
  <c r="N143" i="42"/>
  <c r="M149" i="42"/>
  <c r="N149" i="42"/>
  <c r="M155" i="42"/>
  <c r="N155" i="42"/>
  <c r="M162" i="42"/>
  <c r="N162" i="42"/>
  <c r="M168" i="42"/>
  <c r="N168" i="42"/>
  <c r="M181" i="42"/>
  <c r="M188" i="42"/>
  <c r="N188" i="42"/>
  <c r="M194" i="42"/>
  <c r="N194" i="42"/>
  <c r="M200" i="42"/>
  <c r="N200" i="42"/>
  <c r="M206" i="42"/>
  <c r="N206" i="42"/>
  <c r="M218" i="42"/>
  <c r="M225" i="42"/>
  <c r="N225" i="42"/>
  <c r="M231" i="42"/>
  <c r="N231" i="42"/>
  <c r="M237" i="42"/>
  <c r="N237" i="42"/>
  <c r="M243" i="42"/>
  <c r="N243" i="42"/>
  <c r="M250" i="42"/>
  <c r="N250" i="42"/>
  <c r="M257" i="42"/>
  <c r="M264" i="42"/>
  <c r="N264" i="42"/>
  <c r="M53" i="80"/>
  <c r="N53" i="80"/>
  <c r="M61" i="80"/>
  <c r="N61" i="80"/>
  <c r="M66" i="80"/>
  <c r="M70" i="80"/>
  <c r="M74" i="80"/>
  <c r="M78" i="80"/>
  <c r="M85" i="80"/>
  <c r="N85" i="80"/>
  <c r="M93" i="80"/>
  <c r="N93" i="80"/>
  <c r="M100" i="80"/>
  <c r="N100" i="80"/>
  <c r="M124" i="80"/>
  <c r="N124" i="80"/>
  <c r="M131" i="80"/>
  <c r="M135" i="80"/>
  <c r="M139" i="80"/>
  <c r="M143" i="80"/>
  <c r="M147" i="80"/>
  <c r="M151" i="80"/>
  <c r="M157" i="80"/>
  <c r="N157" i="80"/>
  <c r="M165" i="80"/>
  <c r="N165" i="80"/>
  <c r="M173" i="80"/>
  <c r="N173" i="80"/>
  <c r="M181" i="80"/>
  <c r="N181" i="80"/>
  <c r="M209" i="80"/>
  <c r="N209" i="80"/>
  <c r="M223" i="80"/>
  <c r="N223" i="80"/>
  <c r="M231" i="80"/>
  <c r="N231" i="80"/>
  <c r="M256" i="80"/>
  <c r="N256" i="80"/>
  <c r="M79" i="42"/>
  <c r="N79" i="42"/>
  <c r="M13" i="42"/>
  <c r="M19" i="42"/>
  <c r="N19" i="42"/>
  <c r="M25" i="42"/>
  <c r="N25" i="42"/>
  <c r="M31" i="42"/>
  <c r="M38" i="42"/>
  <c r="N38" i="42"/>
  <c r="M51" i="42"/>
  <c r="N51" i="42"/>
  <c r="M57" i="42"/>
  <c r="N57" i="42"/>
  <c r="M63" i="42"/>
  <c r="M69" i="42"/>
  <c r="N69" i="42"/>
  <c r="M75" i="42"/>
  <c r="N75" i="42"/>
  <c r="M94" i="42"/>
  <c r="N94" i="42"/>
  <c r="M100" i="42"/>
  <c r="N100" i="42"/>
  <c r="M113" i="42"/>
  <c r="M120" i="42"/>
  <c r="N120" i="42"/>
  <c r="M144" i="42"/>
  <c r="N144" i="42"/>
  <c r="M163" i="42"/>
  <c r="N163" i="42"/>
  <c r="M169" i="42"/>
  <c r="N169" i="42"/>
  <c r="M175" i="42"/>
  <c r="M182" i="42"/>
  <c r="N182" i="42"/>
  <c r="M195" i="42"/>
  <c r="N195" i="42"/>
  <c r="M213" i="42"/>
  <c r="M219" i="42"/>
  <c r="N219" i="42"/>
  <c r="M251" i="42"/>
  <c r="N251" i="42"/>
  <c r="M258" i="42"/>
  <c r="N258" i="42"/>
  <c r="M265" i="42"/>
  <c r="N265" i="42"/>
  <c r="M7" i="80"/>
  <c r="M12" i="80"/>
  <c r="N12" i="80"/>
  <c r="M19" i="80"/>
  <c r="M23" i="80"/>
  <c r="M27" i="80"/>
  <c r="M31" i="80"/>
  <c r="M35" i="80"/>
  <c r="M39" i="80"/>
  <c r="M43" i="80"/>
  <c r="M47" i="80"/>
  <c r="M54" i="80"/>
  <c r="N54" i="80"/>
  <c r="M62" i="80"/>
  <c r="N62" i="80"/>
  <c r="M86" i="80"/>
  <c r="N86" i="80"/>
  <c r="M94" i="80"/>
  <c r="N94" i="80"/>
  <c r="M101" i="80"/>
  <c r="N101" i="80"/>
  <c r="M106" i="80"/>
  <c r="M110" i="80"/>
  <c r="M114" i="80"/>
  <c r="M118" i="80"/>
  <c r="M125" i="80"/>
  <c r="N125" i="80"/>
  <c r="M158" i="80"/>
  <c r="N158" i="80"/>
  <c r="M166" i="80"/>
  <c r="N166" i="80"/>
  <c r="M174" i="80"/>
  <c r="N174" i="80"/>
  <c r="M182" i="80"/>
  <c r="N182" i="80"/>
  <c r="M189" i="80"/>
  <c r="M193" i="80"/>
  <c r="M197" i="80"/>
  <c r="M202" i="80"/>
  <c r="N202" i="80"/>
  <c r="M214" i="80"/>
  <c r="M218" i="80"/>
  <c r="M224" i="80"/>
  <c r="N224" i="80"/>
  <c r="M232" i="80"/>
  <c r="N232" i="80"/>
  <c r="M238" i="80"/>
  <c r="M242" i="80"/>
  <c r="M246" i="80"/>
  <c r="M250" i="80"/>
  <c r="M257" i="80"/>
  <c r="N257" i="80"/>
  <c r="M14" i="42"/>
  <c r="N14" i="42"/>
  <c r="M20" i="42"/>
  <c r="N20" i="42"/>
  <c r="M26" i="42"/>
  <c r="N26" i="42"/>
  <c r="M32" i="42"/>
  <c r="N32" i="42"/>
  <c r="M52" i="42"/>
  <c r="N52" i="42"/>
  <c r="M58" i="42"/>
  <c r="N58" i="42"/>
  <c r="M70" i="42"/>
  <c r="N70" i="42"/>
  <c r="M95" i="42"/>
  <c r="N95" i="42"/>
  <c r="M114" i="42"/>
  <c r="N114" i="42"/>
  <c r="M145" i="42"/>
  <c r="N145" i="42"/>
  <c r="M164" i="42"/>
  <c r="N164" i="42"/>
  <c r="M170" i="42"/>
  <c r="N170" i="42"/>
  <c r="M176" i="42"/>
  <c r="N176" i="42"/>
  <c r="M196" i="42"/>
  <c r="N196" i="42"/>
  <c r="M214" i="42"/>
  <c r="N214" i="42"/>
  <c r="M220" i="42"/>
  <c r="N220" i="42"/>
  <c r="M245" i="42"/>
  <c r="N245" i="42"/>
  <c r="M252" i="42"/>
  <c r="N252" i="42"/>
  <c r="M266" i="42"/>
  <c r="N266" i="42"/>
  <c r="M13" i="80"/>
  <c r="N13" i="80"/>
  <c r="M55" i="80"/>
  <c r="N55" i="80"/>
  <c r="M87" i="80"/>
  <c r="N87" i="80"/>
  <c r="M102" i="80"/>
  <c r="N102" i="80"/>
  <c r="M126" i="80"/>
  <c r="N126" i="80"/>
  <c r="M159" i="80"/>
  <c r="N159" i="80"/>
  <c r="M167" i="80"/>
  <c r="N167" i="80"/>
  <c r="M175" i="80"/>
  <c r="N175" i="80"/>
  <c r="M183" i="80"/>
  <c r="N183" i="80"/>
  <c r="M203" i="80"/>
  <c r="N203" i="80"/>
  <c r="M225" i="80"/>
  <c r="N225" i="80"/>
  <c r="M233" i="80"/>
  <c r="N233" i="80"/>
  <c r="M258" i="80"/>
  <c r="N258" i="80"/>
  <c r="M8" i="42"/>
  <c r="N8" i="42"/>
  <c r="M27" i="42"/>
  <c r="N27" i="42"/>
  <c r="M33" i="42"/>
  <c r="N33" i="42"/>
  <c r="M39" i="42"/>
  <c r="M46" i="42"/>
  <c r="N46" i="42"/>
  <c r="M59" i="42"/>
  <c r="N59" i="42"/>
  <c r="M65" i="42"/>
  <c r="N65" i="42"/>
  <c r="M71" i="42"/>
  <c r="N71" i="42"/>
  <c r="M76" i="42"/>
  <c r="M82" i="42"/>
  <c r="M89" i="42"/>
  <c r="N89" i="42"/>
  <c r="M101" i="42"/>
  <c r="M108" i="42"/>
  <c r="N108" i="42"/>
  <c r="M121" i="42"/>
  <c r="M127" i="42"/>
  <c r="N127" i="42"/>
  <c r="M133" i="42"/>
  <c r="N133" i="42"/>
  <c r="M139" i="42"/>
  <c r="N139" i="42"/>
  <c r="M151" i="42"/>
  <c r="N151" i="42"/>
  <c r="M157" i="42"/>
  <c r="N157" i="42"/>
  <c r="M171" i="42"/>
  <c r="N171" i="42"/>
  <c r="M177" i="42"/>
  <c r="N177" i="42"/>
  <c r="M183" i="42"/>
  <c r="M190" i="42"/>
  <c r="N190" i="42"/>
  <c r="M202" i="42"/>
  <c r="N202" i="42"/>
  <c r="M221" i="42"/>
  <c r="N221" i="42"/>
  <c r="M227" i="42"/>
  <c r="N227" i="42"/>
  <c r="M233" i="42"/>
  <c r="N233" i="42"/>
  <c r="M239" i="42"/>
  <c r="N239" i="42"/>
  <c r="M246" i="42"/>
  <c r="N246" i="42"/>
  <c r="M253" i="42"/>
  <c r="N253" i="42"/>
  <c r="M259" i="42"/>
  <c r="M267" i="42"/>
  <c r="N267" i="42"/>
  <c r="M8" i="80"/>
  <c r="M14" i="80"/>
  <c r="N14" i="80"/>
  <c r="M20" i="80"/>
  <c r="M24" i="80"/>
  <c r="M28" i="80"/>
  <c r="M32" i="80"/>
  <c r="M36" i="80"/>
  <c r="M40" i="80"/>
  <c r="M44" i="80"/>
  <c r="M48" i="80"/>
  <c r="M56" i="80"/>
  <c r="N56" i="80"/>
  <c r="M88" i="80"/>
  <c r="N88" i="80"/>
  <c r="M107" i="80"/>
  <c r="M111" i="80"/>
  <c r="M115" i="80"/>
  <c r="M119" i="80"/>
  <c r="M127" i="80"/>
  <c r="N127" i="80"/>
  <c r="M160" i="80"/>
  <c r="N160" i="80"/>
  <c r="M168" i="80"/>
  <c r="N168" i="80"/>
  <c r="M176" i="80"/>
  <c r="N176" i="80"/>
  <c r="M184" i="80"/>
  <c r="N184" i="80"/>
  <c r="M190" i="80"/>
  <c r="M194" i="80"/>
  <c r="M198" i="80"/>
  <c r="M204" i="80"/>
  <c r="N204" i="80"/>
  <c r="M211" i="80"/>
  <c r="M215" i="80"/>
  <c r="M219" i="80"/>
  <c r="M226" i="80"/>
  <c r="N226" i="80"/>
  <c r="M234" i="80"/>
  <c r="N234" i="80"/>
  <c r="M239" i="80"/>
  <c r="M243" i="80"/>
  <c r="M247" i="80"/>
  <c r="M251" i="80"/>
  <c r="M259" i="80"/>
  <c r="N259" i="80"/>
  <c r="M9" i="42"/>
  <c r="N9" i="42"/>
  <c r="M28" i="42"/>
  <c r="N28" i="42"/>
  <c r="M34" i="42"/>
  <c r="N34" i="42"/>
  <c r="M40" i="42"/>
  <c r="N40" i="42"/>
  <c r="M60" i="42"/>
  <c r="N60" i="42"/>
  <c r="M77" i="42"/>
  <c r="N77" i="42"/>
  <c r="M109" i="42"/>
  <c r="N109" i="42"/>
  <c r="M122" i="42"/>
  <c r="N122" i="42"/>
  <c r="M152" i="42"/>
  <c r="N152" i="42"/>
  <c r="M158" i="42"/>
  <c r="N158" i="42"/>
  <c r="M172" i="42"/>
  <c r="N172" i="42"/>
  <c r="M178" i="42"/>
  <c r="N178" i="42"/>
  <c r="M184" i="42"/>
  <c r="N184" i="42"/>
  <c r="M203" i="42"/>
  <c r="N203" i="42"/>
  <c r="M209" i="42"/>
  <c r="N209" i="42"/>
  <c r="M222" i="42"/>
  <c r="N222" i="42"/>
  <c r="M247" i="42"/>
  <c r="N247" i="42"/>
  <c r="M254" i="42"/>
  <c r="N254" i="42"/>
  <c r="M260" i="42"/>
  <c r="N260" i="42"/>
  <c r="M57" i="80"/>
  <c r="N57" i="80"/>
  <c r="M81" i="80"/>
  <c r="N81" i="80"/>
  <c r="M89" i="80"/>
  <c r="N89" i="80"/>
  <c r="M128" i="80"/>
  <c r="N128" i="80"/>
  <c r="M161" i="80"/>
  <c r="N161" i="80"/>
  <c r="M169" i="80"/>
  <c r="N169" i="80"/>
  <c r="M177" i="80"/>
  <c r="N177" i="80"/>
  <c r="M185" i="80"/>
  <c r="N185" i="80"/>
  <c r="M205" i="80"/>
  <c r="N205" i="80"/>
  <c r="M227" i="80"/>
  <c r="N227" i="80"/>
  <c r="M235" i="80"/>
  <c r="N235" i="80"/>
  <c r="M83" i="42"/>
  <c r="N83" i="42"/>
  <c r="M102" i="42"/>
  <c r="N102" i="42"/>
  <c r="M15" i="80"/>
  <c r="N15" i="80"/>
  <c r="M10" i="42"/>
  <c r="N10" i="42"/>
  <c r="M16" i="42"/>
  <c r="N16" i="42"/>
  <c r="M22" i="42"/>
  <c r="N22" i="42"/>
  <c r="M35" i="42"/>
  <c r="N35" i="42"/>
  <c r="M41" i="42"/>
  <c r="N41" i="42"/>
  <c r="M47" i="42"/>
  <c r="M54" i="42"/>
  <c r="N54" i="42"/>
  <c r="M66" i="42"/>
  <c r="M72" i="42"/>
  <c r="M78" i="42"/>
  <c r="N78" i="42"/>
  <c r="M84" i="42"/>
  <c r="N84" i="42"/>
  <c r="M90" i="42"/>
  <c r="M103" i="42"/>
  <c r="N103" i="42"/>
  <c r="M110" i="42"/>
  <c r="N110" i="42"/>
  <c r="M116" i="42"/>
  <c r="N116" i="42"/>
  <c r="M128" i="42"/>
  <c r="M134" i="42"/>
  <c r="M140" i="42"/>
  <c r="M147" i="42"/>
  <c r="N147" i="42"/>
  <c r="M153" i="42"/>
  <c r="N153" i="42"/>
  <c r="M166" i="42"/>
  <c r="N166" i="42"/>
  <c r="M179" i="42"/>
  <c r="N179" i="42"/>
  <c r="M185" i="42"/>
  <c r="N185" i="42"/>
  <c r="M191" i="42"/>
  <c r="M198" i="42"/>
  <c r="N198" i="42"/>
  <c r="M204" i="42"/>
  <c r="N204" i="42"/>
  <c r="M210" i="42"/>
  <c r="N210" i="42"/>
  <c r="M216" i="42"/>
  <c r="M223" i="42"/>
  <c r="N223" i="42"/>
  <c r="M229" i="42"/>
  <c r="N229" i="42"/>
  <c r="M234" i="42"/>
  <c r="M240" i="42"/>
  <c r="M248" i="42"/>
  <c r="N248" i="42"/>
  <c r="M255" i="42"/>
  <c r="N255" i="42"/>
  <c r="M5" i="80"/>
  <c r="M9" i="80"/>
  <c r="M16" i="80"/>
  <c r="N16" i="80"/>
  <c r="M21" i="80"/>
  <c r="M25" i="80"/>
  <c r="M29" i="80"/>
  <c r="M33" i="80"/>
  <c r="M37" i="80"/>
  <c r="M41" i="80"/>
  <c r="M45" i="80"/>
  <c r="M50" i="80"/>
  <c r="N50" i="80"/>
  <c r="M58" i="80"/>
  <c r="N58" i="80"/>
  <c r="M82" i="80"/>
  <c r="N82" i="80"/>
  <c r="M90" i="80"/>
  <c r="N90" i="80"/>
  <c r="M104" i="80"/>
  <c r="M108" i="80"/>
  <c r="M112" i="80"/>
  <c r="M116" i="80"/>
  <c r="M121" i="80"/>
  <c r="N121" i="80"/>
  <c r="M129" i="80"/>
  <c r="N129" i="80"/>
  <c r="M162" i="80"/>
  <c r="N162" i="80"/>
  <c r="M170" i="80"/>
  <c r="N170" i="80"/>
  <c r="M178" i="80"/>
  <c r="N178" i="80"/>
  <c r="M186" i="80"/>
  <c r="N186" i="80"/>
  <c r="M191" i="80"/>
  <c r="M195" i="80"/>
  <c r="M199" i="80"/>
  <c r="M206" i="80"/>
  <c r="N206" i="80"/>
  <c r="M212" i="80"/>
  <c r="M216" i="80"/>
  <c r="M220" i="80"/>
  <c r="M228" i="80"/>
  <c r="N228" i="80"/>
  <c r="M240" i="80"/>
  <c r="M244" i="80"/>
  <c r="M248" i="80"/>
  <c r="M253" i="80"/>
  <c r="N253" i="80"/>
  <c r="M11" i="42"/>
  <c r="N11" i="42"/>
  <c r="M42" i="42"/>
  <c r="N42" i="42"/>
  <c r="M48" i="42"/>
  <c r="N48" i="42"/>
  <c r="M73" i="42"/>
  <c r="N73" i="42"/>
  <c r="M85" i="42"/>
  <c r="N85" i="42"/>
  <c r="M98" i="42"/>
  <c r="N98" i="42"/>
  <c r="M104" i="42"/>
  <c r="N104" i="42"/>
  <c r="M111" i="42"/>
  <c r="N111" i="42"/>
  <c r="M117" i="42"/>
  <c r="N117" i="42"/>
  <c r="M129" i="42"/>
  <c r="N129" i="42"/>
  <c r="M135" i="42"/>
  <c r="N135" i="42"/>
  <c r="M141" i="42"/>
  <c r="N141" i="42"/>
  <c r="M160" i="42"/>
  <c r="N160" i="42"/>
  <c r="M180" i="42"/>
  <c r="N180" i="42"/>
  <c r="M186" i="42"/>
  <c r="N186" i="42"/>
  <c r="M192" i="42"/>
  <c r="N192" i="42"/>
  <c r="M211" i="42"/>
  <c r="N211" i="42"/>
  <c r="M217" i="42"/>
  <c r="N217" i="42"/>
  <c r="M235" i="42"/>
  <c r="N235" i="42"/>
  <c r="M241" i="42"/>
  <c r="N241" i="42"/>
  <c r="M256" i="42"/>
  <c r="N256" i="42"/>
  <c r="M262" i="42"/>
  <c r="N262" i="42"/>
  <c r="M17" i="80"/>
  <c r="N17" i="80"/>
  <c r="M51" i="80"/>
  <c r="N51" i="80"/>
  <c r="M83" i="80"/>
  <c r="N83" i="80"/>
  <c r="M91" i="80"/>
  <c r="N91" i="80"/>
  <c r="M98" i="80"/>
  <c r="N98" i="80"/>
  <c r="M122" i="80"/>
  <c r="N122" i="80"/>
  <c r="M155" i="80"/>
  <c r="N155" i="80"/>
  <c r="M163" i="80"/>
  <c r="N163" i="80"/>
  <c r="M171" i="80"/>
  <c r="N171" i="80"/>
  <c r="M179" i="80"/>
  <c r="N179" i="80"/>
  <c r="M187" i="80"/>
  <c r="N187" i="80"/>
  <c r="M207" i="80"/>
  <c r="N207" i="80"/>
  <c r="M229" i="80"/>
  <c r="N229" i="80"/>
  <c r="M254" i="80"/>
  <c r="N254" i="80"/>
  <c r="M36" i="42"/>
  <c r="N36" i="42"/>
  <c r="M67" i="42"/>
  <c r="N67" i="42"/>
  <c r="M12" i="42"/>
  <c r="N12" i="42"/>
  <c r="M17" i="42"/>
  <c r="M30" i="42"/>
  <c r="N30" i="42"/>
  <c r="M43" i="42"/>
  <c r="N43" i="42"/>
  <c r="M49" i="42"/>
  <c r="N49" i="42"/>
  <c r="M55" i="42"/>
  <c r="M86" i="42"/>
  <c r="N86" i="42"/>
  <c r="M92" i="42"/>
  <c r="N92" i="42"/>
  <c r="M112" i="42"/>
  <c r="N112" i="42"/>
  <c r="M118" i="42"/>
  <c r="N118" i="42"/>
  <c r="M130" i="42"/>
  <c r="N130" i="42"/>
  <c r="M142" i="42"/>
  <c r="N142" i="42"/>
  <c r="M148" i="42"/>
  <c r="M154" i="42"/>
  <c r="M161" i="42"/>
  <c r="N161" i="42"/>
  <c r="M167" i="42"/>
  <c r="M174" i="42"/>
  <c r="N174" i="42"/>
  <c r="M187" i="42"/>
  <c r="N187" i="42"/>
  <c r="M193" i="42"/>
  <c r="N193" i="42"/>
  <c r="M199" i="42"/>
  <c r="M205" i="42"/>
  <c r="M212" i="42"/>
  <c r="N212" i="42"/>
  <c r="M224" i="42"/>
  <c r="M230" i="42"/>
  <c r="M236" i="42"/>
  <c r="N236" i="42"/>
  <c r="M242" i="42"/>
  <c r="N242" i="42"/>
  <c r="M249" i="42"/>
  <c r="M263" i="42"/>
  <c r="N263" i="42"/>
  <c r="M6" i="80"/>
  <c r="M10" i="80"/>
  <c r="M22" i="80"/>
  <c r="M26" i="80"/>
  <c r="M30" i="80"/>
  <c r="M34" i="80"/>
  <c r="M38" i="80"/>
  <c r="M42" i="80"/>
  <c r="M46" i="80"/>
  <c r="M52" i="80"/>
  <c r="N52" i="80"/>
  <c r="M84" i="80"/>
  <c r="N84" i="80"/>
  <c r="M92" i="80"/>
  <c r="N92" i="80"/>
  <c r="M99" i="80"/>
  <c r="N99" i="80"/>
  <c r="M105" i="80"/>
  <c r="M109" i="80"/>
  <c r="M113" i="80"/>
  <c r="M117" i="80"/>
  <c r="M123" i="80"/>
  <c r="N123" i="80"/>
  <c r="M156" i="80"/>
  <c r="N156" i="80"/>
  <c r="M164" i="80"/>
  <c r="N164" i="80"/>
  <c r="M172" i="80"/>
  <c r="N172" i="80"/>
  <c r="M180" i="80"/>
  <c r="N180" i="80"/>
  <c r="M192" i="80"/>
  <c r="M196" i="80"/>
  <c r="M200" i="80"/>
  <c r="M208" i="80"/>
  <c r="N208" i="80"/>
  <c r="M213" i="80"/>
  <c r="M217" i="80"/>
  <c r="M222" i="80"/>
  <c r="N222" i="80"/>
  <c r="M230" i="80"/>
  <c r="N230" i="80"/>
  <c r="M237" i="80"/>
  <c r="M241" i="80"/>
  <c r="M245" i="80"/>
  <c r="M249" i="80"/>
  <c r="M255" i="80"/>
  <c r="N255" i="80"/>
  <c r="N261" i="41"/>
  <c r="M261" i="41"/>
  <c r="O261" i="41"/>
  <c r="L262" i="41" l="1"/>
  <c r="K262" i="41"/>
  <c r="M23" i="86"/>
  <c r="M47" i="86"/>
  <c r="M71" i="86"/>
  <c r="M119" i="86"/>
  <c r="M171" i="86"/>
  <c r="M179" i="86"/>
  <c r="M183" i="86"/>
  <c r="M211" i="86"/>
  <c r="M227" i="86"/>
  <c r="M58" i="86"/>
  <c r="M74" i="86"/>
  <c r="M81" i="86"/>
  <c r="M102" i="86"/>
  <c r="M129" i="86"/>
  <c r="M137" i="86"/>
  <c r="M150" i="86"/>
  <c r="M173" i="86"/>
  <c r="M186" i="86"/>
  <c r="M88" i="86"/>
  <c r="M112" i="86"/>
  <c r="M196" i="86"/>
  <c r="I234" i="86"/>
  <c r="H233" i="86"/>
  <c r="H232" i="86"/>
  <c r="H231" i="86"/>
  <c r="H230" i="86"/>
  <c r="H229" i="86"/>
  <c r="H228" i="86"/>
  <c r="J227" i="86"/>
  <c r="H226" i="86"/>
  <c r="J225" i="86"/>
  <c r="H225" i="86"/>
  <c r="K225" i="86" s="1"/>
  <c r="M225" i="86" s="1"/>
  <c r="H224" i="86"/>
  <c r="H223" i="86"/>
  <c r="K223" i="86" s="1"/>
  <c r="M223" i="86" s="1"/>
  <c r="H222" i="86"/>
  <c r="H221" i="86"/>
  <c r="H220" i="86"/>
  <c r="H219" i="86"/>
  <c r="H218" i="86"/>
  <c r="J217" i="86"/>
  <c r="H217" i="86"/>
  <c r="K217" i="86" s="1"/>
  <c r="M217" i="86" s="1"/>
  <c r="H216" i="86"/>
  <c r="H215" i="86"/>
  <c r="H214" i="86"/>
  <c r="H213" i="86"/>
  <c r="K213" i="86" s="1"/>
  <c r="M213" i="86" s="1"/>
  <c r="H212" i="86"/>
  <c r="J211" i="86"/>
  <c r="H210" i="86"/>
  <c r="H209" i="86"/>
  <c r="H208" i="86"/>
  <c r="H207" i="86"/>
  <c r="H206" i="86"/>
  <c r="H205" i="86"/>
  <c r="H204" i="86"/>
  <c r="H203" i="86"/>
  <c r="H202" i="86"/>
  <c r="K202" i="86" s="1"/>
  <c r="M202" i="86" s="1"/>
  <c r="H201" i="86"/>
  <c r="J200" i="86"/>
  <c r="H200" i="86"/>
  <c r="K200" i="86" s="1"/>
  <c r="M200" i="86" s="1"/>
  <c r="H199" i="86"/>
  <c r="H198" i="86"/>
  <c r="H197" i="86"/>
  <c r="J196" i="86"/>
  <c r="H195" i="86"/>
  <c r="H194" i="86"/>
  <c r="K194" i="86" s="1"/>
  <c r="M194" i="86" s="1"/>
  <c r="H193" i="86"/>
  <c r="H192" i="86"/>
  <c r="H191" i="86"/>
  <c r="H190" i="86"/>
  <c r="H189" i="86"/>
  <c r="H188" i="86"/>
  <c r="H187" i="86"/>
  <c r="J186" i="86"/>
  <c r="H185" i="86"/>
  <c r="H184" i="86"/>
  <c r="H183" i="86"/>
  <c r="K183" i="86" s="1"/>
  <c r="H182" i="86"/>
  <c r="H181" i="86"/>
  <c r="H180" i="86"/>
  <c r="J179" i="86"/>
  <c r="H178" i="86"/>
  <c r="H177" i="86"/>
  <c r="K177" i="86" s="1"/>
  <c r="M177" i="86" s="1"/>
  <c r="H176" i="86"/>
  <c r="H175" i="86"/>
  <c r="H174" i="86"/>
  <c r="H173" i="86"/>
  <c r="K173" i="86" s="1"/>
  <c r="H172" i="86"/>
  <c r="J171" i="86"/>
  <c r="H171" i="86"/>
  <c r="K171" i="86" s="1"/>
  <c r="H170" i="86"/>
  <c r="H169" i="86"/>
  <c r="K169" i="86" s="1"/>
  <c r="M169" i="86" s="1"/>
  <c r="H168" i="86"/>
  <c r="H167" i="86"/>
  <c r="H166" i="86"/>
  <c r="J165" i="86"/>
  <c r="H165" i="86"/>
  <c r="K165" i="86" s="1"/>
  <c r="M165" i="86" s="1"/>
  <c r="H164" i="86"/>
  <c r="H163" i="86"/>
  <c r="K163" i="86" s="1"/>
  <c r="M163" i="86" s="1"/>
  <c r="H162" i="86"/>
  <c r="H161" i="86"/>
  <c r="H160" i="86"/>
  <c r="H159" i="86"/>
  <c r="H158" i="86"/>
  <c r="J157" i="86"/>
  <c r="H157" i="86"/>
  <c r="K157" i="86" s="1"/>
  <c r="M157" i="86" s="1"/>
  <c r="H156" i="86"/>
  <c r="H155" i="86"/>
  <c r="H154" i="86"/>
  <c r="H153" i="86"/>
  <c r="K153" i="86" s="1"/>
  <c r="M153" i="86" s="1"/>
  <c r="H152" i="86"/>
  <c r="H151" i="86"/>
  <c r="J150" i="86"/>
  <c r="H149" i="86"/>
  <c r="H148" i="86"/>
  <c r="H147" i="86"/>
  <c r="H146" i="86"/>
  <c r="K146" i="86" s="1"/>
  <c r="M146" i="86" s="1"/>
  <c r="H145" i="86"/>
  <c r="J144" i="86"/>
  <c r="H144" i="86"/>
  <c r="K144" i="86" s="1"/>
  <c r="M144" i="86" s="1"/>
  <c r="H143" i="86"/>
  <c r="H142" i="86"/>
  <c r="K142" i="86" s="1"/>
  <c r="M142" i="86" s="1"/>
  <c r="H141" i="86"/>
  <c r="H140" i="86"/>
  <c r="H139" i="86"/>
  <c r="J138" i="86"/>
  <c r="H138" i="86"/>
  <c r="K138" i="86" s="1"/>
  <c r="M138" i="86" s="1"/>
  <c r="J137" i="86"/>
  <c r="H136" i="86"/>
  <c r="K136" i="86" s="1"/>
  <c r="M136" i="86" s="1"/>
  <c r="H135" i="86"/>
  <c r="H134" i="86"/>
  <c r="H133" i="86"/>
  <c r="H132" i="86"/>
  <c r="H131" i="86"/>
  <c r="H130" i="86"/>
  <c r="J129" i="86"/>
  <c r="H128" i="86"/>
  <c r="H127" i="86"/>
  <c r="H126" i="86"/>
  <c r="H125" i="86"/>
  <c r="K125" i="86" s="1"/>
  <c r="M125" i="86" s="1"/>
  <c r="H124" i="86"/>
  <c r="H123" i="86"/>
  <c r="K123" i="86" s="1"/>
  <c r="M123" i="86" s="1"/>
  <c r="H122" i="86"/>
  <c r="H121" i="86"/>
  <c r="H120" i="86"/>
  <c r="H119" i="86"/>
  <c r="K119" i="86" s="1"/>
  <c r="H118" i="86"/>
  <c r="J117" i="86"/>
  <c r="H117" i="86"/>
  <c r="K117" i="86" s="1"/>
  <c r="M117" i="86" s="1"/>
  <c r="H116" i="86"/>
  <c r="H115" i="86"/>
  <c r="K115" i="86" s="1"/>
  <c r="M115" i="86" s="1"/>
  <c r="H114" i="86"/>
  <c r="H113" i="86"/>
  <c r="J112" i="86"/>
  <c r="J111" i="86"/>
  <c r="H111" i="86"/>
  <c r="K111" i="86" s="1"/>
  <c r="M111" i="86" s="1"/>
  <c r="H110" i="86"/>
  <c r="H109" i="86"/>
  <c r="K109" i="86" s="1"/>
  <c r="M109" i="86" s="1"/>
  <c r="H108" i="86"/>
  <c r="H107" i="86"/>
  <c r="H106" i="86"/>
  <c r="H105" i="86"/>
  <c r="H104" i="86"/>
  <c r="H103" i="86"/>
  <c r="J102" i="86"/>
  <c r="H101" i="86"/>
  <c r="H100" i="86"/>
  <c r="H99" i="86"/>
  <c r="H98" i="86"/>
  <c r="H97" i="86"/>
  <c r="H96" i="86"/>
  <c r="H95" i="86"/>
  <c r="H94" i="86"/>
  <c r="H93" i="86"/>
  <c r="H92" i="86"/>
  <c r="H91" i="86"/>
  <c r="H90" i="86"/>
  <c r="H89" i="86"/>
  <c r="J88" i="86"/>
  <c r="H87" i="86"/>
  <c r="H86" i="86"/>
  <c r="K86" i="86" s="1"/>
  <c r="M86" i="86" s="1"/>
  <c r="H85" i="86"/>
  <c r="H84" i="86"/>
  <c r="H83" i="86"/>
  <c r="H82" i="86"/>
  <c r="J81" i="86"/>
  <c r="H80" i="86"/>
  <c r="H79" i="86"/>
  <c r="H78" i="86"/>
  <c r="H77" i="86"/>
  <c r="H76" i="86"/>
  <c r="H75" i="86"/>
  <c r="J74" i="86"/>
  <c r="H73" i="86"/>
  <c r="H72" i="86"/>
  <c r="J71" i="86"/>
  <c r="H70" i="86"/>
  <c r="H69" i="86"/>
  <c r="H68" i="86"/>
  <c r="H67" i="86"/>
  <c r="H66" i="86"/>
  <c r="H65" i="86"/>
  <c r="H64" i="86"/>
  <c r="H63" i="86"/>
  <c r="H62" i="86"/>
  <c r="H61" i="86"/>
  <c r="H60" i="86"/>
  <c r="H59" i="86"/>
  <c r="J58" i="86"/>
  <c r="H57" i="86"/>
  <c r="J56" i="86"/>
  <c r="H56" i="86"/>
  <c r="K56" i="86" s="1"/>
  <c r="M56" i="86" s="1"/>
  <c r="H55" i="86"/>
  <c r="H54" i="86"/>
  <c r="H53" i="86"/>
  <c r="H52" i="86"/>
  <c r="H51" i="86"/>
  <c r="H50" i="86"/>
  <c r="K50" i="86" s="1"/>
  <c r="M50" i="86" s="1"/>
  <c r="H49" i="86"/>
  <c r="H48" i="86"/>
  <c r="H46" i="86"/>
  <c r="H45" i="86"/>
  <c r="H44" i="86"/>
  <c r="H43" i="86"/>
  <c r="K43" i="86" s="1"/>
  <c r="M43" i="86" s="1"/>
  <c r="H42" i="86"/>
  <c r="H41" i="86"/>
  <c r="H40" i="86"/>
  <c r="H39" i="86"/>
  <c r="K39" i="86" s="1"/>
  <c r="M39" i="86" s="1"/>
  <c r="H38" i="86"/>
  <c r="H37" i="86"/>
  <c r="H36" i="86"/>
  <c r="H35" i="86"/>
  <c r="H34" i="86"/>
  <c r="J33" i="86"/>
  <c r="H33" i="86"/>
  <c r="K33" i="86" s="1"/>
  <c r="M33" i="86" s="1"/>
  <c r="H32" i="86"/>
  <c r="H31" i="86"/>
  <c r="K31" i="86" s="1"/>
  <c r="M31" i="86" s="1"/>
  <c r="H30" i="86"/>
  <c r="H29" i="86"/>
  <c r="H28" i="86"/>
  <c r="H27" i="86"/>
  <c r="H26" i="86"/>
  <c r="H25" i="86"/>
  <c r="H24" i="86"/>
  <c r="H23" i="86"/>
  <c r="K23" i="86" s="1"/>
  <c r="H22" i="86"/>
  <c r="H21" i="86"/>
  <c r="H20" i="86"/>
  <c r="H19" i="86"/>
  <c r="H18" i="86"/>
  <c r="H17" i="86"/>
  <c r="K17" i="86" s="1"/>
  <c r="M17" i="86" s="1"/>
  <c r="H16" i="86"/>
  <c r="J15" i="86"/>
  <c r="H15" i="86"/>
  <c r="K15" i="86" s="1"/>
  <c r="M15" i="86" s="1"/>
  <c r="H14" i="86"/>
  <c r="H13" i="86"/>
  <c r="H12" i="86"/>
  <c r="H11" i="86"/>
  <c r="K11" i="86" s="1"/>
  <c r="M11" i="86" s="1"/>
  <c r="H10" i="86"/>
  <c r="J9" i="86"/>
  <c r="H9" i="86"/>
  <c r="K9" i="86" s="1"/>
  <c r="M9" i="86" s="1"/>
  <c r="H8" i="86"/>
  <c r="H7" i="86"/>
  <c r="H6" i="86"/>
  <c r="J194" i="86" l="1"/>
  <c r="J223" i="86"/>
  <c r="J23" i="86"/>
  <c r="J11" i="86"/>
  <c r="J17" i="86"/>
  <c r="J31" i="86"/>
  <c r="J39" i="86"/>
  <c r="J86" i="86"/>
  <c r="J109" i="86"/>
  <c r="J115" i="86"/>
  <c r="J136" i="86"/>
  <c r="J142" i="86"/>
  <c r="J163" i="86"/>
  <c r="J169" i="86"/>
  <c r="J123" i="86"/>
  <c r="J177" i="86"/>
  <c r="M262" i="41"/>
  <c r="H234" i="86"/>
  <c r="M7" i="86"/>
  <c r="J12" i="86"/>
  <c r="K12" i="86"/>
  <c r="M12" i="86" s="1"/>
  <c r="J18" i="86"/>
  <c r="K18" i="86"/>
  <c r="M18" i="86" s="1"/>
  <c r="J53" i="86"/>
  <c r="K53" i="86"/>
  <c r="M53" i="86" s="1"/>
  <c r="J60" i="86"/>
  <c r="K60" i="86"/>
  <c r="M60" i="86" s="1"/>
  <c r="J68" i="86"/>
  <c r="K68" i="86"/>
  <c r="M68" i="86" s="1"/>
  <c r="J76" i="86"/>
  <c r="K76" i="86"/>
  <c r="M76" i="86" s="1"/>
  <c r="J84" i="86"/>
  <c r="K84" i="86"/>
  <c r="M84" i="86" s="1"/>
  <c r="J91" i="86"/>
  <c r="K91" i="86"/>
  <c r="M91" i="86" s="1"/>
  <c r="J99" i="86"/>
  <c r="K99" i="86"/>
  <c r="M99" i="86" s="1"/>
  <c r="K107" i="86"/>
  <c r="M107" i="86" s="1"/>
  <c r="J107" i="86"/>
  <c r="K134" i="86"/>
  <c r="M134" i="86" s="1"/>
  <c r="J134" i="86"/>
  <c r="K188" i="86"/>
  <c r="M188" i="86" s="1"/>
  <c r="J188" i="86"/>
  <c r="J7" i="86"/>
  <c r="J16" i="86"/>
  <c r="K16" i="86"/>
  <c r="M16" i="86" s="1"/>
  <c r="J50" i="86"/>
  <c r="J54" i="86"/>
  <c r="K54" i="86"/>
  <c r="M54" i="86" s="1"/>
  <c r="J61" i="86"/>
  <c r="K61" i="86"/>
  <c r="M61" i="86" s="1"/>
  <c r="J69" i="86"/>
  <c r="K69" i="86"/>
  <c r="M69" i="86" s="1"/>
  <c r="J147" i="86"/>
  <c r="K147" i="86"/>
  <c r="M147" i="86" s="1"/>
  <c r="J151" i="86"/>
  <c r="K151" i="86"/>
  <c r="M151" i="86" s="1"/>
  <c r="J174" i="86"/>
  <c r="K174" i="86"/>
  <c r="M174" i="86" s="1"/>
  <c r="J181" i="86"/>
  <c r="K181" i="86"/>
  <c r="M181" i="86" s="1"/>
  <c r="K185" i="86"/>
  <c r="M185" i="86" s="1"/>
  <c r="J185" i="86"/>
  <c r="J203" i="86"/>
  <c r="K203" i="86"/>
  <c r="M203" i="86" s="1"/>
  <c r="J207" i="86"/>
  <c r="K207" i="86"/>
  <c r="M207" i="86" s="1"/>
  <c r="K215" i="86"/>
  <c r="M215" i="86" s="1"/>
  <c r="J215" i="86"/>
  <c r="J27" i="86"/>
  <c r="K27" i="86"/>
  <c r="M27" i="86" s="1"/>
  <c r="J37" i="86"/>
  <c r="K37" i="86"/>
  <c r="M37" i="86" s="1"/>
  <c r="J40" i="86"/>
  <c r="K40" i="86"/>
  <c r="M40" i="86" s="1"/>
  <c r="J43" i="86"/>
  <c r="K48" i="86"/>
  <c r="M48" i="86" s="1"/>
  <c r="J48" i="86"/>
  <c r="J121" i="86"/>
  <c r="K121" i="86"/>
  <c r="M121" i="86" s="1"/>
  <c r="J124" i="86"/>
  <c r="K124" i="86"/>
  <c r="M124" i="86" s="1"/>
  <c r="J148" i="86"/>
  <c r="K148" i="86"/>
  <c r="M148" i="86" s="1"/>
  <c r="J152" i="86"/>
  <c r="K152" i="86"/>
  <c r="M152" i="86" s="1"/>
  <c r="J175" i="86"/>
  <c r="K175" i="86"/>
  <c r="M175" i="86" s="1"/>
  <c r="J178" i="86"/>
  <c r="K178" i="86"/>
  <c r="M178" i="86" s="1"/>
  <c r="J182" i="86"/>
  <c r="K182" i="86"/>
  <c r="M182" i="86" s="1"/>
  <c r="J190" i="86"/>
  <c r="K190" i="86"/>
  <c r="M190" i="86" s="1"/>
  <c r="J197" i="86"/>
  <c r="K197" i="86"/>
  <c r="M197" i="86" s="1"/>
  <c r="J204" i="86"/>
  <c r="K204" i="86"/>
  <c r="M204" i="86" s="1"/>
  <c r="J208" i="86"/>
  <c r="K208" i="86"/>
  <c r="M208" i="86" s="1"/>
  <c r="J212" i="86"/>
  <c r="K212" i="86"/>
  <c r="M212" i="86" s="1"/>
  <c r="J229" i="86"/>
  <c r="K229" i="86"/>
  <c r="M229" i="86" s="1"/>
  <c r="J233" i="86"/>
  <c r="K233" i="86"/>
  <c r="M233" i="86" s="1"/>
  <c r="J22" i="86"/>
  <c r="K22" i="86"/>
  <c r="M22" i="86" s="1"/>
  <c r="K25" i="86"/>
  <c r="M25" i="86" s="1"/>
  <c r="J25" i="86"/>
  <c r="J64" i="86"/>
  <c r="K64" i="86"/>
  <c r="M64" i="86" s="1"/>
  <c r="J72" i="86"/>
  <c r="K72" i="86"/>
  <c r="M72" i="86" s="1"/>
  <c r="J80" i="86"/>
  <c r="K80" i="86"/>
  <c r="M80" i="86" s="1"/>
  <c r="J87" i="86"/>
  <c r="K87" i="86"/>
  <c r="M87" i="86" s="1"/>
  <c r="J95" i="86"/>
  <c r="K95" i="86"/>
  <c r="M95" i="86" s="1"/>
  <c r="J103" i="86"/>
  <c r="K103" i="86"/>
  <c r="M103" i="86" s="1"/>
  <c r="J126" i="86"/>
  <c r="K126" i="86"/>
  <c r="M126" i="86" s="1"/>
  <c r="J130" i="86"/>
  <c r="K130" i="86"/>
  <c r="M130" i="86" s="1"/>
  <c r="J154" i="86"/>
  <c r="K154" i="86"/>
  <c r="M154" i="86" s="1"/>
  <c r="K161" i="86"/>
  <c r="M161" i="86" s="1"/>
  <c r="J161" i="86"/>
  <c r="J184" i="86"/>
  <c r="K184" i="86"/>
  <c r="M184" i="86" s="1"/>
  <c r="J214" i="86"/>
  <c r="K214" i="86"/>
  <c r="M214" i="86" s="1"/>
  <c r="K221" i="86"/>
  <c r="M221" i="86" s="1"/>
  <c r="J221" i="86"/>
  <c r="J10" i="86"/>
  <c r="K10" i="86"/>
  <c r="M10" i="86" s="1"/>
  <c r="J13" i="86"/>
  <c r="K13" i="86"/>
  <c r="M13" i="86" s="1"/>
  <c r="K19" i="86"/>
  <c r="M19" i="86" s="1"/>
  <c r="J19" i="86"/>
  <c r="J46" i="86"/>
  <c r="K46" i="86"/>
  <c r="M46" i="86" s="1"/>
  <c r="J57" i="86"/>
  <c r="K57" i="86"/>
  <c r="M57" i="86" s="1"/>
  <c r="J65" i="86"/>
  <c r="K65" i="86"/>
  <c r="M65" i="86" s="1"/>
  <c r="K73" i="86"/>
  <c r="M73" i="86" s="1"/>
  <c r="J73" i="86"/>
  <c r="J120" i="86"/>
  <c r="K120" i="86"/>
  <c r="M120" i="86" s="1"/>
  <c r="K127" i="86"/>
  <c r="M127" i="86" s="1"/>
  <c r="J127" i="86"/>
  <c r="K155" i="86"/>
  <c r="M155" i="86" s="1"/>
  <c r="J155" i="86"/>
  <c r="J21" i="86"/>
  <c r="K21" i="86"/>
  <c r="M21" i="86" s="1"/>
  <c r="J24" i="86"/>
  <c r="K24" i="86"/>
  <c r="M24" i="86" s="1"/>
  <c r="J28" i="86"/>
  <c r="K28" i="86"/>
  <c r="M28" i="86" s="1"/>
  <c r="J34" i="86"/>
  <c r="K34" i="86"/>
  <c r="M34" i="86" s="1"/>
  <c r="J38" i="86"/>
  <c r="K38" i="86"/>
  <c r="M38" i="86" s="1"/>
  <c r="K41" i="86"/>
  <c r="M41" i="86" s="1"/>
  <c r="J41" i="86"/>
  <c r="J75" i="86"/>
  <c r="K75" i="86"/>
  <c r="M75" i="86" s="1"/>
  <c r="J79" i="86"/>
  <c r="K79" i="86"/>
  <c r="M79" i="86" s="1"/>
  <c r="J83" i="86"/>
  <c r="K83" i="86"/>
  <c r="M83" i="86" s="1"/>
  <c r="J90" i="86"/>
  <c r="K90" i="86"/>
  <c r="M90" i="86" s="1"/>
  <c r="J94" i="86"/>
  <c r="K94" i="86"/>
  <c r="M94" i="86" s="1"/>
  <c r="J98" i="86"/>
  <c r="K98" i="86"/>
  <c r="M98" i="86" s="1"/>
  <c r="J106" i="86"/>
  <c r="K106" i="86"/>
  <c r="M106" i="86" s="1"/>
  <c r="J118" i="86"/>
  <c r="K118" i="86"/>
  <c r="M118" i="86" s="1"/>
  <c r="J133" i="86"/>
  <c r="K133" i="86"/>
  <c r="M133" i="86" s="1"/>
  <c r="J139" i="86"/>
  <c r="K139" i="86"/>
  <c r="M139" i="86" s="1"/>
  <c r="J145" i="86"/>
  <c r="K145" i="86"/>
  <c r="M145" i="86" s="1"/>
  <c r="J160" i="86"/>
  <c r="K160" i="86"/>
  <c r="M160" i="86" s="1"/>
  <c r="J166" i="86"/>
  <c r="K166" i="86"/>
  <c r="M166" i="86" s="1"/>
  <c r="J172" i="86"/>
  <c r="K172" i="86"/>
  <c r="M172" i="86" s="1"/>
  <c r="J187" i="86"/>
  <c r="K187" i="86"/>
  <c r="M187" i="86" s="1"/>
  <c r="J191" i="86"/>
  <c r="K191" i="86"/>
  <c r="M191" i="86" s="1"/>
  <c r="J198" i="86"/>
  <c r="K198" i="86"/>
  <c r="M198" i="86" s="1"/>
  <c r="J201" i="86"/>
  <c r="K201" i="86"/>
  <c r="M201" i="86" s="1"/>
  <c r="J220" i="86"/>
  <c r="K220" i="86"/>
  <c r="M220" i="86" s="1"/>
  <c r="J226" i="86"/>
  <c r="K226" i="86"/>
  <c r="M226" i="86" s="1"/>
  <c r="J230" i="86"/>
  <c r="K230" i="86"/>
  <c r="M230" i="86" s="1"/>
  <c r="J8" i="86"/>
  <c r="K8" i="86"/>
  <c r="M8" i="86" s="1"/>
  <c r="J14" i="86"/>
  <c r="K14" i="86"/>
  <c r="M14" i="86" s="1"/>
  <c r="J29" i="86"/>
  <c r="K29" i="86"/>
  <c r="M29" i="86" s="1"/>
  <c r="J32" i="86"/>
  <c r="K32" i="86"/>
  <c r="M32" i="86" s="1"/>
  <c r="J35" i="86"/>
  <c r="K35" i="86"/>
  <c r="M35" i="86" s="1"/>
  <c r="J44" i="86"/>
  <c r="K44" i="86"/>
  <c r="M44" i="86" s="1"/>
  <c r="J51" i="86"/>
  <c r="K51" i="86"/>
  <c r="M51" i="86" s="1"/>
  <c r="J55" i="86"/>
  <c r="K55" i="86"/>
  <c r="M55" i="86" s="1"/>
  <c r="J62" i="86"/>
  <c r="K62" i="86"/>
  <c r="M62" i="86" s="1"/>
  <c r="J66" i="86"/>
  <c r="K66" i="86"/>
  <c r="M66" i="86" s="1"/>
  <c r="J70" i="86"/>
  <c r="K70" i="86"/>
  <c r="M70" i="86" s="1"/>
  <c r="J77" i="86"/>
  <c r="K77" i="86"/>
  <c r="M77" i="86" s="1"/>
  <c r="J85" i="86"/>
  <c r="K85" i="86"/>
  <c r="M85" i="86" s="1"/>
  <c r="J92" i="86"/>
  <c r="K92" i="86"/>
  <c r="M92" i="86" s="1"/>
  <c r="J96" i="86"/>
  <c r="K96" i="86"/>
  <c r="M96" i="86" s="1"/>
  <c r="J100" i="86"/>
  <c r="K100" i="86"/>
  <c r="M100" i="86" s="1"/>
  <c r="J104" i="86"/>
  <c r="K104" i="86"/>
  <c r="M104" i="86" s="1"/>
  <c r="J110" i="86"/>
  <c r="K110" i="86"/>
  <c r="M110" i="86" s="1"/>
  <c r="J113" i="86"/>
  <c r="K113" i="86"/>
  <c r="M113" i="86" s="1"/>
  <c r="J116" i="86"/>
  <c r="K116" i="86"/>
  <c r="M116" i="86" s="1"/>
  <c r="J122" i="86"/>
  <c r="K122" i="86"/>
  <c r="M122" i="86" s="1"/>
  <c r="J131" i="86"/>
  <c r="K131" i="86"/>
  <c r="M131" i="86" s="1"/>
  <c r="J140" i="86"/>
  <c r="K140" i="86"/>
  <c r="M140" i="86" s="1"/>
  <c r="J143" i="86"/>
  <c r="K143" i="86"/>
  <c r="M143" i="86" s="1"/>
  <c r="J149" i="86"/>
  <c r="K149" i="86"/>
  <c r="M149" i="86" s="1"/>
  <c r="J158" i="86"/>
  <c r="K158" i="86"/>
  <c r="M158" i="86" s="1"/>
  <c r="J164" i="86"/>
  <c r="K164" i="86"/>
  <c r="M164" i="86" s="1"/>
  <c r="J167" i="86"/>
  <c r="K167" i="86"/>
  <c r="M167" i="86" s="1"/>
  <c r="J170" i="86"/>
  <c r="K170" i="86"/>
  <c r="M170" i="86" s="1"/>
  <c r="J176" i="86"/>
  <c r="K176" i="86"/>
  <c r="M176" i="86" s="1"/>
  <c r="J192" i="86"/>
  <c r="K192" i="86"/>
  <c r="M192" i="86" s="1"/>
  <c r="J195" i="86"/>
  <c r="K195" i="86"/>
  <c r="M195" i="86" s="1"/>
  <c r="J199" i="86"/>
  <c r="K199" i="86"/>
  <c r="M199" i="86" s="1"/>
  <c r="J205" i="86"/>
  <c r="K205" i="86"/>
  <c r="M205" i="86" s="1"/>
  <c r="J209" i="86"/>
  <c r="K209" i="86"/>
  <c r="M209" i="86" s="1"/>
  <c r="J218" i="86"/>
  <c r="K218" i="86"/>
  <c r="M218" i="86" s="1"/>
  <c r="J224" i="86"/>
  <c r="K224" i="86"/>
  <c r="M224" i="86" s="1"/>
  <c r="J231" i="86"/>
  <c r="K231" i="86"/>
  <c r="M231" i="86" s="1"/>
  <c r="J6" i="86"/>
  <c r="J20" i="86"/>
  <c r="K20" i="86"/>
  <c r="M20" i="86" s="1"/>
  <c r="J26" i="86"/>
  <c r="K26" i="86"/>
  <c r="M26" i="86" s="1"/>
  <c r="J30" i="86"/>
  <c r="K30" i="86"/>
  <c r="M30" i="86" s="1"/>
  <c r="J36" i="86"/>
  <c r="K36" i="86"/>
  <c r="M36" i="86" s="1"/>
  <c r="J42" i="86"/>
  <c r="K42" i="86"/>
  <c r="M42" i="86" s="1"/>
  <c r="J45" i="86"/>
  <c r="K45" i="86"/>
  <c r="M45" i="86" s="1"/>
  <c r="J49" i="86"/>
  <c r="K49" i="86"/>
  <c r="M49" i="86" s="1"/>
  <c r="J52" i="86"/>
  <c r="K52" i="86"/>
  <c r="M52" i="86" s="1"/>
  <c r="J59" i="86"/>
  <c r="K59" i="86"/>
  <c r="M59" i="86" s="1"/>
  <c r="J63" i="86"/>
  <c r="K63" i="86"/>
  <c r="M63" i="86" s="1"/>
  <c r="J67" i="86"/>
  <c r="K67" i="86"/>
  <c r="M67" i="86" s="1"/>
  <c r="J78" i="86"/>
  <c r="K78" i="86"/>
  <c r="M78" i="86" s="1"/>
  <c r="J82" i="86"/>
  <c r="K82" i="86"/>
  <c r="M82" i="86" s="1"/>
  <c r="J89" i="86"/>
  <c r="K89" i="86"/>
  <c r="M89" i="86" s="1"/>
  <c r="J93" i="86"/>
  <c r="K93" i="86"/>
  <c r="M93" i="86" s="1"/>
  <c r="J97" i="86"/>
  <c r="K97" i="86"/>
  <c r="M97" i="86" s="1"/>
  <c r="J101" i="86"/>
  <c r="K101" i="86"/>
  <c r="M101" i="86" s="1"/>
  <c r="J105" i="86"/>
  <c r="K105" i="86"/>
  <c r="M105" i="86" s="1"/>
  <c r="J108" i="86"/>
  <c r="K108" i="86"/>
  <c r="M108" i="86" s="1"/>
  <c r="J114" i="86"/>
  <c r="K114" i="86"/>
  <c r="M114" i="86" s="1"/>
  <c r="J119" i="86"/>
  <c r="J125" i="86"/>
  <c r="J128" i="86"/>
  <c r="K128" i="86"/>
  <c r="M128" i="86" s="1"/>
  <c r="J132" i="86"/>
  <c r="K132" i="86"/>
  <c r="M132" i="86" s="1"/>
  <c r="J135" i="86"/>
  <c r="K135" i="86"/>
  <c r="M135" i="86" s="1"/>
  <c r="J141" i="86"/>
  <c r="K141" i="86"/>
  <c r="M141" i="86" s="1"/>
  <c r="J146" i="86"/>
  <c r="J153" i="86"/>
  <c r="J156" i="86"/>
  <c r="K156" i="86"/>
  <c r="M156" i="86" s="1"/>
  <c r="J159" i="86"/>
  <c r="K159" i="86"/>
  <c r="M159" i="86" s="1"/>
  <c r="J162" i="86"/>
  <c r="K162" i="86"/>
  <c r="M162" i="86" s="1"/>
  <c r="J168" i="86"/>
  <c r="K168" i="86"/>
  <c r="M168" i="86" s="1"/>
  <c r="J173" i="86"/>
  <c r="J180" i="86"/>
  <c r="K180" i="86"/>
  <c r="M180" i="86" s="1"/>
  <c r="J183" i="86"/>
  <c r="J189" i="86"/>
  <c r="K189" i="86"/>
  <c r="M189" i="86" s="1"/>
  <c r="J193" i="86"/>
  <c r="K193" i="86"/>
  <c r="M193" i="86" s="1"/>
  <c r="J202" i="86"/>
  <c r="J206" i="86"/>
  <c r="K206" i="86"/>
  <c r="M206" i="86" s="1"/>
  <c r="J210" i="86"/>
  <c r="K210" i="86"/>
  <c r="M210" i="86" s="1"/>
  <c r="J213" i="86"/>
  <c r="J216" i="86"/>
  <c r="K216" i="86"/>
  <c r="M216" i="86" s="1"/>
  <c r="J219" i="86"/>
  <c r="K219" i="86"/>
  <c r="M219" i="86" s="1"/>
  <c r="J222" i="86"/>
  <c r="K222" i="86"/>
  <c r="M222" i="86" s="1"/>
  <c r="J228" i="86"/>
  <c r="K228" i="86"/>
  <c r="M228" i="86" s="1"/>
  <c r="J232" i="86"/>
  <c r="K232" i="86"/>
  <c r="M232" i="86" s="1"/>
  <c r="J234" i="86" l="1"/>
  <c r="I235" i="86" s="1"/>
  <c r="P5" i="59"/>
  <c r="H235" i="86" l="1"/>
  <c r="J235" i="86" s="1"/>
  <c r="P16" i="57"/>
  <c r="P32" i="57"/>
  <c r="P48" i="57"/>
  <c r="P64" i="57"/>
  <c r="P80" i="57"/>
  <c r="P96" i="57"/>
  <c r="P112" i="57"/>
  <c r="P128" i="57"/>
  <c r="P144" i="57"/>
  <c r="P160" i="57"/>
  <c r="P176" i="57"/>
  <c r="P192" i="57"/>
  <c r="P208" i="57"/>
  <c r="P224" i="57"/>
  <c r="P7" i="57"/>
  <c r="P8" i="57"/>
  <c r="P11" i="57"/>
  <c r="P15" i="57"/>
  <c r="P19" i="57"/>
  <c r="P20" i="57"/>
  <c r="P23" i="57"/>
  <c r="P24" i="57"/>
  <c r="P27" i="57"/>
  <c r="P31" i="57"/>
  <c r="P35" i="57"/>
  <c r="P36" i="57"/>
  <c r="P39" i="57"/>
  <c r="P40" i="57"/>
  <c r="P43" i="57"/>
  <c r="P47" i="57"/>
  <c r="P51" i="57"/>
  <c r="P52" i="57"/>
  <c r="P55" i="57"/>
  <c r="P56" i="57"/>
  <c r="P59" i="57"/>
  <c r="P63" i="57"/>
  <c r="P67" i="57"/>
  <c r="P68" i="57"/>
  <c r="P71" i="57"/>
  <c r="P72" i="57"/>
  <c r="P75" i="57"/>
  <c r="P79" i="57"/>
  <c r="P83" i="57"/>
  <c r="P84" i="57"/>
  <c r="P87" i="57"/>
  <c r="P88" i="57"/>
  <c r="P91" i="57"/>
  <c r="P95" i="57"/>
  <c r="P99" i="57"/>
  <c r="P100" i="57"/>
  <c r="P103" i="57"/>
  <c r="P104" i="57"/>
  <c r="P107" i="57"/>
  <c r="P111" i="57"/>
  <c r="P115" i="57"/>
  <c r="P116" i="57"/>
  <c r="P119" i="57"/>
  <c r="P120" i="57"/>
  <c r="P123" i="57"/>
  <c r="P127" i="57"/>
  <c r="P131" i="57"/>
  <c r="P132" i="57"/>
  <c r="P135" i="57"/>
  <c r="P136" i="57"/>
  <c r="P139" i="57"/>
  <c r="P143" i="57"/>
  <c r="P147" i="57"/>
  <c r="P148" i="57"/>
  <c r="P151" i="57"/>
  <c r="P152" i="57"/>
  <c r="P155" i="57"/>
  <c r="P159" i="57"/>
  <c r="P163" i="57"/>
  <c r="P164" i="57"/>
  <c r="P167" i="57"/>
  <c r="P168" i="57"/>
  <c r="P171" i="57"/>
  <c r="P175" i="57"/>
  <c r="P179" i="57"/>
  <c r="P180" i="57"/>
  <c r="P183" i="57"/>
  <c r="P184" i="57"/>
  <c r="P187" i="57"/>
  <c r="P191" i="57"/>
  <c r="P195" i="57"/>
  <c r="P196" i="57"/>
  <c r="P199" i="57"/>
  <c r="P200" i="57"/>
  <c r="P203" i="57"/>
  <c r="P207" i="57"/>
  <c r="P211" i="57"/>
  <c r="P212" i="57"/>
  <c r="P215" i="57"/>
  <c r="P216" i="57"/>
  <c r="P219" i="57"/>
  <c r="P223" i="57"/>
  <c r="P227" i="57"/>
  <c r="P228" i="57"/>
  <c r="P231" i="57"/>
  <c r="P232" i="57"/>
  <c r="P12" i="57"/>
  <c r="P28" i="57"/>
  <c r="P44" i="57"/>
  <c r="P60" i="57"/>
  <c r="P76" i="57"/>
  <c r="P92" i="57"/>
  <c r="P108" i="57"/>
  <c r="P124" i="57"/>
  <c r="P140" i="57"/>
  <c r="P156" i="57"/>
  <c r="P172" i="57"/>
  <c r="P188" i="57"/>
  <c r="P204" i="57"/>
  <c r="P220" i="57"/>
  <c r="P259" i="80"/>
  <c r="P9" i="80"/>
  <c r="P13" i="80"/>
  <c r="P17" i="80"/>
  <c r="P21" i="80"/>
  <c r="P25" i="80"/>
  <c r="P29" i="80"/>
  <c r="P33" i="80"/>
  <c r="P37" i="80"/>
  <c r="P41" i="80"/>
  <c r="P45" i="80"/>
  <c r="P49" i="80"/>
  <c r="P53" i="80"/>
  <c r="P57" i="80"/>
  <c r="P61" i="80"/>
  <c r="P65" i="80"/>
  <c r="P69" i="80"/>
  <c r="P73" i="80"/>
  <c r="P77" i="80"/>
  <c r="P81" i="80"/>
  <c r="P85" i="80"/>
  <c r="P89" i="80"/>
  <c r="P93" i="80"/>
  <c r="P97" i="80"/>
  <c r="P101" i="80"/>
  <c r="P105" i="80"/>
  <c r="P109" i="80"/>
  <c r="P113" i="80"/>
  <c r="P117" i="80"/>
  <c r="P121" i="80"/>
  <c r="P125" i="80"/>
  <c r="P129" i="80"/>
  <c r="P133" i="80"/>
  <c r="P137" i="80"/>
  <c r="P141" i="80"/>
  <c r="P145" i="80"/>
  <c r="P149" i="80"/>
  <c r="P153" i="80"/>
  <c r="P157" i="80"/>
  <c r="P161" i="80"/>
  <c r="P165" i="80"/>
  <c r="P169" i="80"/>
  <c r="P173" i="80"/>
  <c r="P177" i="80"/>
  <c r="P181" i="80"/>
  <c r="P185" i="80"/>
  <c r="P189" i="80"/>
  <c r="P193" i="80"/>
  <c r="P197" i="80"/>
  <c r="P201" i="80"/>
  <c r="P205" i="80"/>
  <c r="P209" i="80"/>
  <c r="P213" i="80"/>
  <c r="P217" i="80"/>
  <c r="P221" i="80"/>
  <c r="P225" i="80"/>
  <c r="P229" i="80"/>
  <c r="P233" i="80"/>
  <c r="P237" i="80"/>
  <c r="P241" i="80"/>
  <c r="P245" i="80"/>
  <c r="P249" i="80"/>
  <c r="P253" i="80"/>
  <c r="P257" i="80"/>
  <c r="P104" i="45"/>
  <c r="P120" i="45"/>
  <c r="P6" i="41"/>
  <c r="P7" i="41"/>
  <c r="P8" i="41"/>
  <c r="P9" i="41"/>
  <c r="P10" i="41"/>
  <c r="P11" i="41"/>
  <c r="P12" i="41"/>
  <c r="P13" i="41"/>
  <c r="P14" i="41"/>
  <c r="P15" i="41"/>
  <c r="P16" i="41"/>
  <c r="P17" i="41"/>
  <c r="P18" i="41"/>
  <c r="P19" i="41"/>
  <c r="P20" i="41"/>
  <c r="P21" i="41"/>
  <c r="P22" i="41"/>
  <c r="P23" i="41"/>
  <c r="P24" i="41"/>
  <c r="P25" i="41"/>
  <c r="P26" i="41"/>
  <c r="P27" i="41"/>
  <c r="P28" i="41"/>
  <c r="P29" i="41"/>
  <c r="P30" i="41"/>
  <c r="P31" i="41"/>
  <c r="P32" i="41"/>
  <c r="P33" i="41"/>
  <c r="P34" i="41"/>
  <c r="P35" i="41"/>
  <c r="P36" i="41"/>
  <c r="P37" i="41"/>
  <c r="P38" i="41"/>
  <c r="P39" i="41"/>
  <c r="P40" i="41"/>
  <c r="P41" i="41"/>
  <c r="P42" i="41"/>
  <c r="P43" i="41"/>
  <c r="P44" i="41"/>
  <c r="P45" i="41"/>
  <c r="P46" i="41"/>
  <c r="P47" i="41"/>
  <c r="P48" i="41"/>
  <c r="P49" i="41"/>
  <c r="P50" i="41"/>
  <c r="P51" i="41"/>
  <c r="P52" i="41"/>
  <c r="P53" i="41"/>
  <c r="P54" i="41"/>
  <c r="P55" i="41"/>
  <c r="P56" i="41"/>
  <c r="P57" i="41"/>
  <c r="P58" i="41"/>
  <c r="P59" i="41"/>
  <c r="P60" i="41"/>
  <c r="P61" i="41"/>
  <c r="P62" i="41"/>
  <c r="P63" i="41"/>
  <c r="P64" i="41"/>
  <c r="P65" i="41"/>
  <c r="P66" i="41"/>
  <c r="P67" i="41"/>
  <c r="P68" i="41"/>
  <c r="P69" i="41"/>
  <c r="P70" i="41"/>
  <c r="P71" i="41"/>
  <c r="P72" i="41"/>
  <c r="P73" i="41"/>
  <c r="P74" i="41"/>
  <c r="P75" i="41"/>
  <c r="P76" i="41"/>
  <c r="P77" i="41"/>
  <c r="P78" i="41"/>
  <c r="P79" i="41"/>
  <c r="P80" i="41"/>
  <c r="P81" i="41"/>
  <c r="P82" i="41"/>
  <c r="P83" i="41"/>
  <c r="P84" i="41"/>
  <c r="P85" i="41"/>
  <c r="P86" i="41"/>
  <c r="P87" i="41"/>
  <c r="P88" i="41"/>
  <c r="P89" i="41"/>
  <c r="P90" i="41"/>
  <c r="P91" i="41"/>
  <c r="P92" i="41"/>
  <c r="P93" i="41"/>
  <c r="P94" i="41"/>
  <c r="P95" i="41"/>
  <c r="P96" i="41"/>
  <c r="P97" i="41"/>
  <c r="P98" i="41"/>
  <c r="P99" i="41"/>
  <c r="P100" i="41"/>
  <c r="P101" i="41"/>
  <c r="P102" i="41"/>
  <c r="P103" i="41"/>
  <c r="P104" i="41"/>
  <c r="P105" i="41"/>
  <c r="P106" i="41"/>
  <c r="P107" i="41"/>
  <c r="P108" i="41"/>
  <c r="P109" i="41"/>
  <c r="P110" i="41"/>
  <c r="P111" i="41"/>
  <c r="P112" i="41"/>
  <c r="P113" i="41"/>
  <c r="P114" i="41"/>
  <c r="P115" i="41"/>
  <c r="P116" i="41"/>
  <c r="P117" i="41"/>
  <c r="P118" i="41"/>
  <c r="P119" i="41"/>
  <c r="P120" i="41"/>
  <c r="P121" i="41"/>
  <c r="P122" i="41"/>
  <c r="P123" i="41"/>
  <c r="P124" i="41"/>
  <c r="P125" i="41"/>
  <c r="P126" i="41"/>
  <c r="P127" i="41"/>
  <c r="P128" i="41"/>
  <c r="P129" i="41"/>
  <c r="P130" i="41"/>
  <c r="P131" i="41"/>
  <c r="P132" i="41"/>
  <c r="P133" i="41"/>
  <c r="P134" i="41"/>
  <c r="P135" i="41"/>
  <c r="P136" i="41"/>
  <c r="P137" i="41"/>
  <c r="P138" i="41"/>
  <c r="P139" i="41"/>
  <c r="P140" i="41"/>
  <c r="P141" i="41"/>
  <c r="P142" i="41"/>
  <c r="P143" i="41"/>
  <c r="P144" i="41"/>
  <c r="P145" i="41"/>
  <c r="P146" i="41"/>
  <c r="P147" i="41"/>
  <c r="P148" i="41"/>
  <c r="P149" i="41"/>
  <c r="P150" i="41"/>
  <c r="P151" i="41"/>
  <c r="P152" i="41"/>
  <c r="P153" i="41"/>
  <c r="P154" i="41"/>
  <c r="P155" i="41"/>
  <c r="P156" i="41"/>
  <c r="P157" i="41"/>
  <c r="P158" i="41"/>
  <c r="P159" i="41"/>
  <c r="P160" i="41"/>
  <c r="P161" i="41"/>
  <c r="P162" i="41"/>
  <c r="P163" i="41"/>
  <c r="P164" i="41"/>
  <c r="P165" i="41"/>
  <c r="P166" i="41"/>
  <c r="P167" i="41"/>
  <c r="P168" i="41"/>
  <c r="P169" i="41"/>
  <c r="P170" i="41"/>
  <c r="P171" i="41"/>
  <c r="P172" i="41"/>
  <c r="P173" i="41"/>
  <c r="P174" i="41"/>
  <c r="P175" i="41"/>
  <c r="P176" i="41"/>
  <c r="P177" i="41"/>
  <c r="P178" i="41"/>
  <c r="P179" i="41"/>
  <c r="P180" i="41"/>
  <c r="P181" i="41"/>
  <c r="P182" i="41"/>
  <c r="P183" i="41"/>
  <c r="P184" i="41"/>
  <c r="P185" i="41"/>
  <c r="P186" i="41"/>
  <c r="P187" i="41"/>
  <c r="P188" i="41"/>
  <c r="P189" i="41"/>
  <c r="P190" i="41"/>
  <c r="P191" i="41"/>
  <c r="P192" i="41"/>
  <c r="P193" i="41"/>
  <c r="P194" i="41"/>
  <c r="P195" i="41"/>
  <c r="P196" i="41"/>
  <c r="P197" i="41"/>
  <c r="P198" i="41"/>
  <c r="P199" i="41"/>
  <c r="P200" i="41"/>
  <c r="P201" i="41"/>
  <c r="P202" i="41"/>
  <c r="P203" i="41"/>
  <c r="P204" i="41"/>
  <c r="P205" i="41"/>
  <c r="P206" i="41"/>
  <c r="P207" i="41"/>
  <c r="P208" i="41"/>
  <c r="P209" i="41"/>
  <c r="P210" i="41"/>
  <c r="P211" i="41"/>
  <c r="P212" i="41"/>
  <c r="P213" i="41"/>
  <c r="P214" i="41"/>
  <c r="P215" i="41"/>
  <c r="P216" i="41"/>
  <c r="P217" i="41"/>
  <c r="P218" i="41"/>
  <c r="P219" i="41"/>
  <c r="P220" i="41"/>
  <c r="P221" i="41"/>
  <c r="P222" i="41"/>
  <c r="P223" i="41"/>
  <c r="P224" i="41"/>
  <c r="P225" i="41"/>
  <c r="P226" i="41"/>
  <c r="P227" i="41"/>
  <c r="P228" i="41"/>
  <c r="P229" i="41"/>
  <c r="P230" i="41"/>
  <c r="P231" i="41"/>
  <c r="P232" i="41"/>
  <c r="P233" i="41"/>
  <c r="P234" i="41"/>
  <c r="P235" i="41"/>
  <c r="P236" i="41"/>
  <c r="P237" i="41"/>
  <c r="P238" i="41"/>
  <c r="P239" i="41"/>
  <c r="P240" i="41"/>
  <c r="P241" i="41"/>
  <c r="P242" i="41"/>
  <c r="P243" i="41"/>
  <c r="P244" i="41"/>
  <c r="P245" i="41"/>
  <c r="P246" i="41"/>
  <c r="P247" i="41"/>
  <c r="P248" i="41"/>
  <c r="P249" i="41"/>
  <c r="P250" i="41"/>
  <c r="P251" i="41"/>
  <c r="P252" i="41"/>
  <c r="P253" i="41"/>
  <c r="P254" i="41"/>
  <c r="P255" i="41"/>
  <c r="P256" i="41"/>
  <c r="P257" i="41"/>
  <c r="P258" i="41"/>
  <c r="P259" i="41"/>
  <c r="P260" i="41"/>
  <c r="P5" i="57" l="1"/>
  <c r="P230" i="57"/>
  <c r="P226" i="57"/>
  <c r="P214" i="57"/>
  <c r="P210" i="57"/>
  <c r="P206" i="57"/>
  <c r="P202" i="57"/>
  <c r="P198" i="57"/>
  <c r="P194" i="57"/>
  <c r="P190" i="57"/>
  <c r="P186" i="57"/>
  <c r="P182" i="57"/>
  <c r="P178" i="57"/>
  <c r="P174" i="57"/>
  <c r="P170" i="57"/>
  <c r="P166" i="57"/>
  <c r="P162" i="57"/>
  <c r="P158" i="57"/>
  <c r="P154" i="57"/>
  <c r="P150" i="57"/>
  <c r="P146" i="57"/>
  <c r="P142" i="57"/>
  <c r="P138" i="57"/>
  <c r="P134" i="57"/>
  <c r="P130" i="57"/>
  <c r="P126" i="57"/>
  <c r="P122" i="57"/>
  <c r="P118" i="57"/>
  <c r="P114" i="57"/>
  <c r="P110" i="57"/>
  <c r="P106" i="57"/>
  <c r="P102" i="57"/>
  <c r="P98" i="57"/>
  <c r="P94" i="57"/>
  <c r="P90" i="57"/>
  <c r="P86" i="57"/>
  <c r="P82" i="57"/>
  <c r="P78" i="57"/>
  <c r="P74" i="57"/>
  <c r="P70" i="57"/>
  <c r="P66" i="57"/>
  <c r="P62" i="57"/>
  <c r="P58" i="57"/>
  <c r="P54" i="57"/>
  <c r="P50" i="57"/>
  <c r="P46" i="57"/>
  <c r="P42" i="57"/>
  <c r="P38" i="57"/>
  <c r="P34" i="57"/>
  <c r="P30" i="57"/>
  <c r="P26" i="57"/>
  <c r="P22" i="57"/>
  <c r="P18" i="57"/>
  <c r="P14" i="57"/>
  <c r="P10" i="57"/>
  <c r="P6" i="57"/>
  <c r="P218" i="57"/>
  <c r="P233" i="57"/>
  <c r="P229" i="57"/>
  <c r="P225" i="57"/>
  <c r="P221" i="57"/>
  <c r="P217" i="57"/>
  <c r="P213" i="57"/>
  <c r="P209" i="57"/>
  <c r="P205" i="57"/>
  <c r="P201" i="57"/>
  <c r="P197" i="57"/>
  <c r="P193" i="57"/>
  <c r="P189" i="57"/>
  <c r="P185" i="57"/>
  <c r="P181" i="57"/>
  <c r="P177" i="57"/>
  <c r="P173" i="57"/>
  <c r="P169" i="57"/>
  <c r="P165" i="57"/>
  <c r="P161" i="57"/>
  <c r="P157" i="57"/>
  <c r="P153" i="57"/>
  <c r="P149" i="57"/>
  <c r="P145" i="57"/>
  <c r="P141" i="57"/>
  <c r="P137" i="57"/>
  <c r="P133" i="57"/>
  <c r="P129" i="57"/>
  <c r="P125" i="57"/>
  <c r="P121" i="57"/>
  <c r="P117" i="57"/>
  <c r="P113" i="57"/>
  <c r="P109" i="57"/>
  <c r="P105" i="57"/>
  <c r="P101" i="57"/>
  <c r="P97" i="57"/>
  <c r="P93" i="57"/>
  <c r="P89" i="57"/>
  <c r="P85" i="57"/>
  <c r="P81" i="57"/>
  <c r="P77" i="57"/>
  <c r="P73" i="57"/>
  <c r="P69" i="57"/>
  <c r="P65" i="57"/>
  <c r="P61" i="57"/>
  <c r="P57" i="57"/>
  <c r="P53" i="57"/>
  <c r="P49" i="57"/>
  <c r="P45" i="57"/>
  <c r="P41" i="57"/>
  <c r="P37" i="57"/>
  <c r="P33" i="57"/>
  <c r="P29" i="57"/>
  <c r="P25" i="57"/>
  <c r="P21" i="57"/>
  <c r="P17" i="57"/>
  <c r="P13" i="57"/>
  <c r="P9" i="57"/>
  <c r="P222" i="57"/>
  <c r="P5" i="80"/>
  <c r="P256" i="80"/>
  <c r="P252" i="80"/>
  <c r="P248" i="80"/>
  <c r="P244" i="80"/>
  <c r="P240" i="80"/>
  <c r="P236" i="80"/>
  <c r="P232" i="80"/>
  <c r="P228" i="80"/>
  <c r="P224" i="80"/>
  <c r="P220" i="80"/>
  <c r="P216" i="80"/>
  <c r="P212" i="80"/>
  <c r="P208" i="80"/>
  <c r="P204" i="80"/>
  <c r="P200" i="80"/>
  <c r="P196" i="80"/>
  <c r="P192" i="80"/>
  <c r="P188" i="80"/>
  <c r="P184" i="80"/>
  <c r="P180" i="80"/>
  <c r="P176" i="80"/>
  <c r="P172" i="80"/>
  <c r="P168" i="80"/>
  <c r="P164" i="80"/>
  <c r="P160" i="80"/>
  <c r="P156" i="80"/>
  <c r="P152" i="80"/>
  <c r="P148" i="80"/>
  <c r="P144" i="80"/>
  <c r="P140" i="80"/>
  <c r="P136" i="80"/>
  <c r="P132" i="80"/>
  <c r="P128" i="80"/>
  <c r="P124" i="80"/>
  <c r="P120" i="80"/>
  <c r="P116" i="80"/>
  <c r="P112" i="80"/>
  <c r="P108" i="80"/>
  <c r="P104" i="80"/>
  <c r="P100" i="80"/>
  <c r="P96" i="80"/>
  <c r="P92" i="80"/>
  <c r="P88" i="80"/>
  <c r="P84" i="80"/>
  <c r="P80" i="80"/>
  <c r="P76" i="80"/>
  <c r="P72" i="80"/>
  <c r="P68" i="80"/>
  <c r="P64" i="80"/>
  <c r="P60" i="80"/>
  <c r="P56" i="80"/>
  <c r="P52" i="80"/>
  <c r="P48" i="80"/>
  <c r="P44" i="80"/>
  <c r="P40" i="80"/>
  <c r="P36" i="80"/>
  <c r="P32" i="80"/>
  <c r="P28" i="80"/>
  <c r="P24" i="80"/>
  <c r="P20" i="80"/>
  <c r="P16" i="80"/>
  <c r="P12" i="80"/>
  <c r="P8" i="80"/>
  <c r="P255" i="80"/>
  <c r="P251" i="80"/>
  <c r="P247" i="80"/>
  <c r="P243" i="80"/>
  <c r="P239" i="80"/>
  <c r="P235" i="80"/>
  <c r="P231" i="80"/>
  <c r="P227" i="80"/>
  <c r="P223" i="80"/>
  <c r="P219" i="80"/>
  <c r="P215" i="80"/>
  <c r="P211" i="80"/>
  <c r="P207" i="80"/>
  <c r="P203" i="80"/>
  <c r="P199" i="80"/>
  <c r="P195" i="80"/>
  <c r="P191" i="80"/>
  <c r="P187" i="80"/>
  <c r="P183" i="80"/>
  <c r="P179" i="80"/>
  <c r="P175" i="80"/>
  <c r="P171" i="80"/>
  <c r="P167" i="80"/>
  <c r="P163" i="80"/>
  <c r="P159" i="80"/>
  <c r="P155" i="80"/>
  <c r="P151" i="80"/>
  <c r="P147" i="80"/>
  <c r="P143" i="80"/>
  <c r="P139" i="80"/>
  <c r="P135" i="80"/>
  <c r="P131" i="80"/>
  <c r="P127" i="80"/>
  <c r="P123" i="80"/>
  <c r="P119" i="80"/>
  <c r="P115" i="80"/>
  <c r="P111" i="80"/>
  <c r="P107" i="80"/>
  <c r="P103" i="80"/>
  <c r="P99" i="80"/>
  <c r="P95" i="80"/>
  <c r="P91" i="80"/>
  <c r="P87" i="80"/>
  <c r="P83" i="80"/>
  <c r="P79" i="80"/>
  <c r="P75" i="80"/>
  <c r="P71" i="80"/>
  <c r="P67" i="80"/>
  <c r="P63" i="80"/>
  <c r="P59" i="80"/>
  <c r="P55" i="80"/>
  <c r="P51" i="80"/>
  <c r="P47" i="80"/>
  <c r="P43" i="80"/>
  <c r="P39" i="80"/>
  <c r="P35" i="80"/>
  <c r="P31" i="80"/>
  <c r="P27" i="80"/>
  <c r="P23" i="80"/>
  <c r="P19" i="80"/>
  <c r="P15" i="80"/>
  <c r="P11" i="80"/>
  <c r="P7" i="80"/>
  <c r="P258" i="80"/>
  <c r="P254" i="80"/>
  <c r="P250" i="80"/>
  <c r="P246" i="80"/>
  <c r="P242" i="80"/>
  <c r="P238" i="80"/>
  <c r="P234" i="80"/>
  <c r="P230" i="80"/>
  <c r="P226" i="80"/>
  <c r="P222" i="80"/>
  <c r="P218" i="80"/>
  <c r="P214" i="80"/>
  <c r="P210" i="80"/>
  <c r="P206" i="80"/>
  <c r="P202" i="80"/>
  <c r="P198" i="80"/>
  <c r="P194" i="80"/>
  <c r="P190" i="80"/>
  <c r="P186" i="80"/>
  <c r="P182" i="80"/>
  <c r="P178" i="80"/>
  <c r="P174" i="80"/>
  <c r="P170" i="80"/>
  <c r="P166" i="80"/>
  <c r="P162" i="80"/>
  <c r="P158" i="80"/>
  <c r="P154" i="80"/>
  <c r="P150" i="80"/>
  <c r="P146" i="80"/>
  <c r="P142" i="80"/>
  <c r="P138" i="80"/>
  <c r="P134" i="80"/>
  <c r="P130" i="80"/>
  <c r="P126" i="80"/>
  <c r="P122" i="80"/>
  <c r="P118" i="80"/>
  <c r="P114" i="80"/>
  <c r="P110" i="80"/>
  <c r="P106" i="80"/>
  <c r="P102" i="80"/>
  <c r="P98" i="80"/>
  <c r="P94" i="80"/>
  <c r="P90" i="80"/>
  <c r="P86" i="80"/>
  <c r="P82" i="80"/>
  <c r="P78" i="80"/>
  <c r="P74" i="80"/>
  <c r="P70" i="80"/>
  <c r="P66" i="80"/>
  <c r="P62" i="80"/>
  <c r="P58" i="80"/>
  <c r="P54" i="80"/>
  <c r="P50" i="80"/>
  <c r="P46" i="80"/>
  <c r="P42" i="80"/>
  <c r="P38" i="80"/>
  <c r="P34" i="80"/>
  <c r="P30" i="80"/>
  <c r="P26" i="80"/>
  <c r="P22" i="80"/>
  <c r="P18" i="80"/>
  <c r="P14" i="80"/>
  <c r="P10" i="80"/>
  <c r="P6" i="80"/>
  <c r="P132" i="45"/>
  <c r="P124" i="45"/>
  <c r="P116" i="45"/>
  <c r="P112" i="45"/>
  <c r="P108" i="45"/>
  <c r="P100" i="45"/>
  <c r="P96" i="45"/>
  <c r="P92" i="45"/>
  <c r="P88" i="45"/>
  <c r="P84" i="45"/>
  <c r="P80" i="45"/>
  <c r="P76" i="45"/>
  <c r="P72" i="45"/>
  <c r="P68" i="45"/>
  <c r="P64" i="45"/>
  <c r="P60" i="45"/>
  <c r="P56" i="45"/>
  <c r="P52" i="45"/>
  <c r="P48" i="45"/>
  <c r="P44" i="45"/>
  <c r="P40" i="45"/>
  <c r="P36" i="45"/>
  <c r="P32" i="45"/>
  <c r="P28" i="45"/>
  <c r="P24" i="45"/>
  <c r="P20" i="45"/>
  <c r="P16" i="45"/>
  <c r="P12" i="45"/>
  <c r="P8" i="45"/>
  <c r="P128" i="45"/>
  <c r="P253" i="45"/>
  <c r="P249" i="45"/>
  <c r="P245" i="45"/>
  <c r="P241" i="45"/>
  <c r="P237" i="45"/>
  <c r="P233" i="45"/>
  <c r="P229" i="45"/>
  <c r="P225" i="45"/>
  <c r="P221" i="45"/>
  <c r="P217" i="45"/>
  <c r="P213" i="45"/>
  <c r="P209" i="45"/>
  <c r="P205" i="45"/>
  <c r="P201" i="45"/>
  <c r="P197" i="45"/>
  <c r="P193" i="45"/>
  <c r="P189" i="45"/>
  <c r="P185" i="45"/>
  <c r="P181" i="45"/>
  <c r="P177" i="45"/>
  <c r="P173" i="45"/>
  <c r="P169" i="45"/>
  <c r="P165" i="45"/>
  <c r="P161" i="45"/>
  <c r="P157" i="45"/>
  <c r="P153" i="45"/>
  <c r="P149" i="45"/>
  <c r="P145" i="45"/>
  <c r="P141" i="45"/>
  <c r="P137" i="45"/>
  <c r="P133" i="45"/>
  <c r="P129" i="45"/>
  <c r="P125" i="45"/>
  <c r="P121" i="45"/>
  <c r="P117" i="45"/>
  <c r="P113" i="45"/>
  <c r="P109" i="45"/>
  <c r="P105" i="45"/>
  <c r="P101" i="45"/>
  <c r="P97" i="45"/>
  <c r="P93" i="45"/>
  <c r="P89" i="45"/>
  <c r="P85" i="45"/>
  <c r="P81" i="45"/>
  <c r="P77" i="45"/>
  <c r="P73" i="45"/>
  <c r="P69" i="45"/>
  <c r="P65" i="45"/>
  <c r="P61" i="45"/>
  <c r="P57" i="45"/>
  <c r="P53" i="45"/>
  <c r="P49" i="45"/>
  <c r="P45" i="45"/>
  <c r="P41" i="45"/>
  <c r="P37" i="45"/>
  <c r="P33" i="45"/>
  <c r="P29" i="45"/>
  <c r="P25" i="45"/>
  <c r="P21" i="45"/>
  <c r="P17" i="45"/>
  <c r="P13" i="45"/>
  <c r="P9" i="45"/>
  <c r="P252" i="45"/>
  <c r="P248" i="45"/>
  <c r="P244" i="45"/>
  <c r="P240" i="45"/>
  <c r="P236" i="45"/>
  <c r="P232" i="45"/>
  <c r="P228" i="45"/>
  <c r="P224" i="45"/>
  <c r="P220" i="45"/>
  <c r="P216" i="45"/>
  <c r="P212" i="45"/>
  <c r="P208" i="45"/>
  <c r="P204" i="45"/>
  <c r="P200" i="45"/>
  <c r="P196" i="45"/>
  <c r="P192" i="45"/>
  <c r="P188" i="45"/>
  <c r="P184" i="45"/>
  <c r="P180" i="45"/>
  <c r="P176" i="45"/>
  <c r="P172" i="45"/>
  <c r="P168" i="45"/>
  <c r="P164" i="45"/>
  <c r="P160" i="45"/>
  <c r="P156" i="45"/>
  <c r="P152" i="45"/>
  <c r="P148" i="45"/>
  <c r="P144" i="45"/>
  <c r="P140" i="45"/>
  <c r="P136" i="45"/>
  <c r="P5" i="45"/>
  <c r="P251" i="45"/>
  <c r="P247" i="45"/>
  <c r="P243" i="45"/>
  <c r="P239" i="45"/>
  <c r="P235" i="45"/>
  <c r="P231" i="45"/>
  <c r="P227" i="45"/>
  <c r="P223" i="45"/>
  <c r="P219" i="45"/>
  <c r="P215" i="45"/>
  <c r="P211" i="45"/>
  <c r="P207" i="45"/>
  <c r="P203" i="45"/>
  <c r="P199" i="45"/>
  <c r="P195" i="45"/>
  <c r="P191" i="45"/>
  <c r="P187" i="45"/>
  <c r="P183" i="45"/>
  <c r="P179" i="45"/>
  <c r="P175" i="45"/>
  <c r="P171" i="45"/>
  <c r="P167" i="45"/>
  <c r="P163" i="45"/>
  <c r="P159" i="45"/>
  <c r="P155" i="45"/>
  <c r="P151" i="45"/>
  <c r="P147" i="45"/>
  <c r="P143" i="45"/>
  <c r="P139" i="45"/>
  <c r="P135" i="45"/>
  <c r="P131" i="45"/>
  <c r="P127" i="45"/>
  <c r="P123" i="45"/>
  <c r="P119" i="45"/>
  <c r="P115" i="45"/>
  <c r="P111" i="45"/>
  <c r="P107" i="45"/>
  <c r="P103" i="45"/>
  <c r="P99" i="45"/>
  <c r="P95" i="45"/>
  <c r="P91" i="45"/>
  <c r="P87" i="45"/>
  <c r="P83" i="45"/>
  <c r="P79" i="45"/>
  <c r="P75" i="45"/>
  <c r="P71" i="45"/>
  <c r="P67" i="45"/>
  <c r="P63" i="45"/>
  <c r="P59" i="45"/>
  <c r="P55" i="45"/>
  <c r="P51" i="45"/>
  <c r="P47" i="45"/>
  <c r="P43" i="45"/>
  <c r="P39" i="45"/>
  <c r="P35" i="45"/>
  <c r="P31" i="45"/>
  <c r="P27" i="45"/>
  <c r="P23" i="45"/>
  <c r="P19" i="45"/>
  <c r="P15" i="45"/>
  <c r="P11" i="45"/>
  <c r="P7" i="45"/>
  <c r="P250" i="45"/>
  <c r="P238" i="45"/>
  <c r="P230" i="45"/>
  <c r="P222" i="45"/>
  <c r="P218" i="45"/>
  <c r="P210" i="45"/>
  <c r="P198" i="45"/>
  <c r="P190" i="45"/>
  <c r="P182" i="45"/>
  <c r="P174" i="45"/>
  <c r="P166" i="45"/>
  <c r="P162" i="45"/>
  <c r="P154" i="45"/>
  <c r="P150" i="45"/>
  <c r="P146" i="45"/>
  <c r="P142" i="45"/>
  <c r="P138" i="45"/>
  <c r="P134" i="45"/>
  <c r="P126" i="45"/>
  <c r="P122" i="45"/>
  <c r="P118" i="45"/>
  <c r="P114" i="45"/>
  <c r="P110" i="45"/>
  <c r="P106" i="45"/>
  <c r="P102" i="45"/>
  <c r="P98" i="45"/>
  <c r="P94" i="45"/>
  <c r="P90" i="45"/>
  <c r="P86" i="45"/>
  <c r="P82" i="45"/>
  <c r="P78" i="45"/>
  <c r="P74" i="45"/>
  <c r="P70" i="45"/>
  <c r="P66" i="45"/>
  <c r="P62" i="45"/>
  <c r="P58" i="45"/>
  <c r="P54" i="45"/>
  <c r="P50" i="45"/>
  <c r="P46" i="45"/>
  <c r="P42" i="45"/>
  <c r="P38" i="45"/>
  <c r="P34" i="45"/>
  <c r="P30" i="45"/>
  <c r="P26" i="45"/>
  <c r="P22" i="45"/>
  <c r="P18" i="45"/>
  <c r="P14" i="45"/>
  <c r="P10" i="45"/>
  <c r="P6" i="45"/>
  <c r="P254" i="45"/>
  <c r="P246" i="45"/>
  <c r="P242" i="45"/>
  <c r="P234" i="45"/>
  <c r="P226" i="45"/>
  <c r="P214" i="45"/>
  <c r="P206" i="45"/>
  <c r="P202" i="45"/>
  <c r="P194" i="45"/>
  <c r="P186" i="45"/>
  <c r="P178" i="45"/>
  <c r="P170" i="45"/>
  <c r="P158" i="45"/>
  <c r="P130" i="45"/>
  <c r="P263" i="42"/>
  <c r="P247" i="42"/>
  <c r="P235" i="42"/>
  <c r="P223" i="42"/>
  <c r="P211" i="42"/>
  <c r="P195" i="42"/>
  <c r="P183" i="42"/>
  <c r="P171" i="42"/>
  <c r="P147" i="42"/>
  <c r="P99" i="42"/>
  <c r="P267" i="42"/>
  <c r="P259" i="42"/>
  <c r="P255" i="42"/>
  <c r="P251" i="42"/>
  <c r="P243" i="42"/>
  <c r="P239" i="42"/>
  <c r="P231" i="42"/>
  <c r="P227" i="42"/>
  <c r="P219" i="42"/>
  <c r="P215" i="42"/>
  <c r="P207" i="42"/>
  <c r="P203" i="42"/>
  <c r="P199" i="42"/>
  <c r="P191" i="42"/>
  <c r="P187" i="42"/>
  <c r="P179" i="42"/>
  <c r="P175" i="42"/>
  <c r="P167" i="42"/>
  <c r="P163" i="42"/>
  <c r="P159" i="42"/>
  <c r="P155" i="42"/>
  <c r="P151" i="42"/>
  <c r="P143" i="42"/>
  <c r="P139" i="42"/>
  <c r="P135" i="42"/>
  <c r="P131" i="42"/>
  <c r="P127" i="42"/>
  <c r="P123" i="42"/>
  <c r="P119" i="42"/>
  <c r="P115" i="42"/>
  <c r="P111" i="42"/>
  <c r="P107" i="42"/>
  <c r="P103" i="42"/>
  <c r="P266" i="42"/>
  <c r="P262" i="42"/>
  <c r="P258" i="42"/>
  <c r="P254" i="42"/>
  <c r="P250" i="42"/>
  <c r="P246" i="42"/>
  <c r="P242" i="42"/>
  <c r="P238" i="42"/>
  <c r="P234" i="42"/>
  <c r="P230" i="42"/>
  <c r="P226" i="42"/>
  <c r="P222" i="42"/>
  <c r="P218" i="42"/>
  <c r="P214" i="42"/>
  <c r="P210" i="42"/>
  <c r="P206" i="42"/>
  <c r="P202" i="42"/>
  <c r="P198" i="42"/>
  <c r="P194" i="42"/>
  <c r="P190" i="42"/>
  <c r="P186" i="42"/>
  <c r="P182" i="42"/>
  <c r="P178" i="42"/>
  <c r="P174" i="42"/>
  <c r="P170" i="42"/>
  <c r="P166" i="42"/>
  <c r="P162" i="42"/>
  <c r="P158" i="42"/>
  <c r="P154" i="42"/>
  <c r="P150" i="42"/>
  <c r="P146" i="42"/>
  <c r="P142" i="42"/>
  <c r="P138" i="42"/>
  <c r="P134" i="42"/>
  <c r="P130" i="42"/>
  <c r="P126" i="42"/>
  <c r="P122" i="42"/>
  <c r="P118" i="42"/>
  <c r="P114" i="42"/>
  <c r="P110" i="42"/>
  <c r="P106" i="42"/>
  <c r="P102" i="42"/>
  <c r="P98" i="42"/>
  <c r="P94" i="42"/>
  <c r="P90" i="42"/>
  <c r="P86" i="42"/>
  <c r="P82" i="42"/>
  <c r="P78" i="42"/>
  <c r="P74" i="42"/>
  <c r="P70" i="42"/>
  <c r="P66" i="42"/>
  <c r="P62" i="42"/>
  <c r="P58" i="42"/>
  <c r="P54" i="42"/>
  <c r="P50" i="42"/>
  <c r="P46" i="42"/>
  <c r="P42" i="42"/>
  <c r="P38" i="42"/>
  <c r="P34" i="42"/>
  <c r="P30" i="42"/>
  <c r="P26" i="42"/>
  <c r="P22" i="42"/>
  <c r="P18" i="42"/>
  <c r="P14" i="42"/>
  <c r="P10" i="42"/>
  <c r="P91" i="42"/>
  <c r="P83" i="42"/>
  <c r="P79" i="42"/>
  <c r="P75" i="42"/>
  <c r="P71" i="42"/>
  <c r="P63" i="42"/>
  <c r="P59" i="42"/>
  <c r="P55" i="42"/>
  <c r="P51" i="42"/>
  <c r="P47" i="42"/>
  <c r="P43" i="42"/>
  <c r="P39" i="42"/>
  <c r="P35" i="42"/>
  <c r="P31" i="42"/>
  <c r="P27" i="42"/>
  <c r="P23" i="42"/>
  <c r="P19" i="42"/>
  <c r="P15" i="42"/>
  <c r="P11" i="42"/>
  <c r="P7" i="42"/>
  <c r="P265" i="42"/>
  <c r="P261" i="42"/>
  <c r="P257" i="42"/>
  <c r="P253" i="42"/>
  <c r="P249" i="42"/>
  <c r="P245" i="42"/>
  <c r="P241" i="42"/>
  <c r="P237" i="42"/>
  <c r="P233" i="42"/>
  <c r="P229" i="42"/>
  <c r="P225" i="42"/>
  <c r="P221" i="42"/>
  <c r="P217" i="42"/>
  <c r="P213" i="42"/>
  <c r="P209" i="42"/>
  <c r="P205" i="42"/>
  <c r="P201" i="42"/>
  <c r="P197" i="42"/>
  <c r="P193" i="42"/>
  <c r="P189" i="42"/>
  <c r="P185" i="42"/>
  <c r="P181" i="42"/>
  <c r="P177" i="42"/>
  <c r="P173" i="42"/>
  <c r="P169" i="42"/>
  <c r="P165" i="42"/>
  <c r="P161" i="42"/>
  <c r="P157" i="42"/>
  <c r="P153" i="42"/>
  <c r="P149" i="42"/>
  <c r="P145" i="42"/>
  <c r="P141" i="42"/>
  <c r="P137" i="42"/>
  <c r="P133" i="42"/>
  <c r="P129" i="42"/>
  <c r="P125" i="42"/>
  <c r="P121" i="42"/>
  <c r="P117" i="42"/>
  <c r="P113" i="42"/>
  <c r="P109" i="42"/>
  <c r="P105" i="42"/>
  <c r="P101" i="42"/>
  <c r="P97" i="42"/>
  <c r="P93" i="42"/>
  <c r="P89" i="42"/>
  <c r="P85" i="42"/>
  <c r="P81" i="42"/>
  <c r="P77" i="42"/>
  <c r="P73" i="42"/>
  <c r="P69" i="42"/>
  <c r="P65" i="42"/>
  <c r="P61" i="42"/>
  <c r="P57" i="42"/>
  <c r="P53" i="42"/>
  <c r="P49" i="42"/>
  <c r="P45" i="42"/>
  <c r="P41" i="42"/>
  <c r="P37" i="42"/>
  <c r="P33" i="42"/>
  <c r="P29" i="42"/>
  <c r="P25" i="42"/>
  <c r="P21" i="42"/>
  <c r="P17" i="42"/>
  <c r="P13" i="42"/>
  <c r="P9" i="42"/>
  <c r="P95" i="42"/>
  <c r="P87" i="42"/>
  <c r="P67" i="42"/>
  <c r="P6" i="42"/>
  <c r="P264" i="42"/>
  <c r="P260" i="42"/>
  <c r="P256" i="42"/>
  <c r="P252" i="42"/>
  <c r="P248" i="42"/>
  <c r="P244" i="42"/>
  <c r="P240" i="42"/>
  <c r="P236" i="42"/>
  <c r="P232" i="42"/>
  <c r="P228" i="42"/>
  <c r="P224" i="42"/>
  <c r="P220" i="42"/>
  <c r="P216" i="42"/>
  <c r="P212" i="42"/>
  <c r="P208" i="42"/>
  <c r="P204" i="42"/>
  <c r="P200" i="42"/>
  <c r="P196" i="42"/>
  <c r="P192" i="42"/>
  <c r="P188" i="42"/>
  <c r="P184" i="42"/>
  <c r="P180" i="42"/>
  <c r="P176" i="42"/>
  <c r="P172" i="42"/>
  <c r="P168" i="42"/>
  <c r="P164" i="42"/>
  <c r="P160" i="42"/>
  <c r="P156" i="42"/>
  <c r="P152" i="42"/>
  <c r="P148" i="42"/>
  <c r="P144" i="42"/>
  <c r="P140" i="42"/>
  <c r="P136" i="42"/>
  <c r="P132" i="42"/>
  <c r="P128" i="42"/>
  <c r="P124" i="42"/>
  <c r="P120" i="42"/>
  <c r="P116" i="42"/>
  <c r="P112" i="42"/>
  <c r="P108" i="42"/>
  <c r="P104" i="42"/>
  <c r="P100" i="42"/>
  <c r="P96" i="42"/>
  <c r="P92" i="42"/>
  <c r="P88" i="42"/>
  <c r="P84" i="42"/>
  <c r="P80" i="42"/>
  <c r="P76" i="42"/>
  <c r="P72" i="42"/>
  <c r="P68" i="42"/>
  <c r="P64" i="42"/>
  <c r="P60" i="42"/>
  <c r="P56" i="42"/>
  <c r="P52" i="42"/>
  <c r="P48" i="42"/>
  <c r="P44" i="42"/>
  <c r="P40" i="42"/>
  <c r="P36" i="42"/>
  <c r="P32" i="42"/>
  <c r="P28" i="42"/>
  <c r="P24" i="42"/>
  <c r="P20" i="42"/>
  <c r="P16" i="42"/>
  <c r="P12" i="42"/>
  <c r="P8" i="42"/>
  <c r="P248" i="59"/>
  <c r="P244" i="59"/>
  <c r="P240" i="59"/>
  <c r="P236" i="59"/>
  <c r="P232" i="59"/>
  <c r="P228" i="59"/>
  <c r="P224" i="59"/>
  <c r="P220" i="59"/>
  <c r="P216" i="59"/>
  <c r="P212" i="59"/>
  <c r="P208" i="59"/>
  <c r="P204" i="59"/>
  <c r="P200" i="59"/>
  <c r="P196" i="59"/>
  <c r="P192" i="59"/>
  <c r="P188" i="59"/>
  <c r="P184" i="59"/>
  <c r="P180" i="59"/>
  <c r="P176" i="59"/>
  <c r="P172" i="59"/>
  <c r="P168" i="59"/>
  <c r="P164" i="59"/>
  <c r="P160" i="59"/>
  <c r="P156" i="59"/>
  <c r="P152" i="59"/>
  <c r="P148" i="59"/>
  <c r="P144" i="59"/>
  <c r="P140" i="59"/>
  <c r="P136" i="59"/>
  <c r="P132" i="59"/>
  <c r="P128" i="59"/>
  <c r="P124" i="59"/>
  <c r="P120" i="59"/>
  <c r="P116" i="59"/>
  <c r="P112" i="59"/>
  <c r="P108" i="59"/>
  <c r="P104" i="59"/>
  <c r="P100" i="59"/>
  <c r="P96" i="59"/>
  <c r="P92" i="59"/>
  <c r="P88" i="59"/>
  <c r="P84" i="59"/>
  <c r="P80" i="59"/>
  <c r="P76" i="59"/>
  <c r="P72" i="59"/>
  <c r="P68" i="59"/>
  <c r="P64" i="59"/>
  <c r="P60" i="59"/>
  <c r="P56" i="59"/>
  <c r="P52" i="59"/>
  <c r="P48" i="59"/>
  <c r="P44" i="59"/>
  <c r="P40" i="59"/>
  <c r="P36" i="59"/>
  <c r="P32" i="59"/>
  <c r="P28" i="59"/>
  <c r="P24" i="59"/>
  <c r="P20" i="59"/>
  <c r="P16" i="59"/>
  <c r="P12" i="59"/>
  <c r="P8" i="59"/>
  <c r="P247" i="59"/>
  <c r="P235" i="59"/>
  <c r="P231" i="59"/>
  <c r="P227" i="59"/>
  <c r="P223" i="59"/>
  <c r="P219" i="59"/>
  <c r="P215" i="59"/>
  <c r="P211" i="59"/>
  <c r="P207" i="59"/>
  <c r="P203" i="59"/>
  <c r="P199" i="59"/>
  <c r="P195" i="59"/>
  <c r="P187" i="59"/>
  <c r="P183" i="59"/>
  <c r="P179" i="59"/>
  <c r="P175" i="59"/>
  <c r="P171" i="59"/>
  <c r="P167" i="59"/>
  <c r="P155" i="59"/>
  <c r="P151" i="59"/>
  <c r="P147" i="59"/>
  <c r="P143" i="59"/>
  <c r="P139" i="59"/>
  <c r="P135" i="59"/>
  <c r="P131" i="59"/>
  <c r="P127" i="59"/>
  <c r="P55" i="59"/>
  <c r="P51" i="59"/>
  <c r="P47" i="59"/>
  <c r="P43" i="59"/>
  <c r="P39" i="59"/>
  <c r="P35" i="59"/>
  <c r="P31" i="59"/>
  <c r="P27" i="59"/>
  <c r="P23" i="59"/>
  <c r="P19" i="59"/>
  <c r="P15" i="59"/>
  <c r="P11" i="59"/>
  <c r="P7" i="59"/>
  <c r="P250" i="59"/>
  <c r="P246" i="59"/>
  <c r="P230" i="59"/>
  <c r="P226" i="59"/>
  <c r="P218" i="59"/>
  <c r="P214" i="59"/>
  <c r="P206" i="59"/>
  <c r="P202" i="59"/>
  <c r="P198" i="59"/>
  <c r="P194" i="59"/>
  <c r="P186" i="59"/>
  <c r="P170" i="59"/>
  <c r="P154" i="59"/>
  <c r="P150" i="59"/>
  <c r="P146" i="59"/>
  <c r="P142" i="59"/>
  <c r="P138" i="59"/>
  <c r="P134" i="59"/>
  <c r="P130" i="59"/>
  <c r="P54" i="59"/>
  <c r="P50" i="59"/>
  <c r="P46" i="59"/>
  <c r="P42" i="59"/>
  <c r="P38" i="59"/>
  <c r="P34" i="59"/>
  <c r="P30" i="59"/>
  <c r="P26" i="59"/>
  <c r="P22" i="59"/>
  <c r="P18" i="59"/>
  <c r="P14" i="59"/>
  <c r="P10" i="59"/>
  <c r="P6" i="59"/>
  <c r="P249" i="59"/>
  <c r="P245" i="59"/>
  <c r="P241" i="59"/>
  <c r="P237" i="59"/>
  <c r="P233" i="59"/>
  <c r="P229" i="59"/>
  <c r="P225" i="59"/>
  <c r="P221" i="59"/>
  <c r="P217" i="59"/>
  <c r="P213" i="59"/>
  <c r="P209" i="59"/>
  <c r="P205" i="59"/>
  <c r="P201" i="59"/>
  <c r="P197" i="59"/>
  <c r="P193" i="59"/>
  <c r="P189" i="59"/>
  <c r="P185" i="59"/>
  <c r="P181" i="59"/>
  <c r="P177" i="59"/>
  <c r="P173" i="59"/>
  <c r="P169" i="59"/>
  <c r="P165" i="59"/>
  <c r="P161" i="59"/>
  <c r="P157" i="59"/>
  <c r="P153" i="59"/>
  <c r="P149" i="59"/>
  <c r="P145" i="59"/>
  <c r="P141" i="59"/>
  <c r="P129" i="59"/>
  <c r="P53" i="59"/>
  <c r="P49" i="59"/>
  <c r="P45" i="59"/>
  <c r="P41" i="59"/>
  <c r="P37" i="59"/>
  <c r="P33" i="59"/>
  <c r="P29" i="59"/>
  <c r="P25" i="59"/>
  <c r="P21" i="59"/>
  <c r="P17" i="59"/>
  <c r="P13" i="59"/>
  <c r="P9" i="59"/>
  <c r="P243" i="59"/>
  <c r="P242" i="59"/>
  <c r="P239" i="59"/>
  <c r="P238" i="59"/>
  <c r="P234" i="59"/>
  <c r="P222" i="59"/>
  <c r="P210" i="59"/>
  <c r="P191" i="59"/>
  <c r="P190" i="59"/>
  <c r="P182" i="59"/>
  <c r="P178" i="59"/>
  <c r="P174" i="59"/>
  <c r="P166" i="59"/>
  <c r="P163" i="59"/>
  <c r="P162" i="59"/>
  <c r="P159" i="59"/>
  <c r="P158" i="59"/>
  <c r="P137" i="59"/>
  <c r="P133" i="59"/>
  <c r="P123" i="59"/>
  <c r="P119" i="59"/>
  <c r="P115" i="59"/>
  <c r="P111" i="59"/>
  <c r="P107" i="59"/>
  <c r="P103" i="59"/>
  <c r="P99" i="59"/>
  <c r="P95" i="59"/>
  <c r="P91" i="59"/>
  <c r="P87" i="59"/>
  <c r="P83" i="59"/>
  <c r="P79" i="59"/>
  <c r="P75" i="59"/>
  <c r="P71" i="59"/>
  <c r="P67" i="59"/>
  <c r="P63" i="59"/>
  <c r="P59" i="59"/>
  <c r="P126" i="59"/>
  <c r="P122" i="59"/>
  <c r="P118" i="59"/>
  <c r="P114" i="59"/>
  <c r="P110" i="59"/>
  <c r="P106" i="59"/>
  <c r="P102" i="59"/>
  <c r="P98" i="59"/>
  <c r="P94" i="59"/>
  <c r="P90" i="59"/>
  <c r="P86" i="59"/>
  <c r="P82" i="59"/>
  <c r="P78" i="59"/>
  <c r="P74" i="59"/>
  <c r="P70" i="59"/>
  <c r="P66" i="59"/>
  <c r="P62" i="59"/>
  <c r="P58" i="59"/>
  <c r="P125" i="59"/>
  <c r="P121" i="59"/>
  <c r="P117" i="59"/>
  <c r="P113" i="59"/>
  <c r="P109" i="59"/>
  <c r="P105" i="59"/>
  <c r="P101" i="59"/>
  <c r="P97" i="59"/>
  <c r="P93" i="59"/>
  <c r="P89" i="59"/>
  <c r="P85" i="59"/>
  <c r="P81" i="59"/>
  <c r="P77" i="59"/>
  <c r="P73" i="59"/>
  <c r="P69" i="59"/>
  <c r="P65" i="59"/>
  <c r="P61" i="59"/>
  <c r="P57" i="59"/>
  <c r="D251" i="59"/>
  <c r="E251" i="59"/>
  <c r="F251" i="59"/>
  <c r="K251" i="59"/>
  <c r="L251" i="59"/>
  <c r="M251" i="59"/>
  <c r="D234" i="57"/>
  <c r="E234" i="57"/>
  <c r="F234" i="57"/>
  <c r="L234" i="57"/>
  <c r="M234" i="57"/>
  <c r="D260" i="80"/>
  <c r="E260" i="80"/>
  <c r="F260" i="80"/>
  <c r="K260" i="80"/>
  <c r="L260" i="80"/>
  <c r="M260" i="80"/>
  <c r="D255" i="45"/>
  <c r="E255" i="45"/>
  <c r="F255" i="45"/>
  <c r="K255" i="45"/>
  <c r="L255" i="45"/>
  <c r="M255" i="45"/>
  <c r="D268" i="42"/>
  <c r="E268" i="42"/>
  <c r="F268" i="42"/>
  <c r="K268" i="42"/>
  <c r="L268" i="42"/>
  <c r="M268" i="42"/>
  <c r="D261" i="41"/>
  <c r="E261" i="41"/>
  <c r="F261" i="41"/>
  <c r="D234" i="86"/>
  <c r="E234" i="86"/>
  <c r="K234" i="86" s="1"/>
  <c r="F234" i="86"/>
  <c r="L234" i="86" s="1"/>
  <c r="L235" i="57" l="1"/>
  <c r="M234" i="86"/>
  <c r="K235" i="86" s="1"/>
  <c r="L261" i="80"/>
  <c r="K261" i="80"/>
  <c r="L256" i="45"/>
  <c r="K256" i="45"/>
  <c r="K269" i="42"/>
  <c r="M269" i="42" s="1"/>
  <c r="L269" i="42"/>
  <c r="K252" i="59"/>
  <c r="L252" i="59"/>
  <c r="M256" i="45" l="1"/>
  <c r="M261" i="80"/>
  <c r="M252" i="59"/>
  <c r="O268" i="42"/>
  <c r="N268" i="42"/>
  <c r="O234" i="57"/>
  <c r="N260" i="80"/>
  <c r="O260" i="80"/>
  <c r="N234" i="57"/>
  <c r="N255" i="45"/>
  <c r="O255" i="45"/>
  <c r="P260" i="80"/>
  <c r="P5" i="41"/>
  <c r="P255" i="45" l="1"/>
  <c r="N256" i="45" s="1"/>
  <c r="P234" i="57"/>
  <c r="N235" i="57" s="1"/>
  <c r="O261" i="80"/>
  <c r="N261" i="80"/>
  <c r="P268" i="42"/>
  <c r="P261" i="41"/>
  <c r="O262" i="41" l="1"/>
  <c r="N262" i="41"/>
  <c r="P262" i="41" s="1"/>
  <c r="O256" i="45"/>
  <c r="O235" i="57"/>
  <c r="P235" i="57" s="1"/>
  <c r="P261" i="80"/>
  <c r="P256" i="45"/>
  <c r="O269" i="42"/>
  <c r="N269" i="42"/>
  <c r="P269" i="42" l="1"/>
  <c r="G6" i="59"/>
  <c r="G7" i="59"/>
  <c r="G8" i="59"/>
  <c r="G9" i="59"/>
  <c r="G10" i="59"/>
  <c r="G11" i="59"/>
  <c r="G12" i="59"/>
  <c r="G13" i="59"/>
  <c r="G14" i="59"/>
  <c r="G15" i="59"/>
  <c r="G16" i="59"/>
  <c r="G17" i="59"/>
  <c r="G18" i="59"/>
  <c r="G19" i="59"/>
  <c r="G20" i="59"/>
  <c r="G21" i="59"/>
  <c r="G22" i="59"/>
  <c r="G23" i="59"/>
  <c r="G24" i="59"/>
  <c r="G25" i="59"/>
  <c r="G26" i="59"/>
  <c r="G27" i="59"/>
  <c r="G28" i="59"/>
  <c r="G29" i="59"/>
  <c r="G30" i="59"/>
  <c r="G31" i="59"/>
  <c r="G32" i="59"/>
  <c r="G33" i="59"/>
  <c r="G34" i="59"/>
  <c r="G35" i="59"/>
  <c r="G36" i="59"/>
  <c r="G37" i="59"/>
  <c r="G38" i="59"/>
  <c r="G39" i="59"/>
  <c r="G40" i="59"/>
  <c r="G41" i="59"/>
  <c r="G42" i="59"/>
  <c r="G5" i="59"/>
  <c r="G6" i="57"/>
  <c r="G7" i="57"/>
  <c r="G8" i="57"/>
  <c r="G9" i="57"/>
  <c r="G10" i="57"/>
  <c r="G11" i="57"/>
  <c r="G12" i="57"/>
  <c r="G13" i="57"/>
  <c r="G14" i="57"/>
  <c r="G15" i="57"/>
  <c r="G16" i="57"/>
  <c r="G17" i="57"/>
  <c r="G18" i="57"/>
  <c r="G19" i="57"/>
  <c r="G20" i="57"/>
  <c r="G21" i="57"/>
  <c r="G22" i="57"/>
  <c r="G23" i="57"/>
  <c r="G24" i="57"/>
  <c r="G25" i="57"/>
  <c r="G26" i="57"/>
  <c r="G27" i="57"/>
  <c r="G28" i="57"/>
  <c r="G29" i="57"/>
  <c r="G30" i="57"/>
  <c r="G31" i="57"/>
  <c r="G32" i="57"/>
  <c r="G33" i="57"/>
  <c r="G34" i="57"/>
  <c r="G35" i="57"/>
  <c r="G36" i="57"/>
  <c r="G37" i="57"/>
  <c r="G38" i="57"/>
  <c r="G39" i="57"/>
  <c r="G40" i="57"/>
  <c r="G5" i="57"/>
  <c r="G6" i="80"/>
  <c r="G7" i="80"/>
  <c r="G8" i="80"/>
  <c r="G9" i="80"/>
  <c r="G10" i="80"/>
  <c r="G11" i="80"/>
  <c r="G12" i="80"/>
  <c r="G13" i="80"/>
  <c r="G14" i="80"/>
  <c r="G15" i="80"/>
  <c r="G16" i="80"/>
  <c r="G17" i="80"/>
  <c r="G18" i="80"/>
  <c r="G19" i="80"/>
  <c r="G20" i="80"/>
  <c r="G21" i="80"/>
  <c r="G22" i="80"/>
  <c r="G23" i="80"/>
  <c r="G24" i="80"/>
  <c r="G25" i="80"/>
  <c r="G26" i="80"/>
  <c r="G27" i="80"/>
  <c r="G28" i="80"/>
  <c r="G29" i="80"/>
  <c r="G30" i="80"/>
  <c r="G31" i="80"/>
  <c r="G32" i="80"/>
  <c r="G33" i="80"/>
  <c r="G34" i="80"/>
  <c r="G35" i="80"/>
  <c r="G36" i="80"/>
  <c r="G37" i="80"/>
  <c r="G38" i="80"/>
  <c r="G39" i="80"/>
  <c r="G40" i="80"/>
  <c r="G41" i="80"/>
  <c r="G42" i="80"/>
  <c r="G43" i="80"/>
  <c r="G44" i="80"/>
  <c r="G45" i="80"/>
  <c r="G46" i="80"/>
  <c r="G47" i="80"/>
  <c r="G48" i="80"/>
  <c r="G5" i="80"/>
  <c r="G6" i="45"/>
  <c r="G7" i="45"/>
  <c r="G8" i="45"/>
  <c r="G9" i="45"/>
  <c r="G10" i="45"/>
  <c r="G11" i="45"/>
  <c r="G12" i="45"/>
  <c r="G13" i="45"/>
  <c r="G14" i="45"/>
  <c r="G15" i="45"/>
  <c r="G16" i="45"/>
  <c r="G17" i="45"/>
  <c r="G18" i="45"/>
  <c r="G19" i="45"/>
  <c r="G20" i="45"/>
  <c r="G21" i="45"/>
  <c r="G22" i="45"/>
  <c r="G23" i="45"/>
  <c r="G24" i="45"/>
  <c r="G25" i="45"/>
  <c r="G26" i="45"/>
  <c r="G27" i="45"/>
  <c r="G28" i="45"/>
  <c r="G29" i="45"/>
  <c r="G30" i="45"/>
  <c r="G31" i="45"/>
  <c r="G32" i="45"/>
  <c r="G33" i="45"/>
  <c r="G34" i="45"/>
  <c r="G35" i="45"/>
  <c r="G36" i="45"/>
  <c r="G37" i="45"/>
  <c r="G38" i="45"/>
  <c r="G39" i="45"/>
  <c r="G40" i="45"/>
  <c r="G41" i="45"/>
  <c r="G42" i="45"/>
  <c r="G43" i="45"/>
  <c r="G44" i="45"/>
  <c r="G45" i="45"/>
  <c r="G46" i="45"/>
  <c r="G47" i="45"/>
  <c r="G48" i="45"/>
  <c r="G49" i="45"/>
  <c r="G50" i="45"/>
  <c r="G51" i="45"/>
  <c r="G52" i="45"/>
  <c r="G53" i="45"/>
  <c r="G54" i="45"/>
  <c r="G55" i="45"/>
  <c r="G56" i="45"/>
  <c r="G57" i="45"/>
  <c r="G58" i="45"/>
  <c r="G59" i="45"/>
  <c r="G60" i="45"/>
  <c r="G61" i="45"/>
  <c r="G62" i="45"/>
  <c r="G63" i="45"/>
  <c r="G64" i="45"/>
  <c r="G65" i="45"/>
  <c r="G66" i="45"/>
  <c r="G67" i="45"/>
  <c r="G68" i="45"/>
  <c r="G69" i="45"/>
  <c r="G70" i="45"/>
  <c r="G71" i="45"/>
  <c r="G72" i="45"/>
  <c r="G73" i="45"/>
  <c r="G74" i="45"/>
  <c r="G75" i="45"/>
  <c r="G76" i="45"/>
  <c r="G77" i="45"/>
  <c r="G78" i="45"/>
  <c r="G79" i="45"/>
  <c r="G80" i="45"/>
  <c r="G81" i="45"/>
  <c r="G82" i="45"/>
  <c r="G83" i="45"/>
  <c r="G84" i="45"/>
  <c r="G85" i="45"/>
  <c r="G86" i="45"/>
  <c r="G87" i="45"/>
  <c r="G88" i="45"/>
  <c r="G89" i="45"/>
  <c r="G90" i="45"/>
  <c r="G91" i="45"/>
  <c r="G92" i="45"/>
  <c r="G93" i="45"/>
  <c r="G94" i="45"/>
  <c r="G95" i="45"/>
  <c r="G96" i="45"/>
  <c r="G97" i="45"/>
  <c r="G98" i="45"/>
  <c r="G99" i="45"/>
  <c r="G100" i="45"/>
  <c r="G101" i="45"/>
  <c r="G102" i="45"/>
  <c r="G103" i="45"/>
  <c r="G104" i="45"/>
  <c r="G105" i="45"/>
  <c r="G106" i="45"/>
  <c r="G107" i="45"/>
  <c r="G108" i="45"/>
  <c r="G109" i="45"/>
  <c r="G110" i="45"/>
  <c r="G111" i="45"/>
  <c r="G112" i="45"/>
  <c r="G113" i="45"/>
  <c r="G114" i="45"/>
  <c r="G115" i="45"/>
  <c r="G116" i="45"/>
  <c r="G117" i="45"/>
  <c r="G118" i="45"/>
  <c r="G119" i="45"/>
  <c r="G120" i="45"/>
  <c r="G121" i="45"/>
  <c r="G122" i="45"/>
  <c r="G123" i="45"/>
  <c r="G124" i="45"/>
  <c r="G125" i="45"/>
  <c r="G126" i="45"/>
  <c r="G127" i="45"/>
  <c r="G128" i="45"/>
  <c r="G129" i="45"/>
  <c r="G130" i="45"/>
  <c r="G131" i="45"/>
  <c r="G132" i="45"/>
  <c r="G133" i="45"/>
  <c r="G134" i="45"/>
  <c r="G135" i="45"/>
  <c r="G136" i="45"/>
  <c r="G137" i="45"/>
  <c r="G138" i="45"/>
  <c r="G139" i="45"/>
  <c r="G140" i="45"/>
  <c r="G141" i="45"/>
  <c r="G142" i="45"/>
  <c r="G143" i="45"/>
  <c r="G144" i="45"/>
  <c r="G145" i="45"/>
  <c r="G146" i="45"/>
  <c r="G147" i="45"/>
  <c r="G148" i="45"/>
  <c r="G149" i="45"/>
  <c r="G150" i="45"/>
  <c r="G151" i="45"/>
  <c r="G152" i="45"/>
  <c r="G153" i="45"/>
  <c r="G154" i="45"/>
  <c r="G155" i="45"/>
  <c r="G156" i="45"/>
  <c r="G157" i="45"/>
  <c r="G158" i="45"/>
  <c r="G159" i="45"/>
  <c r="G160" i="45"/>
  <c r="G161" i="45"/>
  <c r="G162" i="45"/>
  <c r="G163" i="45"/>
  <c r="G164" i="45"/>
  <c r="G165" i="45"/>
  <c r="G166" i="45"/>
  <c r="G167" i="45"/>
  <c r="G168" i="45"/>
  <c r="G169" i="45"/>
  <c r="G170" i="45"/>
  <c r="G171" i="45"/>
  <c r="G172" i="45"/>
  <c r="G173" i="45"/>
  <c r="G174" i="45"/>
  <c r="G175" i="45"/>
  <c r="G176" i="45"/>
  <c r="G177" i="45"/>
  <c r="G178" i="45"/>
  <c r="G179" i="45"/>
  <c r="G180" i="45"/>
  <c r="G181" i="45"/>
  <c r="G182" i="45"/>
  <c r="G183" i="45"/>
  <c r="G184" i="45"/>
  <c r="G185" i="45"/>
  <c r="G186" i="45"/>
  <c r="G187" i="45"/>
  <c r="G188" i="45"/>
  <c r="G189" i="45"/>
  <c r="G190" i="45"/>
  <c r="G191" i="45"/>
  <c r="G192" i="45"/>
  <c r="G193" i="45"/>
  <c r="G194" i="45"/>
  <c r="G195" i="45"/>
  <c r="G196" i="45"/>
  <c r="G197" i="45"/>
  <c r="G198" i="45"/>
  <c r="G199" i="45"/>
  <c r="G200" i="45"/>
  <c r="G201" i="45"/>
  <c r="G202" i="45"/>
  <c r="G203" i="45"/>
  <c r="G204" i="45"/>
  <c r="G205" i="45"/>
  <c r="G206" i="45"/>
  <c r="G207" i="45"/>
  <c r="G208" i="45"/>
  <c r="G209" i="45"/>
  <c r="G210" i="45"/>
  <c r="G211" i="45"/>
  <c r="G212" i="45"/>
  <c r="G213" i="45"/>
  <c r="G214" i="45"/>
  <c r="G215" i="45"/>
  <c r="G216" i="45"/>
  <c r="G217" i="45"/>
  <c r="G218" i="45"/>
  <c r="G219" i="45"/>
  <c r="G220" i="45"/>
  <c r="G221" i="45"/>
  <c r="G222" i="45"/>
  <c r="G223" i="45"/>
  <c r="G224" i="45"/>
  <c r="G225" i="45"/>
  <c r="G226" i="45"/>
  <c r="G227" i="45"/>
  <c r="G228" i="45"/>
  <c r="G229" i="45"/>
  <c r="G230" i="45"/>
  <c r="G231" i="45"/>
  <c r="G232" i="45"/>
  <c r="G233" i="45"/>
  <c r="G234" i="45"/>
  <c r="G235" i="45"/>
  <c r="G236" i="45"/>
  <c r="G237" i="45"/>
  <c r="G238" i="45"/>
  <c r="G239" i="45"/>
  <c r="G240" i="45"/>
  <c r="G241" i="45"/>
  <c r="G242" i="45"/>
  <c r="G243" i="45"/>
  <c r="G244" i="45"/>
  <c r="G245" i="45"/>
  <c r="G246" i="45"/>
  <c r="G247" i="45"/>
  <c r="G248" i="45"/>
  <c r="G249" i="45"/>
  <c r="G250" i="45"/>
  <c r="G251" i="45"/>
  <c r="G252" i="45"/>
  <c r="G253" i="45"/>
  <c r="G254" i="45"/>
  <c r="G5" i="45"/>
  <c r="G7" i="42"/>
  <c r="G8" i="42"/>
  <c r="G9" i="42"/>
  <c r="G10" i="42"/>
  <c r="G11" i="42"/>
  <c r="G12" i="42"/>
  <c r="G13" i="42"/>
  <c r="G14" i="42"/>
  <c r="G15" i="42"/>
  <c r="G16" i="42"/>
  <c r="G17" i="42"/>
  <c r="G18" i="42"/>
  <c r="G19" i="42"/>
  <c r="G20" i="42"/>
  <c r="G21" i="42"/>
  <c r="G22" i="42"/>
  <c r="G23" i="42"/>
  <c r="G24" i="42"/>
  <c r="G25" i="42"/>
  <c r="G26" i="42"/>
  <c r="G27" i="42"/>
  <c r="G28" i="42"/>
  <c r="G29" i="42"/>
  <c r="G30" i="42"/>
  <c r="G31" i="42"/>
  <c r="G32" i="42"/>
  <c r="G33" i="42"/>
  <c r="G34" i="42"/>
  <c r="G35" i="42"/>
  <c r="G36" i="42"/>
  <c r="G37" i="42"/>
  <c r="G38" i="42"/>
  <c r="G39" i="42"/>
  <c r="G40" i="42"/>
  <c r="G41" i="42"/>
  <c r="G42" i="42"/>
  <c r="G43" i="42"/>
  <c r="G44" i="42"/>
  <c r="G45" i="42"/>
  <c r="G46" i="42"/>
  <c r="G47" i="42"/>
  <c r="G48" i="42"/>
  <c r="G49" i="42"/>
  <c r="G6" i="42"/>
  <c r="G6" i="41"/>
  <c r="G7" i="41"/>
  <c r="G8" i="41"/>
  <c r="G9" i="41"/>
  <c r="G10" i="41"/>
  <c r="G11" i="41"/>
  <c r="G12" i="41"/>
  <c r="G13" i="41"/>
  <c r="G14" i="41"/>
  <c r="G15" i="41"/>
  <c r="G16" i="41"/>
  <c r="G17" i="41"/>
  <c r="G18" i="41"/>
  <c r="G19" i="41"/>
  <c r="G20" i="41"/>
  <c r="G21" i="41"/>
  <c r="G22" i="41"/>
  <c r="G23" i="41"/>
  <c r="G24" i="41"/>
  <c r="G25" i="41"/>
  <c r="G26" i="41"/>
  <c r="G27" i="41"/>
  <c r="G28" i="41"/>
  <c r="G29" i="41"/>
  <c r="G30" i="41"/>
  <c r="G31" i="41"/>
  <c r="G32" i="41"/>
  <c r="G33" i="41"/>
  <c r="G34" i="41"/>
  <c r="G35" i="41"/>
  <c r="G36" i="41"/>
  <c r="G37" i="41"/>
  <c r="G38" i="41"/>
  <c r="G39" i="41"/>
  <c r="G40" i="41"/>
  <c r="G41" i="41"/>
  <c r="G42" i="41"/>
  <c r="G43" i="41"/>
  <c r="G44" i="41"/>
  <c r="G45" i="41"/>
  <c r="G46" i="41"/>
  <c r="G47" i="41"/>
  <c r="G5" i="41"/>
  <c r="G7" i="86"/>
  <c r="G8" i="86"/>
  <c r="G9" i="86"/>
  <c r="G10" i="86"/>
  <c r="G11" i="86"/>
  <c r="G12" i="86"/>
  <c r="G13" i="86"/>
  <c r="G14" i="86"/>
  <c r="G15" i="86"/>
  <c r="G16" i="86"/>
  <c r="G17" i="86"/>
  <c r="G18" i="86"/>
  <c r="G19" i="86"/>
  <c r="G20" i="86"/>
  <c r="G21" i="86"/>
  <c r="G22" i="86"/>
  <c r="G23" i="86"/>
  <c r="G24" i="86"/>
  <c r="G25" i="86"/>
  <c r="G26" i="86"/>
  <c r="G27" i="86"/>
  <c r="G28" i="86"/>
  <c r="G29" i="86"/>
  <c r="G30" i="86"/>
  <c r="G31" i="86"/>
  <c r="G32" i="86"/>
  <c r="G33" i="86"/>
  <c r="G34" i="86"/>
  <c r="G35" i="86"/>
  <c r="G36" i="86"/>
  <c r="G37" i="86"/>
  <c r="G38" i="86"/>
  <c r="G39" i="86"/>
  <c r="G40" i="86"/>
  <c r="G41" i="86"/>
  <c r="G42" i="86"/>
  <c r="G43" i="86"/>
  <c r="G44" i="86"/>
  <c r="G45" i="86"/>
  <c r="G46" i="86"/>
  <c r="G6" i="86"/>
  <c r="G251" i="59" l="1"/>
  <c r="G234" i="57"/>
  <c r="G255" i="45"/>
  <c r="E252" i="59" l="1"/>
  <c r="F252" i="59"/>
  <c r="G252" i="59" s="1"/>
  <c r="F256" i="45"/>
  <c r="E256" i="45"/>
  <c r="F235" i="57"/>
  <c r="E235" i="57"/>
  <c r="G235" i="57" l="1"/>
  <c r="G256" i="45"/>
  <c r="O251" i="59" l="1"/>
  <c r="N251" i="59"/>
  <c r="P251" i="59" l="1"/>
  <c r="N252" i="59" s="1"/>
  <c r="G233" i="86"/>
  <c r="G232" i="86"/>
  <c r="G231" i="86"/>
  <c r="G230" i="86"/>
  <c r="G229" i="86"/>
  <c r="G228" i="86"/>
  <c r="G227" i="86"/>
  <c r="G226" i="86"/>
  <c r="G225" i="86"/>
  <c r="G224" i="86"/>
  <c r="G223" i="86"/>
  <c r="G222" i="86"/>
  <c r="G221" i="86"/>
  <c r="G220" i="86"/>
  <c r="G219" i="86"/>
  <c r="G218" i="86"/>
  <c r="G217" i="86"/>
  <c r="G216" i="86"/>
  <c r="G215" i="86"/>
  <c r="G214" i="86"/>
  <c r="G213" i="86"/>
  <c r="G212" i="86"/>
  <c r="G211" i="86"/>
  <c r="G210" i="86"/>
  <c r="G209" i="86"/>
  <c r="G208" i="86"/>
  <c r="G207" i="86"/>
  <c r="G206" i="86"/>
  <c r="G205" i="86"/>
  <c r="G204" i="86"/>
  <c r="G203" i="86"/>
  <c r="G202" i="86"/>
  <c r="G201" i="86"/>
  <c r="G200" i="86"/>
  <c r="G199" i="86"/>
  <c r="G198" i="86"/>
  <c r="G197" i="86"/>
  <c r="G196" i="86"/>
  <c r="G195" i="86"/>
  <c r="G194" i="86"/>
  <c r="G193" i="86"/>
  <c r="G192" i="86"/>
  <c r="G191" i="86"/>
  <c r="G190" i="86"/>
  <c r="G189" i="86"/>
  <c r="G188" i="86"/>
  <c r="G187" i="86"/>
  <c r="G186" i="86"/>
  <c r="G185" i="86"/>
  <c r="G184" i="86"/>
  <c r="G183" i="86"/>
  <c r="G182" i="86"/>
  <c r="G181" i="86"/>
  <c r="G180" i="86"/>
  <c r="G179" i="86"/>
  <c r="G178" i="86"/>
  <c r="G177" i="86"/>
  <c r="G176" i="86"/>
  <c r="G175" i="86"/>
  <c r="G174" i="86"/>
  <c r="G173" i="86"/>
  <c r="G172" i="86"/>
  <c r="G171" i="86"/>
  <c r="G170" i="86"/>
  <c r="G169" i="86"/>
  <c r="G168" i="86"/>
  <c r="G167" i="86"/>
  <c r="G166" i="86"/>
  <c r="G165" i="86"/>
  <c r="G164" i="86"/>
  <c r="G163" i="86"/>
  <c r="G162" i="86"/>
  <c r="G161" i="86"/>
  <c r="G160" i="86"/>
  <c r="G159" i="86"/>
  <c r="G158" i="86"/>
  <c r="G157" i="86"/>
  <c r="G156" i="86"/>
  <c r="G155" i="86"/>
  <c r="G154" i="86"/>
  <c r="G153" i="86"/>
  <c r="G152" i="86"/>
  <c r="G151" i="86"/>
  <c r="G150" i="86"/>
  <c r="G149" i="86"/>
  <c r="G148" i="86"/>
  <c r="G147" i="86"/>
  <c r="G146" i="86"/>
  <c r="G145" i="86"/>
  <c r="G144" i="86"/>
  <c r="G143" i="86"/>
  <c r="G142" i="86"/>
  <c r="G141" i="86"/>
  <c r="G140" i="86"/>
  <c r="G139" i="86"/>
  <c r="G138" i="86"/>
  <c r="G137" i="86"/>
  <c r="G136" i="86"/>
  <c r="G135" i="86"/>
  <c r="G134" i="86"/>
  <c r="G133" i="86"/>
  <c r="G132" i="86"/>
  <c r="G131" i="86"/>
  <c r="G130" i="86"/>
  <c r="G129" i="86"/>
  <c r="G128" i="86"/>
  <c r="G127" i="86"/>
  <c r="G126" i="86"/>
  <c r="G125" i="86"/>
  <c r="G124" i="86"/>
  <c r="G123" i="86"/>
  <c r="G122" i="86"/>
  <c r="G121" i="86"/>
  <c r="G120" i="86"/>
  <c r="G119" i="86"/>
  <c r="G118" i="86"/>
  <c r="G117" i="86"/>
  <c r="G116" i="86"/>
  <c r="G115" i="86"/>
  <c r="G114" i="86"/>
  <c r="G113" i="86"/>
  <c r="G112" i="86"/>
  <c r="G111" i="86"/>
  <c r="G110" i="86"/>
  <c r="G109" i="86"/>
  <c r="G108" i="86"/>
  <c r="G107" i="86"/>
  <c r="G106" i="86"/>
  <c r="G105" i="86"/>
  <c r="G104" i="86"/>
  <c r="G103" i="86"/>
  <c r="G102" i="86"/>
  <c r="G101" i="86"/>
  <c r="G100" i="86"/>
  <c r="G99" i="86"/>
  <c r="G98" i="86"/>
  <c r="G97" i="86"/>
  <c r="G96" i="86"/>
  <c r="G95" i="86"/>
  <c r="G94" i="86"/>
  <c r="G93" i="86"/>
  <c r="G92" i="86"/>
  <c r="G91" i="86"/>
  <c r="G90" i="86"/>
  <c r="G89" i="86"/>
  <c r="G88" i="86"/>
  <c r="G87" i="86"/>
  <c r="G86" i="86"/>
  <c r="G85" i="86"/>
  <c r="G84" i="86"/>
  <c r="G83" i="86"/>
  <c r="G82" i="86"/>
  <c r="G81" i="86"/>
  <c r="G80" i="86"/>
  <c r="G79" i="86"/>
  <c r="G78" i="86"/>
  <c r="G77" i="86"/>
  <c r="G76" i="86"/>
  <c r="G75" i="86"/>
  <c r="G73" i="86"/>
  <c r="G72" i="86"/>
  <c r="G71" i="86"/>
  <c r="G70" i="86"/>
  <c r="G69" i="86"/>
  <c r="G68" i="86"/>
  <c r="G67" i="86"/>
  <c r="G66" i="86"/>
  <c r="G65" i="86"/>
  <c r="G64" i="86"/>
  <c r="G63" i="86"/>
  <c r="G62" i="86"/>
  <c r="G61" i="86"/>
  <c r="G60" i="86"/>
  <c r="G59" i="86"/>
  <c r="G58" i="86"/>
  <c r="G57" i="86"/>
  <c r="G56" i="86"/>
  <c r="G55" i="86"/>
  <c r="G54" i="86"/>
  <c r="G53" i="86"/>
  <c r="G52" i="86"/>
  <c r="G51" i="86"/>
  <c r="G50" i="86"/>
  <c r="G49" i="86"/>
  <c r="G48" i="86"/>
  <c r="G74" i="86"/>
  <c r="O252" i="59" l="1"/>
  <c r="P252" i="59" s="1"/>
  <c r="G234" i="86"/>
  <c r="E238" i="86" l="1"/>
  <c r="F238" i="86" s="1"/>
  <c r="L235" i="86"/>
  <c r="M235" i="86" s="1"/>
  <c r="E235" i="86"/>
  <c r="F235" i="86"/>
  <c r="G235" i="86" l="1"/>
  <c r="G256" i="80"/>
  <c r="G255" i="80"/>
  <c r="G254" i="80"/>
  <c r="G253" i="80"/>
  <c r="G251" i="80"/>
  <c r="G260" i="80" s="1"/>
  <c r="G265" i="42"/>
  <c r="G264" i="42"/>
  <c r="G263" i="42"/>
  <c r="G262" i="42"/>
  <c r="G258" i="41"/>
  <c r="G257" i="41"/>
  <c r="G256" i="41"/>
  <c r="G255" i="41"/>
  <c r="G261" i="41" l="1"/>
  <c r="F262" i="41" s="1"/>
  <c r="E261" i="80"/>
  <c r="F261" i="80"/>
  <c r="G268" i="42"/>
  <c r="E262" i="41" l="1"/>
  <c r="G262" i="41" s="1"/>
  <c r="F269" i="42"/>
  <c r="E269" i="42"/>
  <c r="G261" i="80"/>
  <c r="G269" i="42" l="1"/>
  <c r="K235" i="57"/>
  <c r="M235" i="57" s="1"/>
  <c r="L5" i="91"/>
  <c r="L4" i="91"/>
  <c r="L6" i="91"/>
</calcChain>
</file>

<file path=xl/sharedStrings.xml><?xml version="1.0" encoding="utf-8"?>
<sst xmlns="http://schemas.openxmlformats.org/spreadsheetml/2006/main" count="7420" uniqueCount="577">
  <si>
    <t>ITEM</t>
  </si>
  <si>
    <t>TAPETES</t>
  </si>
  <si>
    <t>CAMBIO JUEGO DE VÁLVULAS DE ADMISIÓN</t>
  </si>
  <si>
    <t>CAMBIO JUEGO DE VÁLVULAS DE ESCAPE</t>
  </si>
  <si>
    <t>CAMBIO BOMBA ACEITE</t>
  </si>
  <si>
    <t>CAMBIO CORREA ALTERNADOR</t>
  </si>
  <si>
    <t>CALIBRAR VÁLVULAS</t>
  </si>
  <si>
    <t>CAMBIO SOPORTES MOTOR</t>
  </si>
  <si>
    <t>CAMBIO RETEN DELANTERO CIGÜEÑAL</t>
  </si>
  <si>
    <t>CAMBIO EMPAQUE CARTER</t>
  </si>
  <si>
    <t>CAMBIO EMPAQUE TAPA VÁLVULAS</t>
  </si>
  <si>
    <t>CAMBIO TERMOSTATO MOTOR</t>
  </si>
  <si>
    <t>CAMBIO TURBO CARGADOR</t>
  </si>
  <si>
    <t>CAMBIO RADIADOR</t>
  </si>
  <si>
    <t>REPARAR Y SONDEAR RADIADOR</t>
  </si>
  <si>
    <t>CAMBIO BALANCINES</t>
  </si>
  <si>
    <t>CAMBIO BOMBA PRINCIPAL EMBRAGUE</t>
  </si>
  <si>
    <t>CAMBIO BOMBA AUXILIAR EMBRAGUE</t>
  </si>
  <si>
    <t>CAMBIO SOPORTES CAJA VELOCIDADES</t>
  </si>
  <si>
    <t>CAMBIO GUAYAS CONTROL CAMBIOS</t>
  </si>
  <si>
    <t>CAMBIO BUJES PALANCA CAMBIO</t>
  </si>
  <si>
    <t>CAMBIO PALANCA DE CAMBIOS</t>
  </si>
  <si>
    <t>DESCRIPCIÓN PROCEDIMIENTO (SISTEMA DE COMBUSTIBLE INCLUYE MANO DE OBRA, REPUESTOS MAS IVA)</t>
  </si>
  <si>
    <t>CAMBIO TANQUE COMBUSTIBLE</t>
  </si>
  <si>
    <t>CAMBIO TAPA TANQUE COMBUSTIBLE</t>
  </si>
  <si>
    <t>CAMBIO MANGUERA COMBUSTIBLE</t>
  </si>
  <si>
    <t>ALINEACIÓN Y BALANCEO RUEDAS DELANTERAS</t>
  </si>
  <si>
    <t>CAMBIO TERMINALES DIRECCIÓN</t>
  </si>
  <si>
    <t>DESCRIPCIÓN PROCEDIMIENTO (SUSPENSION TRASERA INCLUYE MANO DE OBRA, REPUESTOS MAS IVA)</t>
  </si>
  <si>
    <t>CAMBIO RETENES RUEDAS TRASERAS</t>
  </si>
  <si>
    <t>CAMBIO PERNOS RUEDAS</t>
  </si>
  <si>
    <t>DESCRIPCIÓN PROCEDIMIENTO (SISTEMA DIRECCION INCLUYE MANO DE OBRA, REPUESTOS MAS IVA)</t>
  </si>
  <si>
    <t>CAMBIO MANGUERA O TUBO DIRECCIÓN</t>
  </si>
  <si>
    <t>CAMBIO BIELA DIRECCIÓN</t>
  </si>
  <si>
    <t>CAMBIO BARRA CORTA DIRECCIÓN</t>
  </si>
  <si>
    <t>DESCRIPCIÓN PROCEDIMIENTO (SISTEMA DE FRENOS INCLUYE MANO DE OBRA, REPUESTOS MAS IVA)</t>
  </si>
  <si>
    <t>CAMBIO BOMBA FRENOS</t>
  </si>
  <si>
    <t>CAMBIO MANGUERAS FRENOS</t>
  </si>
  <si>
    <t>CAMBIO BANDAS PARQUEO</t>
  </si>
  <si>
    <t>DESCRIPCIÓN PROCEDIMIENTO (SISTEMA ELECTRICO INCLUYE MANO DE OBRA, REPUESTOS MAS IVA)</t>
  </si>
  <si>
    <t>CAMBIO ALTERNADOR</t>
  </si>
  <si>
    <t>CAMBIO ARRANQUE</t>
  </si>
  <si>
    <t>CAMBIO PITO</t>
  </si>
  <si>
    <t>CAMBIO DIRECCIONALES DELANTERAS</t>
  </si>
  <si>
    <t>DESCRIPCIÓN PROCEDIMIENTO (SISTEMA DE ESCAPE INCLUYE MANO DE OBRA, REPUESTOS MAS IVA)</t>
  </si>
  <si>
    <t>CAMBIO SILENCIADOR EXOSTO</t>
  </si>
  <si>
    <t>CAMBIO SOPORTE EXOSTO</t>
  </si>
  <si>
    <t>DESCRIPCIÓN PROCEDIMIENTO (SISTEMA DE CARROCERIA INCLUYE MANO DE OBRA, REPUESTOS MAS IVA)</t>
  </si>
  <si>
    <t>CAMBIO VIDRIO PARABRISAS</t>
  </si>
  <si>
    <t>CAMBIO VIDRIO TRASERO CABINA</t>
  </si>
  <si>
    <t>CAMBIO MANIJAS INTERNAS PUERTAS</t>
  </si>
  <si>
    <t>CAMBIO MANIJAS EXTERNAS PUERTAS</t>
  </si>
  <si>
    <t>CAMBIO CREMALLERAS VIDRIOS PUERTAS</t>
  </si>
  <si>
    <t>CAMBIO ESPEJOS LATERALES</t>
  </si>
  <si>
    <t>CAMBIO CHAPAS PUERTAS</t>
  </si>
  <si>
    <t>CAMBIO TAPA CARCASA FILTRO AIRE</t>
  </si>
  <si>
    <t>SUMINISTRO EXTINTOR</t>
  </si>
  <si>
    <t>REACARGA EXTINTOR</t>
  </si>
  <si>
    <t>LAMINA Y PINTURA POR PIEZA</t>
  </si>
  <si>
    <t>DESCRIPCIÓN PROCEDIMIENTO (MANTENIMIENTO PREVENTIVO INCLUYE MANO DE OBRA, REPUESTOS MAS IVA)</t>
  </si>
  <si>
    <t>CAMBIO ACEITE MOTOR</t>
  </si>
  <si>
    <t>CAMBIO FILTRO DE AIRE</t>
  </si>
  <si>
    <t>DESCRIPCION PROCEDIMIENTO (SISTEMA AIRE ACONDICIONADO INCLUYE MANO DE OBRA, REPUESTOS MAS IVA)</t>
  </si>
  <si>
    <t>CAMBIO COMPRESOR</t>
  </si>
  <si>
    <t>LUNA ESPEJO</t>
  </si>
  <si>
    <t xml:space="preserve">CAMBIO EMPAQUE CULATA </t>
  </si>
  <si>
    <t xml:space="preserve">CAMBIO BASE TERMOSTATO </t>
  </si>
  <si>
    <t xml:space="preserve">CAMBIO SENSOR MAF </t>
  </si>
  <si>
    <t>CAMBIO SENSOR ABS</t>
  </si>
  <si>
    <t xml:space="preserve">CAMBIO FORRO TIMON </t>
  </si>
  <si>
    <t xml:space="preserve">CAMBIO TAPIZADO PISO </t>
  </si>
  <si>
    <t xml:space="preserve">CAMBIO CORREA HIDRAULICO </t>
  </si>
  <si>
    <t>CAMBIO CONDENSADOR DE AIRE ACONDICIONADO</t>
  </si>
  <si>
    <t xml:space="preserve">CAMBIO FILTRO DE AIRE ACONDICIONADO </t>
  </si>
  <si>
    <t xml:space="preserve">CAMBIO GUAYA EMBRAGUE </t>
  </si>
  <si>
    <t xml:space="preserve">CAMBIO HORQUILLA EMBRAGUE </t>
  </si>
  <si>
    <t xml:space="preserve">CAMBIO PIBOTE EMBRAGUE </t>
  </si>
  <si>
    <t xml:space="preserve">CAMBIO DEPOSITO HIDRAULICO </t>
  </si>
  <si>
    <t xml:space="preserve">CAMBIO ESPIGO CARDAN </t>
  </si>
  <si>
    <t xml:space="preserve">CAMBIO CRUCETA DIRECCION </t>
  </si>
  <si>
    <t xml:space="preserve">CAMBIO BARRA ESTABILIZADORA </t>
  </si>
  <si>
    <t xml:space="preserve">CAMBIO BANDAS FRENOS TRASEROS </t>
  </si>
  <si>
    <t>CAMBIO PASTILLAS FRENOS DELANTEROS</t>
  </si>
  <si>
    <t xml:space="preserve">CAMBIO SENSOR VELOCIMETRO </t>
  </si>
  <si>
    <t xml:space="preserve">CAMBIO SENSOR DE OXIGENO </t>
  </si>
  <si>
    <t xml:space="preserve">CAMBIO FLASHER DIRECCIONALES </t>
  </si>
  <si>
    <t xml:space="preserve">CAMBIO ABRAZADERAS ESCAPE </t>
  </si>
  <si>
    <t xml:space="preserve">CAMBIO EMPAQUE EXOSTO </t>
  </si>
  <si>
    <t xml:space="preserve">CORREGIR ENTRADA DE AGUA </t>
  </si>
  <si>
    <t>DEPOSITO AGUA PLUMILLAS</t>
  </si>
  <si>
    <t>DESCRIPCIÓN PROCEDIMIENTO (SUSPENSION DELANTERA INCLUYE MANO DE OBRA, REPUESTOS MAS IVA)</t>
  </si>
  <si>
    <t>DESCRIPCIÓN PROCEDIMIENTO (REPARACION DEL MOTOR INCLUYE MANO DE OBRA, REPUESTOS MAS IVA)</t>
  </si>
  <si>
    <t>CAMBIO BOMBA DE COMBUSTIBLE</t>
  </si>
  <si>
    <t>CAMBIO SWITCH DE IGNICION</t>
  </si>
  <si>
    <t>INTERRUPTOR FRENO PARQUEO</t>
  </si>
  <si>
    <t>CONTROL LUCES Y SISTEMA L/BRISAS</t>
  </si>
  <si>
    <t>CAMBIO BOMBA AGUA</t>
  </si>
  <si>
    <t>DESCRIPCIÓN PROCEDIMIENTO (CAJA VELOCIDADES INCLUYE MANO DE OBRA, REPUESTOS MAS IVA)</t>
  </si>
  <si>
    <t xml:space="preserve">DESCRIPCION PROCEDIMIENTO (SERVICIOS DIVERSOS INCLUYE MANO DE OBRA, REPUESTOS MAS IVA) </t>
  </si>
  <si>
    <t xml:space="preserve">CAMBIO TERMINALES BARRA ESTABILIZADORA </t>
  </si>
  <si>
    <t xml:space="preserve">LUBRICACION GRACEROS </t>
  </si>
  <si>
    <t>CAMBIO INTERCOOLER</t>
  </si>
  <si>
    <t>REPARACION HAUSING</t>
  </si>
  <si>
    <t xml:space="preserve">CAMBIO CAUCHOS BARA ESTABLIZADORA </t>
  </si>
  <si>
    <t xml:space="preserve">CAMBIO ACEITE DIFERENCIAL TRASERO </t>
  </si>
  <si>
    <t>CAMBIO SELLOS VÁLVULAS</t>
  </si>
  <si>
    <t>CAMBIO GUIAS VÁLVULAS</t>
  </si>
  <si>
    <t xml:space="preserve">CAMBIO KIT DISTRIBUSION </t>
  </si>
  <si>
    <t>CAMBIO MANGUERAS INTERCOOLER</t>
  </si>
  <si>
    <t xml:space="preserve">DESMONTE Y MONTE MOTOR </t>
  </si>
  <si>
    <t xml:space="preserve">DEMPNTE Y MONTE DE CAJA CAMBIOS </t>
  </si>
  <si>
    <t xml:space="preserve">DESNONTE Y MONTE DIFERENCIAL </t>
  </si>
  <si>
    <t xml:space="preserve">CAMBIO JOCKE CARDAN </t>
  </si>
  <si>
    <t xml:space="preserve">CAMBIO AXIALES DIRECCION </t>
  </si>
  <si>
    <t xml:space="preserve">CAMBIO AMORTIGUADORES TRASEROS </t>
  </si>
  <si>
    <t xml:space="preserve">CAMBIO HOJA DE RESOTRE PRINCIPAL </t>
  </si>
  <si>
    <t xml:space="preserve">CAMBIO HOJA RESORTE SCUNDARIA </t>
  </si>
  <si>
    <t xml:space="preserve">CAMBIO RODAMIENTOS TASEROS </t>
  </si>
  <si>
    <t>CAMBIO ACEITE CAJA CAMBIOS</t>
  </si>
  <si>
    <t xml:space="preserve">CAMBIO BOCINES TRASEROS </t>
  </si>
  <si>
    <t>CAMBIO MUODUO ECU</t>
  </si>
  <si>
    <t xml:space="preserve">CAMBIO RODAMIENTO SPEED DEL </t>
  </si>
  <si>
    <t xml:space="preserve">CAMBIO SATELITES Y PLANETARIOS DEL </t>
  </si>
  <si>
    <t xml:space="preserve">CAMBIO SOPORTE CARDAN </t>
  </si>
  <si>
    <t>DESCRIPCIÓN PROCEDIMIENTO (SISTEMA DIFERENCIAL   INCLUYE MANO DE OBRA, REPUESTOS MAS IVA)</t>
  </si>
  <si>
    <t>CAMBIO CORONA Y SPEED TRAS</t>
  </si>
  <si>
    <t>CAMBIO RODAMIENTO SPEED TRAS</t>
  </si>
  <si>
    <t>CAMBIO RETEN SPEED TRAS</t>
  </si>
  <si>
    <t>CAMBIO SATELITES Y PLANETARIOS TRAS</t>
  </si>
  <si>
    <t>CAMBIO EMPAQUE MULTIPLE ESCAPE</t>
  </si>
  <si>
    <t xml:space="preserve">CAMBI PUNTAS DE EJE </t>
  </si>
  <si>
    <t>CAMBIO FILTRO ACEITE MOTOR</t>
  </si>
  <si>
    <t>CAMBIO CARTER</t>
  </si>
  <si>
    <t xml:space="preserve">CAMBIO CIGÜEÑAL </t>
  </si>
  <si>
    <t>CARGA AIRE ACONDICIONADO</t>
  </si>
  <si>
    <t xml:space="preserve">CAMBIO MOTOVENTILADOR </t>
  </si>
  <si>
    <t>LAMINA Y PINTURA  GERENAL</t>
  </si>
  <si>
    <t xml:space="preserve">CAMBIO VENTILADOR </t>
  </si>
  <si>
    <t>CAMBIO FANCLUCH</t>
  </si>
  <si>
    <t xml:space="preserve">CAMBIO BARA DIRECCION </t>
  </si>
  <si>
    <t xml:space="preserve">CAMBIO CAJA AUXILIAR DIREECION </t>
  </si>
  <si>
    <t>CAMBIO BANDAS FRENOS DELANTEROS</t>
  </si>
  <si>
    <t xml:space="preserve">CAMBIO CAMPANAS FRENOS DELANTERAS </t>
  </si>
  <si>
    <t>CAMBIO CAMPANAS FRENOS TRASERAS</t>
  </si>
  <si>
    <t xml:space="preserve">CAMBIO AXIAL DIRECCION </t>
  </si>
  <si>
    <t xml:space="preserve">DESMONTE Y MONTE DE CAJA CAMBIOS </t>
  </si>
  <si>
    <t xml:space="preserve">CAMBIO BOMBA HIDRAULICO </t>
  </si>
  <si>
    <t xml:space="preserve">CAMBIO VIDRIO TRASERO </t>
  </si>
  <si>
    <t xml:space="preserve">CAMBIO VIDRIO PUERTA TARSERO </t>
  </si>
  <si>
    <t xml:space="preserve">REPARACION CARTER </t>
  </si>
  <si>
    <t xml:space="preserve">DEMONTE Y MONTE DE CAJA CAMBIOS </t>
  </si>
  <si>
    <t xml:space="preserve">TAPA RADIADOR </t>
  </si>
  <si>
    <t>UNIDAD DE MEDIDA (SERVICIO)</t>
  </si>
  <si>
    <t>Servicio</t>
  </si>
  <si>
    <t>CAMBIO KIT MOTOR ( EMPAQUETADURA COMPLETA, PISTONES, ANILLOS, CASQUESTERIA DE BIELA Y BANCADA, CAMISAS, BOMBA DE ACEITE Y DE AGUA, RECTIFICADA DE BLOQUE Y CIGÜEÑAL)</t>
  </si>
  <si>
    <t>CAMBIO BIELA POR UNIDAD</t>
  </si>
  <si>
    <t>CAMBIO JUEGO BUJES BIELA</t>
  </si>
  <si>
    <t>CAMBIO RETEN TRASERO CIGÜEÑAL CON BAJADA DE CAJA</t>
  </si>
  <si>
    <t>CAMBIO CULATA COMPLETA</t>
  </si>
  <si>
    <t>CAMBIO EJE ARVOL DE LEVAS POR UNIDAD</t>
  </si>
  <si>
    <t>CAMBIO KIT CORREA ACCESORIOS (ALTERNADOR, HIDRAULICO Y AIRE ACONDICIONADO)</t>
  </si>
  <si>
    <t>REPARACION INTERCOOLER</t>
  </si>
  <si>
    <t xml:space="preserve">CAMBIO INFRIADOR DE ACEITE </t>
  </si>
  <si>
    <t>CAMBIO MANGUERAS RADIADOR POR UNIDAD</t>
  </si>
  <si>
    <t>CAMBIO MANGUERAS INTERCOOLER POR UNIDAD</t>
  </si>
  <si>
    <t>CAMBIO MANGUERAS DE CALEFACION POR UNIDAD</t>
  </si>
  <si>
    <t>REPARACION TURBO CARGADOR</t>
  </si>
  <si>
    <t>LAVADO TANQUE COMBUSTIBLE</t>
  </si>
  <si>
    <t>BOMBIM DE COMBUSTIBLE CON SU FILTRO</t>
  </si>
  <si>
    <t>CAMBIO KIT DE EMBRAGUE (PRENSA, DISCO, BALINERA)</t>
  </si>
  <si>
    <t xml:space="preserve">CAMBIO VOLANTE DE EMBRAGUE </t>
  </si>
  <si>
    <t xml:space="preserve">CAMBIO BALINERA VOLANTE DE EMBRAGUE </t>
  </si>
  <si>
    <t>REPARACIÓN CAJA VELOCIDADES (RODAMIENTOS, EMPAQUETADURA COMPLETA Y SINCRONIZADORES ACEITE)</t>
  </si>
  <si>
    <t>CAMBIO DE RODAMIENTOS DE CAJA DE VELOCIDADES POR UNIDAD</t>
  </si>
  <si>
    <t>REPARACIÓN DIFERENCIAL TRAS. (RODAMIENTOS, ARANDELAS, RETENES Y ACEITE)</t>
  </si>
  <si>
    <t>REPARACIÓN DIFERENCIAL DEL (RODAMIENTOS, ARANDELAS, RETENES Y ACEITE)</t>
  </si>
  <si>
    <t xml:space="preserve">CAMBIO JUEGO CRUCETAS CARDAN </t>
  </si>
  <si>
    <t>REPARACION CARDAN CON LAS HORQUILLAS</t>
  </si>
  <si>
    <t>REPARAR CAJA DIRECCIÓN (EMPAQUETADURA Y ACEITE)</t>
  </si>
  <si>
    <t>CAMBIO MANGUERA O TUBO DIRECCIÓN POR UNIDAD</t>
  </si>
  <si>
    <t xml:space="preserve">CAMBIO BOMDA HIDRAULICO </t>
  </si>
  <si>
    <t>CAMBIO JUEGO AMORTIGUADORES DELANTEROS</t>
  </si>
  <si>
    <t>CAMBIO TIJERAS SUPERIOR POR UNIDAD</t>
  </si>
  <si>
    <t>CAMBIO TIJERAS INFERIOR POR UNIDAD</t>
  </si>
  <si>
    <t>CAMBIO BUJES TIJERAS SUPERIOR</t>
  </si>
  <si>
    <t xml:space="preserve">CAMBIO JUEGO DE ROTULAS </t>
  </si>
  <si>
    <t>CAMBIO JUEGO DE AXIALES DIRECCION</t>
  </si>
  <si>
    <t>CAMBIO RODAMIENTOS DELANTEROS Y SUS RETENES</t>
  </si>
  <si>
    <t>ENGRASE RODAMIENTOS DELANTEROS Y SUS RETENES</t>
  </si>
  <si>
    <t>CAMBIO DE EJE LADO RUEDA DELANTERO POR UNIDAD</t>
  </si>
  <si>
    <t>CAMBIO BUJES DE AMORTIGUADOR DELANTERO</t>
  </si>
  <si>
    <t>CAMBIO BUJES DE AMORTIGUADOR TRASEROS</t>
  </si>
  <si>
    <t>CAMBIO CUELGAMUELLES TRASEOS</t>
  </si>
  <si>
    <t>CAMBIO PASADORES FIJOS DE LOS PAQUETES POR UNIDAD</t>
  </si>
  <si>
    <t xml:space="preserve">CAMBIO JUEGO DE BUJES HOJAS DE RESORTE </t>
  </si>
  <si>
    <t>CAMBIO JUEGO DE BUJES CUELGAMUELLES TRASEOS</t>
  </si>
  <si>
    <t>CAMBIO DE TORNILLO CENTRAL POR UNIDAD</t>
  </si>
  <si>
    <t>CAMBIO RODAMIENTOS TASEROS Y SUS RETENES</t>
  </si>
  <si>
    <t>ENGRASE RODAMIENTOS TASEROS Y SUS RETENES</t>
  </si>
  <si>
    <t>RECTIFICADA DE DISCOS POR UNIDAD</t>
  </si>
  <si>
    <t>RECTIFICADA DE CAMPANAS POR UNIDAD</t>
  </si>
  <si>
    <t>REPARACION BOMBA DE FRENOS (EMPAQUETADURA Y LIQUIDO)</t>
  </si>
  <si>
    <t>CAMBIO DE JUEGO DE CHUPAS DE CILINDROS TRASEROS</t>
  </si>
  <si>
    <t>CAMBIO DE KIT SELLOS CALIPER</t>
  </si>
  <si>
    <t>CAMBIO JUEGOS DE GUIAS CALIPER</t>
  </si>
  <si>
    <t>CAMBIO DE TENSIONES FRENOS TRASEROS</t>
  </si>
  <si>
    <t>CAMBIO AJUSTADORES PASTILLAS</t>
  </si>
  <si>
    <t>TENSION DE LOS FRENOS</t>
  </si>
  <si>
    <t>CAMBIO POLEA ALTERNADOR</t>
  </si>
  <si>
    <t>REPARACION ALTERNADOR (REGULADOR, PORTA DIODOS, BUJES, RODAMIENTO Y ESCOBULLAS)</t>
  </si>
  <si>
    <t>REPARACION ARRANQUE (ESCOMBILLAS, AUTOMATICO, RODAMIENTO, BUJES)</t>
  </si>
  <si>
    <t>CAMBIO CINTA VOLANTE CON BAJADA DE CAJA</t>
  </si>
  <si>
    <t>REVISION ELECTRICA (LUCES ALTAS Y BAJAS O DIRECCIONALES Y STOP)</t>
  </si>
  <si>
    <t>REPARACION GENERAL ELECTRICA ( INCLUYE CABLE, PACHAS FUSIBLES, RELEE, FLACHER,)</t>
  </si>
  <si>
    <t>CAMBIO FAROLA POR UNIDAD</t>
  </si>
  <si>
    <t>CAMBIO JUEGO BOMBILLOS FAROLA</t>
  </si>
  <si>
    <t>CAMBIO BOMBILLO STOP</t>
  </si>
  <si>
    <t>CAMBIO BOMBILLO DIRECCIONAL</t>
  </si>
  <si>
    <t>CAMBIO BOMBILLO LUZ MEDIA</t>
  </si>
  <si>
    <t>CAMBIO BOMBILLO EXPLORADORA</t>
  </si>
  <si>
    <t>CAMBIO BOMBILLO LUZ TECHO</t>
  </si>
  <si>
    <t>CAMBIO BOMBILLO TERSER STOP</t>
  </si>
  <si>
    <t>ARREGLO SIRENA (INCLUYE PARTE ELECTRICA, FUSIBLES)</t>
  </si>
  <si>
    <t>ARREGLO LUCES BALIZA (INCLUYE PARTE ELECTRICA, FUSIBLES Y BOMBILLOS)</t>
  </si>
  <si>
    <t>REPARACION ODOMETRO (INCLUYE REPARACION ELECTRICA Y SENSOR VELOCIMETRO)</t>
  </si>
  <si>
    <t>INTALACION DE ODOMETRO EN LA LLANTA</t>
  </si>
  <si>
    <t>REPARACION MEDIDOR COMBUSTIBLE (INCLUYE REPARACION ELECTRICA Y MEDIDOR COMBUSTIBLE)</t>
  </si>
  <si>
    <t>CAMBIO TABLERO DE INSTRUMENTOS</t>
  </si>
  <si>
    <t>FUSIBLE DE 10 A 30 AMPERIOS</t>
  </si>
  <si>
    <t>FUSIBLE DE 40 A 120  AMPERIOS</t>
  </si>
  <si>
    <t xml:space="preserve">CAMBIO DE BATERIA </t>
  </si>
  <si>
    <t xml:space="preserve">CAMBIO JUEGO BORNES BATERIA </t>
  </si>
  <si>
    <t xml:space="preserve">CAMBIO CINTA PITO Y AIR BAG </t>
  </si>
  <si>
    <t>CAMBIO SENSOR DE VELOCIMETRO</t>
  </si>
  <si>
    <t xml:space="preserve">CAMBIO SENSOR DE DETONACION </t>
  </si>
  <si>
    <t>CAMBIO SENSOR DE ACELERACION</t>
  </si>
  <si>
    <t xml:space="preserve">CAMBIO SENSOR DE REVERSA </t>
  </si>
  <si>
    <t xml:space="preserve">CAMBIO SENSOR DE POSICION CIGÜEÑAL </t>
  </si>
  <si>
    <t xml:space="preserve">CAMBIO SENSOR DE TEMPERATURA MOTOR </t>
  </si>
  <si>
    <t>CAMBIO SENSOR DE PRESION ACEITE MOTOR</t>
  </si>
  <si>
    <t>CAMBIO SENSOR DE LUCES FRENO LAMPARA TRASERA</t>
  </si>
  <si>
    <t>CAMBIO RELEE ELECTRICO</t>
  </si>
  <si>
    <t>CAMBIO DIRECCIONAL LATERAR POR UNIDAD</t>
  </si>
  <si>
    <t>REPARACION EXOSTO (SOLDADURA Y EMPAQUES)</t>
  </si>
  <si>
    <t xml:space="preserve">CAMBIO FILTRO DE COMBUSTIBLE </t>
  </si>
  <si>
    <t>CAMBIO FILTRO DE COMBUSTIBLE SEPARADOR</t>
  </si>
  <si>
    <t>CAMBIOA CEITE DIFERENCIAL DELANTERO</t>
  </si>
  <si>
    <t>CAMBIO LIQUIDO FRENOS POR PINTA</t>
  </si>
  <si>
    <t>CAMBIO LIQUIDO HIDRAULICO POR 1/4</t>
  </si>
  <si>
    <t>CAMBIO LIQUIDO REFRIGERANTE POR 1/4</t>
  </si>
  <si>
    <t>INTERRUPTOR VIDRIOS ELECTRICOS POR UNIDAD</t>
  </si>
  <si>
    <t>CAMBIO BOMPER DELANTERO</t>
  </si>
  <si>
    <t>CAMBIO BOMPER TRASERO</t>
  </si>
  <si>
    <t>EMBLEMAS Y SIMBOLOGIA INSTITUCIONAL</t>
  </si>
  <si>
    <t>CAMBIO DE PLUMILLAS</t>
  </si>
  <si>
    <t>CAMBIO TAPIZADO GENERAL</t>
  </si>
  <si>
    <t xml:space="preserve">CAMBIO FOROS DE SILLAS </t>
  </si>
  <si>
    <t>SUMINISTRO DE BOTIQUIN</t>
  </si>
  <si>
    <t>LAVADA  GENERAL  (MOTOR, CHASIS, CARROCERIA Y ASPIRADO)</t>
  </si>
  <si>
    <t>LAVADA  ALISTADA  (LAVADO Y ASPIRADO)</t>
  </si>
  <si>
    <t>CAMBIO SOPORTE BATERÍAS</t>
  </si>
  <si>
    <t xml:space="preserve">REVISION TECNICO MECANICA Y DE GASES </t>
  </si>
  <si>
    <t>CAMBIO LLANTAS REF 255/70 R-16</t>
  </si>
  <si>
    <t>CAMBIO LLANTAS REF 235/75 R-15</t>
  </si>
  <si>
    <t>REPARACION SISTEMA DE VENTILACION (INCLUYE PARTE ELECTRICA )</t>
  </si>
  <si>
    <t>CAMBIO FAN CLOCH</t>
  </si>
  <si>
    <t xml:space="preserve">CAMBIO JUEGO INYECTOR </t>
  </si>
  <si>
    <t xml:space="preserve">CALIBRACIÓN JUEGO INYECTORES </t>
  </si>
  <si>
    <t xml:space="preserve">REPARACION JUEGO INYECTOR </t>
  </si>
  <si>
    <t>CAMBIO SENSOR DEL FILTRO SEPARADOR DE COMBUSTIBLE</t>
  </si>
  <si>
    <t>CAMBIO DE CARDAN DE LA DOBLE COMPLETO</t>
  </si>
  <si>
    <t>CAMBIO JUEGOS DE PISTONES CALIPER</t>
  </si>
  <si>
    <t>CAMBIO ELECTROVALVULA DEL TURBO</t>
  </si>
  <si>
    <t>CAMBIO VALVULA EGR</t>
  </si>
  <si>
    <t>REPARACION BOMBA INYECCION (CON TODOS SUS REPUESTOS)</t>
  </si>
  <si>
    <t>CAMBIO TUBO DE INYECCION COMBUSTIBLE POR UNIDAD</t>
  </si>
  <si>
    <t xml:space="preserve">CAMBIO KIT MOTOR ( EMPAQUETADURA COMPLETA, PISTONES, ANILLOS, CASQUESTERIA DE BIELA Y BANCADA, CAMISAS, BOMBA DE ACEITE Y DE AGUA, RECTIFICADA DE BLOQUE Y CIGÜEÑAL) </t>
  </si>
  <si>
    <t>CAMBIO  BIELA POR UNIDAD</t>
  </si>
  <si>
    <t>JUEGO BUJIA PRECALENTAMIENTO</t>
  </si>
  <si>
    <t xml:space="preserve">CAMBIO ENFRIADOR DE ACEITE </t>
  </si>
  <si>
    <t>CAMBIO TAPA RADIADOR</t>
  </si>
  <si>
    <t>CAMBIO MANGANGUERA CALEFACION POR UNIDAD</t>
  </si>
  <si>
    <t>CAMBIO VENTILADOR</t>
  </si>
  <si>
    <t>CAMBIO JUEGO DE  INYECTORES</t>
  </si>
  <si>
    <t xml:space="preserve">REPARACION JUEGO DE INYECTORES </t>
  </si>
  <si>
    <t xml:space="preserve">CALIBRACIÓN JUEGO DE INYECTORES </t>
  </si>
  <si>
    <t>CAMBIO BOMBA INYECCION COMPLETA</t>
  </si>
  <si>
    <t>CAMBIO VALVULA DE PRECION DE LA BOMBA DE INYECCION</t>
  </si>
  <si>
    <t>CAMBIO RIEL COMPLETO DE INYECTORE</t>
  </si>
  <si>
    <t>CAMBIO VALVULAS DEL RIEL DE INYECTORES</t>
  </si>
  <si>
    <t>BOMBIN DE COMBUSTIBLE (CON EL FILTRO)</t>
  </si>
  <si>
    <t xml:space="preserve">CAMBIO BALINERA VOLANTE </t>
  </si>
  <si>
    <t>CAMBIO RODAMIENTOS CAJA DE CAMBIO POR UNIDAD</t>
  </si>
  <si>
    <t>CAMBIO CAN DELERO DE CAJA DE CAMBIOS</t>
  </si>
  <si>
    <t>CAMBIO EMPAQUETADURA Y RETENES DE CAJA DE CAMBIO</t>
  </si>
  <si>
    <t>CAMBIO EMPAQUETADURA Y RETENES DE CAJA DE VELOCIDADES</t>
  </si>
  <si>
    <t>REPARACIÓN DIFERENCIAL TRAS. (RODAMIENTOS, ARANDELAS, SISTEMA ANTI-PATINAJE, RETENES Y ACEITE)</t>
  </si>
  <si>
    <t>CAMBIO SATELITES, PLANETARIOS Y ANTI-PATINAJE</t>
  </si>
  <si>
    <t xml:space="preserve">CAMBIO JUEGO DE CRUCETAS CARDAN </t>
  </si>
  <si>
    <t>REPARACIÓN DIFERENCIAL DELANTERO. (RODAMIENTOS, ARANDELAS, RETENES Y ACEITE)</t>
  </si>
  <si>
    <t>CAMBIO CARDAN DE LA DOBLE COMPLETO</t>
  </si>
  <si>
    <t>CAMBIO BOMBA DEL HIDRAULICO</t>
  </si>
  <si>
    <t>CAMBIO SIN FIN DE CAJA DE DIRECCION</t>
  </si>
  <si>
    <t>CAMBIO TIJERAS SUPERIORES POR UNIDAD</t>
  </si>
  <si>
    <t>CAMBIO TIJERA INFERIORES POR UNIDAD</t>
  </si>
  <si>
    <t xml:space="preserve">CAMBIO JUEGO ROTULAS </t>
  </si>
  <si>
    <t>CAMBIO BOCINES POR UNIDAD</t>
  </si>
  <si>
    <t xml:space="preserve">CAMBIO RODAMIENTOS Y RETENES RUEDAS DEALANTERAS </t>
  </si>
  <si>
    <t>CAMBIO DE EJES LADO RUEDA DELANTERO POR UNIDAD</t>
  </si>
  <si>
    <t>CAMBIO DE EJES LADO DIFERENCIAL DELANTERO POR UNIDAD</t>
  </si>
  <si>
    <t>CAMBIO DE EJE LADO DIFERENCIAL DELANTERO POR UNIDAD</t>
  </si>
  <si>
    <t>CAMBIO JUEGO BUJES AMORTIGUADOR DELANTERO</t>
  </si>
  <si>
    <t>ENGRASE RODAMIENTOS DELANTEROS CON RETENES</t>
  </si>
  <si>
    <t xml:space="preserve">CAMBIO JUEGO BUJES AMORTIGUADORES TRASEROS </t>
  </si>
  <si>
    <t xml:space="preserve">CAMBIO RODAMIENTOS Y RETENES TASEROS </t>
  </si>
  <si>
    <t xml:space="preserve">ENGRASE RODAMIENTOS CON RETENES TRASEROS </t>
  </si>
  <si>
    <t>CAMBIO CILINDROS FRENOS POR UNIDAD</t>
  </si>
  <si>
    <t>CAMBIO LIMITADOR FRENO TRASERO</t>
  </si>
  <si>
    <t>CAMBIO EMPAQUETADURA LIMITADOR FRENO TRASERO</t>
  </si>
  <si>
    <t>CAMBIO FILTROS DE COMBUSTIBLE SEDIMENTADOR</t>
  </si>
  <si>
    <t>CAMBIO FILTROS DE COMBUSTIBLE SEPARADOR</t>
  </si>
  <si>
    <t>CAMBIO ACEITE DIFERENCIAL DELANTERO</t>
  </si>
  <si>
    <t>CAMBIO MANIJAS ELEVAVIDRIOS</t>
  </si>
  <si>
    <t>CAMBIO CAJA DIRECCIÓN INCLUYE EL ACEITE</t>
  </si>
  <si>
    <t>CAMBIO KIT DISTRIBUSION ( COMPLETO )</t>
  </si>
  <si>
    <t>CAMBIO TERMINALES DE LA DIRECCION</t>
  </si>
  <si>
    <t>CAMBIO EJE TRASERO POR UNIDAD</t>
  </si>
  <si>
    <t>CAMBIO JUEGO CAMPANAS FRENOS</t>
  </si>
  <si>
    <t xml:space="preserve">CAMBIO JUEGO DISCOS FRENOS DELANTEROS </t>
  </si>
  <si>
    <t>CAMBIO DE BOSTER</t>
  </si>
  <si>
    <t>CAMBIO SOPORTE CABINA POR UNIDAD</t>
  </si>
  <si>
    <t>CAMBIO SOPORTE PLATON POR UNIDAD</t>
  </si>
  <si>
    <t xml:space="preserve">LAVADO JUEGO DE INYECTORES </t>
  </si>
  <si>
    <t>SINCRONIZACIÓN MOTOR (FILTRO DE COMB, AIRE, CALIBRADA DE VALVULAS, BUJIAS Y LIMPIESA CUERPO DE ACELERACION, LAVADO INYECTORES)</t>
  </si>
  <si>
    <t xml:space="preserve">CAMBIO HOJA DE RESORTE PRINCIPAL </t>
  </si>
  <si>
    <t xml:space="preserve">CAMBIO HOJA DE RESORTE SECUNDARIA </t>
  </si>
  <si>
    <t xml:space="preserve">CAMBIO HOJA RESORTE SECUNDARIA </t>
  </si>
  <si>
    <t>CAMBIO GUAYAS FRENO DE MANO</t>
  </si>
  <si>
    <t xml:space="preserve">CAMBIO SENSOR DE PEDAL FRENO </t>
  </si>
  <si>
    <t xml:space="preserve">CAMBIO JUEGO DE BUJIAS </t>
  </si>
  <si>
    <t xml:space="preserve">CAMBIO JUEGO CABLES DE ALTA </t>
  </si>
  <si>
    <t>CAMBIO BOBINA DE ALTA</t>
  </si>
  <si>
    <t>No. 32 AUTOMOVIL HYUNDAI ACCENT</t>
  </si>
  <si>
    <t>CAMBIO CORONA Y SPEED DELAN.</t>
  </si>
  <si>
    <t xml:space="preserve">CAMBIO SEMIEJES </t>
  </si>
  <si>
    <t>CAMBIO BUJES TIJERAS INFERIOR</t>
  </si>
  <si>
    <t xml:space="preserve">CAMBIO RODAMIENTOS DELANTEROS </t>
  </si>
  <si>
    <t>CAMBIO JUEGOS BUJES DE LOS TEMPLETES TRASEROS</t>
  </si>
  <si>
    <t>CAMBIO ESPIRAL TRASERO</t>
  </si>
  <si>
    <t>CAMBIO PASTILLAS FRENOS TRASERAS</t>
  </si>
  <si>
    <t>CAMBIO JUEGO DISCOS FRENOS TRASEROS</t>
  </si>
  <si>
    <t>CAMBIO BANDAS FRENO DE MANO</t>
  </si>
  <si>
    <t>CAMBIO LLANTAS REF 195/75 R-16</t>
  </si>
  <si>
    <t>DEPOSITO AGUA AUXILIAR (CON TAPA)</t>
  </si>
  <si>
    <t>CAMBIO STOP  POR UNIDAD</t>
  </si>
  <si>
    <t>CAMBIO STOP POR UNIDAD</t>
  </si>
  <si>
    <t>CAMBIO CORREA ACCESORIOS (ALTERNADOR, HIDRAULICO Y AIRE ACONDICIONADO)</t>
  </si>
  <si>
    <t xml:space="preserve">BOMBIN DE COMBUSTIBLE </t>
  </si>
  <si>
    <t>CAMBIO BASE DE AMORTIGUADORES DELANTEROS POR UNIDA</t>
  </si>
  <si>
    <t>CAMBIO BOCINES CON RODAMIENTO POR UNIDAD</t>
  </si>
  <si>
    <t>CAMBIO DE AUTOMATICOS DE TENSIONES FRENOS TRASEROS</t>
  </si>
  <si>
    <t>CAMBIO SENSOR ABS DELANTERO POR UNIDAD</t>
  </si>
  <si>
    <t>CAMBIO SENSOR ABS TRASERO POR UNIDAD</t>
  </si>
  <si>
    <t xml:space="preserve">CAMBIO TUBO FLEXIBLE EXOSTO </t>
  </si>
  <si>
    <t>CAMBIO COMPUERTA DEL PLATON COMPLETA</t>
  </si>
  <si>
    <t>CAMBIO TUBO DE AIRE ACONDICIONADO POR UNIDAD</t>
  </si>
  <si>
    <t xml:space="preserve">CAMBIO KIT MOTOR ( EMPAQUETADURA COMPLETA, PISTONES, ANILLOS, CASQUESTERIA DE BIELA Y BANCADA, BOMBA DE ACEITE Y DE AGUA, RECTIFICADA DE CIGÜEÑAL) </t>
  </si>
  <si>
    <t>CAMBIO BLOQUE DE MOTOR</t>
  </si>
  <si>
    <t xml:space="preserve">CAMBIO SATELITES Y PLANETARIOS </t>
  </si>
  <si>
    <t>CAMBIO SATELITES Y PLANETARIOS</t>
  </si>
  <si>
    <t xml:space="preserve">CAMBIO EMPAQUE MULTIPLE ADMISION </t>
  </si>
  <si>
    <t>REPARACIÓN DIFERENCIAL (RODAMIENTOS, ARANDELAS, RETENES Y ACEITE)</t>
  </si>
  <si>
    <t xml:space="preserve">CAMBIO CORONA Y SPEED </t>
  </si>
  <si>
    <t xml:space="preserve">CAMBIO RODAMIENTOS DEALANTERAS </t>
  </si>
  <si>
    <t xml:space="preserve">CAMBIO JUEGO TIJERAS INFERIORES </t>
  </si>
  <si>
    <t>CAMBIO JUEGO BASE INFERIOR AMORTIGUADOR</t>
  </si>
  <si>
    <t>CAMBIO JUEGO BASE SUPERIORES AMORTIGUADOR (POPELAS)</t>
  </si>
  <si>
    <t xml:space="preserve">CAMBIO JUEGO TOPES AMORTIGUADOR </t>
  </si>
  <si>
    <t xml:space="preserve">CAMBIO BUJES SUSPENCION TRASEA </t>
  </si>
  <si>
    <t>CAMBIO VIDRIO PUERTA DELANTERA</t>
  </si>
  <si>
    <t>CAMBIO SEMIEJES LADO CAJA</t>
  </si>
  <si>
    <t>CAMBI PUNTAS DE EJE LADO RUEDA</t>
  </si>
  <si>
    <t>REPARAR  AIRE ACONDICIONADO (INCLUYE PARTE ELECTRICA,  SOLDADURA Y RECARGA DEL GAS)</t>
  </si>
  <si>
    <t>CAMBIO DE BATERIA POR UNIDAD</t>
  </si>
  <si>
    <t>REPARAR AIRE ACONDICIONADO (INCLUYE PARTE ELECTRICA,  SOLDADURA Y RECARGA DEL GAS)</t>
  </si>
  <si>
    <t>CAMBIO CAJA DE VELOCIDADES (INCLUYE ACEITE)</t>
  </si>
  <si>
    <t>CAMBIO PUNTAS DE EJE LADO RUEDA</t>
  </si>
  <si>
    <t>CAMBIO DIFERENCIAL TRASERO COMPLETO</t>
  </si>
  <si>
    <t>REPARACIÓN DIFERENCIAL TRAS.  (RODAMIENTOS, ARANDELAS, RETENES Y ACEITE)</t>
  </si>
  <si>
    <t xml:space="preserve">REPARACION CARDAN </t>
  </si>
  <si>
    <t>CAMBIO JUEGO DE BOBINA DE ALTA</t>
  </si>
  <si>
    <t>CAMBIO CUERPO DE ACELERACION</t>
  </si>
  <si>
    <t>CAMBIO SENSOR DE ACELERACION CON PEDAL</t>
  </si>
  <si>
    <t>CAMBIO EMPAQUE DE CUERPO DE ACELERACION Y ADMISION</t>
  </si>
  <si>
    <t>CAMBIO DE INTERRUCTOR DE VIDRIOS ELECTRICOS</t>
  </si>
  <si>
    <t>REPARACION SILLA RETENIDOS</t>
  </si>
  <si>
    <t>CAMBIO SILLA RETENIDOS</t>
  </si>
  <si>
    <t>CAMBIO LLANTAS REF 215/65 R-16</t>
  </si>
  <si>
    <t>No. 19 CAMION , CAMA BAJA, BUSETA, NPR Y NNR</t>
  </si>
  <si>
    <t xml:space="preserve">REPARACION DE MOTOR ( EMPAQUETADURA COMPLETA, CAMISAS, PISTONES, ANILLOS, CASQUESTERIA DE BIELA Y BANCADA, BOMBA DE ACEITE Y DE AGUA, RECTIFICADA DE CIGÜEÑAL) </t>
  </si>
  <si>
    <t>ANILLADA MOTOR ( ANILLOS, PISTONES, CAMISAS, CASQUETES DE BIELA, EMPAQUE CARTES, CULATA Y TAPA VALVULAS</t>
  </si>
  <si>
    <t xml:space="preserve">CAMBIO CULATA COMPLETA </t>
  </si>
  <si>
    <t>CAMBIO CORREA ACCESORIOS ALTERNADOR, HIDRAULICO Y COMPRESOR</t>
  </si>
  <si>
    <t>CAMBIO TANQUE COMBUSTIBLE EN ACERO INOXIDABLE POR UNIDAD</t>
  </si>
  <si>
    <t>LAVADO DE LOS TANQUES DE COMBUSTIBLE</t>
  </si>
  <si>
    <t>CAMBIO TAPA TANQUE COMBUSTIBLE POR UNIDAD</t>
  </si>
  <si>
    <t xml:space="preserve">CAMBIO TUBO DE INYECCION POR UNIDAD </t>
  </si>
  <si>
    <t>CAMBIO TOMAFUERZA Y BOMBA (CAMA BAJA)</t>
  </si>
  <si>
    <t>CAMBIO TERMINALES DIRECCIÓN BARRA LARGA</t>
  </si>
  <si>
    <t>CAMBIO BUJES BARRA ESTABILIZADORA</t>
  </si>
  <si>
    <t>CAMBIO JUEGO DE SPLINDER</t>
  </si>
  <si>
    <t>CAMBIO HOJA DE RESOTRE PRINCIPAL DELANTERA</t>
  </si>
  <si>
    <t>CAMBIO HOJA RESORTE SCUNDARIA DELANTERA</t>
  </si>
  <si>
    <t>CAMBIO CUELGAMUELLES DELANTEROS</t>
  </si>
  <si>
    <t>CAMBIO JUEGO DE BUJES CUELGAMUELLES DELANTEROS</t>
  </si>
  <si>
    <t>CAMBIO BOMBA FRENOS DE LIQUIDO</t>
  </si>
  <si>
    <t>CAMBIO BOMBA FRENOS DE AIRE</t>
  </si>
  <si>
    <t>REPARACION BOMBA DE FRENOS DE AIRE (EMPAQUETADURA )</t>
  </si>
  <si>
    <t xml:space="preserve">CAMBIO MANGUERAS FRENOS </t>
  </si>
  <si>
    <t>AJUSTE DE LOS FRENOS</t>
  </si>
  <si>
    <t>CAMBIO VALVULA DE  FRENOS DE AIRE POR UNIDAD</t>
  </si>
  <si>
    <t>CAMBIO CAMARAS DE FRENO DE AIRE POR UNIDAD</t>
  </si>
  <si>
    <t>CAMBIO CAMDADOS DE FRENO DE AIRE POR UNIDAD</t>
  </si>
  <si>
    <t>CAMBIO FRENOS DE AHOGO COMPLETO GENUINO</t>
  </si>
  <si>
    <t>CAMBIO COMPRESOR DE AIRE</t>
  </si>
  <si>
    <t>REPARACION COMPRESOR DE AIRE (INCLUYE TODO EL KIT PARA SU MANTENIMIENTO)</t>
  </si>
  <si>
    <t>CAMBIO DE BOSTER GENUINO</t>
  </si>
  <si>
    <t>REPARACION FRENOS DE AHOGO (INCLUYE CAMARA FRENO, REVISION ELECTRICA)</t>
  </si>
  <si>
    <t>CAMBIO SENSOR DE FRENO DE AHOGO POR UNIDAD</t>
  </si>
  <si>
    <t>CAMBIO FILTRO DE COMBUSTIBLE POR UNIDAD</t>
  </si>
  <si>
    <t>CAMBIO DE ACEITE SISTEMA CAMABAJA</t>
  </si>
  <si>
    <t>CAMBIO VIDRIO PARABRISAS (BUSETA)</t>
  </si>
  <si>
    <t>CAMBIO VIDRIO PARABRISAS (CAMION NPR)</t>
  </si>
  <si>
    <t>CAMBIO BOMPER TRASERO (BUSETA)</t>
  </si>
  <si>
    <t>LAMINA Y PINTURA POR PIEZA (CAMION NPR)</t>
  </si>
  <si>
    <t>LAMINA Y PINTURA  GERENAL (CAMION NPR)</t>
  </si>
  <si>
    <t>LAMINA Y PINTURA POR PIEZA (BUSETA )</t>
  </si>
  <si>
    <t>LAMINA Y PINTURA  GERENAL (BUSETA)</t>
  </si>
  <si>
    <t>POLARIZADO DE VIDRIOS GENERAL BUSETA</t>
  </si>
  <si>
    <t>CAMBIO GUARDAPOLVOS METALICOS TRASEROS EN ACERO INOXIDABLE</t>
  </si>
  <si>
    <t>CAMBIO PISO CARROCERIA EN LAMINA (CAMION NPR)</t>
  </si>
  <si>
    <t>CAMBIO DE CARPA PARA CAMION EN LONA 500</t>
  </si>
  <si>
    <t>CAMBIO LLANTAS REF 750 R-16 DIRECCIONAL O TRACCION</t>
  </si>
  <si>
    <t>CAMBIO LLANTAS REF 215/75 R-17,5 DIRECCIONAL O TRACION</t>
  </si>
  <si>
    <t>CAMBIO LLANTAS REF 235/75 R-17,5 DIRECCIONAL O TRACION</t>
  </si>
  <si>
    <t xml:space="preserve">EMBLEMAS PLACAS </t>
  </si>
  <si>
    <t>CAMBIO TAPIZADO DE SILLAS (BUSETA 20 PUESTO)</t>
  </si>
  <si>
    <t>CAMBIO TAPIZADO DE SILLAS (CAMION 2 PUESTO)</t>
  </si>
  <si>
    <t>CAMBIO FOROS DE SILLAS POR UNIDAD</t>
  </si>
  <si>
    <t>CAMIBIO DE CABLE ANTIGIRO DE 1/2 POR METROS (CAMABAJA)</t>
  </si>
  <si>
    <t xml:space="preserve">CAMBIO JUEGO BUJES TIJERAS   </t>
  </si>
  <si>
    <t>CAMBIO LLANTAS REF 175/65 R-13</t>
  </si>
  <si>
    <t>CAMBIO TAPIZADO DE SILLAS</t>
  </si>
  <si>
    <t>CAMBIO TAPIZADO GENERAL SILLAS</t>
  </si>
  <si>
    <t>CAMBIO TAPIZADO SILLAS DELANTERAS</t>
  </si>
  <si>
    <t>CINTA REFLECTIVA POR METRO</t>
  </si>
  <si>
    <t>VALOR UNITARIO ESTIMADO INCLUIDO IVA</t>
  </si>
  <si>
    <t xml:space="preserve">CAMBIO BUJES SUSPENCION TRASERA </t>
  </si>
  <si>
    <t xml:space="preserve">CAMBIO FORROS DE SILLAS </t>
  </si>
  <si>
    <t>RECARGA EXTINTOR</t>
  </si>
  <si>
    <t xml:space="preserve"> CAMBIO ACEITE MOTOR </t>
  </si>
  <si>
    <r>
      <t xml:space="preserve">CAMBIO JUEGOS DE PISTONES CALIPER  </t>
    </r>
    <r>
      <rPr>
        <i/>
        <sz val="8"/>
        <color theme="1"/>
        <rFont val="Calibri"/>
        <family val="2"/>
      </rPr>
      <t>(DELANTERO O TRASERO)</t>
    </r>
  </si>
  <si>
    <r>
      <t xml:space="preserve">CAMBIO DE KIT SELLOS CALIPER </t>
    </r>
    <r>
      <rPr>
        <i/>
        <sz val="8"/>
        <color theme="1"/>
        <rFont val="Calibri"/>
        <family val="2"/>
      </rPr>
      <t>(DELANTERO O TRASERO)</t>
    </r>
  </si>
  <si>
    <r>
      <t xml:space="preserve">CAMBIO JUEGOS DE GUIAS CALIPER </t>
    </r>
    <r>
      <rPr>
        <i/>
        <sz val="8"/>
        <color theme="1"/>
        <rFont val="Calibri"/>
        <family val="2"/>
      </rPr>
      <t>(DELANTERO O TRASERO)</t>
    </r>
  </si>
  <si>
    <r>
      <t>CAMBIO AJUSTADORES PASTILLAS</t>
    </r>
    <r>
      <rPr>
        <i/>
        <sz val="8"/>
        <color theme="1"/>
        <rFont val="Calibri"/>
        <family val="2"/>
      </rPr>
      <t xml:space="preserve"> (DELANTERO O TRASERO)</t>
    </r>
  </si>
  <si>
    <r>
      <t xml:space="preserve">CAMBIO DE JUEGO DE RESORTES BANDAS </t>
    </r>
    <r>
      <rPr>
        <i/>
        <sz val="8"/>
        <color theme="1"/>
        <rFont val="Calibri"/>
        <family val="2"/>
      </rPr>
      <t>(DELANTERO O TRASERO)</t>
    </r>
  </si>
  <si>
    <r>
      <t xml:space="preserve">CAMBIO RODAJAS POR JUEGO  </t>
    </r>
    <r>
      <rPr>
        <i/>
        <sz val="8"/>
        <color theme="1"/>
        <rFont val="Calibri"/>
        <family val="2"/>
      </rPr>
      <t xml:space="preserve"> (DELANTERO O TRASERO)</t>
    </r>
  </si>
  <si>
    <r>
      <t xml:space="preserve">CAMBIO CILINDROS FRENOS POR UNIDAD </t>
    </r>
    <r>
      <rPr>
        <i/>
        <sz val="8"/>
        <color theme="1"/>
        <rFont val="Calibri"/>
        <family val="2"/>
      </rPr>
      <t>(DELANTERO O TRASERO)</t>
    </r>
  </si>
  <si>
    <r>
      <t xml:space="preserve">CAMBIO DE JUEGO DE CHUPAS DE CILINDROS </t>
    </r>
    <r>
      <rPr>
        <i/>
        <sz val="8"/>
        <color theme="1"/>
        <rFont val="Calibri"/>
        <family val="2"/>
      </rPr>
      <t>(DELANTERO O TRASERO)</t>
    </r>
  </si>
  <si>
    <t xml:space="preserve">MANO DE OBRA </t>
  </si>
  <si>
    <t xml:space="preserve">REPUESTOS </t>
  </si>
  <si>
    <t xml:space="preserve">VALOR TOTAL INCLUIDO IVA </t>
  </si>
  <si>
    <t>VALOR HISTORICO</t>
  </si>
  <si>
    <t xml:space="preserve"> COTIZACION JNR </t>
  </si>
  <si>
    <t>No 1.  PANEL RENAULT TRAFIC  ACPM</t>
  </si>
  <si>
    <t>No 5. CAMIONETA CHEVROLET D-MAX 2.500 Y 3. 000 CC</t>
  </si>
  <si>
    <t>No 6. CAMIONETA NISSAN  FRONTIER - D 22 - 2.500 Y 3.000 cc</t>
  </si>
  <si>
    <t>No 8. CAMIONETA NISSAN D-22 / NP 300 FRONTIER, GASOLINA-GAS</t>
  </si>
  <si>
    <t xml:space="preserve">No 10. CAMIONETA NISSAN FRONTIER NP 300 DIESEL </t>
  </si>
  <si>
    <t xml:space="preserve">No 17. CAMPERO RENAULT DUSTER  </t>
  </si>
  <si>
    <t xml:space="preserve"> VALOR MINIMO OFERTADO</t>
  </si>
  <si>
    <t>ALINEACIÓN, CAMBER Y BALANCEO RUEDAS DELANTERAS</t>
  </si>
  <si>
    <t xml:space="preserve">CAMBIO JUEGO DE TIJERAS INFERIOR </t>
  </si>
  <si>
    <t>CAMBIO BOCINES DELANTEROS</t>
  </si>
  <si>
    <t xml:space="preserve">ALINEACIÓN, CAMBER  Y BALANCEO </t>
  </si>
  <si>
    <t>CAMBIO JUEGO DE TIJERAS INFERIOR DELANTERAS</t>
  </si>
  <si>
    <t>serviciosintegralesjnr@gmail.com</t>
  </si>
  <si>
    <t>CAMBIO JUEGO RODAMIENTOS TASEROS Y SUS RETENES</t>
  </si>
  <si>
    <t>CAMBIO JUEGO RODAMIENTOS DELANTEROS Y SUS RETENES</t>
  </si>
  <si>
    <t xml:space="preserve">CAMBIO JUEGO DE STOP TIPO LED </t>
  </si>
  <si>
    <t xml:space="preserve"> COTIZACION SERVICARS G&amp;M</t>
  </si>
  <si>
    <t xml:space="preserve">PROPUESTA </t>
  </si>
  <si>
    <t>POCENTAJE MANO DE OBRA Y REPUESTO</t>
  </si>
  <si>
    <t>COTIZACIÓN SERVICARS GYM</t>
  </si>
  <si>
    <t xml:space="preserve">No 12. CAMIONETA TOYOTA HILUX 4X4  GASOLINA DOBLE CABINA </t>
  </si>
  <si>
    <t>No. 13 CAMIONETA TOYOTA FORTUNER SR BLINDADA GASOLINA Y ACPM</t>
  </si>
  <si>
    <t>CAMBIO CULATA COMPLETA POR UNIDAD</t>
  </si>
  <si>
    <t>CAMBIO JUEGO DE  INYECTORES (GASOLINA)</t>
  </si>
  <si>
    <t>LAVADO JUEGO DE INYECTORES (GASOLINA)</t>
  </si>
  <si>
    <t>CAMBIO BOMBA DE COMBUSTIBLE (GASOLINA)</t>
  </si>
  <si>
    <t>CAMBIO JUEGO DE  INYECTORES (A.C.P.M)</t>
  </si>
  <si>
    <t>CALIBRACIÓN JUEGO DE INYECTORES (A.C.P.M)</t>
  </si>
  <si>
    <t>REPARACION JUEGO DE INYECTORES (A.C.P.M)</t>
  </si>
  <si>
    <t>CAMBIO BOMBA INYECCION COMPLETA (A.C.P.M)</t>
  </si>
  <si>
    <t>REPARACION BOMBA INYECCION (CON TODOS SUS REPUESTOS) (A.C.P.M)</t>
  </si>
  <si>
    <t>CAMBIO VALVULA DE PRECION DE LA BOMBA DE INYECCION (A.C.P.M)</t>
  </si>
  <si>
    <t>CAMBIO RIEL COMPLETO DE INYECTORE (A.C.P.M)</t>
  </si>
  <si>
    <t>CAMBIO VALVULAS DEL RIEL DE INYECTORES (A.C.P.M)</t>
  </si>
  <si>
    <t>REPARACIÓN CAJA VELOCIDADES AUTOMATICA CON TODOS SUS REPUESTOS NESESARIOS</t>
  </si>
  <si>
    <t>CAMBIO SENSOR CAJA POR UNIDAD</t>
  </si>
  <si>
    <t xml:space="preserve">CAMBIO SATELITES, PLANETARIOS </t>
  </si>
  <si>
    <t>CAMBIO FAROLA POR UNIDAD (MODELO 2009 GASOLINA)</t>
  </si>
  <si>
    <t>CAMBIO FAROLA POR UNIDAD (MODELO 2018 ACPM)</t>
  </si>
  <si>
    <t>CAMBIO STOP POR UNIDAD (MODELO 2009 GASOLINA)</t>
  </si>
  <si>
    <t>CAMBIO STOP POR UNIDAD (MODELO 2018 ACPM)</t>
  </si>
  <si>
    <t>CAMBIO MUODUO ECU (MODELO 2018 A.C.P.M.)</t>
  </si>
  <si>
    <t>CAMBIO SENSOR MAF (MODELO 2018 A.C.P.M.)</t>
  </si>
  <si>
    <t>CAMBIO SENSOR DE POSICION CIGÜEÑAL (MODELO 2018 A.C.P.M.)</t>
  </si>
  <si>
    <t>CAMBIO SENSOR DE TEMPERATURA MOTOR (MODELO 2018 A.C.P.M.)</t>
  </si>
  <si>
    <t>CAMBIO SENSOR DE VELOCIMETRO (MODELO 2018 A.C.P.M.)</t>
  </si>
  <si>
    <t>CAMBIO SENSOR DE DETONACION (MODELO 2018 A.C.P.M.)</t>
  </si>
  <si>
    <t>CAMBIO SENSOR DE ACELERACION (MODELO 2018 A.C.P.M.)</t>
  </si>
  <si>
    <t>CAMBIO SENSOR DE OXIGENO (MODELO 2018 A.C.P.M.)</t>
  </si>
  <si>
    <t>CAMBIO SENSOR DE REVERSA (MODELO 2018 A.C.P.M.)</t>
  </si>
  <si>
    <t>CAMBIO SENSOR DE PRESION ACEITE MOTOR (MODELO 2018 A.C.P.M.)</t>
  </si>
  <si>
    <t>CAMBIO SENSOR DE LUCES FRENO LAMPARA TRASERA (MODELO 2018 A.C.P.M.)</t>
  </si>
  <si>
    <t>CAMBIO SENSOR ABS DELANTERO POR UNIDAD (MODELO 2018 A.C.P.M.)</t>
  </si>
  <si>
    <t>CAMBIO SENSOR ABS TRASERO POR UNIDAD (MODELO 2018 A.C.P.M.)</t>
  </si>
  <si>
    <t>CAMBIO ELECTROVALVULA DEL TURBO (MODELO 2018 A.C.P.M.)</t>
  </si>
  <si>
    <t>CAMBIO VALVULA EGR (MODELO 2018 A.C.P.M.)</t>
  </si>
  <si>
    <t>CAMBIO JUEGO BUJIA</t>
  </si>
  <si>
    <t>CAMBIO DE BOBINAS DE ALTA POR UNIDAD</t>
  </si>
  <si>
    <t>CAMBIO ACEITE CAJA CAMBIOS (MECANICA O AUTOMATICA)</t>
  </si>
  <si>
    <t>CAMBIO VIDRIO PARABRISAS (BLINDADO NIVEL 3)</t>
  </si>
  <si>
    <t>CAMBIO VIDRIO TRASERO CABINA (BLINDADO NIVEL 3)</t>
  </si>
  <si>
    <t>CAMBIO VIDRIO LATERAL CABINA CADA UNO (BLINDADO NIVEL 3)</t>
  </si>
  <si>
    <t>POLARIZADO DE VIDRIOS GENERAL</t>
  </si>
  <si>
    <t>CAMBIO LLANTAS REF 265/65 R-17</t>
  </si>
  <si>
    <t xml:space="preserve">No 22. CAMION Y C.A.I  HYUNDAI </t>
  </si>
  <si>
    <t xml:space="preserve">CAMBIO TANQUE COMBUSTIBLE </t>
  </si>
  <si>
    <t>LAVADO DE TANQUE DE COMBUSTIBLE</t>
  </si>
  <si>
    <t xml:space="preserve">CAMBIO JUEGO STOP TIPO LED </t>
  </si>
  <si>
    <t>CAMBIO DIRECCIONALES LATERAL POR UNIDAD</t>
  </si>
  <si>
    <t xml:space="preserve">CAMBIO DE SENSOR DE TEMPERATURA  </t>
  </si>
  <si>
    <t xml:space="preserve">CAMBIO DE SENSOR DE POSICION CIGÜEÑAL </t>
  </si>
  <si>
    <t xml:space="preserve">CAMBIO SENSOR DE VELOCIDAD </t>
  </si>
  <si>
    <t xml:space="preserve">CAMBIO SENSOR DE POSICION DEL ACELERADOR </t>
  </si>
  <si>
    <t>CAMBIO FILTRO DE COMBUSTIBLE</t>
  </si>
  <si>
    <t>CAMBIO VIDRIO PARABRISAS (CAMION )</t>
  </si>
  <si>
    <t>CAMBIO VIDRIO TRASERO CABINA CAMION</t>
  </si>
  <si>
    <t>CAMBIO BOMPER DELANTERO (CAMION)</t>
  </si>
  <si>
    <t>CAMBIO BOMPER DELANTERO (BUSETA CAI)</t>
  </si>
  <si>
    <t>LAMINA Y PINTURA POR PIEZA (CAMION )</t>
  </si>
  <si>
    <t>LAMINA Y PINTURA  GERENAL (CAMION )</t>
  </si>
  <si>
    <t>LAMINA Y PINTURA POR PIEZA (BUSETA CAI)</t>
  </si>
  <si>
    <t>LAMINA Y PINTURA  GERENAL (BUSETA CAI)</t>
  </si>
  <si>
    <t>POLARIZADO DE VIDRIOS GENERAL (BUSETA CAI)</t>
  </si>
  <si>
    <t>CAMBIO PISO CARROCERIA EN LAMINA (CAMION )</t>
  </si>
  <si>
    <t xml:space="preserve">ELABORACION EMBLEMAS Y SIMBOLOGIA </t>
  </si>
  <si>
    <t>CAMBIO COMPRESOR  AIRE CONDICIONADO</t>
  </si>
  <si>
    <t xml:space="preserve"> No 30. AUTOMOVIL  CHEVROLET AVEO</t>
  </si>
  <si>
    <t xml:space="preserve">ALINEACIÓN, CAMBER Y BALANCEO </t>
  </si>
  <si>
    <t>CAMBIO LLANTAS REF 185/60 R-14</t>
  </si>
  <si>
    <t>No 33. AUTOMOVIL HYUNDAI ACCENT</t>
  </si>
  <si>
    <t xml:space="preserve">No 31.  AUTOMOVIL  CHEVROLET  SAIL </t>
  </si>
  <si>
    <t>CAMBIO LLANTAS REF 185/60 R-15</t>
  </si>
  <si>
    <t xml:space="preserve"> No 34. AUTOMOVIL RENAULT LOGAN</t>
  </si>
  <si>
    <t>CAMBIO CAJA DE CAMBIO COMPLETA CON ACEITE</t>
  </si>
  <si>
    <t xml:space="preserve">CAMBIO SENSOR DE ACELERACION  </t>
  </si>
  <si>
    <t>CAMBIO LLANTAS REF 185/65 R-15</t>
  </si>
  <si>
    <t>COTIZACIÓN BYZA</t>
  </si>
  <si>
    <t xml:space="preserve"> COTIZACION BYZA</t>
  </si>
  <si>
    <t xml:space="preserve"> COTIZACION BYZA </t>
  </si>
  <si>
    <t>COTIZACION BYZA</t>
  </si>
  <si>
    <t xml:space="preserve">MANO DE OBRA DESCUENTO DEL 7% </t>
  </si>
  <si>
    <t>REPUESTOS  DESCUENTO DEL 7 %</t>
  </si>
  <si>
    <t>VALOR OFRECIDO  CBM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</si>
</sst>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&quot;$&quot;#,##0.00"/>
    <numFmt numFmtId="169" formatCode="_-&quot;$&quot;* #,##0.00_-;\-&quot;$&quot;* #,##0.00_-;_-&quot;$&quot;* &quot;-&quot;_-;_-@_-"/>
    <numFmt numFmtId="171" formatCode="_(&quot;$&quot;\ * #,##0.00_);_(&quot;$&quot;\ * \(#,##0.00\);_(&quot;$&quot;\ * &quot;-&quot;_);_(@_)"/>
    <numFmt numFmtId="172" formatCode="_(* #,##0_);_(* \(#,##0\);_(* &quot;-&quot;??_);_(@_)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9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</font>
    <font>
      <sz val="8"/>
      <color theme="1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sz val="8"/>
      <color rgb="FF000000"/>
      <name val="Calibri"/>
      <family val="2"/>
    </font>
    <font>
      <sz val="8"/>
      <color indexed="8"/>
      <name val="Calibri"/>
      <family val="2"/>
    </font>
    <font>
      <i/>
      <sz val="8"/>
      <color theme="1"/>
      <name val="Calibri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9"/>
      <color rgb="FF000000"/>
      <name val="Calibri"/>
      <family val="2"/>
    </font>
    <font>
      <b/>
      <sz val="9"/>
      <color theme="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8" tint="0.39997558519241921"/>
        <bgColor rgb="FF000000"/>
      </patternFill>
    </fill>
    <fill>
      <patternFill patternType="solid">
        <fgColor theme="7" tint="0.59999389629810485"/>
        <bgColor rgb="FF000000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6">
    <xf numFmtId="0" fontId="0" fillId="0" borderId="0"/>
    <xf numFmtId="0" fontId="2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7" fillId="0" borderId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8" fillId="0" borderId="0" applyNumberFormat="0" applyFill="0" applyBorder="0" applyAlignment="0" applyProtection="0"/>
  </cellStyleXfs>
  <cellXfs count="302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1" fontId="6" fillId="0" borderId="1" xfId="0" applyNumberFormat="1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3" fontId="5" fillId="0" borderId="1" xfId="0" applyNumberFormat="1" applyFont="1" applyFill="1" applyBorder="1" applyAlignment="1">
      <alignment horizontal="justify" vertical="center"/>
    </xf>
    <xf numFmtId="168" fontId="9" fillId="0" borderId="0" xfId="0" applyNumberFormat="1" applyFont="1" applyFill="1" applyBorder="1" applyAlignment="1">
      <alignment vertical="center"/>
    </xf>
    <xf numFmtId="168" fontId="4" fillId="0" borderId="1" xfId="2" applyNumberFormat="1" applyFont="1" applyFill="1" applyBorder="1" applyAlignment="1">
      <alignment horizontal="justify" vertical="center"/>
    </xf>
    <xf numFmtId="168" fontId="9" fillId="0" borderId="1" xfId="0" applyNumberFormat="1" applyFont="1" applyFill="1" applyBorder="1" applyAlignment="1">
      <alignment vertical="center"/>
    </xf>
    <xf numFmtId="166" fontId="11" fillId="0" borderId="0" xfId="3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center" vertical="center" wrapText="1"/>
    </xf>
    <xf numFmtId="166" fontId="11" fillId="0" borderId="1" xfId="3" applyFont="1" applyFill="1" applyBorder="1" applyAlignment="1">
      <alignment vertical="center"/>
    </xf>
    <xf numFmtId="0" fontId="11" fillId="0" borderId="1" xfId="0" applyFont="1" applyFill="1" applyBorder="1" applyAlignment="1">
      <alignment vertical="center"/>
    </xf>
    <xf numFmtId="1" fontId="14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vertical="center"/>
    </xf>
    <xf numFmtId="0" fontId="12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 wrapText="1"/>
    </xf>
    <xf numFmtId="3" fontId="11" fillId="0" borderId="1" xfId="0" applyNumberFormat="1" applyFont="1" applyFill="1" applyBorder="1" applyAlignment="1">
      <alignment horizontal="center" vertical="center"/>
    </xf>
    <xf numFmtId="166" fontId="11" fillId="0" borderId="0" xfId="0" applyNumberFormat="1" applyFont="1" applyFill="1" applyBorder="1" applyAlignment="1">
      <alignment vertical="center"/>
    </xf>
    <xf numFmtId="0" fontId="10" fillId="0" borderId="2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top" wrapText="1"/>
    </xf>
    <xf numFmtId="0" fontId="11" fillId="0" borderId="1" xfId="0" applyFont="1" applyFill="1" applyBorder="1"/>
    <xf numFmtId="0" fontId="14" fillId="0" borderId="1" xfId="0" applyFont="1" applyFill="1" applyBorder="1" applyAlignment="1">
      <alignment horizontal="left" vertical="top"/>
    </xf>
    <xf numFmtId="1" fontId="14" fillId="0" borderId="1" xfId="0" applyNumberFormat="1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left" vertical="top" wrapText="1"/>
    </xf>
    <xf numFmtId="0" fontId="11" fillId="0" borderId="1" xfId="0" applyFont="1" applyFill="1" applyBorder="1" applyAlignment="1">
      <alignment vertical="top" wrapText="1"/>
    </xf>
    <xf numFmtId="0" fontId="11" fillId="0" borderId="1" xfId="0" applyFont="1" applyFill="1" applyBorder="1" applyAlignment="1"/>
    <xf numFmtId="0" fontId="11" fillId="0" borderId="1" xfId="0" applyFont="1" applyFill="1" applyBorder="1" applyAlignment="1">
      <alignment horizontal="left"/>
    </xf>
    <xf numFmtId="0" fontId="11" fillId="0" borderId="1" xfId="0" applyFont="1" applyFill="1" applyBorder="1" applyAlignment="1">
      <alignment horizontal="justify" vertical="justify"/>
    </xf>
    <xf numFmtId="0" fontId="11" fillId="2" borderId="1" xfId="0" applyFont="1" applyFill="1" applyBorder="1" applyAlignment="1">
      <alignment horizontal="left" vertical="top" wrapText="1"/>
    </xf>
    <xf numFmtId="3" fontId="11" fillId="0" borderId="1" xfId="0" applyNumberFormat="1" applyFont="1" applyFill="1" applyBorder="1" applyAlignment="1">
      <alignment horizontal="center" vertical="top"/>
    </xf>
    <xf numFmtId="3" fontId="11" fillId="0" borderId="1" xfId="0" applyNumberFormat="1" applyFont="1" applyFill="1" applyBorder="1" applyAlignment="1">
      <alignment horizontal="left" vertical="top"/>
    </xf>
    <xf numFmtId="0" fontId="11" fillId="2" borderId="1" xfId="0" applyFont="1" applyFill="1" applyBorder="1"/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left" vertical="top"/>
    </xf>
    <xf numFmtId="0" fontId="11" fillId="0" borderId="0" xfId="0" applyFont="1" applyFill="1" applyBorder="1"/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3" fontId="11" fillId="0" borderId="0" xfId="0" applyNumberFormat="1" applyFont="1" applyFill="1" applyBorder="1" applyAlignment="1">
      <alignment horizontal="center" vertical="top"/>
    </xf>
    <xf numFmtId="0" fontId="10" fillId="0" borderId="2" xfId="0" applyNumberFormat="1" applyFont="1" applyFill="1" applyBorder="1" applyAlignment="1">
      <alignment horizontal="center" vertical="center" wrapText="1"/>
    </xf>
    <xf numFmtId="166" fontId="11" fillId="0" borderId="1" xfId="0" applyNumberFormat="1" applyFont="1" applyFill="1" applyBorder="1" applyAlignment="1">
      <alignment vertical="center"/>
    </xf>
    <xf numFmtId="166" fontId="11" fillId="0" borderId="0" xfId="0" applyNumberFormat="1" applyFont="1" applyFill="1" applyAlignment="1">
      <alignment vertical="center"/>
    </xf>
    <xf numFmtId="44" fontId="11" fillId="0" borderId="0" xfId="0" applyNumberFormat="1" applyFont="1" applyFill="1" applyBorder="1" applyAlignment="1">
      <alignment vertical="center"/>
    </xf>
    <xf numFmtId="1" fontId="14" fillId="5" borderId="1" xfId="0" applyNumberFormat="1" applyFont="1" applyFill="1" applyBorder="1" applyAlignment="1">
      <alignment horizontal="center" vertical="top" wrapText="1"/>
    </xf>
    <xf numFmtId="0" fontId="11" fillId="5" borderId="1" xfId="0" applyFont="1" applyFill="1" applyBorder="1" applyAlignment="1">
      <alignment horizontal="left" vertical="top" wrapText="1"/>
    </xf>
    <xf numFmtId="0" fontId="11" fillId="5" borderId="2" xfId="0" applyFont="1" applyFill="1" applyBorder="1" applyAlignment="1">
      <alignment horizontal="center" vertical="center" wrapText="1"/>
    </xf>
    <xf numFmtId="166" fontId="11" fillId="0" borderId="1" xfId="0" applyNumberFormat="1" applyFont="1" applyFill="1" applyBorder="1" applyAlignment="1">
      <alignment vertical="center" wrapText="1"/>
    </xf>
    <xf numFmtId="166" fontId="11" fillId="4" borderId="1" xfId="0" applyNumberFormat="1" applyFont="1" applyFill="1" applyBorder="1" applyAlignment="1">
      <alignment vertical="center"/>
    </xf>
    <xf numFmtId="166" fontId="11" fillId="0" borderId="0" xfId="3" applyFont="1" applyAlignment="1">
      <alignment vertical="center"/>
    </xf>
    <xf numFmtId="0" fontId="11" fillId="0" borderId="0" xfId="0" applyFont="1" applyAlignment="1">
      <alignment vertical="center"/>
    </xf>
    <xf numFmtId="166" fontId="11" fillId="0" borderId="0" xfId="0" applyNumberFormat="1" applyFont="1" applyAlignment="1">
      <alignment vertical="center"/>
    </xf>
    <xf numFmtId="0" fontId="11" fillId="0" borderId="0" xfId="0" applyFont="1" applyFill="1" applyAlignment="1">
      <alignment vertical="center"/>
    </xf>
    <xf numFmtId="0" fontId="14" fillId="0" borderId="1" xfId="0" applyFont="1" applyFill="1" applyBorder="1" applyAlignment="1">
      <alignment horizontal="center" vertical="center"/>
    </xf>
    <xf numFmtId="166" fontId="11" fillId="0" borderId="0" xfId="3" applyFont="1" applyFill="1" applyAlignment="1">
      <alignment vertical="center"/>
    </xf>
    <xf numFmtId="0" fontId="14" fillId="0" borderId="0" xfId="0" applyFont="1" applyFill="1" applyBorder="1" applyAlignment="1">
      <alignment horizontal="center" vertical="top"/>
    </xf>
    <xf numFmtId="166" fontId="11" fillId="0" borderId="0" xfId="3" applyFont="1" applyFill="1" applyBorder="1" applyAlignment="1"/>
    <xf numFmtId="0" fontId="11" fillId="0" borderId="0" xfId="0" applyFont="1" applyFill="1" applyBorder="1" applyAlignment="1"/>
    <xf numFmtId="166" fontId="11" fillId="0" borderId="0" xfId="0" applyNumberFormat="1" applyFont="1" applyFill="1" applyBorder="1" applyAlignment="1"/>
    <xf numFmtId="3" fontId="14" fillId="0" borderId="0" xfId="0" applyNumberFormat="1" applyFont="1" applyFill="1" applyBorder="1" applyAlignment="1">
      <alignment horizontal="center" vertical="center"/>
    </xf>
    <xf numFmtId="3" fontId="14" fillId="0" borderId="0" xfId="0" applyNumberFormat="1" applyFont="1" applyFill="1" applyBorder="1" applyAlignment="1">
      <alignment horizontal="center" vertical="top"/>
    </xf>
    <xf numFmtId="0" fontId="18" fillId="0" borderId="0" xfId="85" applyFill="1" applyBorder="1" applyAlignment="1">
      <alignment vertical="center"/>
    </xf>
    <xf numFmtId="168" fontId="10" fillId="4" borderId="1" xfId="2" applyNumberFormat="1" applyFont="1" applyFill="1" applyBorder="1" applyAlignment="1">
      <alignment horizontal="justify" vertical="center"/>
    </xf>
    <xf numFmtId="169" fontId="11" fillId="4" borderId="1" xfId="0" applyNumberFormat="1" applyFont="1" applyFill="1" applyBorder="1" applyAlignment="1">
      <alignment vertical="center"/>
    </xf>
    <xf numFmtId="166" fontId="10" fillId="6" borderId="1" xfId="81" applyNumberFormat="1" applyFont="1" applyFill="1" applyBorder="1" applyAlignment="1">
      <alignment horizontal="justify" vertical="center"/>
    </xf>
    <xf numFmtId="166" fontId="10" fillId="6" borderId="1" xfId="81" applyNumberFormat="1" applyFont="1" applyFill="1" applyBorder="1" applyAlignment="1">
      <alignment horizontal="left" vertical="center" wrapText="1"/>
    </xf>
    <xf numFmtId="166" fontId="11" fillId="6" borderId="1" xfId="81" applyNumberFormat="1" applyFont="1" applyFill="1" applyBorder="1" applyAlignment="1">
      <alignment vertical="center"/>
    </xf>
    <xf numFmtId="166" fontId="11" fillId="6" borderId="1" xfId="0" applyNumberFormat="1" applyFont="1" applyFill="1" applyBorder="1" applyAlignment="1">
      <alignment vertical="center"/>
    </xf>
    <xf numFmtId="166" fontId="11" fillId="6" borderId="2" xfId="0" applyNumberFormat="1" applyFont="1" applyFill="1" applyBorder="1" applyAlignment="1">
      <alignment horizontal="center" vertical="center" wrapText="1"/>
    </xf>
    <xf numFmtId="166" fontId="11" fillId="6" borderId="1" xfId="84" applyNumberFormat="1" applyFont="1" applyFill="1" applyBorder="1" applyAlignment="1">
      <alignment vertical="center"/>
    </xf>
    <xf numFmtId="166" fontId="11" fillId="6" borderId="2" xfId="0" applyNumberFormat="1" applyFont="1" applyFill="1" applyBorder="1" applyAlignment="1">
      <alignment horizontal="center" vertical="top" wrapText="1"/>
    </xf>
    <xf numFmtId="166" fontId="11" fillId="6" borderId="1" xfId="7" applyNumberFormat="1" applyFont="1" applyFill="1" applyBorder="1" applyAlignment="1">
      <alignment vertical="center"/>
    </xf>
    <xf numFmtId="166" fontId="10" fillId="4" borderId="1" xfId="81" applyNumberFormat="1" applyFont="1" applyFill="1" applyBorder="1" applyAlignment="1">
      <alignment horizontal="justify" vertical="center"/>
    </xf>
    <xf numFmtId="166" fontId="10" fillId="4" borderId="1" xfId="81" applyNumberFormat="1" applyFont="1" applyFill="1" applyBorder="1" applyAlignment="1">
      <alignment horizontal="left" vertical="center" wrapText="1"/>
    </xf>
    <xf numFmtId="166" fontId="11" fillId="4" borderId="1" xfId="0" applyNumberFormat="1" applyFont="1" applyFill="1" applyBorder="1" applyAlignment="1">
      <alignment vertical="center" wrapText="1"/>
    </xf>
    <xf numFmtId="3" fontId="11" fillId="0" borderId="3" xfId="0" applyNumberFormat="1" applyFont="1" applyFill="1" applyBorder="1" applyAlignment="1">
      <alignment horizontal="center" vertical="top"/>
    </xf>
    <xf numFmtId="0" fontId="11" fillId="0" borderId="3" xfId="0" applyFont="1" applyFill="1" applyBorder="1"/>
    <xf numFmtId="0" fontId="11" fillId="0" borderId="4" xfId="0" applyFont="1" applyFill="1" applyBorder="1" applyAlignment="1">
      <alignment horizontal="center" vertical="center" wrapText="1"/>
    </xf>
    <xf numFmtId="169" fontId="11" fillId="4" borderId="3" xfId="0" applyNumberFormat="1" applyFont="1" applyFill="1" applyBorder="1" applyAlignment="1">
      <alignment vertical="center"/>
    </xf>
    <xf numFmtId="166" fontId="11" fillId="6" borderId="3" xfId="81" applyNumberFormat="1" applyFont="1" applyFill="1" applyBorder="1" applyAlignment="1">
      <alignment vertical="center"/>
    </xf>
    <xf numFmtId="166" fontId="11" fillId="6" borderId="3" xfId="0" applyNumberFormat="1" applyFont="1" applyFill="1" applyBorder="1" applyAlignment="1">
      <alignment vertical="center"/>
    </xf>
    <xf numFmtId="166" fontId="10" fillId="2" borderId="1" xfId="3" applyNumberFormat="1" applyFont="1" applyFill="1" applyBorder="1" applyAlignment="1">
      <alignment vertical="center"/>
    </xf>
    <xf numFmtId="166" fontId="10" fillId="0" borderId="1" xfId="0" applyNumberFormat="1" applyFont="1" applyFill="1" applyBorder="1" applyAlignment="1">
      <alignment vertical="center"/>
    </xf>
    <xf numFmtId="10" fontId="11" fillId="2" borderId="1" xfId="0" applyNumberFormat="1" applyFont="1" applyFill="1" applyBorder="1" applyAlignment="1">
      <alignment vertical="center"/>
    </xf>
    <xf numFmtId="10" fontId="11" fillId="0" borderId="1" xfId="0" applyNumberFormat="1" applyFont="1" applyFill="1" applyBorder="1" applyAlignment="1">
      <alignment vertical="center"/>
    </xf>
    <xf numFmtId="168" fontId="10" fillId="4" borderId="1" xfId="2" applyNumberFormat="1" applyFont="1" applyFill="1" applyBorder="1" applyAlignment="1">
      <alignment horizontal="center" vertical="center" wrapText="1"/>
    </xf>
    <xf numFmtId="166" fontId="11" fillId="4" borderId="1" xfId="3" applyFont="1" applyFill="1" applyBorder="1" applyAlignment="1">
      <alignment vertical="center"/>
    </xf>
    <xf numFmtId="166" fontId="11" fillId="6" borderId="1" xfId="4" applyNumberFormat="1" applyFont="1" applyFill="1" applyBorder="1" applyAlignment="1">
      <alignment vertical="center"/>
    </xf>
    <xf numFmtId="10" fontId="11" fillId="0" borderId="1" xfId="3" applyNumberFormat="1" applyFont="1" applyFill="1" applyBorder="1" applyAlignment="1">
      <alignment vertical="center"/>
    </xf>
    <xf numFmtId="166" fontId="11" fillId="6" borderId="1" xfId="4" applyNumberFormat="1" applyFont="1" applyFill="1" applyBorder="1" applyAlignment="1">
      <alignment horizontal="center" vertical="center" wrapText="1"/>
    </xf>
    <xf numFmtId="166" fontId="10" fillId="7" borderId="1" xfId="81" applyNumberFormat="1" applyFont="1" applyFill="1" applyBorder="1" applyAlignment="1">
      <alignment horizontal="center" vertical="center"/>
    </xf>
    <xf numFmtId="166" fontId="10" fillId="7" borderId="1" xfId="81" applyNumberFormat="1" applyFont="1" applyFill="1" applyBorder="1" applyAlignment="1">
      <alignment horizontal="center" vertical="center" wrapText="1"/>
    </xf>
    <xf numFmtId="166" fontId="11" fillId="7" borderId="1" xfId="0" applyNumberFormat="1" applyFont="1" applyFill="1" applyBorder="1" applyAlignment="1">
      <alignment vertical="center"/>
    </xf>
    <xf numFmtId="166" fontId="11" fillId="4" borderId="3" xfId="3" applyFont="1" applyFill="1" applyBorder="1" applyAlignment="1">
      <alignment vertical="center"/>
    </xf>
    <xf numFmtId="166" fontId="11" fillId="6" borderId="3" xfId="4" applyNumberFormat="1" applyFont="1" applyFill="1" applyBorder="1" applyAlignment="1">
      <alignment horizontal="center" vertical="center" wrapText="1"/>
    </xf>
    <xf numFmtId="166" fontId="10" fillId="0" borderId="1" xfId="3" applyFont="1" applyFill="1" applyBorder="1" applyAlignment="1">
      <alignment vertical="center"/>
    </xf>
    <xf numFmtId="10" fontId="10" fillId="0" borderId="1" xfId="3" applyNumberFormat="1" applyFont="1" applyFill="1" applyBorder="1" applyAlignment="1">
      <alignment vertical="center"/>
    </xf>
    <xf numFmtId="10" fontId="10" fillId="0" borderId="1" xfId="0" applyNumberFormat="1" applyFont="1" applyFill="1" applyBorder="1" applyAlignment="1">
      <alignment vertical="center"/>
    </xf>
    <xf numFmtId="166" fontId="11" fillId="7" borderId="3" xfId="0" applyNumberFormat="1" applyFont="1" applyFill="1" applyBorder="1" applyAlignment="1">
      <alignment vertical="center"/>
    </xf>
    <xf numFmtId="0" fontId="14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166" fontId="10" fillId="0" borderId="1" xfId="3" applyFont="1" applyBorder="1" applyAlignment="1">
      <alignment vertical="center"/>
    </xf>
    <xf numFmtId="166" fontId="10" fillId="0" borderId="1" xfId="0" applyNumberFormat="1" applyFont="1" applyBorder="1" applyAlignment="1">
      <alignment vertical="center"/>
    </xf>
    <xf numFmtId="166" fontId="10" fillId="0" borderId="1" xfId="0" applyNumberFormat="1" applyFont="1" applyFill="1" applyBorder="1" applyAlignment="1">
      <alignment vertical="center" wrapText="1"/>
    </xf>
    <xf numFmtId="10" fontId="10" fillId="0" borderId="1" xfId="3" applyNumberFormat="1" applyFont="1" applyBorder="1" applyAlignment="1">
      <alignment vertical="center"/>
    </xf>
    <xf numFmtId="10" fontId="10" fillId="0" borderId="1" xfId="0" applyNumberFormat="1" applyFont="1" applyBorder="1" applyAlignment="1">
      <alignment vertical="center"/>
    </xf>
    <xf numFmtId="166" fontId="11" fillId="6" borderId="1" xfId="4" applyNumberFormat="1" applyFont="1" applyFill="1" applyBorder="1" applyAlignment="1">
      <alignment vertical="center" wrapText="1"/>
    </xf>
    <xf numFmtId="166" fontId="11" fillId="6" borderId="3" xfId="4" applyNumberFormat="1" applyFont="1" applyFill="1" applyBorder="1" applyAlignment="1">
      <alignment vertical="center" wrapText="1"/>
    </xf>
    <xf numFmtId="166" fontId="11" fillId="4" borderId="1" xfId="3" applyFont="1" applyFill="1" applyBorder="1" applyAlignment="1"/>
    <xf numFmtId="165" fontId="11" fillId="4" borderId="1" xfId="26" applyFont="1" applyFill="1" applyBorder="1" applyAlignment="1">
      <alignment vertical="center"/>
    </xf>
    <xf numFmtId="166" fontId="11" fillId="5" borderId="1" xfId="4" applyNumberFormat="1" applyFont="1" applyFill="1" applyBorder="1" applyAlignment="1">
      <alignment vertical="center"/>
    </xf>
    <xf numFmtId="166" fontId="11" fillId="5" borderId="1" xfId="0" applyNumberFormat="1" applyFont="1" applyFill="1" applyBorder="1" applyAlignment="1">
      <alignment vertical="center"/>
    </xf>
    <xf numFmtId="166" fontId="10" fillId="5" borderId="1" xfId="0" applyNumberFormat="1" applyFont="1" applyFill="1" applyBorder="1" applyAlignment="1">
      <alignment vertical="center"/>
    </xf>
    <xf numFmtId="166" fontId="11" fillId="2" borderId="0" xfId="0" applyNumberFormat="1" applyFont="1" applyFill="1" applyBorder="1" applyAlignment="1">
      <alignment vertical="center"/>
    </xf>
    <xf numFmtId="166" fontId="10" fillId="4" borderId="5" xfId="81" applyNumberFormat="1" applyFont="1" applyFill="1" applyBorder="1" applyAlignment="1">
      <alignment horizontal="justify" vertical="center"/>
    </xf>
    <xf numFmtId="166" fontId="11" fillId="4" borderId="5" xfId="0" applyNumberFormat="1" applyFont="1" applyFill="1" applyBorder="1" applyAlignment="1">
      <alignment vertical="center" wrapText="1"/>
    </xf>
    <xf numFmtId="171" fontId="5" fillId="7" borderId="1" xfId="4" applyNumberFormat="1" applyFont="1" applyFill="1" applyBorder="1" applyAlignment="1">
      <alignment vertical="center"/>
    </xf>
    <xf numFmtId="171" fontId="9" fillId="7" borderId="1" xfId="0" applyNumberFormat="1" applyFont="1" applyFill="1" applyBorder="1" applyAlignment="1">
      <alignment vertical="center"/>
    </xf>
    <xf numFmtId="171" fontId="5" fillId="7" borderId="2" xfId="0" applyNumberFormat="1" applyFont="1" applyFill="1" applyBorder="1" applyAlignment="1">
      <alignment horizontal="center" vertical="top" wrapText="1"/>
    </xf>
    <xf numFmtId="171" fontId="9" fillId="7" borderId="1" xfId="4" applyNumberFormat="1" applyFont="1" applyFill="1" applyBorder="1" applyAlignment="1">
      <alignment vertical="center"/>
    </xf>
    <xf numFmtId="171" fontId="9" fillId="7" borderId="1" xfId="4" applyNumberFormat="1" applyFont="1" applyFill="1" applyBorder="1" applyAlignment="1">
      <alignment horizontal="center" vertical="center" wrapText="1"/>
    </xf>
    <xf numFmtId="4" fontId="6" fillId="7" borderId="1" xfId="0" applyNumberFormat="1" applyFont="1" applyFill="1" applyBorder="1" applyAlignment="1">
      <alignment vertical="center"/>
    </xf>
    <xf numFmtId="166" fontId="10" fillId="7" borderId="1" xfId="0" applyNumberFormat="1" applyFont="1" applyFill="1" applyBorder="1" applyAlignment="1">
      <alignment vertical="center"/>
    </xf>
    <xf numFmtId="171" fontId="9" fillId="7" borderId="1" xfId="4" applyNumberFormat="1" applyFont="1" applyFill="1" applyBorder="1" applyAlignment="1">
      <alignment horizontal="left" vertical="center"/>
    </xf>
    <xf numFmtId="166" fontId="11" fillId="7" borderId="0" xfId="0" applyNumberFormat="1" applyFont="1" applyFill="1" applyBorder="1" applyAlignment="1"/>
    <xf numFmtId="166" fontId="11" fillId="0" borderId="0" xfId="81" applyNumberFormat="1" applyFont="1" applyFill="1" applyBorder="1" applyAlignment="1">
      <alignment vertical="center"/>
    </xf>
    <xf numFmtId="0" fontId="13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left" vertical="top"/>
    </xf>
    <xf numFmtId="1" fontId="14" fillId="2" borderId="1" xfId="0" applyNumberFormat="1" applyFont="1" applyFill="1" applyBorder="1" applyAlignment="1">
      <alignment horizontal="center" vertical="top" wrapText="1"/>
    </xf>
    <xf numFmtId="0" fontId="10" fillId="2" borderId="1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vertical="center"/>
    </xf>
    <xf numFmtId="0" fontId="13" fillId="2" borderId="1" xfId="0" applyFont="1" applyFill="1" applyBorder="1" applyAlignment="1">
      <alignment horizontal="left" vertical="top" wrapText="1"/>
    </xf>
    <xf numFmtId="0" fontId="11" fillId="2" borderId="1" xfId="0" applyFont="1" applyFill="1" applyBorder="1" applyAlignment="1">
      <alignment vertical="center" wrapText="1"/>
    </xf>
    <xf numFmtId="0" fontId="15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left"/>
    </xf>
    <xf numFmtId="0" fontId="12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vertical="center"/>
    </xf>
    <xf numFmtId="0" fontId="12" fillId="2" borderId="1" xfId="0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14" fillId="2" borderId="1" xfId="0" applyFont="1" applyFill="1" applyBorder="1" applyAlignment="1">
      <alignment horizontal="left" vertical="center" wrapText="1"/>
    </xf>
    <xf numFmtId="3" fontId="11" fillId="2" borderId="1" xfId="0" applyNumberFormat="1" applyFont="1" applyFill="1" applyBorder="1" applyAlignment="1">
      <alignment horizontal="center" vertical="top"/>
    </xf>
    <xf numFmtId="3" fontId="11" fillId="2" borderId="1" xfId="0" applyNumberFormat="1" applyFont="1" applyFill="1" applyBorder="1" applyAlignment="1">
      <alignment horizontal="left" vertical="top"/>
    </xf>
    <xf numFmtId="166" fontId="21" fillId="2" borderId="1" xfId="81" applyNumberFormat="1" applyFont="1" applyFill="1" applyBorder="1" applyAlignment="1">
      <alignment horizontal="center" vertical="center" wrapText="1"/>
    </xf>
    <xf numFmtId="166" fontId="20" fillId="6" borderId="1" xfId="81" applyNumberFormat="1" applyFont="1" applyFill="1" applyBorder="1" applyAlignment="1">
      <alignment horizontal="left" vertical="center"/>
    </xf>
    <xf numFmtId="166" fontId="20" fillId="6" borderId="1" xfId="81" applyNumberFormat="1" applyFont="1" applyFill="1" applyBorder="1" applyAlignment="1">
      <alignment horizontal="left" vertical="center" wrapText="1"/>
    </xf>
    <xf numFmtId="164" fontId="21" fillId="6" borderId="1" xfId="4" applyFont="1" applyFill="1" applyBorder="1" applyAlignment="1">
      <alignment vertical="center"/>
    </xf>
    <xf numFmtId="166" fontId="21" fillId="6" borderId="2" xfId="81" applyNumberFormat="1" applyFont="1" applyFill="1" applyBorder="1" applyAlignment="1">
      <alignment vertical="center"/>
    </xf>
    <xf numFmtId="166" fontId="20" fillId="8" borderId="1" xfId="81" applyNumberFormat="1" applyFont="1" applyFill="1" applyBorder="1" applyAlignment="1">
      <alignment horizontal="left" vertical="center" wrapText="1"/>
    </xf>
    <xf numFmtId="165" fontId="1" fillId="7" borderId="1" xfId="26" applyFont="1" applyFill="1" applyBorder="1" applyAlignment="1">
      <alignment vertical="center"/>
    </xf>
    <xf numFmtId="165" fontId="1" fillId="7" borderId="1" xfId="0" applyNumberFormat="1" applyFont="1" applyFill="1" applyBorder="1"/>
    <xf numFmtId="166" fontId="10" fillId="7" borderId="1" xfId="81" applyNumberFormat="1" applyFont="1" applyFill="1" applyBorder="1" applyAlignment="1">
      <alignment horizontal="justify" vertical="center"/>
    </xf>
    <xf numFmtId="166" fontId="10" fillId="7" borderId="1" xfId="81" applyNumberFormat="1" applyFont="1" applyFill="1" applyBorder="1" applyAlignment="1">
      <alignment horizontal="left" vertical="center" wrapText="1"/>
    </xf>
    <xf numFmtId="166" fontId="11" fillId="7" borderId="1" xfId="81" applyNumberFormat="1" applyFont="1" applyFill="1" applyBorder="1" applyAlignment="1">
      <alignment vertical="center"/>
    </xf>
    <xf numFmtId="166" fontId="11" fillId="7" borderId="2" xfId="0" applyNumberFormat="1" applyFont="1" applyFill="1" applyBorder="1" applyAlignment="1">
      <alignment horizontal="center" vertical="center" wrapText="1"/>
    </xf>
    <xf numFmtId="166" fontId="11" fillId="7" borderId="1" xfId="84" applyFont="1" applyFill="1" applyBorder="1" applyAlignment="1">
      <alignment vertical="center"/>
    </xf>
    <xf numFmtId="166" fontId="11" fillId="7" borderId="2" xfId="0" applyNumberFormat="1" applyFont="1" applyFill="1" applyBorder="1" applyAlignment="1">
      <alignment horizontal="center" vertical="top" wrapText="1"/>
    </xf>
    <xf numFmtId="166" fontId="11" fillId="7" borderId="1" xfId="7" applyNumberFormat="1" applyFont="1" applyFill="1" applyBorder="1" applyAlignment="1">
      <alignment vertical="center"/>
    </xf>
    <xf numFmtId="166" fontId="11" fillId="7" borderId="3" xfId="81" applyNumberFormat="1" applyFont="1" applyFill="1" applyBorder="1" applyAlignment="1">
      <alignment vertical="center"/>
    </xf>
    <xf numFmtId="166" fontId="5" fillId="7" borderId="1" xfId="4" applyNumberFormat="1" applyFont="1" applyFill="1" applyBorder="1" applyAlignment="1">
      <alignment vertical="center"/>
    </xf>
    <xf numFmtId="166" fontId="9" fillId="7" borderId="1" xfId="0" applyNumberFormat="1" applyFont="1" applyFill="1" applyBorder="1" applyAlignment="1">
      <alignment vertical="center"/>
    </xf>
    <xf numFmtId="166" fontId="5" fillId="7" borderId="1" xfId="0" applyNumberFormat="1" applyFont="1" applyFill="1" applyBorder="1" applyAlignment="1">
      <alignment horizontal="center" vertical="top" wrapText="1"/>
    </xf>
    <xf numFmtId="166" fontId="9" fillId="7" borderId="1" xfId="4" applyNumberFormat="1" applyFont="1" applyFill="1" applyBorder="1" applyAlignment="1">
      <alignment vertical="center"/>
    </xf>
    <xf numFmtId="166" fontId="9" fillId="7" borderId="1" xfId="4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vertical="top" wrapText="1"/>
    </xf>
    <xf numFmtId="0" fontId="11" fillId="2" borderId="1" xfId="0" applyFont="1" applyFill="1" applyBorder="1" applyAlignment="1"/>
    <xf numFmtId="0" fontId="11" fillId="2" borderId="1" xfId="0" applyFont="1" applyFill="1" applyBorder="1" applyAlignment="1">
      <alignment horizontal="justify" vertical="justify"/>
    </xf>
    <xf numFmtId="171" fontId="22" fillId="7" borderId="1" xfId="0" applyNumberFormat="1" applyFont="1" applyFill="1" applyBorder="1" applyAlignment="1">
      <alignment vertical="center"/>
    </xf>
    <xf numFmtId="166" fontId="1" fillId="7" borderId="1" xfId="0" applyNumberFormat="1" applyFont="1" applyFill="1" applyBorder="1"/>
    <xf numFmtId="166" fontId="20" fillId="4" borderId="1" xfId="81" applyNumberFormat="1" applyFont="1" applyFill="1" applyBorder="1" applyAlignment="1">
      <alignment horizontal="center" vertical="center"/>
    </xf>
    <xf numFmtId="166" fontId="20" fillId="4" borderId="1" xfId="81" applyNumberFormat="1" applyFont="1" applyFill="1" applyBorder="1" applyAlignment="1">
      <alignment horizontal="center" vertical="center" wrapText="1"/>
    </xf>
    <xf numFmtId="164" fontId="0" fillId="4" borderId="1" xfId="0" applyNumberFormat="1" applyFill="1" applyBorder="1"/>
    <xf numFmtId="166" fontId="20" fillId="6" borderId="1" xfId="81" applyNumberFormat="1" applyFont="1" applyFill="1" applyBorder="1" applyAlignment="1">
      <alignment horizontal="justify" vertical="center"/>
    </xf>
    <xf numFmtId="164" fontId="21" fillId="6" borderId="7" xfId="4" applyFont="1" applyFill="1" applyBorder="1" applyAlignment="1">
      <alignment vertical="center"/>
    </xf>
    <xf numFmtId="166" fontId="21" fillId="6" borderId="1" xfId="4" applyNumberFormat="1" applyFont="1" applyFill="1" applyBorder="1" applyAlignment="1">
      <alignment vertical="center"/>
    </xf>
    <xf numFmtId="166" fontId="21" fillId="6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/>
    <xf numFmtId="165" fontId="1" fillId="4" borderId="1" xfId="26" applyFont="1" applyFill="1" applyBorder="1"/>
    <xf numFmtId="4" fontId="22" fillId="7" borderId="1" xfId="0" applyNumberFormat="1" applyFont="1" applyFill="1" applyBorder="1" applyAlignment="1">
      <alignment vertical="center"/>
    </xf>
    <xf numFmtId="166" fontId="11" fillId="7" borderId="0" xfId="0" applyNumberFormat="1" applyFont="1" applyFill="1" applyBorder="1" applyAlignment="1">
      <alignment vertical="center"/>
    </xf>
    <xf numFmtId="171" fontId="22" fillId="7" borderId="0" xfId="0" applyNumberFormat="1" applyFont="1" applyFill="1" applyAlignment="1">
      <alignment vertical="center"/>
    </xf>
    <xf numFmtId="166" fontId="20" fillId="6" borderId="2" xfId="81" applyNumberFormat="1" applyFont="1" applyFill="1" applyBorder="1" applyAlignment="1">
      <alignment horizontal="left" vertical="center" wrapText="1"/>
    </xf>
    <xf numFmtId="0" fontId="0" fillId="2" borderId="0" xfId="0" applyFill="1"/>
    <xf numFmtId="1" fontId="14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justify" vertical="center"/>
    </xf>
    <xf numFmtId="0" fontId="14" fillId="2" borderId="1" xfId="0" applyFont="1" applyFill="1" applyBorder="1" applyAlignment="1">
      <alignment horizontal="left" vertical="center"/>
    </xf>
    <xf numFmtId="3" fontId="11" fillId="2" borderId="1" xfId="0" applyNumberFormat="1" applyFont="1" applyFill="1" applyBorder="1" applyAlignment="1">
      <alignment horizontal="center" vertical="center"/>
    </xf>
    <xf numFmtId="3" fontId="11" fillId="2" borderId="1" xfId="0" applyNumberFormat="1" applyFont="1" applyFill="1" applyBorder="1" applyAlignment="1">
      <alignment horizontal="left" vertical="center"/>
    </xf>
    <xf numFmtId="166" fontId="21" fillId="6" borderId="2" xfId="4" applyNumberFormat="1" applyFont="1" applyFill="1" applyBorder="1" applyAlignment="1">
      <alignment vertical="center"/>
    </xf>
    <xf numFmtId="166" fontId="10" fillId="4" borderId="1" xfId="81" applyNumberFormat="1" applyFont="1" applyFill="1" applyBorder="1" applyAlignment="1">
      <alignment horizontal="center" vertical="center"/>
    </xf>
    <xf numFmtId="166" fontId="10" fillId="4" borderId="1" xfId="81" applyNumberFormat="1" applyFont="1" applyFill="1" applyBorder="1" applyAlignment="1">
      <alignment horizontal="center" vertical="center" wrapText="1"/>
    </xf>
    <xf numFmtId="169" fontId="1" fillId="4" borderId="1" xfId="0" applyNumberFormat="1" applyFont="1" applyFill="1" applyBorder="1" applyAlignment="1">
      <alignment horizontal="center" vertical="center"/>
    </xf>
    <xf numFmtId="169" fontId="1" fillId="4" borderId="1" xfId="0" applyNumberFormat="1" applyFont="1" applyFill="1" applyBorder="1"/>
    <xf numFmtId="169" fontId="1" fillId="4" borderId="1" xfId="26" applyNumberFormat="1" applyFont="1" applyFill="1" applyBorder="1"/>
    <xf numFmtId="169" fontId="1" fillId="7" borderId="1" xfId="0" applyNumberFormat="1" applyFont="1" applyFill="1" applyBorder="1"/>
    <xf numFmtId="0" fontId="0" fillId="0" borderId="0" xfId="0" applyBorder="1"/>
    <xf numFmtId="3" fontId="11" fillId="2" borderId="1" xfId="0" applyNumberFormat="1" applyFont="1" applyFill="1" applyBorder="1" applyAlignment="1">
      <alignment horizontal="justify" vertical="center"/>
    </xf>
    <xf numFmtId="166" fontId="21" fillId="6" borderId="2" xfId="0" applyNumberFormat="1" applyFont="1" applyFill="1" applyBorder="1" applyAlignment="1">
      <alignment vertical="center"/>
    </xf>
    <xf numFmtId="165" fontId="0" fillId="4" borderId="1" xfId="26" applyFont="1" applyFill="1" applyBorder="1"/>
    <xf numFmtId="164" fontId="11" fillId="6" borderId="1" xfId="4" applyFont="1" applyFill="1" applyBorder="1" applyAlignment="1">
      <alignment vertical="center"/>
    </xf>
    <xf numFmtId="166" fontId="11" fillId="6" borderId="1" xfId="4" applyNumberFormat="1" applyFont="1" applyFill="1" applyBorder="1" applyAlignment="1">
      <alignment horizontal="center" vertical="center"/>
    </xf>
    <xf numFmtId="4" fontId="6" fillId="9" borderId="1" xfId="0" applyNumberFormat="1" applyFont="1" applyFill="1" applyBorder="1" applyAlignment="1">
      <alignment vertical="center"/>
    </xf>
    <xf numFmtId="164" fontId="0" fillId="7" borderId="1" xfId="0" applyNumberFormat="1" applyFill="1" applyBorder="1"/>
    <xf numFmtId="166" fontId="10" fillId="8" borderId="1" xfId="81" applyNumberFormat="1" applyFont="1" applyFill="1" applyBorder="1" applyAlignment="1">
      <alignment horizontal="left" vertical="center" wrapText="1"/>
    </xf>
    <xf numFmtId="166" fontId="21" fillId="8" borderId="1" xfId="4" applyNumberFormat="1" applyFont="1" applyFill="1" applyBorder="1" applyAlignment="1">
      <alignment vertical="center"/>
    </xf>
    <xf numFmtId="166" fontId="10" fillId="8" borderId="1" xfId="81" applyNumberFormat="1" applyFont="1" applyFill="1" applyBorder="1" applyAlignment="1">
      <alignment horizontal="justify" vertical="center"/>
    </xf>
    <xf numFmtId="166" fontId="20" fillId="8" borderId="1" xfId="81" applyNumberFormat="1" applyFont="1" applyFill="1" applyBorder="1" applyAlignment="1">
      <alignment horizontal="justify" vertical="center"/>
    </xf>
    <xf numFmtId="166" fontId="21" fillId="8" borderId="1" xfId="0" applyNumberFormat="1" applyFont="1" applyFill="1" applyBorder="1" applyAlignment="1">
      <alignment vertical="center"/>
    </xf>
    <xf numFmtId="169" fontId="0" fillId="4" borderId="1" xfId="0" applyNumberFormat="1" applyFill="1" applyBorder="1"/>
    <xf numFmtId="10" fontId="10" fillId="0" borderId="2" xfId="3" applyNumberFormat="1" applyFont="1" applyFill="1" applyBorder="1" applyAlignment="1">
      <alignment vertical="center"/>
    </xf>
    <xf numFmtId="10" fontId="10" fillId="0" borderId="5" xfId="0" applyNumberFormat="1" applyFont="1" applyFill="1" applyBorder="1" applyAlignment="1">
      <alignment vertical="center"/>
    </xf>
    <xf numFmtId="166" fontId="10" fillId="7" borderId="5" xfId="81" applyNumberFormat="1" applyFont="1" applyFill="1" applyBorder="1" applyAlignment="1">
      <alignment horizontal="center" vertical="center"/>
    </xf>
    <xf numFmtId="166" fontId="20" fillId="8" borderId="2" xfId="81" applyNumberFormat="1" applyFont="1" applyFill="1" applyBorder="1" applyAlignment="1">
      <alignment horizontal="left" vertical="center" wrapText="1"/>
    </xf>
    <xf numFmtId="169" fontId="1" fillId="8" borderId="1" xfId="0" applyNumberFormat="1" applyFont="1" applyFill="1" applyBorder="1"/>
    <xf numFmtId="164" fontId="1" fillId="8" borderId="1" xfId="0" applyNumberFormat="1" applyFont="1" applyFill="1" applyBorder="1"/>
    <xf numFmtId="169" fontId="1" fillId="8" borderId="2" xfId="0" applyNumberFormat="1" applyFont="1" applyFill="1" applyBorder="1"/>
    <xf numFmtId="166" fontId="23" fillId="8" borderId="1" xfId="81" applyNumberFormat="1" applyFont="1" applyFill="1" applyBorder="1" applyAlignment="1">
      <alignment horizontal="justify" vertical="center"/>
    </xf>
    <xf numFmtId="166" fontId="23" fillId="8" borderId="2" xfId="81" applyNumberFormat="1" applyFont="1" applyFill="1" applyBorder="1" applyAlignment="1">
      <alignment horizontal="left" vertical="center" wrapText="1"/>
    </xf>
    <xf numFmtId="4" fontId="6" fillId="7" borderId="1" xfId="4" applyNumberFormat="1" applyFont="1" applyFill="1" applyBorder="1" applyAlignment="1">
      <alignment horizontal="center" vertical="center"/>
    </xf>
    <xf numFmtId="171" fontId="22" fillId="7" borderId="1" xfId="4" applyNumberFormat="1" applyFont="1" applyFill="1" applyBorder="1" applyAlignment="1">
      <alignment vertical="center"/>
    </xf>
    <xf numFmtId="4" fontId="22" fillId="10" borderId="1" xfId="0" applyNumberFormat="1" applyFont="1" applyFill="1" applyBorder="1" applyAlignment="1">
      <alignment vertical="center"/>
    </xf>
    <xf numFmtId="4" fontId="17" fillId="10" borderId="1" xfId="0" applyNumberFormat="1" applyFont="1" applyFill="1" applyBorder="1" applyAlignment="1"/>
    <xf numFmtId="4" fontId="17" fillId="7" borderId="1" xfId="0" applyNumberFormat="1" applyFont="1" applyFill="1" applyBorder="1" applyAlignment="1"/>
    <xf numFmtId="4" fontId="6" fillId="7" borderId="1" xfId="4" applyNumberFormat="1" applyFont="1" applyFill="1" applyBorder="1" applyAlignment="1">
      <alignment vertical="center" wrapText="1"/>
    </xf>
    <xf numFmtId="164" fontId="17" fillId="8" borderId="1" xfId="4" applyFont="1" applyFill="1" applyBorder="1" applyAlignment="1">
      <alignment vertical="center"/>
    </xf>
    <xf numFmtId="166" fontId="17" fillId="11" borderId="1" xfId="4" applyNumberFormat="1" applyFont="1" applyFill="1" applyBorder="1" applyAlignment="1">
      <alignment vertical="center"/>
    </xf>
    <xf numFmtId="164" fontId="11" fillId="8" borderId="1" xfId="4" applyFont="1" applyFill="1" applyBorder="1" applyAlignment="1">
      <alignment vertical="center"/>
    </xf>
    <xf numFmtId="166" fontId="11" fillId="8" borderId="1" xfId="4" applyNumberFormat="1" applyFont="1" applyFill="1" applyBorder="1" applyAlignment="1">
      <alignment vertical="center"/>
    </xf>
    <xf numFmtId="166" fontId="11" fillId="8" borderId="1" xfId="4" applyNumberFormat="1" applyFont="1" applyFill="1" applyBorder="1" applyAlignment="1">
      <alignment vertical="center" wrapText="1"/>
    </xf>
    <xf numFmtId="164" fontId="21" fillId="8" borderId="1" xfId="4" applyFont="1" applyFill="1" applyBorder="1" applyAlignment="1">
      <alignment vertical="center"/>
    </xf>
    <xf numFmtId="166" fontId="21" fillId="8" borderId="1" xfId="4" applyNumberFormat="1" applyFont="1" applyFill="1" applyBorder="1" applyAlignment="1">
      <alignment horizontal="center" vertical="center" wrapText="1"/>
    </xf>
    <xf numFmtId="166" fontId="9" fillId="8" borderId="1" xfId="83" applyFont="1" applyFill="1" applyBorder="1" applyAlignment="1">
      <alignment vertical="center"/>
    </xf>
    <xf numFmtId="172" fontId="9" fillId="8" borderId="1" xfId="2" applyNumberFormat="1" applyFont="1" applyFill="1" applyBorder="1" applyAlignment="1">
      <alignment vertical="center"/>
    </xf>
    <xf numFmtId="172" fontId="0" fillId="8" borderId="1" xfId="2" applyNumberFormat="1" applyFont="1" applyFill="1" applyBorder="1" applyAlignment="1">
      <alignment horizontal="center" vertical="center"/>
    </xf>
    <xf numFmtId="172" fontId="0" fillId="8" borderId="1" xfId="2" applyNumberFormat="1" applyFont="1" applyFill="1" applyBorder="1"/>
    <xf numFmtId="165" fontId="17" fillId="8" borderId="1" xfId="0" applyNumberFormat="1" applyFont="1" applyFill="1" applyBorder="1"/>
    <xf numFmtId="164" fontId="17" fillId="11" borderId="1" xfId="0" applyNumberFormat="1" applyFont="1" applyFill="1" applyBorder="1"/>
    <xf numFmtId="164" fontId="1" fillId="8" borderId="1" xfId="0" applyNumberFormat="1" applyFont="1" applyFill="1" applyBorder="1" applyAlignment="1">
      <alignment vertical="center"/>
    </xf>
    <xf numFmtId="166" fontId="10" fillId="4" borderId="0" xfId="81" applyNumberFormat="1" applyFont="1" applyFill="1" applyBorder="1" applyAlignment="1">
      <alignment horizontal="center" vertical="center"/>
    </xf>
    <xf numFmtId="3" fontId="11" fillId="0" borderId="1" xfId="0" applyNumberFormat="1" applyFont="1" applyFill="1" applyBorder="1" applyAlignment="1">
      <alignment horizontal="center" vertical="top"/>
    </xf>
    <xf numFmtId="0" fontId="12" fillId="3" borderId="0" xfId="0" applyFont="1" applyFill="1" applyBorder="1" applyAlignment="1">
      <alignment horizontal="center" vertical="center" wrapText="1"/>
    </xf>
    <xf numFmtId="166" fontId="10" fillId="6" borderId="0" xfId="81" applyNumberFormat="1" applyFont="1" applyFill="1" applyBorder="1" applyAlignment="1">
      <alignment horizontal="center" vertical="center"/>
    </xf>
    <xf numFmtId="166" fontId="10" fillId="7" borderId="2" xfId="81" applyNumberFormat="1" applyFont="1" applyFill="1" applyBorder="1" applyAlignment="1">
      <alignment horizontal="center" vertical="center"/>
    </xf>
    <xf numFmtId="166" fontId="10" fillId="7" borderId="6" xfId="81" applyNumberFormat="1" applyFont="1" applyFill="1" applyBorder="1" applyAlignment="1">
      <alignment horizontal="center" vertical="center"/>
    </xf>
    <xf numFmtId="166" fontId="10" fillId="7" borderId="5" xfId="81" applyNumberFormat="1" applyFont="1" applyFill="1" applyBorder="1" applyAlignment="1">
      <alignment horizontal="center" vertical="center"/>
    </xf>
    <xf numFmtId="3" fontId="10" fillId="0" borderId="1" xfId="0" applyNumberFormat="1" applyFont="1" applyFill="1" applyBorder="1" applyAlignment="1">
      <alignment horizontal="center" vertical="top"/>
    </xf>
    <xf numFmtId="166" fontId="10" fillId="8" borderId="2" xfId="81" applyNumberFormat="1" applyFont="1" applyFill="1" applyBorder="1" applyAlignment="1">
      <alignment horizontal="center" vertical="center"/>
    </xf>
    <xf numFmtId="166" fontId="10" fillId="8" borderId="6" xfId="81" applyNumberFormat="1" applyFont="1" applyFill="1" applyBorder="1" applyAlignment="1">
      <alignment horizontal="center" vertical="center"/>
    </xf>
    <xf numFmtId="166" fontId="10" fillId="8" borderId="5" xfId="81" applyNumberFormat="1" applyFont="1" applyFill="1" applyBorder="1" applyAlignment="1">
      <alignment horizontal="center" vertical="center"/>
    </xf>
    <xf numFmtId="166" fontId="10" fillId="7" borderId="0" xfId="81" applyNumberFormat="1" applyFont="1" applyFill="1" applyBorder="1" applyAlignment="1">
      <alignment horizontal="center" vertical="center"/>
    </xf>
    <xf numFmtId="166" fontId="10" fillId="8" borderId="0" xfId="81" applyNumberFormat="1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/>
    </xf>
    <xf numFmtId="166" fontId="20" fillId="6" borderId="1" xfId="81" applyNumberFormat="1" applyFont="1" applyFill="1" applyBorder="1" applyAlignment="1">
      <alignment horizontal="center" vertical="center"/>
    </xf>
    <xf numFmtId="3" fontId="10" fillId="2" borderId="2" xfId="0" applyNumberFormat="1" applyFont="1" applyFill="1" applyBorder="1" applyAlignment="1">
      <alignment horizontal="center" vertical="top"/>
    </xf>
    <xf numFmtId="3" fontId="10" fillId="2" borderId="6" xfId="0" applyNumberFormat="1" applyFont="1" applyFill="1" applyBorder="1" applyAlignment="1">
      <alignment horizontal="center" vertical="top"/>
    </xf>
    <xf numFmtId="3" fontId="10" fillId="2" borderId="5" xfId="0" applyNumberFormat="1" applyFont="1" applyFill="1" applyBorder="1" applyAlignment="1">
      <alignment horizontal="center" vertical="top"/>
    </xf>
    <xf numFmtId="3" fontId="10" fillId="2" borderId="1" xfId="0" applyNumberFormat="1" applyFont="1" applyFill="1" applyBorder="1" applyAlignment="1">
      <alignment horizontal="center" vertical="top"/>
    </xf>
    <xf numFmtId="166" fontId="20" fillId="8" borderId="1" xfId="81" applyNumberFormat="1" applyFont="1" applyFill="1" applyBorder="1" applyAlignment="1">
      <alignment horizontal="center" vertical="center"/>
    </xf>
    <xf numFmtId="166" fontId="20" fillId="6" borderId="0" xfId="81" applyNumberFormat="1" applyFont="1" applyFill="1" applyBorder="1" applyAlignment="1">
      <alignment horizontal="center" vertical="center"/>
    </xf>
    <xf numFmtId="3" fontId="10" fillId="0" borderId="2" xfId="0" applyNumberFormat="1" applyFont="1" applyFill="1" applyBorder="1" applyAlignment="1">
      <alignment horizontal="center" vertical="top"/>
    </xf>
    <xf numFmtId="166" fontId="20" fillId="8" borderId="2" xfId="81" applyNumberFormat="1" applyFont="1" applyFill="1" applyBorder="1" applyAlignment="1">
      <alignment horizontal="center" vertical="center"/>
    </xf>
    <xf numFmtId="166" fontId="20" fillId="8" borderId="6" xfId="81" applyNumberFormat="1" applyFont="1" applyFill="1" applyBorder="1" applyAlignment="1">
      <alignment horizontal="center" vertical="center"/>
    </xf>
    <xf numFmtId="166" fontId="20" fillId="8" borderId="5" xfId="81" applyNumberFormat="1" applyFont="1" applyFill="1" applyBorder="1" applyAlignment="1">
      <alignment horizontal="center" vertical="center"/>
    </xf>
    <xf numFmtId="0" fontId="19" fillId="8" borderId="8" xfId="0" applyFont="1" applyFill="1" applyBorder="1" applyAlignment="1">
      <alignment horizontal="center"/>
    </xf>
    <xf numFmtId="0" fontId="19" fillId="8" borderId="9" xfId="0" applyFont="1" applyFill="1" applyBorder="1" applyAlignment="1">
      <alignment horizontal="center"/>
    </xf>
    <xf numFmtId="166" fontId="10" fillId="6" borderId="1" xfId="81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166" fontId="10" fillId="2" borderId="1" xfId="81" applyNumberFormat="1" applyFont="1" applyFill="1" applyBorder="1" applyAlignment="1">
      <alignment horizontal="center" vertical="center" wrapText="1"/>
    </xf>
    <xf numFmtId="166" fontId="10" fillId="2" borderId="1" xfId="81" applyNumberFormat="1" applyFont="1" applyFill="1" applyBorder="1" applyAlignment="1">
      <alignment horizontal="left" vertical="center" wrapText="1"/>
    </xf>
    <xf numFmtId="166" fontId="11" fillId="2" borderId="1" xfId="0" applyNumberFormat="1" applyFont="1" applyFill="1" applyBorder="1" applyAlignment="1">
      <alignment vertical="center"/>
    </xf>
    <xf numFmtId="44" fontId="11" fillId="2" borderId="1" xfId="0" applyNumberFormat="1" applyFont="1" applyFill="1" applyBorder="1" applyAlignment="1">
      <alignment vertical="center"/>
    </xf>
  </cellXfs>
  <cellStyles count="86">
    <cellStyle name="Hipervínculo" xfId="85" builtinId="8"/>
    <cellStyle name="Millares" xfId="2" builtinId="3"/>
    <cellStyle name="Millares [0]" xfId="81" builtinId="6"/>
    <cellStyle name="Millares [0] 2" xfId="6" xr:uid="{00000000-0005-0000-0000-000003000000}"/>
    <cellStyle name="Millares 10" xfId="23" xr:uid="{00000000-0005-0000-0000-000004000000}"/>
    <cellStyle name="Millares 11" xfId="25" xr:uid="{00000000-0005-0000-0000-000005000000}"/>
    <cellStyle name="Millares 12" xfId="27" xr:uid="{00000000-0005-0000-0000-000006000000}"/>
    <cellStyle name="Millares 13" xfId="29" xr:uid="{00000000-0005-0000-0000-000007000000}"/>
    <cellStyle name="Millares 14" xfId="31" xr:uid="{00000000-0005-0000-0000-000008000000}"/>
    <cellStyle name="Millares 15" xfId="33" xr:uid="{00000000-0005-0000-0000-000009000000}"/>
    <cellStyle name="Millares 16" xfId="35" xr:uid="{00000000-0005-0000-0000-00000A000000}"/>
    <cellStyle name="Millares 17" xfId="37" xr:uid="{00000000-0005-0000-0000-00000B000000}"/>
    <cellStyle name="Millares 18" xfId="39" xr:uid="{00000000-0005-0000-0000-00000C000000}"/>
    <cellStyle name="Millares 19" xfId="41" xr:uid="{00000000-0005-0000-0000-00000D000000}"/>
    <cellStyle name="Millares 2" xfId="5" xr:uid="{00000000-0005-0000-0000-00000E000000}"/>
    <cellStyle name="Millares 20" xfId="43" xr:uid="{00000000-0005-0000-0000-00000F000000}"/>
    <cellStyle name="Millares 21" xfId="45" xr:uid="{00000000-0005-0000-0000-000010000000}"/>
    <cellStyle name="Millares 22" xfId="47" xr:uid="{00000000-0005-0000-0000-000011000000}"/>
    <cellStyle name="Millares 23" xfId="49" xr:uid="{00000000-0005-0000-0000-000012000000}"/>
    <cellStyle name="Millares 24" xfId="51" xr:uid="{00000000-0005-0000-0000-000013000000}"/>
    <cellStyle name="Millares 25" xfId="53" xr:uid="{00000000-0005-0000-0000-000014000000}"/>
    <cellStyle name="Millares 26" xfId="55" xr:uid="{00000000-0005-0000-0000-000015000000}"/>
    <cellStyle name="Millares 27" xfId="57" xr:uid="{00000000-0005-0000-0000-000016000000}"/>
    <cellStyle name="Millares 28" xfId="59" xr:uid="{00000000-0005-0000-0000-000017000000}"/>
    <cellStyle name="Millares 29" xfId="61" xr:uid="{00000000-0005-0000-0000-000018000000}"/>
    <cellStyle name="Millares 3" xfId="8" xr:uid="{00000000-0005-0000-0000-000019000000}"/>
    <cellStyle name="Millares 30" xfId="63" xr:uid="{00000000-0005-0000-0000-00001A000000}"/>
    <cellStyle name="Millares 31" xfId="65" xr:uid="{00000000-0005-0000-0000-00001B000000}"/>
    <cellStyle name="Millares 32" xfId="67" xr:uid="{00000000-0005-0000-0000-00001C000000}"/>
    <cellStyle name="Millares 33" xfId="69" xr:uid="{00000000-0005-0000-0000-00001D000000}"/>
    <cellStyle name="Millares 34" xfId="71" xr:uid="{00000000-0005-0000-0000-00001E000000}"/>
    <cellStyle name="Millares 35" xfId="73" xr:uid="{00000000-0005-0000-0000-00001F000000}"/>
    <cellStyle name="Millares 36" xfId="75" xr:uid="{00000000-0005-0000-0000-000020000000}"/>
    <cellStyle name="Millares 37" xfId="77" xr:uid="{00000000-0005-0000-0000-000021000000}"/>
    <cellStyle name="Millares 38" xfId="79" xr:uid="{00000000-0005-0000-0000-000022000000}"/>
    <cellStyle name="Millares 4" xfId="10" xr:uid="{00000000-0005-0000-0000-000023000000}"/>
    <cellStyle name="Millares 5" xfId="12" xr:uid="{00000000-0005-0000-0000-000024000000}"/>
    <cellStyle name="Millares 6" xfId="14" xr:uid="{00000000-0005-0000-0000-000025000000}"/>
    <cellStyle name="Millares 7" xfId="16" xr:uid="{00000000-0005-0000-0000-000026000000}"/>
    <cellStyle name="Millares 8" xfId="18" xr:uid="{00000000-0005-0000-0000-000027000000}"/>
    <cellStyle name="Millares 9" xfId="21" xr:uid="{00000000-0005-0000-0000-000028000000}"/>
    <cellStyle name="Moneda" xfId="3" builtinId="4"/>
    <cellStyle name="Moneda [0]" xfId="4" builtinId="7"/>
    <cellStyle name="Moneda [0] 2" xfId="7" xr:uid="{00000000-0005-0000-0000-00002B000000}"/>
    <cellStyle name="Moneda [0] 3" xfId="20" xr:uid="{00000000-0005-0000-0000-00002C000000}"/>
    <cellStyle name="Moneda 10" xfId="26" xr:uid="{00000000-0005-0000-0000-00002D000000}"/>
    <cellStyle name="Moneda 11" xfId="28" xr:uid="{00000000-0005-0000-0000-00002E000000}"/>
    <cellStyle name="Moneda 12" xfId="30" xr:uid="{00000000-0005-0000-0000-00002F000000}"/>
    <cellStyle name="Moneda 13" xfId="32" xr:uid="{00000000-0005-0000-0000-000030000000}"/>
    <cellStyle name="Moneda 14" xfId="34" xr:uid="{00000000-0005-0000-0000-000031000000}"/>
    <cellStyle name="Moneda 15" xfId="36" xr:uid="{00000000-0005-0000-0000-000032000000}"/>
    <cellStyle name="Moneda 16" xfId="38" xr:uid="{00000000-0005-0000-0000-000033000000}"/>
    <cellStyle name="Moneda 17" xfId="40" xr:uid="{00000000-0005-0000-0000-000034000000}"/>
    <cellStyle name="Moneda 18" xfId="42" xr:uid="{00000000-0005-0000-0000-000035000000}"/>
    <cellStyle name="Moneda 19" xfId="44" xr:uid="{00000000-0005-0000-0000-000036000000}"/>
    <cellStyle name="Moneda 2" xfId="9" xr:uid="{00000000-0005-0000-0000-000037000000}"/>
    <cellStyle name="Moneda 20" xfId="46" xr:uid="{00000000-0005-0000-0000-000038000000}"/>
    <cellStyle name="Moneda 21" xfId="48" xr:uid="{00000000-0005-0000-0000-000039000000}"/>
    <cellStyle name="Moneda 22" xfId="50" xr:uid="{00000000-0005-0000-0000-00003A000000}"/>
    <cellStyle name="Moneda 23" xfId="52" xr:uid="{00000000-0005-0000-0000-00003B000000}"/>
    <cellStyle name="Moneda 24" xfId="54" xr:uid="{00000000-0005-0000-0000-00003C000000}"/>
    <cellStyle name="Moneda 25" xfId="56" xr:uid="{00000000-0005-0000-0000-00003D000000}"/>
    <cellStyle name="Moneda 26" xfId="58" xr:uid="{00000000-0005-0000-0000-00003E000000}"/>
    <cellStyle name="Moneda 27" xfId="60" xr:uid="{00000000-0005-0000-0000-00003F000000}"/>
    <cellStyle name="Moneda 28" xfId="62" xr:uid="{00000000-0005-0000-0000-000040000000}"/>
    <cellStyle name="Moneda 29" xfId="64" xr:uid="{00000000-0005-0000-0000-000041000000}"/>
    <cellStyle name="Moneda 3" xfId="11" xr:uid="{00000000-0005-0000-0000-000042000000}"/>
    <cellStyle name="Moneda 30" xfId="66" xr:uid="{00000000-0005-0000-0000-000043000000}"/>
    <cellStyle name="Moneda 31" xfId="68" xr:uid="{00000000-0005-0000-0000-000044000000}"/>
    <cellStyle name="Moneda 32" xfId="70" xr:uid="{00000000-0005-0000-0000-000045000000}"/>
    <cellStyle name="Moneda 33" xfId="72" xr:uid="{00000000-0005-0000-0000-000046000000}"/>
    <cellStyle name="Moneda 34" xfId="74" xr:uid="{00000000-0005-0000-0000-000047000000}"/>
    <cellStyle name="Moneda 35" xfId="76" xr:uid="{00000000-0005-0000-0000-000048000000}"/>
    <cellStyle name="Moneda 36" xfId="78" xr:uid="{00000000-0005-0000-0000-000049000000}"/>
    <cellStyle name="Moneda 37" xfId="80" xr:uid="{00000000-0005-0000-0000-00004A000000}"/>
    <cellStyle name="Moneda 38" xfId="83" xr:uid="{00000000-0005-0000-0000-00004B000000}"/>
    <cellStyle name="Moneda 4" xfId="13" xr:uid="{00000000-0005-0000-0000-00004C000000}"/>
    <cellStyle name="Moneda 41" xfId="84" xr:uid="{00000000-0005-0000-0000-00004D000000}"/>
    <cellStyle name="Moneda 5" xfId="15" xr:uid="{00000000-0005-0000-0000-00004E000000}"/>
    <cellStyle name="Moneda 6" xfId="17" xr:uid="{00000000-0005-0000-0000-00004F000000}"/>
    <cellStyle name="Moneda 7" xfId="19" xr:uid="{00000000-0005-0000-0000-000050000000}"/>
    <cellStyle name="Moneda 8" xfId="22" xr:uid="{00000000-0005-0000-0000-000051000000}"/>
    <cellStyle name="Moneda 9" xfId="24" xr:uid="{00000000-0005-0000-0000-000052000000}"/>
    <cellStyle name="Normal" xfId="0" builtinId="0"/>
    <cellStyle name="Normal 2" xfId="82" xr:uid="{00000000-0005-0000-0000-000054000000}"/>
    <cellStyle name="Normal 2 10 2" xfId="1" xr:uid="{00000000-0005-0000-0000-000055000000}"/>
  </cellStyles>
  <dxfs count="0"/>
  <tableStyles count="0" defaultTableStyle="TableStyleMedium2" defaultPivotStyle="PivotStyleMedium9"/>
  <colors>
    <mruColors>
      <color rgb="FF95FA7A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erviciosintegralesjnr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rgb="FFFF0000"/>
  </sheetPr>
  <dimension ref="A2:P238"/>
  <sheetViews>
    <sheetView topLeftCell="E212" zoomScaleNormal="100" zoomScaleSheetLayoutView="115" workbookViewId="0">
      <selection activeCell="P11" sqref="P11"/>
    </sheetView>
  </sheetViews>
  <sheetFormatPr baseColWidth="10" defaultColWidth="9.140625" defaultRowHeight="11.25" x14ac:dyDescent="0.25"/>
  <cols>
    <col min="1" max="1" width="4.7109375" style="64" customWidth="1"/>
    <col min="2" max="2" width="56.7109375" style="64" customWidth="1"/>
    <col min="3" max="3" width="8.7109375" style="64" customWidth="1"/>
    <col min="4" max="4" width="13.7109375" style="27" customWidth="1"/>
    <col min="5" max="13" width="13.7109375" style="44" customWidth="1"/>
    <col min="14" max="14" width="14.28515625" style="27" customWidth="1"/>
    <col min="15" max="15" width="14" style="27" customWidth="1"/>
    <col min="16" max="16" width="14.140625" style="27" customWidth="1"/>
    <col min="17" max="16384" width="9.140625" style="27"/>
  </cols>
  <sheetData>
    <row r="2" spans="1:16" ht="15" x14ac:dyDescent="0.25">
      <c r="E2" s="86" t="s">
        <v>486</v>
      </c>
    </row>
    <row r="3" spans="1:16" x14ac:dyDescent="0.25">
      <c r="A3" s="268" t="s">
        <v>474</v>
      </c>
      <c r="B3" s="268"/>
      <c r="C3" s="268"/>
    </row>
    <row r="4" spans="1:16" x14ac:dyDescent="0.25">
      <c r="A4" s="28"/>
      <c r="B4" s="27"/>
      <c r="C4" s="27"/>
      <c r="D4" s="28"/>
      <c r="E4" s="269" t="s">
        <v>473</v>
      </c>
      <c r="F4" s="269"/>
      <c r="G4" s="269"/>
      <c r="H4" s="270" t="s">
        <v>493</v>
      </c>
      <c r="I4" s="271"/>
      <c r="J4" s="272"/>
      <c r="K4" s="266" t="s">
        <v>480</v>
      </c>
      <c r="L4" s="266"/>
      <c r="M4" s="266"/>
      <c r="N4" s="295" t="s">
        <v>576</v>
      </c>
      <c r="O4" s="296"/>
      <c r="P4" s="297"/>
    </row>
    <row r="5" spans="1:16" ht="33.75" x14ac:dyDescent="0.25">
      <c r="A5" s="29" t="s">
        <v>0</v>
      </c>
      <c r="B5" s="30" t="s">
        <v>91</v>
      </c>
      <c r="C5" s="65" t="s">
        <v>152</v>
      </c>
      <c r="D5" s="87" t="s">
        <v>472</v>
      </c>
      <c r="E5" s="89" t="s">
        <v>469</v>
      </c>
      <c r="F5" s="89" t="s">
        <v>470</v>
      </c>
      <c r="G5" s="90" t="s">
        <v>471</v>
      </c>
      <c r="H5" s="178" t="s">
        <v>469</v>
      </c>
      <c r="I5" s="178" t="s">
        <v>470</v>
      </c>
      <c r="J5" s="179" t="s">
        <v>471</v>
      </c>
      <c r="K5" s="139" t="s">
        <v>469</v>
      </c>
      <c r="L5" s="97" t="s">
        <v>470</v>
      </c>
      <c r="M5" s="98" t="s">
        <v>471</v>
      </c>
      <c r="N5" s="298" t="s">
        <v>574</v>
      </c>
      <c r="O5" s="298" t="s">
        <v>575</v>
      </c>
      <c r="P5" s="299" t="s">
        <v>471</v>
      </c>
    </row>
    <row r="6" spans="1:16" ht="33.75" x14ac:dyDescent="0.25">
      <c r="A6" s="36">
        <v>1</v>
      </c>
      <c r="B6" s="46" t="s">
        <v>154</v>
      </c>
      <c r="C6" s="33" t="s">
        <v>153</v>
      </c>
      <c r="D6" s="88">
        <v>7385587.6898545558</v>
      </c>
      <c r="E6" s="91">
        <v>1920252.7993621845</v>
      </c>
      <c r="F6" s="91">
        <v>7681011.1974487379</v>
      </c>
      <c r="G6" s="92">
        <f>F6+E6</f>
        <v>9601263.9968109224</v>
      </c>
      <c r="H6" s="180">
        <f>1920252.79936218-1000</f>
        <v>1919252.7993621801</v>
      </c>
      <c r="I6" s="180">
        <v>7681011.1974487379</v>
      </c>
      <c r="J6" s="117">
        <f>I6+H6</f>
        <v>9600263.9968109187</v>
      </c>
      <c r="K6" s="140">
        <f>MIN(E6,H6)</f>
        <v>1919252.7993621801</v>
      </c>
      <c r="L6" s="73">
        <f>MIN(F6,I6)</f>
        <v>7681011.1974487379</v>
      </c>
      <c r="M6" s="73">
        <f>L6+K6</f>
        <v>9600263.9968109187</v>
      </c>
      <c r="N6" s="301">
        <f>K6-(K6*7%)</f>
        <v>1784905.1034068274</v>
      </c>
      <c r="O6" s="301">
        <f>L6-(L6*7%)</f>
        <v>7143340.4136273265</v>
      </c>
      <c r="P6" s="300">
        <f>O6+N6</f>
        <v>8928245.5170341544</v>
      </c>
    </row>
    <row r="7" spans="1:16" x14ac:dyDescent="0.25">
      <c r="A7" s="36">
        <v>2</v>
      </c>
      <c r="B7" s="46" t="s">
        <v>155</v>
      </c>
      <c r="C7" s="33" t="s">
        <v>153</v>
      </c>
      <c r="D7" s="88">
        <v>1269952.1580057307</v>
      </c>
      <c r="E7" s="91">
        <v>325107.75244946708</v>
      </c>
      <c r="F7" s="91">
        <v>1300431.0097978683</v>
      </c>
      <c r="G7" s="92">
        <f t="shared" ref="G7:G46" si="0">F7+E7</f>
        <v>1625538.7622473354</v>
      </c>
      <c r="H7" s="180">
        <f>325107.752449467-1000</f>
        <v>324107.75244946702</v>
      </c>
      <c r="I7" s="180">
        <v>1300431.0097978683</v>
      </c>
      <c r="J7" s="117">
        <f t="shared" ref="J7:J46" si="1">I7+H7</f>
        <v>1624538.7622473354</v>
      </c>
      <c r="K7" s="140">
        <f>MIN(E7,H7)</f>
        <v>324107.75244946702</v>
      </c>
      <c r="L7" s="73">
        <f t="shared" ref="L7:L69" si="2">MIN(F7,I7)</f>
        <v>1300431.0097978683</v>
      </c>
      <c r="M7" s="73">
        <f t="shared" ref="M7:M70" si="3">L7+K7</f>
        <v>1624538.7622473354</v>
      </c>
      <c r="N7" s="301">
        <f t="shared" ref="N7:N70" si="4">K7-(K7*7%)</f>
        <v>301420.20977800433</v>
      </c>
      <c r="O7" s="301">
        <f t="shared" ref="O7:O70" si="5">L7-(L7*7%)</f>
        <v>1209400.8391120175</v>
      </c>
      <c r="P7" s="300">
        <f t="shared" ref="P7:P70" si="6">O7+N7</f>
        <v>1510821.0488900219</v>
      </c>
    </row>
    <row r="8" spans="1:16" x14ac:dyDescent="0.25">
      <c r="A8" s="36">
        <v>3</v>
      </c>
      <c r="B8" s="46" t="s">
        <v>156</v>
      </c>
      <c r="C8" s="33" t="s">
        <v>153</v>
      </c>
      <c r="D8" s="88">
        <v>333451.12528642081</v>
      </c>
      <c r="E8" s="91">
        <v>90031.803827333613</v>
      </c>
      <c r="F8" s="91">
        <v>360127.21530933451</v>
      </c>
      <c r="G8" s="92">
        <f t="shared" si="0"/>
        <v>450159.01913666812</v>
      </c>
      <c r="H8" s="180">
        <f>90031.8038273336-1000</f>
        <v>89031.803827333599</v>
      </c>
      <c r="I8" s="180">
        <v>360127.21530933451</v>
      </c>
      <c r="J8" s="117">
        <f t="shared" si="1"/>
        <v>449159.01913666812</v>
      </c>
      <c r="K8" s="140">
        <f t="shared" ref="K8:K69" si="7">MIN(E8,H8)</f>
        <v>89031.803827333599</v>
      </c>
      <c r="L8" s="73">
        <f t="shared" si="2"/>
        <v>360127.21530933451</v>
      </c>
      <c r="M8" s="73">
        <f t="shared" si="3"/>
        <v>449159.01913666812</v>
      </c>
      <c r="N8" s="301">
        <f t="shared" si="4"/>
        <v>82799.577559420242</v>
      </c>
      <c r="O8" s="301">
        <f t="shared" si="5"/>
        <v>334918.31023768109</v>
      </c>
      <c r="P8" s="300">
        <f t="shared" si="6"/>
        <v>417717.88779710134</v>
      </c>
    </row>
    <row r="9" spans="1:16" x14ac:dyDescent="0.25">
      <c r="A9" s="36">
        <v>4</v>
      </c>
      <c r="B9" s="46" t="s">
        <v>133</v>
      </c>
      <c r="C9" s="33" t="s">
        <v>153</v>
      </c>
      <c r="D9" s="88">
        <v>4107834.0753369736</v>
      </c>
      <c r="E9" s="91">
        <v>1068036.8595876126</v>
      </c>
      <c r="F9" s="91">
        <v>4272147.438350453</v>
      </c>
      <c r="G9" s="92">
        <f t="shared" si="0"/>
        <v>5340184.2979380656</v>
      </c>
      <c r="H9" s="180">
        <f>1068036.85958761-1000</f>
        <v>1067036.85958761</v>
      </c>
      <c r="I9" s="180">
        <v>4272147.438350453</v>
      </c>
      <c r="J9" s="117">
        <f t="shared" si="1"/>
        <v>5339184.2979380628</v>
      </c>
      <c r="K9" s="140">
        <f t="shared" si="7"/>
        <v>1067036.85958761</v>
      </c>
      <c r="L9" s="73">
        <f t="shared" si="2"/>
        <v>4272147.438350453</v>
      </c>
      <c r="M9" s="73">
        <f t="shared" si="3"/>
        <v>5339184.2979380628</v>
      </c>
      <c r="N9" s="301">
        <f t="shared" si="4"/>
        <v>992344.27941647731</v>
      </c>
      <c r="O9" s="301">
        <f t="shared" si="5"/>
        <v>3973097.1176659213</v>
      </c>
      <c r="P9" s="300">
        <f t="shared" si="6"/>
        <v>4965441.3970823986</v>
      </c>
    </row>
    <row r="10" spans="1:16" x14ac:dyDescent="0.25">
      <c r="A10" s="36">
        <v>5</v>
      </c>
      <c r="B10" s="46" t="s">
        <v>4</v>
      </c>
      <c r="C10" s="33" t="s">
        <v>153</v>
      </c>
      <c r="D10" s="88">
        <v>1503793.6279938254</v>
      </c>
      <c r="E10" s="91">
        <v>384971.16876641917</v>
      </c>
      <c r="F10" s="91">
        <v>1539884.6750656774</v>
      </c>
      <c r="G10" s="92">
        <f t="shared" si="0"/>
        <v>1924855.8438320966</v>
      </c>
      <c r="H10" s="180">
        <f>384971.168766419-1000</f>
        <v>383971.168766419</v>
      </c>
      <c r="I10" s="180">
        <v>1539884.6750656774</v>
      </c>
      <c r="J10" s="117">
        <f t="shared" si="1"/>
        <v>1923855.8438320963</v>
      </c>
      <c r="K10" s="140">
        <f t="shared" si="7"/>
        <v>383971.168766419</v>
      </c>
      <c r="L10" s="73">
        <f t="shared" si="2"/>
        <v>1539884.6750656774</v>
      </c>
      <c r="M10" s="73">
        <f t="shared" si="3"/>
        <v>1923855.8438320963</v>
      </c>
      <c r="N10" s="301">
        <f t="shared" si="4"/>
        <v>357093.18695276964</v>
      </c>
      <c r="O10" s="301">
        <f t="shared" si="5"/>
        <v>1432092.74781108</v>
      </c>
      <c r="P10" s="300">
        <f t="shared" si="6"/>
        <v>1789185.9347638497</v>
      </c>
    </row>
    <row r="11" spans="1:16" x14ac:dyDescent="0.25">
      <c r="A11" s="36">
        <v>6</v>
      </c>
      <c r="B11" s="46" t="s">
        <v>96</v>
      </c>
      <c r="C11" s="33" t="s">
        <v>153</v>
      </c>
      <c r="D11" s="88">
        <v>1232043.7313540198</v>
      </c>
      <c r="E11" s="91">
        <v>315403.19522662903</v>
      </c>
      <c r="F11" s="91">
        <v>1261612.7809065164</v>
      </c>
      <c r="G11" s="92">
        <f t="shared" si="0"/>
        <v>1577015.9761331454</v>
      </c>
      <c r="H11" s="180">
        <f>315403.195226629-1000</f>
        <v>314403.19522662897</v>
      </c>
      <c r="I11" s="180">
        <v>1261612.7809065164</v>
      </c>
      <c r="J11" s="117">
        <f t="shared" si="1"/>
        <v>1576015.9761331454</v>
      </c>
      <c r="K11" s="140">
        <f t="shared" si="7"/>
        <v>314403.19522662897</v>
      </c>
      <c r="L11" s="73">
        <f t="shared" si="2"/>
        <v>1261612.7809065164</v>
      </c>
      <c r="M11" s="73">
        <f t="shared" si="3"/>
        <v>1576015.9761331454</v>
      </c>
      <c r="N11" s="301">
        <f t="shared" si="4"/>
        <v>292394.97156076494</v>
      </c>
      <c r="O11" s="301">
        <f t="shared" si="5"/>
        <v>1173299.8862430602</v>
      </c>
      <c r="P11" s="300">
        <f t="shared" si="6"/>
        <v>1465694.8578038253</v>
      </c>
    </row>
    <row r="12" spans="1:16" x14ac:dyDescent="0.25">
      <c r="A12" s="36">
        <v>7</v>
      </c>
      <c r="B12" s="46" t="s">
        <v>8</v>
      </c>
      <c r="C12" s="33" t="s">
        <v>153</v>
      </c>
      <c r="D12" s="88">
        <v>170755.55321593414</v>
      </c>
      <c r="E12" s="91">
        <v>46103.999368302204</v>
      </c>
      <c r="F12" s="91">
        <v>184415.9974732089</v>
      </c>
      <c r="G12" s="92">
        <f t="shared" si="0"/>
        <v>230519.99684151111</v>
      </c>
      <c r="H12" s="180">
        <f>46103.9993683022-1000</f>
        <v>45103.999368302197</v>
      </c>
      <c r="I12" s="180">
        <v>184415.9974732089</v>
      </c>
      <c r="J12" s="117">
        <f t="shared" si="1"/>
        <v>229519.99684151111</v>
      </c>
      <c r="K12" s="140">
        <f t="shared" si="7"/>
        <v>45103.999368302197</v>
      </c>
      <c r="L12" s="73">
        <f t="shared" si="2"/>
        <v>184415.9974732089</v>
      </c>
      <c r="M12" s="73">
        <f t="shared" si="3"/>
        <v>229519.99684151111</v>
      </c>
      <c r="N12" s="301">
        <f t="shared" si="4"/>
        <v>41946.719412521044</v>
      </c>
      <c r="O12" s="301">
        <f t="shared" si="5"/>
        <v>171506.87765008427</v>
      </c>
      <c r="P12" s="300">
        <f t="shared" si="6"/>
        <v>213453.59706260532</v>
      </c>
    </row>
    <row r="13" spans="1:16" x14ac:dyDescent="0.25">
      <c r="A13" s="36">
        <v>8</v>
      </c>
      <c r="B13" s="46" t="s">
        <v>157</v>
      </c>
      <c r="C13" s="33" t="s">
        <v>153</v>
      </c>
      <c r="D13" s="88">
        <v>219542.85413477247</v>
      </c>
      <c r="E13" s="91">
        <v>59276.570616388548</v>
      </c>
      <c r="F13" s="91">
        <v>237106.28246555428</v>
      </c>
      <c r="G13" s="92">
        <f t="shared" si="0"/>
        <v>296382.85308194283</v>
      </c>
      <c r="H13" s="180">
        <f>59276.5706163885-1000</f>
        <v>58276.570616388497</v>
      </c>
      <c r="I13" s="180">
        <v>237106.28246555428</v>
      </c>
      <c r="J13" s="117">
        <f t="shared" si="1"/>
        <v>295382.85308194277</v>
      </c>
      <c r="K13" s="140">
        <f t="shared" si="7"/>
        <v>58276.570616388497</v>
      </c>
      <c r="L13" s="73">
        <f t="shared" si="2"/>
        <v>237106.28246555428</v>
      </c>
      <c r="M13" s="73">
        <f t="shared" si="3"/>
        <v>295382.85308194277</v>
      </c>
      <c r="N13" s="301">
        <f t="shared" si="4"/>
        <v>54197.210673241301</v>
      </c>
      <c r="O13" s="301">
        <f t="shared" si="5"/>
        <v>220508.84269296547</v>
      </c>
      <c r="P13" s="300">
        <f t="shared" si="6"/>
        <v>274706.05336620676</v>
      </c>
    </row>
    <row r="14" spans="1:16" x14ac:dyDescent="0.25">
      <c r="A14" s="36">
        <v>9</v>
      </c>
      <c r="B14" s="46" t="s">
        <v>10</v>
      </c>
      <c r="C14" s="33" t="s">
        <v>153</v>
      </c>
      <c r="D14" s="88">
        <v>172114.70040422253</v>
      </c>
      <c r="E14" s="91">
        <v>46470.969109140075</v>
      </c>
      <c r="F14" s="91">
        <v>185883.87643656036</v>
      </c>
      <c r="G14" s="92">
        <f t="shared" si="0"/>
        <v>232354.84554570043</v>
      </c>
      <c r="H14" s="180">
        <f>46470.9691091401-1000</f>
        <v>45470.969109140096</v>
      </c>
      <c r="I14" s="180">
        <v>185883.87643656036</v>
      </c>
      <c r="J14" s="117">
        <f t="shared" si="1"/>
        <v>231354.84554570046</v>
      </c>
      <c r="K14" s="140">
        <f t="shared" si="7"/>
        <v>45470.969109140096</v>
      </c>
      <c r="L14" s="73">
        <f t="shared" si="2"/>
        <v>185883.87643656036</v>
      </c>
      <c r="M14" s="73">
        <f t="shared" si="3"/>
        <v>231354.84554570046</v>
      </c>
      <c r="N14" s="301">
        <f t="shared" si="4"/>
        <v>42288.001271500289</v>
      </c>
      <c r="O14" s="301">
        <f t="shared" si="5"/>
        <v>172872.00508600113</v>
      </c>
      <c r="P14" s="300">
        <f t="shared" si="6"/>
        <v>215160.00635750141</v>
      </c>
    </row>
    <row r="15" spans="1:16" x14ac:dyDescent="0.25">
      <c r="A15" s="36">
        <v>10</v>
      </c>
      <c r="B15" s="46" t="s">
        <v>65</v>
      </c>
      <c r="C15" s="33" t="s">
        <v>153</v>
      </c>
      <c r="D15" s="88">
        <v>738775.07234519476</v>
      </c>
      <c r="E15" s="91">
        <v>199469.26953320252</v>
      </c>
      <c r="F15" s="91">
        <v>797877.07813281042</v>
      </c>
      <c r="G15" s="92">
        <f t="shared" si="0"/>
        <v>997346.34766601294</v>
      </c>
      <c r="H15" s="180">
        <f>199469.269533203-1000</f>
        <v>198469.26953320301</v>
      </c>
      <c r="I15" s="180">
        <v>797877.07813281042</v>
      </c>
      <c r="J15" s="117">
        <f t="shared" si="1"/>
        <v>996346.3476660134</v>
      </c>
      <c r="K15" s="140">
        <f t="shared" si="7"/>
        <v>198469.26953320301</v>
      </c>
      <c r="L15" s="73">
        <f t="shared" si="2"/>
        <v>797877.07813281042</v>
      </c>
      <c r="M15" s="73">
        <f t="shared" si="3"/>
        <v>996346.3476660134</v>
      </c>
      <c r="N15" s="301">
        <f t="shared" si="4"/>
        <v>184576.4206658788</v>
      </c>
      <c r="O15" s="301">
        <f t="shared" si="5"/>
        <v>742025.6826635137</v>
      </c>
      <c r="P15" s="300">
        <f t="shared" si="6"/>
        <v>926602.1033293925</v>
      </c>
    </row>
    <row r="16" spans="1:16" x14ac:dyDescent="0.25">
      <c r="A16" s="36">
        <v>11</v>
      </c>
      <c r="B16" s="46" t="s">
        <v>9</v>
      </c>
      <c r="C16" s="33" t="s">
        <v>153</v>
      </c>
      <c r="D16" s="88">
        <v>252571.49064248058</v>
      </c>
      <c r="E16" s="91">
        <v>68194.302473469754</v>
      </c>
      <c r="F16" s="91">
        <v>272777.20989387907</v>
      </c>
      <c r="G16" s="92">
        <f t="shared" si="0"/>
        <v>340971.51236734883</v>
      </c>
      <c r="H16" s="180">
        <f>68194.3024734698-1000</f>
        <v>67194.302473469797</v>
      </c>
      <c r="I16" s="180">
        <v>272777.20989387907</v>
      </c>
      <c r="J16" s="117">
        <f t="shared" si="1"/>
        <v>339971.51236734889</v>
      </c>
      <c r="K16" s="140">
        <f t="shared" si="7"/>
        <v>67194.302473469797</v>
      </c>
      <c r="L16" s="73">
        <f t="shared" si="2"/>
        <v>272777.20989387907</v>
      </c>
      <c r="M16" s="73">
        <f t="shared" si="3"/>
        <v>339971.51236734889</v>
      </c>
      <c r="N16" s="301">
        <f t="shared" si="4"/>
        <v>62490.701300326909</v>
      </c>
      <c r="O16" s="301">
        <f t="shared" si="5"/>
        <v>253682.80520130752</v>
      </c>
      <c r="P16" s="300">
        <f t="shared" si="6"/>
        <v>316173.50650163443</v>
      </c>
    </row>
    <row r="17" spans="1:16" x14ac:dyDescent="0.2">
      <c r="A17" s="36">
        <v>12</v>
      </c>
      <c r="B17" s="47" t="s">
        <v>158</v>
      </c>
      <c r="C17" s="33" t="s">
        <v>153</v>
      </c>
      <c r="D17" s="88">
        <v>7050917.6942846403</v>
      </c>
      <c r="E17" s="91">
        <v>1833238.6005140059</v>
      </c>
      <c r="F17" s="91">
        <v>7332954.4020560272</v>
      </c>
      <c r="G17" s="92">
        <f t="shared" si="0"/>
        <v>9166193.0025700331</v>
      </c>
      <c r="H17" s="180">
        <f>1833238.60051401-1000</f>
        <v>1832238.6005140101</v>
      </c>
      <c r="I17" s="180">
        <v>7332954.4020560272</v>
      </c>
      <c r="J17" s="117">
        <f t="shared" si="1"/>
        <v>9165193.0025700368</v>
      </c>
      <c r="K17" s="140">
        <f t="shared" si="7"/>
        <v>1832238.6005140101</v>
      </c>
      <c r="L17" s="73">
        <f t="shared" si="2"/>
        <v>7332954.4020560272</v>
      </c>
      <c r="M17" s="73">
        <f t="shared" si="3"/>
        <v>9165193.0025700368</v>
      </c>
      <c r="N17" s="301">
        <f t="shared" si="4"/>
        <v>1703981.8984780293</v>
      </c>
      <c r="O17" s="301">
        <f t="shared" si="5"/>
        <v>6819647.5939121051</v>
      </c>
      <c r="P17" s="300">
        <f t="shared" si="6"/>
        <v>8523629.4923901334</v>
      </c>
    </row>
    <row r="18" spans="1:16" x14ac:dyDescent="0.25">
      <c r="A18" s="36">
        <v>13</v>
      </c>
      <c r="B18" s="46" t="s">
        <v>2</v>
      </c>
      <c r="C18" s="33" t="s">
        <v>153</v>
      </c>
      <c r="D18" s="88">
        <v>525587.08261741546</v>
      </c>
      <c r="E18" s="91">
        <v>141908.51230670221</v>
      </c>
      <c r="F18" s="91">
        <v>567634.04922680871</v>
      </c>
      <c r="G18" s="92">
        <f t="shared" si="0"/>
        <v>709542.56153351092</v>
      </c>
      <c r="H18" s="180">
        <f>141908.512306702-1000</f>
        <v>140908.512306702</v>
      </c>
      <c r="I18" s="180">
        <v>567634.04922680871</v>
      </c>
      <c r="J18" s="117">
        <f t="shared" si="1"/>
        <v>708542.56153351068</v>
      </c>
      <c r="K18" s="140">
        <f t="shared" si="7"/>
        <v>140908.512306702</v>
      </c>
      <c r="L18" s="73">
        <f t="shared" si="2"/>
        <v>567634.04922680871</v>
      </c>
      <c r="M18" s="73">
        <f t="shared" si="3"/>
        <v>708542.56153351068</v>
      </c>
      <c r="N18" s="301">
        <f t="shared" si="4"/>
        <v>131044.91644523287</v>
      </c>
      <c r="O18" s="301">
        <f t="shared" si="5"/>
        <v>527899.66578093206</v>
      </c>
      <c r="P18" s="300">
        <f t="shared" si="6"/>
        <v>658944.58222616487</v>
      </c>
    </row>
    <row r="19" spans="1:16" x14ac:dyDescent="0.25">
      <c r="A19" s="36">
        <v>14</v>
      </c>
      <c r="B19" s="46" t="s">
        <v>3</v>
      </c>
      <c r="C19" s="33" t="s">
        <v>153</v>
      </c>
      <c r="D19" s="88">
        <v>525587.08261741546</v>
      </c>
      <c r="E19" s="91">
        <v>141908.51230670221</v>
      </c>
      <c r="F19" s="91">
        <v>567634.04922680871</v>
      </c>
      <c r="G19" s="92">
        <f t="shared" si="0"/>
        <v>709542.56153351092</v>
      </c>
      <c r="H19" s="180">
        <f>141908.512306702-1000</f>
        <v>140908.512306702</v>
      </c>
      <c r="I19" s="180">
        <v>567634.04922680871</v>
      </c>
      <c r="J19" s="117">
        <f t="shared" si="1"/>
        <v>708542.56153351068</v>
      </c>
      <c r="K19" s="140">
        <f t="shared" si="7"/>
        <v>140908.512306702</v>
      </c>
      <c r="L19" s="73">
        <f t="shared" si="2"/>
        <v>567634.04922680871</v>
      </c>
      <c r="M19" s="73">
        <f t="shared" si="3"/>
        <v>708542.56153351068</v>
      </c>
      <c r="N19" s="301">
        <f t="shared" si="4"/>
        <v>131044.91644523287</v>
      </c>
      <c r="O19" s="301">
        <f t="shared" si="5"/>
        <v>527899.66578093206</v>
      </c>
      <c r="P19" s="300">
        <f t="shared" si="6"/>
        <v>658944.58222616487</v>
      </c>
    </row>
    <row r="20" spans="1:16" x14ac:dyDescent="0.25">
      <c r="A20" s="36">
        <v>15</v>
      </c>
      <c r="B20" s="46" t="s">
        <v>15</v>
      </c>
      <c r="C20" s="33" t="s">
        <v>153</v>
      </c>
      <c r="D20" s="88">
        <v>1608263.1560755817</v>
      </c>
      <c r="E20" s="91">
        <v>411715.36795534892</v>
      </c>
      <c r="F20" s="91">
        <v>1646861.4718213957</v>
      </c>
      <c r="G20" s="92">
        <f t="shared" si="0"/>
        <v>2058576.8397767446</v>
      </c>
      <c r="H20" s="180">
        <f>411715.367955349-1000</f>
        <v>410715.36795534898</v>
      </c>
      <c r="I20" s="180">
        <v>1646861.4718213957</v>
      </c>
      <c r="J20" s="117">
        <f t="shared" si="1"/>
        <v>2057576.8397767446</v>
      </c>
      <c r="K20" s="140">
        <f t="shared" si="7"/>
        <v>410715.36795534898</v>
      </c>
      <c r="L20" s="73">
        <f t="shared" si="2"/>
        <v>1646861.4718213957</v>
      </c>
      <c r="M20" s="73">
        <f t="shared" si="3"/>
        <v>2057576.8397767446</v>
      </c>
      <c r="N20" s="301">
        <f t="shared" si="4"/>
        <v>381965.29219847452</v>
      </c>
      <c r="O20" s="301">
        <f t="shared" si="5"/>
        <v>1531581.1687938981</v>
      </c>
      <c r="P20" s="300">
        <f t="shared" si="6"/>
        <v>1913546.4609923726</v>
      </c>
    </row>
    <row r="21" spans="1:16" x14ac:dyDescent="0.25">
      <c r="A21" s="36">
        <v>16</v>
      </c>
      <c r="B21" s="46" t="s">
        <v>105</v>
      </c>
      <c r="C21" s="33" t="s">
        <v>153</v>
      </c>
      <c r="D21" s="88">
        <v>492568.32650926639</v>
      </c>
      <c r="E21" s="91">
        <v>132993.44815750187</v>
      </c>
      <c r="F21" s="91">
        <v>531973.79263000784</v>
      </c>
      <c r="G21" s="92">
        <f t="shared" si="0"/>
        <v>664967.24078750971</v>
      </c>
      <c r="H21" s="180">
        <f>132993.448157502-1000</f>
        <v>131993.44815750199</v>
      </c>
      <c r="I21" s="180">
        <v>531973.79263000784</v>
      </c>
      <c r="J21" s="117">
        <f t="shared" si="1"/>
        <v>663967.24078750983</v>
      </c>
      <c r="K21" s="140">
        <f t="shared" si="7"/>
        <v>131993.44815750199</v>
      </c>
      <c r="L21" s="73">
        <f t="shared" si="2"/>
        <v>531973.79263000784</v>
      </c>
      <c r="M21" s="73">
        <f t="shared" si="3"/>
        <v>663967.24078750983</v>
      </c>
      <c r="N21" s="301">
        <f t="shared" si="4"/>
        <v>122753.90678647684</v>
      </c>
      <c r="O21" s="301">
        <f t="shared" si="5"/>
        <v>494735.62714590726</v>
      </c>
      <c r="P21" s="300">
        <f t="shared" si="6"/>
        <v>617489.5339323841</v>
      </c>
    </row>
    <row r="22" spans="1:16" x14ac:dyDescent="0.25">
      <c r="A22" s="36">
        <v>17</v>
      </c>
      <c r="B22" s="46" t="s">
        <v>106</v>
      </c>
      <c r="C22" s="33" t="s">
        <v>153</v>
      </c>
      <c r="D22" s="88">
        <v>664064.3686555106</v>
      </c>
      <c r="E22" s="91">
        <v>179297.37953698786</v>
      </c>
      <c r="F22" s="91">
        <v>717189.51814795146</v>
      </c>
      <c r="G22" s="92">
        <f t="shared" si="0"/>
        <v>896486.89768493932</v>
      </c>
      <c r="H22" s="180">
        <f>179297.379536988-1000</f>
        <v>178297.37953698801</v>
      </c>
      <c r="I22" s="180">
        <v>717189.51814795146</v>
      </c>
      <c r="J22" s="117">
        <f t="shared" si="1"/>
        <v>895486.89768493944</v>
      </c>
      <c r="K22" s="140">
        <f t="shared" si="7"/>
        <v>178297.37953698801</v>
      </c>
      <c r="L22" s="73">
        <f t="shared" si="2"/>
        <v>717189.51814795146</v>
      </c>
      <c r="M22" s="73">
        <f t="shared" si="3"/>
        <v>895486.89768493944</v>
      </c>
      <c r="N22" s="301">
        <f t="shared" si="4"/>
        <v>165816.56296939886</v>
      </c>
      <c r="O22" s="301">
        <f t="shared" si="5"/>
        <v>666986.25187759486</v>
      </c>
      <c r="P22" s="300">
        <f t="shared" si="6"/>
        <v>832802.81484699366</v>
      </c>
    </row>
    <row r="23" spans="1:16" x14ac:dyDescent="0.25">
      <c r="A23" s="36">
        <v>18</v>
      </c>
      <c r="B23" s="46" t="s">
        <v>6</v>
      </c>
      <c r="C23" s="33" t="s">
        <v>153</v>
      </c>
      <c r="D23" s="88">
        <v>780417.52726609167</v>
      </c>
      <c r="E23" s="91">
        <v>199786.88698011939</v>
      </c>
      <c r="F23" s="91">
        <v>799147.54792047793</v>
      </c>
      <c r="G23" s="92">
        <f t="shared" si="0"/>
        <v>998934.43490059732</v>
      </c>
      <c r="H23" s="180">
        <f>199786.886980119-1000</f>
        <v>198786.88698011899</v>
      </c>
      <c r="I23" s="180">
        <v>799147.54792047793</v>
      </c>
      <c r="J23" s="117">
        <f t="shared" si="1"/>
        <v>997934.43490059697</v>
      </c>
      <c r="K23" s="140">
        <f t="shared" si="7"/>
        <v>198786.88698011899</v>
      </c>
      <c r="L23" s="73">
        <f t="shared" si="2"/>
        <v>799147.54792047793</v>
      </c>
      <c r="M23" s="73">
        <f t="shared" si="3"/>
        <v>997934.43490059697</v>
      </c>
      <c r="N23" s="301">
        <f t="shared" si="4"/>
        <v>184871.80489151066</v>
      </c>
      <c r="O23" s="301">
        <f t="shared" si="5"/>
        <v>743207.21956604451</v>
      </c>
      <c r="P23" s="300">
        <f t="shared" si="6"/>
        <v>928079.02445755515</v>
      </c>
    </row>
    <row r="24" spans="1:16" x14ac:dyDescent="0.25">
      <c r="A24" s="36">
        <v>19</v>
      </c>
      <c r="B24" s="46" t="s">
        <v>159</v>
      </c>
      <c r="C24" s="33" t="s">
        <v>153</v>
      </c>
      <c r="D24" s="88">
        <v>2156790.2571717435</v>
      </c>
      <c r="E24" s="91">
        <v>552138.30583596649</v>
      </c>
      <c r="F24" s="91">
        <v>2208553.2233438655</v>
      </c>
      <c r="G24" s="92">
        <f t="shared" si="0"/>
        <v>2760691.529179832</v>
      </c>
      <c r="H24" s="180">
        <f>552138.305835966-1000</f>
        <v>551138.30583596602</v>
      </c>
      <c r="I24" s="180">
        <v>2208553.2233438655</v>
      </c>
      <c r="J24" s="117">
        <f t="shared" si="1"/>
        <v>2759691.5291798315</v>
      </c>
      <c r="K24" s="140">
        <f t="shared" si="7"/>
        <v>551138.30583596602</v>
      </c>
      <c r="L24" s="73">
        <f t="shared" si="2"/>
        <v>2208553.2233438655</v>
      </c>
      <c r="M24" s="73">
        <f t="shared" si="3"/>
        <v>2759691.5291798315</v>
      </c>
      <c r="N24" s="301">
        <f t="shared" si="4"/>
        <v>512558.62442744838</v>
      </c>
      <c r="O24" s="301">
        <f t="shared" si="5"/>
        <v>2053954.4977097949</v>
      </c>
      <c r="P24" s="300">
        <f t="shared" si="6"/>
        <v>2566513.1221372434</v>
      </c>
    </row>
    <row r="25" spans="1:16" ht="11.25" customHeight="1" x14ac:dyDescent="0.25">
      <c r="A25" s="36">
        <v>20</v>
      </c>
      <c r="B25" s="46" t="s">
        <v>160</v>
      </c>
      <c r="C25" s="33" t="s">
        <v>153</v>
      </c>
      <c r="D25" s="88">
        <v>187292.7</v>
      </c>
      <c r="E25" s="91">
        <v>50569.02899999998</v>
      </c>
      <c r="F25" s="91">
        <v>202276.11600000004</v>
      </c>
      <c r="G25" s="92">
        <f t="shared" si="0"/>
        <v>252845.14500000002</v>
      </c>
      <c r="H25" s="180">
        <f>50569.029-1000</f>
        <v>49569.029000000002</v>
      </c>
      <c r="I25" s="180">
        <v>202276.11600000004</v>
      </c>
      <c r="J25" s="117">
        <f t="shared" si="1"/>
        <v>251845.14500000005</v>
      </c>
      <c r="K25" s="140">
        <f t="shared" si="7"/>
        <v>49569.029000000002</v>
      </c>
      <c r="L25" s="73">
        <f t="shared" si="2"/>
        <v>202276.11600000004</v>
      </c>
      <c r="M25" s="73">
        <f t="shared" si="3"/>
        <v>251845.14500000005</v>
      </c>
      <c r="N25" s="301">
        <f t="shared" si="4"/>
        <v>46099.196970000005</v>
      </c>
      <c r="O25" s="301">
        <f t="shared" si="5"/>
        <v>188116.78788000005</v>
      </c>
      <c r="P25" s="300">
        <f t="shared" si="6"/>
        <v>234215.98485000007</v>
      </c>
    </row>
    <row r="26" spans="1:16" x14ac:dyDescent="0.25">
      <c r="A26" s="36">
        <v>21</v>
      </c>
      <c r="B26" s="46" t="s">
        <v>107</v>
      </c>
      <c r="C26" s="33" t="s">
        <v>153</v>
      </c>
      <c r="D26" s="88">
        <v>2833217.6916454667</v>
      </c>
      <c r="E26" s="91">
        <v>736636.59982782137</v>
      </c>
      <c r="F26" s="91">
        <v>2946546.3993112855</v>
      </c>
      <c r="G26" s="92">
        <f t="shared" si="0"/>
        <v>3683182.9991391068</v>
      </c>
      <c r="H26" s="180">
        <f>736636.599827821-1000</f>
        <v>735636.59982782102</v>
      </c>
      <c r="I26" s="180">
        <v>2946546.3993112855</v>
      </c>
      <c r="J26" s="117">
        <f t="shared" si="1"/>
        <v>3682182.9991391064</v>
      </c>
      <c r="K26" s="140">
        <f t="shared" si="7"/>
        <v>735636.59982782102</v>
      </c>
      <c r="L26" s="73">
        <f t="shared" si="2"/>
        <v>2946546.3993112855</v>
      </c>
      <c r="M26" s="73">
        <f t="shared" si="3"/>
        <v>3682182.9991391064</v>
      </c>
      <c r="N26" s="301">
        <f t="shared" si="4"/>
        <v>684142.03783987358</v>
      </c>
      <c r="O26" s="301">
        <f t="shared" si="5"/>
        <v>2740288.1513594957</v>
      </c>
      <c r="P26" s="300">
        <f t="shared" si="6"/>
        <v>3424430.1891993694</v>
      </c>
    </row>
    <row r="27" spans="1:16" x14ac:dyDescent="0.25">
      <c r="A27" s="36">
        <v>22</v>
      </c>
      <c r="B27" s="46" t="s">
        <v>278</v>
      </c>
      <c r="C27" s="33" t="s">
        <v>153</v>
      </c>
      <c r="D27" s="88">
        <v>475613.70911180845</v>
      </c>
      <c r="E27" s="91">
        <v>128415.70146018825</v>
      </c>
      <c r="F27" s="91">
        <v>513662.80584075325</v>
      </c>
      <c r="G27" s="92">
        <f t="shared" si="0"/>
        <v>642078.50730094151</v>
      </c>
      <c r="H27" s="180">
        <f>128415.701460188-1000</f>
        <v>127415.70146018799</v>
      </c>
      <c r="I27" s="180">
        <v>513662.80584075325</v>
      </c>
      <c r="J27" s="117">
        <f t="shared" si="1"/>
        <v>641078.50730094127</v>
      </c>
      <c r="K27" s="140">
        <f t="shared" si="7"/>
        <v>127415.70146018799</v>
      </c>
      <c r="L27" s="73">
        <f t="shared" si="2"/>
        <v>513662.80584075325</v>
      </c>
      <c r="M27" s="73">
        <f t="shared" si="3"/>
        <v>641078.50730094127</v>
      </c>
      <c r="N27" s="301">
        <f t="shared" si="4"/>
        <v>118496.60235797483</v>
      </c>
      <c r="O27" s="301">
        <f t="shared" si="5"/>
        <v>477706.40943190054</v>
      </c>
      <c r="P27" s="300">
        <f t="shared" si="6"/>
        <v>596203.01178987534</v>
      </c>
    </row>
    <row r="28" spans="1:16" x14ac:dyDescent="0.2">
      <c r="A28" s="36">
        <v>23</v>
      </c>
      <c r="B28" s="47" t="s">
        <v>132</v>
      </c>
      <c r="C28" s="33" t="s">
        <v>153</v>
      </c>
      <c r="D28" s="88">
        <v>896346.42253003106</v>
      </c>
      <c r="E28" s="91">
        <v>229464.6841676879</v>
      </c>
      <c r="F28" s="91">
        <v>917858.73667075194</v>
      </c>
      <c r="G28" s="92">
        <f t="shared" si="0"/>
        <v>1147323.4208384398</v>
      </c>
      <c r="H28" s="180">
        <f>229464.684167688-1000</f>
        <v>228464.68416768801</v>
      </c>
      <c r="I28" s="180">
        <v>917858.73667075194</v>
      </c>
      <c r="J28" s="117">
        <f t="shared" si="1"/>
        <v>1146323.4208384398</v>
      </c>
      <c r="K28" s="140">
        <f t="shared" si="7"/>
        <v>228464.68416768801</v>
      </c>
      <c r="L28" s="73">
        <f t="shared" si="2"/>
        <v>917858.73667075194</v>
      </c>
      <c r="M28" s="73">
        <f t="shared" si="3"/>
        <v>1146323.4208384398</v>
      </c>
      <c r="N28" s="301">
        <f t="shared" si="4"/>
        <v>212472.15627594985</v>
      </c>
      <c r="O28" s="301">
        <f t="shared" si="5"/>
        <v>853608.62510379928</v>
      </c>
      <c r="P28" s="300">
        <f t="shared" si="6"/>
        <v>1066080.7813797491</v>
      </c>
    </row>
    <row r="29" spans="1:16" x14ac:dyDescent="0.2">
      <c r="A29" s="36">
        <v>24</v>
      </c>
      <c r="B29" s="47" t="s">
        <v>149</v>
      </c>
      <c r="C29" s="33" t="s">
        <v>153</v>
      </c>
      <c r="D29" s="88">
        <v>421223.975107559</v>
      </c>
      <c r="E29" s="91">
        <v>113730.47327904089</v>
      </c>
      <c r="F29" s="91">
        <v>454921.89311616379</v>
      </c>
      <c r="G29" s="92">
        <f t="shared" si="0"/>
        <v>568652.36639520468</v>
      </c>
      <c r="H29" s="180">
        <f>113730.473279041-1000</f>
        <v>112730.47327904101</v>
      </c>
      <c r="I29" s="180">
        <v>454921.89311616379</v>
      </c>
      <c r="J29" s="117">
        <f t="shared" si="1"/>
        <v>567652.36639520479</v>
      </c>
      <c r="K29" s="140">
        <f t="shared" si="7"/>
        <v>112730.47327904101</v>
      </c>
      <c r="L29" s="73">
        <f t="shared" si="2"/>
        <v>454921.89311616379</v>
      </c>
      <c r="M29" s="73">
        <f t="shared" si="3"/>
        <v>567652.36639520479</v>
      </c>
      <c r="N29" s="301">
        <f t="shared" si="4"/>
        <v>104839.34014950813</v>
      </c>
      <c r="O29" s="301">
        <f t="shared" si="5"/>
        <v>423077.3605980323</v>
      </c>
      <c r="P29" s="300">
        <f t="shared" si="6"/>
        <v>527916.70074754045</v>
      </c>
    </row>
    <row r="30" spans="1:16" x14ac:dyDescent="0.25">
      <c r="A30" s="36">
        <v>25</v>
      </c>
      <c r="B30" s="46" t="s">
        <v>11</v>
      </c>
      <c r="C30" s="33" t="s">
        <v>153</v>
      </c>
      <c r="D30" s="88">
        <v>265373.17597156181</v>
      </c>
      <c r="E30" s="91">
        <v>71650.757512321696</v>
      </c>
      <c r="F30" s="91">
        <v>286603.03004928678</v>
      </c>
      <c r="G30" s="92">
        <f t="shared" si="0"/>
        <v>358253.78756160848</v>
      </c>
      <c r="H30" s="180">
        <f>71650.7575123217-1000</f>
        <v>70650.757512321696</v>
      </c>
      <c r="I30" s="180">
        <v>286603.03004928678</v>
      </c>
      <c r="J30" s="117">
        <f t="shared" si="1"/>
        <v>357253.78756160848</v>
      </c>
      <c r="K30" s="140">
        <f t="shared" si="7"/>
        <v>70650.757512321696</v>
      </c>
      <c r="L30" s="73">
        <f t="shared" si="2"/>
        <v>286603.03004928678</v>
      </c>
      <c r="M30" s="73">
        <f t="shared" si="3"/>
        <v>357253.78756160848</v>
      </c>
      <c r="N30" s="301">
        <f t="shared" si="4"/>
        <v>65705.204486459173</v>
      </c>
      <c r="O30" s="301">
        <f t="shared" si="5"/>
        <v>266540.81794583669</v>
      </c>
      <c r="P30" s="300">
        <f t="shared" si="6"/>
        <v>332246.02243229584</v>
      </c>
    </row>
    <row r="31" spans="1:16" x14ac:dyDescent="0.2">
      <c r="A31" s="36">
        <v>26</v>
      </c>
      <c r="B31" s="47" t="s">
        <v>66</v>
      </c>
      <c r="C31" s="33" t="s">
        <v>153</v>
      </c>
      <c r="D31" s="88">
        <v>418587.58280635829</v>
      </c>
      <c r="E31" s="91">
        <v>113018.64735771669</v>
      </c>
      <c r="F31" s="91">
        <v>452074.589430867</v>
      </c>
      <c r="G31" s="92">
        <f t="shared" si="0"/>
        <v>565093.23678858369</v>
      </c>
      <c r="H31" s="180">
        <f>113018.647357717-1000</f>
        <v>112018.647357717</v>
      </c>
      <c r="I31" s="180">
        <v>452074.589430867</v>
      </c>
      <c r="J31" s="117">
        <f t="shared" si="1"/>
        <v>564093.23678858404</v>
      </c>
      <c r="K31" s="140">
        <f t="shared" si="7"/>
        <v>112018.647357717</v>
      </c>
      <c r="L31" s="73">
        <f t="shared" si="2"/>
        <v>452074.589430867</v>
      </c>
      <c r="M31" s="73">
        <f t="shared" si="3"/>
        <v>564093.23678858404</v>
      </c>
      <c r="N31" s="301">
        <f t="shared" si="4"/>
        <v>104177.34204267681</v>
      </c>
      <c r="O31" s="301">
        <f t="shared" si="5"/>
        <v>420429.36817070632</v>
      </c>
      <c r="P31" s="300">
        <f t="shared" si="6"/>
        <v>524606.71021338319</v>
      </c>
    </row>
    <row r="32" spans="1:16" x14ac:dyDescent="0.25">
      <c r="A32" s="36">
        <v>27</v>
      </c>
      <c r="B32" s="46" t="s">
        <v>101</v>
      </c>
      <c r="C32" s="33" t="s">
        <v>153</v>
      </c>
      <c r="D32" s="88">
        <v>1369278.0251123239</v>
      </c>
      <c r="E32" s="91">
        <v>350535.17442875495</v>
      </c>
      <c r="F32" s="91">
        <v>1402140.6977150198</v>
      </c>
      <c r="G32" s="92">
        <f t="shared" si="0"/>
        <v>1752675.8721437748</v>
      </c>
      <c r="H32" s="180">
        <f>350535.174428755-1000</f>
        <v>349535.17442875501</v>
      </c>
      <c r="I32" s="180">
        <v>1402140.6977150198</v>
      </c>
      <c r="J32" s="117">
        <f t="shared" si="1"/>
        <v>1751675.8721437748</v>
      </c>
      <c r="K32" s="140">
        <f t="shared" si="7"/>
        <v>349535.17442875501</v>
      </c>
      <c r="L32" s="73">
        <f t="shared" si="2"/>
        <v>1402140.6977150198</v>
      </c>
      <c r="M32" s="73">
        <f t="shared" si="3"/>
        <v>1751675.8721437748</v>
      </c>
      <c r="N32" s="301">
        <f t="shared" si="4"/>
        <v>325067.71221874218</v>
      </c>
      <c r="O32" s="301">
        <f t="shared" si="5"/>
        <v>1303990.8488749685</v>
      </c>
      <c r="P32" s="300">
        <f t="shared" si="6"/>
        <v>1629058.5610937106</v>
      </c>
    </row>
    <row r="33" spans="1:16" x14ac:dyDescent="0.25">
      <c r="A33" s="36">
        <v>28</v>
      </c>
      <c r="B33" s="46" t="s">
        <v>161</v>
      </c>
      <c r="C33" s="33" t="s">
        <v>153</v>
      </c>
      <c r="D33" s="88">
        <v>258572.69486984311</v>
      </c>
      <c r="E33" s="91">
        <v>69814.627614857629</v>
      </c>
      <c r="F33" s="91">
        <v>279258.51045943057</v>
      </c>
      <c r="G33" s="92">
        <f t="shared" si="0"/>
        <v>349073.1380742882</v>
      </c>
      <c r="H33" s="180">
        <f>69814.6276148576-1000</f>
        <v>68814.6276148576</v>
      </c>
      <c r="I33" s="180">
        <v>279258.51045943057</v>
      </c>
      <c r="J33" s="117">
        <f t="shared" si="1"/>
        <v>348073.13807428814</v>
      </c>
      <c r="K33" s="140">
        <f t="shared" si="7"/>
        <v>68814.6276148576</v>
      </c>
      <c r="L33" s="73">
        <f t="shared" si="2"/>
        <v>279258.51045943057</v>
      </c>
      <c r="M33" s="73">
        <f t="shared" si="3"/>
        <v>348073.13807428814</v>
      </c>
      <c r="N33" s="301">
        <f t="shared" si="4"/>
        <v>63997.603681817563</v>
      </c>
      <c r="O33" s="301">
        <f t="shared" si="5"/>
        <v>259710.41472727043</v>
      </c>
      <c r="P33" s="300">
        <f t="shared" si="6"/>
        <v>323708.01840908802</v>
      </c>
    </row>
    <row r="34" spans="1:16" x14ac:dyDescent="0.25">
      <c r="A34" s="36">
        <v>29</v>
      </c>
      <c r="B34" s="46" t="s">
        <v>13</v>
      </c>
      <c r="C34" s="33" t="s">
        <v>153</v>
      </c>
      <c r="D34" s="88">
        <v>1659731.4990228096</v>
      </c>
      <c r="E34" s="91">
        <v>424891.26374983927</v>
      </c>
      <c r="F34" s="91">
        <v>1699565.0549993571</v>
      </c>
      <c r="G34" s="92">
        <f t="shared" si="0"/>
        <v>2124456.3187491964</v>
      </c>
      <c r="H34" s="180">
        <f>424891.263749839-1000</f>
        <v>423891.26374983898</v>
      </c>
      <c r="I34" s="180">
        <v>1699565.0549993571</v>
      </c>
      <c r="J34" s="117">
        <f t="shared" si="1"/>
        <v>2123456.3187491959</v>
      </c>
      <c r="K34" s="140">
        <f t="shared" si="7"/>
        <v>423891.26374983898</v>
      </c>
      <c r="L34" s="73">
        <f t="shared" si="2"/>
        <v>1699565.0549993571</v>
      </c>
      <c r="M34" s="73">
        <f t="shared" si="3"/>
        <v>2123456.3187491959</v>
      </c>
      <c r="N34" s="301">
        <f t="shared" si="4"/>
        <v>394218.87528735027</v>
      </c>
      <c r="O34" s="301">
        <f t="shared" si="5"/>
        <v>1580595.501149402</v>
      </c>
      <c r="P34" s="300">
        <f t="shared" si="6"/>
        <v>1974814.3764367523</v>
      </c>
    </row>
    <row r="35" spans="1:16" x14ac:dyDescent="0.25">
      <c r="A35" s="36">
        <v>30</v>
      </c>
      <c r="B35" s="46" t="s">
        <v>14</v>
      </c>
      <c r="C35" s="33" t="s">
        <v>153</v>
      </c>
      <c r="D35" s="88">
        <v>173166</v>
      </c>
      <c r="E35" s="91">
        <v>46754.819999999978</v>
      </c>
      <c r="F35" s="91">
        <v>187019.28000000003</v>
      </c>
      <c r="G35" s="92">
        <f t="shared" si="0"/>
        <v>233774.1</v>
      </c>
      <c r="H35" s="180">
        <f>46754.82-1000</f>
        <v>45754.82</v>
      </c>
      <c r="I35" s="180">
        <v>187019.28000000003</v>
      </c>
      <c r="J35" s="117">
        <f t="shared" si="1"/>
        <v>232774.10000000003</v>
      </c>
      <c r="K35" s="140">
        <f t="shared" si="7"/>
        <v>45754.82</v>
      </c>
      <c r="L35" s="73">
        <f t="shared" si="2"/>
        <v>187019.28000000003</v>
      </c>
      <c r="M35" s="73">
        <f t="shared" si="3"/>
        <v>232774.10000000003</v>
      </c>
      <c r="N35" s="301">
        <f t="shared" si="4"/>
        <v>42551.982600000003</v>
      </c>
      <c r="O35" s="301">
        <f t="shared" si="5"/>
        <v>173927.93040000001</v>
      </c>
      <c r="P35" s="300">
        <f t="shared" si="6"/>
        <v>216479.913</v>
      </c>
    </row>
    <row r="36" spans="1:16" x14ac:dyDescent="0.2">
      <c r="A36" s="36">
        <v>31</v>
      </c>
      <c r="B36" s="47" t="s">
        <v>162</v>
      </c>
      <c r="C36" s="33" t="s">
        <v>153</v>
      </c>
      <c r="D36" s="88">
        <v>453721.89854519645</v>
      </c>
      <c r="E36" s="91">
        <v>122504.912607203</v>
      </c>
      <c r="F36" s="91">
        <v>490019.65042881225</v>
      </c>
      <c r="G36" s="92">
        <f t="shared" si="0"/>
        <v>612524.56303601526</v>
      </c>
      <c r="H36" s="180">
        <f>122504.912607203-1000</f>
        <v>121504.912607203</v>
      </c>
      <c r="I36" s="180">
        <v>490019.65042881225</v>
      </c>
      <c r="J36" s="117">
        <f t="shared" si="1"/>
        <v>611524.56303601526</v>
      </c>
      <c r="K36" s="140">
        <f t="shared" si="7"/>
        <v>121504.912607203</v>
      </c>
      <c r="L36" s="73">
        <f t="shared" si="2"/>
        <v>490019.65042881225</v>
      </c>
      <c r="M36" s="73">
        <f t="shared" si="3"/>
        <v>611524.56303601526</v>
      </c>
      <c r="N36" s="301">
        <f t="shared" si="4"/>
        <v>112999.56872469879</v>
      </c>
      <c r="O36" s="301">
        <f t="shared" si="5"/>
        <v>455718.27489879541</v>
      </c>
      <c r="P36" s="300">
        <f t="shared" si="6"/>
        <v>568717.84362349426</v>
      </c>
    </row>
    <row r="37" spans="1:16" x14ac:dyDescent="0.25">
      <c r="A37" s="36">
        <v>32</v>
      </c>
      <c r="B37" s="46" t="s">
        <v>151</v>
      </c>
      <c r="C37" s="33" t="s">
        <v>153</v>
      </c>
      <c r="D37" s="88">
        <v>104811</v>
      </c>
      <c r="E37" s="91">
        <v>28298.97</v>
      </c>
      <c r="F37" s="91">
        <v>113195.88</v>
      </c>
      <c r="G37" s="92">
        <f t="shared" si="0"/>
        <v>141494.85</v>
      </c>
      <c r="H37" s="180">
        <f>28298.97-1000</f>
        <v>27298.97</v>
      </c>
      <c r="I37" s="180">
        <v>113195.88</v>
      </c>
      <c r="J37" s="117">
        <f t="shared" si="1"/>
        <v>140494.85</v>
      </c>
      <c r="K37" s="140">
        <f t="shared" si="7"/>
        <v>27298.97</v>
      </c>
      <c r="L37" s="73">
        <f t="shared" si="2"/>
        <v>113195.88</v>
      </c>
      <c r="M37" s="73">
        <f t="shared" si="3"/>
        <v>140494.85</v>
      </c>
      <c r="N37" s="301">
        <f t="shared" si="4"/>
        <v>25388.042100000002</v>
      </c>
      <c r="O37" s="301">
        <f t="shared" si="5"/>
        <v>105272.16840000001</v>
      </c>
      <c r="P37" s="300">
        <f t="shared" si="6"/>
        <v>130660.21050000002</v>
      </c>
    </row>
    <row r="38" spans="1:16" x14ac:dyDescent="0.25">
      <c r="A38" s="36">
        <v>33</v>
      </c>
      <c r="B38" s="46" t="s">
        <v>163</v>
      </c>
      <c r="C38" s="33" t="s">
        <v>153</v>
      </c>
      <c r="D38" s="88">
        <v>229300.31431854016</v>
      </c>
      <c r="E38" s="91">
        <v>61911.08486600584</v>
      </c>
      <c r="F38" s="91">
        <v>247644.33946402339</v>
      </c>
      <c r="G38" s="92">
        <f t="shared" si="0"/>
        <v>309555.42433002923</v>
      </c>
      <c r="H38" s="180">
        <f>61911.0848660058-1000</f>
        <v>60911.084866005804</v>
      </c>
      <c r="I38" s="180">
        <v>247644.33946402339</v>
      </c>
      <c r="J38" s="117">
        <f t="shared" si="1"/>
        <v>308555.42433002917</v>
      </c>
      <c r="K38" s="140">
        <f t="shared" si="7"/>
        <v>60911.084866005804</v>
      </c>
      <c r="L38" s="73">
        <f t="shared" si="2"/>
        <v>247644.33946402339</v>
      </c>
      <c r="M38" s="73">
        <f t="shared" si="3"/>
        <v>308555.42433002917</v>
      </c>
      <c r="N38" s="301">
        <f t="shared" si="4"/>
        <v>56647.308925385398</v>
      </c>
      <c r="O38" s="301">
        <f t="shared" si="5"/>
        <v>230309.23570154177</v>
      </c>
      <c r="P38" s="300">
        <f t="shared" si="6"/>
        <v>286956.54462692718</v>
      </c>
    </row>
    <row r="39" spans="1:16" x14ac:dyDescent="0.25">
      <c r="A39" s="36">
        <v>34</v>
      </c>
      <c r="B39" s="46" t="s">
        <v>164</v>
      </c>
      <c r="C39" s="33" t="s">
        <v>153</v>
      </c>
      <c r="D39" s="88">
        <v>125079.64550637445</v>
      </c>
      <c r="E39" s="91">
        <v>33771.504286721087</v>
      </c>
      <c r="F39" s="91">
        <v>135086.01714688443</v>
      </c>
      <c r="G39" s="92">
        <f t="shared" si="0"/>
        <v>168857.52143360552</v>
      </c>
      <c r="H39" s="180">
        <f>33771.5042867211-1000</f>
        <v>32771.504286721101</v>
      </c>
      <c r="I39" s="180">
        <v>135086.01714688443</v>
      </c>
      <c r="J39" s="117">
        <f t="shared" si="1"/>
        <v>167857.52143360552</v>
      </c>
      <c r="K39" s="140">
        <f t="shared" si="7"/>
        <v>32771.504286721101</v>
      </c>
      <c r="L39" s="73">
        <f t="shared" si="2"/>
        <v>135086.01714688443</v>
      </c>
      <c r="M39" s="73">
        <f t="shared" si="3"/>
        <v>167857.52143360552</v>
      </c>
      <c r="N39" s="301">
        <f t="shared" si="4"/>
        <v>30477.498986650622</v>
      </c>
      <c r="O39" s="301">
        <f t="shared" si="5"/>
        <v>125629.99594660252</v>
      </c>
      <c r="P39" s="300">
        <f t="shared" si="6"/>
        <v>156107.49493325315</v>
      </c>
    </row>
    <row r="40" spans="1:16" x14ac:dyDescent="0.25">
      <c r="A40" s="36">
        <v>35</v>
      </c>
      <c r="B40" s="46" t="s">
        <v>165</v>
      </c>
      <c r="C40" s="33" t="s">
        <v>153</v>
      </c>
      <c r="D40" s="88">
        <v>151240.63284839882</v>
      </c>
      <c r="E40" s="91">
        <v>40834.970869067678</v>
      </c>
      <c r="F40" s="91">
        <v>163339.88347627074</v>
      </c>
      <c r="G40" s="92">
        <f t="shared" si="0"/>
        <v>204174.85434533842</v>
      </c>
      <c r="H40" s="180">
        <f>40834.9708690677-1000</f>
        <v>39834.9708690677</v>
      </c>
      <c r="I40" s="180">
        <v>163339.88347627074</v>
      </c>
      <c r="J40" s="117">
        <f t="shared" si="1"/>
        <v>203174.85434533845</v>
      </c>
      <c r="K40" s="140">
        <f t="shared" si="7"/>
        <v>39834.9708690677</v>
      </c>
      <c r="L40" s="73">
        <f t="shared" si="2"/>
        <v>163339.88347627074</v>
      </c>
      <c r="M40" s="73">
        <f t="shared" si="3"/>
        <v>203174.85434533845</v>
      </c>
      <c r="N40" s="301">
        <f t="shared" si="4"/>
        <v>37046.522908232961</v>
      </c>
      <c r="O40" s="301">
        <f t="shared" si="5"/>
        <v>151906.09163293178</v>
      </c>
      <c r="P40" s="300">
        <f t="shared" si="6"/>
        <v>188952.61454116474</v>
      </c>
    </row>
    <row r="41" spans="1:16" x14ac:dyDescent="0.25">
      <c r="A41" s="36">
        <v>36</v>
      </c>
      <c r="B41" s="46" t="s">
        <v>12</v>
      </c>
      <c r="C41" s="33" t="s">
        <v>153</v>
      </c>
      <c r="D41" s="88">
        <v>5830006.8403118653</v>
      </c>
      <c r="E41" s="91">
        <v>1515801.7784810849</v>
      </c>
      <c r="F41" s="91">
        <v>6063207.1139243403</v>
      </c>
      <c r="G41" s="92">
        <f t="shared" si="0"/>
        <v>7579008.8924054252</v>
      </c>
      <c r="H41" s="180">
        <f>1515801.77848108-1000</f>
        <v>1514801.77848108</v>
      </c>
      <c r="I41" s="180">
        <v>6063207.1139243403</v>
      </c>
      <c r="J41" s="117">
        <f t="shared" si="1"/>
        <v>7578008.8924054205</v>
      </c>
      <c r="K41" s="140">
        <f t="shared" si="7"/>
        <v>1514801.77848108</v>
      </c>
      <c r="L41" s="73">
        <f t="shared" si="2"/>
        <v>6063207.1139243403</v>
      </c>
      <c r="M41" s="73">
        <f t="shared" si="3"/>
        <v>7578008.8924054205</v>
      </c>
      <c r="N41" s="301">
        <f t="shared" si="4"/>
        <v>1408765.6539874044</v>
      </c>
      <c r="O41" s="301">
        <f t="shared" si="5"/>
        <v>5638782.6159496363</v>
      </c>
      <c r="P41" s="300">
        <f t="shared" si="6"/>
        <v>7047548.2699370403</v>
      </c>
    </row>
    <row r="42" spans="1:16" x14ac:dyDescent="0.25">
      <c r="A42" s="36">
        <v>37</v>
      </c>
      <c r="B42" s="46" t="s">
        <v>166</v>
      </c>
      <c r="C42" s="33" t="s">
        <v>153</v>
      </c>
      <c r="D42" s="88">
        <v>1093680</v>
      </c>
      <c r="E42" s="91">
        <v>279982.08000000007</v>
      </c>
      <c r="F42" s="91">
        <v>1119928.3200000001</v>
      </c>
      <c r="G42" s="92">
        <f t="shared" si="0"/>
        <v>1399910.4000000001</v>
      </c>
      <c r="H42" s="180">
        <f>279982.08-1000</f>
        <v>278982.08</v>
      </c>
      <c r="I42" s="180">
        <v>1119928.3200000001</v>
      </c>
      <c r="J42" s="117">
        <f t="shared" si="1"/>
        <v>1398910.4000000001</v>
      </c>
      <c r="K42" s="140">
        <f t="shared" si="7"/>
        <v>278982.08</v>
      </c>
      <c r="L42" s="73">
        <f t="shared" si="2"/>
        <v>1119928.3200000001</v>
      </c>
      <c r="M42" s="73">
        <f t="shared" si="3"/>
        <v>1398910.4000000001</v>
      </c>
      <c r="N42" s="301">
        <f t="shared" si="4"/>
        <v>259453.33440000002</v>
      </c>
      <c r="O42" s="301">
        <f t="shared" si="5"/>
        <v>1041533.3376000001</v>
      </c>
      <c r="P42" s="300">
        <f t="shared" si="6"/>
        <v>1300986.672</v>
      </c>
    </row>
    <row r="43" spans="1:16" x14ac:dyDescent="0.25">
      <c r="A43" s="36">
        <v>38</v>
      </c>
      <c r="B43" s="46" t="s">
        <v>7</v>
      </c>
      <c r="C43" s="33" t="s">
        <v>153</v>
      </c>
      <c r="D43" s="88">
        <v>280039.10727413191</v>
      </c>
      <c r="E43" s="91">
        <v>75610.558964015625</v>
      </c>
      <c r="F43" s="91">
        <v>302442.2358560625</v>
      </c>
      <c r="G43" s="92">
        <f t="shared" si="0"/>
        <v>378052.79482007812</v>
      </c>
      <c r="H43" s="180">
        <f>75610.5589640156-1000</f>
        <v>74610.558964015596</v>
      </c>
      <c r="I43" s="180">
        <v>302442.2358560625</v>
      </c>
      <c r="J43" s="117">
        <f t="shared" si="1"/>
        <v>377052.79482007807</v>
      </c>
      <c r="K43" s="140">
        <f t="shared" si="7"/>
        <v>74610.558964015596</v>
      </c>
      <c r="L43" s="73">
        <f t="shared" si="2"/>
        <v>302442.2358560625</v>
      </c>
      <c r="M43" s="73">
        <f t="shared" si="3"/>
        <v>377052.79482007807</v>
      </c>
      <c r="N43" s="301">
        <f t="shared" si="4"/>
        <v>69387.819836534502</v>
      </c>
      <c r="O43" s="301">
        <f t="shared" si="5"/>
        <v>281271.27934613812</v>
      </c>
      <c r="P43" s="300">
        <f t="shared" si="6"/>
        <v>350659.09918267262</v>
      </c>
    </row>
    <row r="44" spans="1:16" x14ac:dyDescent="0.2">
      <c r="A44" s="36">
        <v>39</v>
      </c>
      <c r="B44" s="47" t="s">
        <v>353</v>
      </c>
      <c r="C44" s="33" t="s">
        <v>153</v>
      </c>
      <c r="D44" s="88">
        <v>403612.0799286011</v>
      </c>
      <c r="E44" s="91">
        <v>108975.26158072229</v>
      </c>
      <c r="F44" s="91">
        <v>435901.04632288928</v>
      </c>
      <c r="G44" s="92">
        <f t="shared" si="0"/>
        <v>544876.30790361157</v>
      </c>
      <c r="H44" s="180">
        <f>108975.261580722-1000</f>
        <v>107975.261580722</v>
      </c>
      <c r="I44" s="180">
        <v>435901.04632288928</v>
      </c>
      <c r="J44" s="117">
        <f t="shared" si="1"/>
        <v>543876.30790361133</v>
      </c>
      <c r="K44" s="140">
        <f t="shared" si="7"/>
        <v>107975.261580722</v>
      </c>
      <c r="L44" s="73">
        <f t="shared" si="2"/>
        <v>435901.04632288928</v>
      </c>
      <c r="M44" s="73">
        <f t="shared" si="3"/>
        <v>543876.30790361133</v>
      </c>
      <c r="N44" s="301">
        <f t="shared" si="4"/>
        <v>100416.99327007146</v>
      </c>
      <c r="O44" s="301">
        <f t="shared" si="5"/>
        <v>405387.97308028705</v>
      </c>
      <c r="P44" s="300">
        <f t="shared" si="6"/>
        <v>505804.9663503585</v>
      </c>
    </row>
    <row r="45" spans="1:16" x14ac:dyDescent="0.2">
      <c r="A45" s="36">
        <v>40</v>
      </c>
      <c r="B45" s="47" t="s">
        <v>109</v>
      </c>
      <c r="C45" s="33" t="s">
        <v>153</v>
      </c>
      <c r="D45" s="88">
        <v>634234.91194489819</v>
      </c>
      <c r="E45" s="91">
        <v>171243.42622512253</v>
      </c>
      <c r="F45" s="91">
        <v>684973.70490049012</v>
      </c>
      <c r="G45" s="92">
        <f t="shared" si="0"/>
        <v>856217.13112561265</v>
      </c>
      <c r="H45" s="180">
        <f>171243.426225123-1000</f>
        <v>170243.426225123</v>
      </c>
      <c r="I45" s="180">
        <v>684973.70490049012</v>
      </c>
      <c r="J45" s="117">
        <f t="shared" si="1"/>
        <v>855217.13112561312</v>
      </c>
      <c r="K45" s="140">
        <f t="shared" si="7"/>
        <v>170243.426225123</v>
      </c>
      <c r="L45" s="73">
        <f t="shared" si="2"/>
        <v>684973.70490049012</v>
      </c>
      <c r="M45" s="73">
        <f t="shared" si="3"/>
        <v>855217.13112561312</v>
      </c>
      <c r="N45" s="301">
        <f t="shared" si="4"/>
        <v>158326.38638936437</v>
      </c>
      <c r="O45" s="301">
        <f t="shared" si="5"/>
        <v>637025.54555745586</v>
      </c>
      <c r="P45" s="300">
        <f t="shared" si="6"/>
        <v>795351.93194682023</v>
      </c>
    </row>
    <row r="46" spans="1:16" x14ac:dyDescent="0.25">
      <c r="A46" s="36">
        <v>41</v>
      </c>
      <c r="B46" s="48" t="s">
        <v>89</v>
      </c>
      <c r="C46" s="33" t="s">
        <v>153</v>
      </c>
      <c r="D46" s="88">
        <v>446322.83743238309</v>
      </c>
      <c r="E46" s="91">
        <v>120507.16610674339</v>
      </c>
      <c r="F46" s="91">
        <v>482028.66442697379</v>
      </c>
      <c r="G46" s="92">
        <f t="shared" si="0"/>
        <v>602535.83053371718</v>
      </c>
      <c r="H46" s="180">
        <f>120507.166106743-1000</f>
        <v>119507.166106743</v>
      </c>
      <c r="I46" s="180">
        <v>482028.66442697379</v>
      </c>
      <c r="J46" s="117">
        <f t="shared" si="1"/>
        <v>601535.83053371683</v>
      </c>
      <c r="K46" s="140">
        <f t="shared" si="7"/>
        <v>119507.166106743</v>
      </c>
      <c r="L46" s="73">
        <f t="shared" si="2"/>
        <v>482028.66442697379</v>
      </c>
      <c r="M46" s="73">
        <f t="shared" si="3"/>
        <v>601535.83053371683</v>
      </c>
      <c r="N46" s="301">
        <f t="shared" si="4"/>
        <v>111141.66447927098</v>
      </c>
      <c r="O46" s="301">
        <f t="shared" si="5"/>
        <v>448286.65791708563</v>
      </c>
      <c r="P46" s="300">
        <f t="shared" si="6"/>
        <v>559428.32239635661</v>
      </c>
    </row>
    <row r="47" spans="1:16" ht="22.5" x14ac:dyDescent="0.25">
      <c r="A47" s="49"/>
      <c r="B47" s="30" t="s">
        <v>22</v>
      </c>
      <c r="C47" s="33"/>
      <c r="D47" s="88">
        <v>0</v>
      </c>
      <c r="E47" s="91"/>
      <c r="F47" s="91"/>
      <c r="G47" s="91"/>
      <c r="H47" s="180"/>
      <c r="I47" s="180"/>
      <c r="J47" s="180"/>
      <c r="K47" s="140">
        <f t="shared" si="7"/>
        <v>0</v>
      </c>
      <c r="L47" s="73">
        <f t="shared" si="2"/>
        <v>0</v>
      </c>
      <c r="M47" s="73">
        <f t="shared" si="3"/>
        <v>0</v>
      </c>
      <c r="N47" s="301">
        <f t="shared" si="4"/>
        <v>0</v>
      </c>
      <c r="O47" s="301">
        <f t="shared" si="5"/>
        <v>0</v>
      </c>
      <c r="P47" s="300">
        <f t="shared" si="6"/>
        <v>0</v>
      </c>
    </row>
    <row r="48" spans="1:16" x14ac:dyDescent="0.25">
      <c r="A48" s="49">
        <v>42</v>
      </c>
      <c r="B48" s="46" t="s">
        <v>23</v>
      </c>
      <c r="C48" s="33" t="s">
        <v>153</v>
      </c>
      <c r="D48" s="88">
        <v>778064.94502994523</v>
      </c>
      <c r="E48" s="91">
        <v>199184.62592766597</v>
      </c>
      <c r="F48" s="91">
        <v>796738.50371066399</v>
      </c>
      <c r="G48" s="92">
        <f t="shared" ref="G48:G73" si="8">E48+F48</f>
        <v>995923.12963832996</v>
      </c>
      <c r="H48" s="180">
        <f>199184.625927666-1000</f>
        <v>198184.625927666</v>
      </c>
      <c r="I48" s="180">
        <v>796738.50371066399</v>
      </c>
      <c r="J48" s="117">
        <f t="shared" ref="J48:J73" si="9">H48+I48</f>
        <v>994923.12963832996</v>
      </c>
      <c r="K48" s="140">
        <f t="shared" si="7"/>
        <v>198184.625927666</v>
      </c>
      <c r="L48" s="73">
        <f t="shared" si="2"/>
        <v>796738.50371066399</v>
      </c>
      <c r="M48" s="73">
        <f t="shared" si="3"/>
        <v>994923.12963832996</v>
      </c>
      <c r="N48" s="301">
        <f t="shared" si="4"/>
        <v>184311.70211272937</v>
      </c>
      <c r="O48" s="301">
        <f t="shared" si="5"/>
        <v>740966.80845091748</v>
      </c>
      <c r="P48" s="300">
        <f t="shared" si="6"/>
        <v>925278.51056364691</v>
      </c>
    </row>
    <row r="49" spans="1:16" x14ac:dyDescent="0.25">
      <c r="A49" s="49">
        <v>43</v>
      </c>
      <c r="B49" s="46" t="s">
        <v>167</v>
      </c>
      <c r="C49" s="33" t="s">
        <v>153</v>
      </c>
      <c r="D49" s="88">
        <v>136710</v>
      </c>
      <c r="E49" s="91">
        <v>36911.699999999983</v>
      </c>
      <c r="F49" s="91">
        <v>147646.80000000002</v>
      </c>
      <c r="G49" s="92">
        <f t="shared" si="8"/>
        <v>184558.5</v>
      </c>
      <c r="H49" s="180">
        <f>36911.7-1000</f>
        <v>35911.699999999997</v>
      </c>
      <c r="I49" s="180">
        <v>147646.80000000002</v>
      </c>
      <c r="J49" s="117">
        <f t="shared" si="9"/>
        <v>183558.5</v>
      </c>
      <c r="K49" s="140">
        <f t="shared" si="7"/>
        <v>35911.699999999997</v>
      </c>
      <c r="L49" s="73">
        <f t="shared" si="2"/>
        <v>147646.80000000002</v>
      </c>
      <c r="M49" s="73">
        <f t="shared" si="3"/>
        <v>183558.5</v>
      </c>
      <c r="N49" s="301">
        <f t="shared" si="4"/>
        <v>33397.880999999994</v>
      </c>
      <c r="O49" s="301">
        <f t="shared" si="5"/>
        <v>137311.524</v>
      </c>
      <c r="P49" s="300">
        <f t="shared" si="6"/>
        <v>170709.405</v>
      </c>
    </row>
    <row r="50" spans="1:16" x14ac:dyDescent="0.25">
      <c r="A50" s="49">
        <v>44</v>
      </c>
      <c r="B50" s="46" t="s">
        <v>24</v>
      </c>
      <c r="C50" s="33" t="s">
        <v>153</v>
      </c>
      <c r="D50" s="88">
        <v>147808.69016526311</v>
      </c>
      <c r="E50" s="91">
        <v>39908.346344621037</v>
      </c>
      <c r="F50" s="91">
        <v>159633.38537848418</v>
      </c>
      <c r="G50" s="92">
        <f t="shared" si="8"/>
        <v>199541.73172310521</v>
      </c>
      <c r="H50" s="180">
        <f>39908.346344621-1000</f>
        <v>38908.346344621001</v>
      </c>
      <c r="I50" s="180">
        <v>159633.38537848418</v>
      </c>
      <c r="J50" s="117">
        <f t="shared" si="9"/>
        <v>198541.73172310519</v>
      </c>
      <c r="K50" s="140">
        <f t="shared" si="7"/>
        <v>38908.346344621001</v>
      </c>
      <c r="L50" s="73">
        <f t="shared" si="2"/>
        <v>159633.38537848418</v>
      </c>
      <c r="M50" s="73">
        <f t="shared" si="3"/>
        <v>198541.73172310519</v>
      </c>
      <c r="N50" s="301">
        <f t="shared" si="4"/>
        <v>36184.76210049753</v>
      </c>
      <c r="O50" s="301">
        <f t="shared" si="5"/>
        <v>148459.04840199029</v>
      </c>
      <c r="P50" s="300">
        <f t="shared" si="6"/>
        <v>184643.81050248782</v>
      </c>
    </row>
    <row r="51" spans="1:16" x14ac:dyDescent="0.25">
      <c r="A51" s="49">
        <v>45</v>
      </c>
      <c r="B51" s="46" t="s">
        <v>25</v>
      </c>
      <c r="C51" s="33" t="s">
        <v>153</v>
      </c>
      <c r="D51" s="88">
        <v>413864.33246273675</v>
      </c>
      <c r="E51" s="91">
        <v>111743.36976493889</v>
      </c>
      <c r="F51" s="91">
        <v>446973.47905975574</v>
      </c>
      <c r="G51" s="92">
        <f t="shared" si="8"/>
        <v>558716.84882469464</v>
      </c>
      <c r="H51" s="180">
        <f>111743.369764939-1000</f>
        <v>110743.36976493899</v>
      </c>
      <c r="I51" s="180">
        <v>446973.47905975574</v>
      </c>
      <c r="J51" s="117">
        <f t="shared" si="9"/>
        <v>557716.84882469475</v>
      </c>
      <c r="K51" s="140">
        <f t="shared" si="7"/>
        <v>110743.36976493899</v>
      </c>
      <c r="L51" s="73">
        <f t="shared" si="2"/>
        <v>446973.47905975574</v>
      </c>
      <c r="M51" s="73">
        <f t="shared" si="3"/>
        <v>557716.84882469475</v>
      </c>
      <c r="N51" s="301">
        <f t="shared" si="4"/>
        <v>102991.33388139326</v>
      </c>
      <c r="O51" s="301">
        <f t="shared" si="5"/>
        <v>415685.33552557282</v>
      </c>
      <c r="P51" s="300">
        <f t="shared" si="6"/>
        <v>518676.66940696607</v>
      </c>
    </row>
    <row r="52" spans="1:16" x14ac:dyDescent="0.25">
      <c r="A52" s="49">
        <v>46</v>
      </c>
      <c r="B52" s="46" t="s">
        <v>266</v>
      </c>
      <c r="C52" s="33" t="s">
        <v>153</v>
      </c>
      <c r="D52" s="88">
        <v>2263120.125</v>
      </c>
      <c r="E52" s="91">
        <v>579358.75199999986</v>
      </c>
      <c r="F52" s="91">
        <v>4317435.0080000004</v>
      </c>
      <c r="G52" s="92">
        <f>E52+F52</f>
        <v>4896793.76</v>
      </c>
      <c r="H52" s="180">
        <f>579358.752-1000</f>
        <v>578358.75199999998</v>
      </c>
      <c r="I52" s="180">
        <v>4317435.0080000004</v>
      </c>
      <c r="J52" s="117">
        <f>H52+I52</f>
        <v>4895793.7600000007</v>
      </c>
      <c r="K52" s="140">
        <f t="shared" si="7"/>
        <v>578358.75199999998</v>
      </c>
      <c r="L52" s="73">
        <f t="shared" si="2"/>
        <v>4317435.0080000004</v>
      </c>
      <c r="M52" s="73">
        <f t="shared" si="3"/>
        <v>4895793.7600000007</v>
      </c>
      <c r="N52" s="301">
        <f t="shared" si="4"/>
        <v>537873.63936000003</v>
      </c>
      <c r="O52" s="301">
        <f t="shared" si="5"/>
        <v>4015214.5574400006</v>
      </c>
      <c r="P52" s="300">
        <f t="shared" si="6"/>
        <v>4553088.196800001</v>
      </c>
    </row>
    <row r="53" spans="1:16" x14ac:dyDescent="0.25">
      <c r="A53" s="49">
        <v>47</v>
      </c>
      <c r="B53" s="46" t="s">
        <v>267</v>
      </c>
      <c r="C53" s="33" t="s">
        <v>153</v>
      </c>
      <c r="D53" s="88">
        <v>1158820.1308956631</v>
      </c>
      <c r="E53" s="91">
        <v>296657.95350928977</v>
      </c>
      <c r="F53" s="91">
        <v>1186631.8140371589</v>
      </c>
      <c r="G53" s="92">
        <f t="shared" si="8"/>
        <v>1483289.7675464486</v>
      </c>
      <c r="H53" s="180">
        <f>296657.95350929-1000</f>
        <v>295657.95350929</v>
      </c>
      <c r="I53" s="180">
        <v>1186631.8140371589</v>
      </c>
      <c r="J53" s="117">
        <f t="shared" si="9"/>
        <v>1482289.7675464489</v>
      </c>
      <c r="K53" s="140">
        <f t="shared" si="7"/>
        <v>295657.95350929</v>
      </c>
      <c r="L53" s="73">
        <f t="shared" si="2"/>
        <v>1186631.8140371589</v>
      </c>
      <c r="M53" s="73">
        <f t="shared" si="3"/>
        <v>1482289.7675464489</v>
      </c>
      <c r="N53" s="301">
        <f t="shared" si="4"/>
        <v>274961.8967636397</v>
      </c>
      <c r="O53" s="301">
        <f t="shared" si="5"/>
        <v>1103567.5870545576</v>
      </c>
      <c r="P53" s="300">
        <f t="shared" si="6"/>
        <v>1378529.4838181974</v>
      </c>
    </row>
    <row r="54" spans="1:16" x14ac:dyDescent="0.25">
      <c r="A54" s="49">
        <v>48</v>
      </c>
      <c r="B54" s="46" t="s">
        <v>268</v>
      </c>
      <c r="C54" s="33" t="s">
        <v>153</v>
      </c>
      <c r="D54" s="88">
        <v>2369640</v>
      </c>
      <c r="E54" s="91">
        <v>606627.83999999985</v>
      </c>
      <c r="F54" s="91">
        <v>2426511.3600000003</v>
      </c>
      <c r="G54" s="92">
        <f t="shared" si="8"/>
        <v>3033139.2000000002</v>
      </c>
      <c r="H54" s="180">
        <f>606627.84-1000</f>
        <v>605627.84</v>
      </c>
      <c r="I54" s="180">
        <v>2426511.3600000003</v>
      </c>
      <c r="J54" s="117">
        <f t="shared" si="9"/>
        <v>3032139.2</v>
      </c>
      <c r="K54" s="140">
        <f t="shared" si="7"/>
        <v>605627.84</v>
      </c>
      <c r="L54" s="73">
        <f t="shared" si="2"/>
        <v>2426511.3600000003</v>
      </c>
      <c r="M54" s="73">
        <f t="shared" si="3"/>
        <v>3032139.2</v>
      </c>
      <c r="N54" s="301">
        <f t="shared" si="4"/>
        <v>563233.89119999995</v>
      </c>
      <c r="O54" s="301">
        <f t="shared" si="5"/>
        <v>2256655.5648000003</v>
      </c>
      <c r="P54" s="300">
        <f t="shared" si="6"/>
        <v>2819889.4560000002</v>
      </c>
    </row>
    <row r="55" spans="1:16" x14ac:dyDescent="0.25">
      <c r="A55" s="49">
        <v>49</v>
      </c>
      <c r="B55" s="46" t="s">
        <v>286</v>
      </c>
      <c r="C55" s="33" t="s">
        <v>153</v>
      </c>
      <c r="D55" s="88">
        <v>6419756.0452534491</v>
      </c>
      <c r="E55" s="91">
        <v>1669136.5717658969</v>
      </c>
      <c r="F55" s="91">
        <v>6676546.2870635875</v>
      </c>
      <c r="G55" s="92">
        <f t="shared" si="8"/>
        <v>8345682.8588294843</v>
      </c>
      <c r="H55" s="180">
        <f>1669136.5717659-1000</f>
        <v>1668136.5717658999</v>
      </c>
      <c r="I55" s="180">
        <v>6676546.2870635875</v>
      </c>
      <c r="J55" s="117">
        <f t="shared" si="9"/>
        <v>8344682.8588294871</v>
      </c>
      <c r="K55" s="140">
        <f t="shared" si="7"/>
        <v>1668136.5717658999</v>
      </c>
      <c r="L55" s="73">
        <f t="shared" si="2"/>
        <v>6676546.2870635875</v>
      </c>
      <c r="M55" s="73">
        <f t="shared" si="3"/>
        <v>8344682.8588294871</v>
      </c>
      <c r="N55" s="301">
        <f t="shared" si="4"/>
        <v>1551367.0117422868</v>
      </c>
      <c r="O55" s="301">
        <f t="shared" si="5"/>
        <v>6209188.0469691362</v>
      </c>
      <c r="P55" s="300">
        <f t="shared" si="6"/>
        <v>7760555.0587114226</v>
      </c>
    </row>
    <row r="56" spans="1:16" x14ac:dyDescent="0.25">
      <c r="A56" s="49">
        <v>50</v>
      </c>
      <c r="B56" s="46" t="s">
        <v>274</v>
      </c>
      <c r="C56" s="33" t="s">
        <v>153</v>
      </c>
      <c r="D56" s="88">
        <v>2299559.1203407897</v>
      </c>
      <c r="E56" s="91">
        <v>588687.13480724208</v>
      </c>
      <c r="F56" s="91">
        <v>2354748.5392289688</v>
      </c>
      <c r="G56" s="92">
        <f t="shared" si="8"/>
        <v>2943435.6740362109</v>
      </c>
      <c r="H56" s="180">
        <f>588687.134807242-1000</f>
        <v>587687.13480724196</v>
      </c>
      <c r="I56" s="180">
        <v>2354748.5392289688</v>
      </c>
      <c r="J56" s="117">
        <f t="shared" si="9"/>
        <v>2942435.6740362109</v>
      </c>
      <c r="K56" s="140">
        <f t="shared" si="7"/>
        <v>587687.13480724196</v>
      </c>
      <c r="L56" s="73">
        <f t="shared" si="2"/>
        <v>2354748.5392289688</v>
      </c>
      <c r="M56" s="73">
        <f t="shared" si="3"/>
        <v>2942435.6740362109</v>
      </c>
      <c r="N56" s="301">
        <f t="shared" si="4"/>
        <v>546549.03537073499</v>
      </c>
      <c r="O56" s="301">
        <f t="shared" si="5"/>
        <v>2189916.1414829409</v>
      </c>
      <c r="P56" s="300">
        <f t="shared" si="6"/>
        <v>2736465.1768536759</v>
      </c>
    </row>
    <row r="57" spans="1:16" x14ac:dyDescent="0.2">
      <c r="A57" s="49">
        <v>51</v>
      </c>
      <c r="B57" s="47" t="s">
        <v>168</v>
      </c>
      <c r="C57" s="33" t="s">
        <v>153</v>
      </c>
      <c r="D57" s="88">
        <v>495011.79527078709</v>
      </c>
      <c r="E57" s="91">
        <v>133653.1847231125</v>
      </c>
      <c r="F57" s="91">
        <v>534612.73889245011</v>
      </c>
      <c r="G57" s="92">
        <f t="shared" si="8"/>
        <v>668265.92361556261</v>
      </c>
      <c r="H57" s="180">
        <f>133653.184723112-1000</f>
        <v>132653.184723112</v>
      </c>
      <c r="I57" s="180">
        <v>534612.73889245011</v>
      </c>
      <c r="J57" s="117">
        <f t="shared" si="9"/>
        <v>667265.92361556215</v>
      </c>
      <c r="K57" s="140">
        <f t="shared" si="7"/>
        <v>132653.184723112</v>
      </c>
      <c r="L57" s="73">
        <f t="shared" si="2"/>
        <v>534612.73889245011</v>
      </c>
      <c r="M57" s="73">
        <f t="shared" si="3"/>
        <v>667265.92361556215</v>
      </c>
      <c r="N57" s="301">
        <f t="shared" si="4"/>
        <v>123367.46179249417</v>
      </c>
      <c r="O57" s="301">
        <f t="shared" si="5"/>
        <v>497189.8471699786</v>
      </c>
      <c r="P57" s="300">
        <f t="shared" si="6"/>
        <v>620557.30896247271</v>
      </c>
    </row>
    <row r="58" spans="1:16" ht="22.5" x14ac:dyDescent="0.25">
      <c r="A58" s="49"/>
      <c r="B58" s="30" t="s">
        <v>97</v>
      </c>
      <c r="C58" s="33" t="s">
        <v>153</v>
      </c>
      <c r="D58" s="88"/>
      <c r="E58" s="93"/>
      <c r="F58" s="94"/>
      <c r="G58" s="92">
        <f t="shared" si="8"/>
        <v>0</v>
      </c>
      <c r="H58" s="181"/>
      <c r="I58" s="182"/>
      <c r="J58" s="117">
        <f t="shared" si="9"/>
        <v>0</v>
      </c>
      <c r="K58" s="140">
        <f t="shared" si="7"/>
        <v>0</v>
      </c>
      <c r="L58" s="73">
        <f t="shared" si="2"/>
        <v>0</v>
      </c>
      <c r="M58" s="73">
        <f t="shared" si="3"/>
        <v>0</v>
      </c>
      <c r="N58" s="301">
        <f t="shared" si="4"/>
        <v>0</v>
      </c>
      <c r="O58" s="301">
        <f t="shared" si="5"/>
        <v>0</v>
      </c>
      <c r="P58" s="300">
        <f t="shared" si="6"/>
        <v>0</v>
      </c>
    </row>
    <row r="59" spans="1:16" x14ac:dyDescent="0.25">
      <c r="A59" s="49">
        <v>52</v>
      </c>
      <c r="B59" s="46" t="s">
        <v>169</v>
      </c>
      <c r="C59" s="33" t="s">
        <v>153</v>
      </c>
      <c r="D59" s="88">
        <v>1813641.165</v>
      </c>
      <c r="E59" s="91">
        <v>464292.13824</v>
      </c>
      <c r="F59" s="91">
        <v>1857168.5529600002</v>
      </c>
      <c r="G59" s="92">
        <f t="shared" si="8"/>
        <v>2321460.6912000002</v>
      </c>
      <c r="H59" s="180">
        <f>464292.13824-1000</f>
        <v>463292.13824</v>
      </c>
      <c r="I59" s="180">
        <v>1857168.5529600002</v>
      </c>
      <c r="J59" s="117">
        <f t="shared" si="9"/>
        <v>2320460.6912000002</v>
      </c>
      <c r="K59" s="140">
        <f t="shared" si="7"/>
        <v>463292.13824</v>
      </c>
      <c r="L59" s="73">
        <f t="shared" si="2"/>
        <v>1857168.5529600002</v>
      </c>
      <c r="M59" s="73">
        <f t="shared" si="3"/>
        <v>2320460.6912000002</v>
      </c>
      <c r="N59" s="301">
        <f t="shared" si="4"/>
        <v>430861.6885632</v>
      </c>
      <c r="O59" s="301">
        <f t="shared" si="5"/>
        <v>1727166.7542528003</v>
      </c>
      <c r="P59" s="300">
        <f t="shared" si="6"/>
        <v>2158028.4428160004</v>
      </c>
    </row>
    <row r="60" spans="1:16" x14ac:dyDescent="0.25">
      <c r="A60" s="49">
        <v>53</v>
      </c>
      <c r="B60" s="46" t="s">
        <v>170</v>
      </c>
      <c r="C60" s="33" t="s">
        <v>153</v>
      </c>
      <c r="D60" s="88">
        <v>2940553.5726000001</v>
      </c>
      <c r="E60" s="91">
        <v>764543.92887599999</v>
      </c>
      <c r="F60" s="91">
        <v>3058175.7155040004</v>
      </c>
      <c r="G60" s="92">
        <f t="shared" si="8"/>
        <v>3822719.6443800004</v>
      </c>
      <c r="H60" s="180">
        <f>764543.928876-1000</f>
        <v>763543.92887599999</v>
      </c>
      <c r="I60" s="180">
        <v>3058175.7155040004</v>
      </c>
      <c r="J60" s="117">
        <f t="shared" si="9"/>
        <v>3821719.6443800004</v>
      </c>
      <c r="K60" s="140">
        <f t="shared" si="7"/>
        <v>763543.92887599999</v>
      </c>
      <c r="L60" s="73">
        <f t="shared" si="2"/>
        <v>3058175.7155040004</v>
      </c>
      <c r="M60" s="73">
        <f t="shared" si="3"/>
        <v>3821719.6443800004</v>
      </c>
      <c r="N60" s="301">
        <f t="shared" si="4"/>
        <v>710095.85385467997</v>
      </c>
      <c r="O60" s="301">
        <f t="shared" si="5"/>
        <v>2844103.4154187203</v>
      </c>
      <c r="P60" s="300">
        <f t="shared" si="6"/>
        <v>3554199.2692734003</v>
      </c>
    </row>
    <row r="61" spans="1:16" x14ac:dyDescent="0.25">
      <c r="A61" s="49">
        <v>54</v>
      </c>
      <c r="B61" s="46" t="s">
        <v>211</v>
      </c>
      <c r="C61" s="33" t="s">
        <v>153</v>
      </c>
      <c r="D61" s="88">
        <v>735640.14579999994</v>
      </c>
      <c r="E61" s="91">
        <v>198622.83936599991</v>
      </c>
      <c r="F61" s="91">
        <v>794491.35746400012</v>
      </c>
      <c r="G61" s="92">
        <f t="shared" si="8"/>
        <v>993114.19683000003</v>
      </c>
      <c r="H61" s="180">
        <f>198622.839366-1000</f>
        <v>197622.839366</v>
      </c>
      <c r="I61" s="180">
        <v>794491.35746400012</v>
      </c>
      <c r="J61" s="117">
        <f t="shared" si="9"/>
        <v>992114.19683000015</v>
      </c>
      <c r="K61" s="140">
        <f t="shared" si="7"/>
        <v>197622.839366</v>
      </c>
      <c r="L61" s="73">
        <f t="shared" si="2"/>
        <v>794491.35746400012</v>
      </c>
      <c r="M61" s="73">
        <f t="shared" si="3"/>
        <v>992114.19683000015</v>
      </c>
      <c r="N61" s="301">
        <f t="shared" si="4"/>
        <v>183789.24061037999</v>
      </c>
      <c r="O61" s="301">
        <f t="shared" si="5"/>
        <v>738876.96244152007</v>
      </c>
      <c r="P61" s="300">
        <f t="shared" si="6"/>
        <v>922666.20305190003</v>
      </c>
    </row>
    <row r="62" spans="1:16" x14ac:dyDescent="0.25">
      <c r="A62" s="49">
        <v>55</v>
      </c>
      <c r="B62" s="46" t="s">
        <v>171</v>
      </c>
      <c r="C62" s="33" t="s">
        <v>153</v>
      </c>
      <c r="D62" s="88">
        <v>666890.32339999999</v>
      </c>
      <c r="E62" s="91">
        <v>180060.38731799996</v>
      </c>
      <c r="F62" s="91">
        <v>720241.54927200009</v>
      </c>
      <c r="G62" s="92">
        <f t="shared" si="8"/>
        <v>900301.93659000006</v>
      </c>
      <c r="H62" s="180">
        <f>180060.387318-1000</f>
        <v>179060.38731799999</v>
      </c>
      <c r="I62" s="180">
        <v>720241.54927200009</v>
      </c>
      <c r="J62" s="117">
        <f t="shared" si="9"/>
        <v>899301.93659000006</v>
      </c>
      <c r="K62" s="140">
        <f t="shared" si="7"/>
        <v>179060.38731799999</v>
      </c>
      <c r="L62" s="73">
        <f t="shared" si="2"/>
        <v>720241.54927200009</v>
      </c>
      <c r="M62" s="73">
        <f t="shared" si="3"/>
        <v>899301.93659000006</v>
      </c>
      <c r="N62" s="301">
        <f t="shared" si="4"/>
        <v>166526.16020573999</v>
      </c>
      <c r="O62" s="301">
        <f t="shared" si="5"/>
        <v>669824.64082296006</v>
      </c>
      <c r="P62" s="300">
        <f t="shared" si="6"/>
        <v>836350.80102870008</v>
      </c>
    </row>
    <row r="63" spans="1:16" x14ac:dyDescent="0.25">
      <c r="A63" s="49">
        <v>56</v>
      </c>
      <c r="B63" s="46" t="s">
        <v>17</v>
      </c>
      <c r="C63" s="33" t="s">
        <v>153</v>
      </c>
      <c r="D63" s="88">
        <v>637874.25800000003</v>
      </c>
      <c r="E63" s="91">
        <v>172226.04966000002</v>
      </c>
      <c r="F63" s="91">
        <v>688904.19864000008</v>
      </c>
      <c r="G63" s="92">
        <f t="shared" si="8"/>
        <v>861130.24830000009</v>
      </c>
      <c r="H63" s="180">
        <f>172226.04966-1000</f>
        <v>171226.04965999999</v>
      </c>
      <c r="I63" s="180">
        <v>688904.19864000008</v>
      </c>
      <c r="J63" s="117">
        <f t="shared" si="9"/>
        <v>860130.24830000009</v>
      </c>
      <c r="K63" s="140">
        <f t="shared" si="7"/>
        <v>171226.04965999999</v>
      </c>
      <c r="L63" s="73">
        <f t="shared" si="2"/>
        <v>688904.19864000008</v>
      </c>
      <c r="M63" s="73">
        <f t="shared" si="3"/>
        <v>860130.24830000009</v>
      </c>
      <c r="N63" s="301">
        <f t="shared" si="4"/>
        <v>159240.2261838</v>
      </c>
      <c r="O63" s="301">
        <f t="shared" si="5"/>
        <v>640680.90473520011</v>
      </c>
      <c r="P63" s="300">
        <f t="shared" si="6"/>
        <v>799921.13091900013</v>
      </c>
    </row>
    <row r="64" spans="1:16" x14ac:dyDescent="0.25">
      <c r="A64" s="49">
        <v>57</v>
      </c>
      <c r="B64" s="46" t="s">
        <v>16</v>
      </c>
      <c r="C64" s="33" t="s">
        <v>153</v>
      </c>
      <c r="D64" s="88">
        <v>764936.38339999993</v>
      </c>
      <c r="E64" s="91">
        <v>195823.7141503999</v>
      </c>
      <c r="F64" s="91">
        <v>783294.85660160007</v>
      </c>
      <c r="G64" s="92">
        <f t="shared" si="8"/>
        <v>979118.57075199997</v>
      </c>
      <c r="H64" s="180">
        <f>195823.7141504-1000</f>
        <v>194823.71415039999</v>
      </c>
      <c r="I64" s="180">
        <v>783294.85660160007</v>
      </c>
      <c r="J64" s="117">
        <f t="shared" si="9"/>
        <v>978118.57075200009</v>
      </c>
      <c r="K64" s="140">
        <f t="shared" si="7"/>
        <v>194823.71415039999</v>
      </c>
      <c r="L64" s="73">
        <f t="shared" si="2"/>
        <v>783294.85660160007</v>
      </c>
      <c r="M64" s="73">
        <f t="shared" si="3"/>
        <v>978118.57075200009</v>
      </c>
      <c r="N64" s="301">
        <f t="shared" si="4"/>
        <v>181186.054159872</v>
      </c>
      <c r="O64" s="301">
        <f t="shared" si="5"/>
        <v>728464.216639488</v>
      </c>
      <c r="P64" s="300">
        <f t="shared" si="6"/>
        <v>909650.27079936001</v>
      </c>
    </row>
    <row r="65" spans="1:16" x14ac:dyDescent="0.2">
      <c r="A65" s="49">
        <v>58</v>
      </c>
      <c r="B65" s="47" t="s">
        <v>75</v>
      </c>
      <c r="C65" s="33" t="s">
        <v>153</v>
      </c>
      <c r="D65" s="88">
        <v>388145.62037398096</v>
      </c>
      <c r="E65" s="91">
        <v>104799.31750097487</v>
      </c>
      <c r="F65" s="91">
        <v>419197.27000389947</v>
      </c>
      <c r="G65" s="92">
        <f t="shared" si="8"/>
        <v>523996.58750487433</v>
      </c>
      <c r="H65" s="180">
        <f>104799.317500975-1000</f>
        <v>103799.317500975</v>
      </c>
      <c r="I65" s="180">
        <v>419197.27000389947</v>
      </c>
      <c r="J65" s="117">
        <f t="shared" si="9"/>
        <v>522996.58750487445</v>
      </c>
      <c r="K65" s="140">
        <f t="shared" si="7"/>
        <v>103799.317500975</v>
      </c>
      <c r="L65" s="73">
        <f t="shared" si="2"/>
        <v>419197.27000389947</v>
      </c>
      <c r="M65" s="73">
        <f t="shared" si="3"/>
        <v>522996.58750487445</v>
      </c>
      <c r="N65" s="301">
        <f t="shared" si="4"/>
        <v>96533.365275906748</v>
      </c>
      <c r="O65" s="301">
        <f t="shared" si="5"/>
        <v>389853.46110362653</v>
      </c>
      <c r="P65" s="300">
        <f t="shared" si="6"/>
        <v>486386.82637953328</v>
      </c>
    </row>
    <row r="66" spans="1:16" x14ac:dyDescent="0.2">
      <c r="A66" s="49">
        <v>59</v>
      </c>
      <c r="B66" s="47" t="s">
        <v>76</v>
      </c>
      <c r="C66" s="33" t="s">
        <v>153</v>
      </c>
      <c r="D66" s="88">
        <v>330827.01546523132</v>
      </c>
      <c r="E66" s="91">
        <v>89323.294175612449</v>
      </c>
      <c r="F66" s="91">
        <v>357293.17670244985</v>
      </c>
      <c r="G66" s="92">
        <f t="shared" si="8"/>
        <v>446616.4708780623</v>
      </c>
      <c r="H66" s="180">
        <f>89323.2941756124-1000</f>
        <v>88323.294175612406</v>
      </c>
      <c r="I66" s="180">
        <v>357293.17670244985</v>
      </c>
      <c r="J66" s="117">
        <f t="shared" si="9"/>
        <v>445616.47087806225</v>
      </c>
      <c r="K66" s="140">
        <f t="shared" si="7"/>
        <v>88323.294175612406</v>
      </c>
      <c r="L66" s="73">
        <f t="shared" si="2"/>
        <v>357293.17670244985</v>
      </c>
      <c r="M66" s="73">
        <f t="shared" si="3"/>
        <v>445616.47087806225</v>
      </c>
      <c r="N66" s="301">
        <f t="shared" si="4"/>
        <v>82140.663583319532</v>
      </c>
      <c r="O66" s="301">
        <f t="shared" si="5"/>
        <v>332282.65433327836</v>
      </c>
      <c r="P66" s="300">
        <f t="shared" si="6"/>
        <v>414423.31791659788</v>
      </c>
    </row>
    <row r="67" spans="1:16" x14ac:dyDescent="0.25">
      <c r="A67" s="49">
        <v>60</v>
      </c>
      <c r="B67" s="46" t="s">
        <v>18</v>
      </c>
      <c r="C67" s="33" t="s">
        <v>153</v>
      </c>
      <c r="D67" s="88">
        <v>793226.05319999997</v>
      </c>
      <c r="E67" s="91">
        <v>203065.86961920001</v>
      </c>
      <c r="F67" s="91">
        <v>812263.47847680002</v>
      </c>
      <c r="G67" s="92">
        <f t="shared" si="8"/>
        <v>1015329.348096</v>
      </c>
      <c r="H67" s="180">
        <f>203065.8696192-1000</f>
        <v>202065.86961920001</v>
      </c>
      <c r="I67" s="180">
        <v>812263.47847680002</v>
      </c>
      <c r="J67" s="117">
        <f t="shared" si="9"/>
        <v>1014329.348096</v>
      </c>
      <c r="K67" s="140">
        <f t="shared" si="7"/>
        <v>202065.86961920001</v>
      </c>
      <c r="L67" s="73">
        <f t="shared" si="2"/>
        <v>812263.47847680002</v>
      </c>
      <c r="M67" s="73">
        <f t="shared" si="3"/>
        <v>1014329.348096</v>
      </c>
      <c r="N67" s="301">
        <f t="shared" si="4"/>
        <v>187921.258745856</v>
      </c>
      <c r="O67" s="301">
        <f t="shared" si="5"/>
        <v>755405.034983424</v>
      </c>
      <c r="P67" s="300">
        <f t="shared" si="6"/>
        <v>943326.29372928001</v>
      </c>
    </row>
    <row r="68" spans="1:16" x14ac:dyDescent="0.25">
      <c r="A68" s="49">
        <v>61</v>
      </c>
      <c r="B68" s="46" t="s">
        <v>21</v>
      </c>
      <c r="C68" s="33" t="s">
        <v>153</v>
      </c>
      <c r="D68" s="88">
        <v>507575.04202751355</v>
      </c>
      <c r="E68" s="91">
        <v>137045.26134742866</v>
      </c>
      <c r="F68" s="91">
        <v>548181.04538971465</v>
      </c>
      <c r="G68" s="92">
        <f t="shared" si="8"/>
        <v>685226.30673714331</v>
      </c>
      <c r="H68" s="180">
        <f>137045.261347429-1000</f>
        <v>136045.26134742901</v>
      </c>
      <c r="I68" s="180">
        <v>548181.04538971465</v>
      </c>
      <c r="J68" s="117">
        <f t="shared" si="9"/>
        <v>684226.30673714366</v>
      </c>
      <c r="K68" s="140">
        <f t="shared" si="7"/>
        <v>136045.26134742901</v>
      </c>
      <c r="L68" s="73">
        <f t="shared" si="2"/>
        <v>548181.04538971465</v>
      </c>
      <c r="M68" s="73">
        <f t="shared" si="3"/>
        <v>684226.30673714366</v>
      </c>
      <c r="N68" s="301">
        <f t="shared" si="4"/>
        <v>126522.09305310898</v>
      </c>
      <c r="O68" s="301">
        <f t="shared" si="5"/>
        <v>509808.37221243465</v>
      </c>
      <c r="P68" s="300">
        <f t="shared" si="6"/>
        <v>636330.46526554367</v>
      </c>
    </row>
    <row r="69" spans="1:16" x14ac:dyDescent="0.25">
      <c r="A69" s="49">
        <v>62</v>
      </c>
      <c r="B69" s="46" t="s">
        <v>20</v>
      </c>
      <c r="C69" s="33" t="s">
        <v>153</v>
      </c>
      <c r="D69" s="88">
        <v>232887.37222438853</v>
      </c>
      <c r="E69" s="91">
        <v>62879.590500584891</v>
      </c>
      <c r="F69" s="91">
        <v>251518.36200233965</v>
      </c>
      <c r="G69" s="92">
        <f t="shared" si="8"/>
        <v>314397.95250292454</v>
      </c>
      <c r="H69" s="180">
        <f>62879.5905005849-1000</f>
        <v>61879.590500584898</v>
      </c>
      <c r="I69" s="180">
        <v>251518.36200233965</v>
      </c>
      <c r="J69" s="117">
        <f t="shared" si="9"/>
        <v>313397.95250292454</v>
      </c>
      <c r="K69" s="140">
        <f t="shared" si="7"/>
        <v>61879.590500584898</v>
      </c>
      <c r="L69" s="73">
        <f t="shared" si="2"/>
        <v>251518.36200233965</v>
      </c>
      <c r="M69" s="73">
        <f t="shared" si="3"/>
        <v>313397.95250292454</v>
      </c>
      <c r="N69" s="301">
        <f t="shared" si="4"/>
        <v>57548.019165543956</v>
      </c>
      <c r="O69" s="301">
        <f t="shared" si="5"/>
        <v>233912.07666217588</v>
      </c>
      <c r="P69" s="300">
        <f t="shared" si="6"/>
        <v>291460.09582771984</v>
      </c>
    </row>
    <row r="70" spans="1:16" ht="22.5" x14ac:dyDescent="0.25">
      <c r="A70" s="49">
        <v>63</v>
      </c>
      <c r="B70" s="32" t="s">
        <v>172</v>
      </c>
      <c r="C70" s="33" t="s">
        <v>153</v>
      </c>
      <c r="D70" s="88">
        <v>1804572</v>
      </c>
      <c r="E70" s="91">
        <v>461970.43200000003</v>
      </c>
      <c r="F70" s="91">
        <v>1847881.7280000001</v>
      </c>
      <c r="G70" s="92">
        <f t="shared" si="8"/>
        <v>2309852.1600000001</v>
      </c>
      <c r="H70" s="180">
        <f>461970.432-1000</f>
        <v>460970.43199999997</v>
      </c>
      <c r="I70" s="180">
        <v>1847881.7280000001</v>
      </c>
      <c r="J70" s="117">
        <f t="shared" si="9"/>
        <v>2308852.16</v>
      </c>
      <c r="K70" s="140">
        <f t="shared" ref="K70:K133" si="10">MIN(E70,H70)</f>
        <v>460970.43199999997</v>
      </c>
      <c r="L70" s="73">
        <f t="shared" ref="L70:L133" si="11">MIN(F70,I70)</f>
        <v>1847881.7280000001</v>
      </c>
      <c r="M70" s="73">
        <f t="shared" si="3"/>
        <v>2308852.16</v>
      </c>
      <c r="N70" s="301">
        <f t="shared" si="4"/>
        <v>428702.50175999996</v>
      </c>
      <c r="O70" s="301">
        <f t="shared" si="5"/>
        <v>1718530.0070400001</v>
      </c>
      <c r="P70" s="300">
        <f t="shared" si="6"/>
        <v>2147232.5088</v>
      </c>
    </row>
    <row r="71" spans="1:16" x14ac:dyDescent="0.25">
      <c r="A71" s="49">
        <v>64</v>
      </c>
      <c r="B71" s="46" t="s">
        <v>295</v>
      </c>
      <c r="C71" s="33" t="s">
        <v>153</v>
      </c>
      <c r="D71" s="88">
        <v>869475.6</v>
      </c>
      <c r="E71" s="91">
        <v>222585.75359999994</v>
      </c>
      <c r="F71" s="91">
        <v>890343.01439999999</v>
      </c>
      <c r="G71" s="92">
        <f t="shared" si="8"/>
        <v>1112928.7679999999</v>
      </c>
      <c r="H71" s="180">
        <v>222585.75359999994</v>
      </c>
      <c r="I71" s="180">
        <v>890343.01439999999</v>
      </c>
      <c r="J71" s="117">
        <f t="shared" si="9"/>
        <v>1112928.7679999999</v>
      </c>
      <c r="K71" s="140">
        <f t="shared" si="10"/>
        <v>222585.75359999994</v>
      </c>
      <c r="L71" s="73">
        <f t="shared" si="11"/>
        <v>890343.01439999999</v>
      </c>
      <c r="M71" s="73">
        <f t="shared" ref="M71:M134" si="12">L71+K71</f>
        <v>1112928.7679999999</v>
      </c>
      <c r="N71" s="301">
        <f t="shared" ref="N71:N134" si="13">K71-(K71*7%)</f>
        <v>207004.75084799994</v>
      </c>
      <c r="O71" s="301">
        <f t="shared" ref="O71:O134" si="14">L71-(L71*7%)</f>
        <v>828019.00339199998</v>
      </c>
      <c r="P71" s="300">
        <f t="shared" ref="P71:P134" si="15">O71+N71</f>
        <v>1035023.7542399999</v>
      </c>
    </row>
    <row r="72" spans="1:16" x14ac:dyDescent="0.25">
      <c r="A72" s="49">
        <v>65</v>
      </c>
      <c r="B72" s="46" t="s">
        <v>173</v>
      </c>
      <c r="C72" s="33" t="s">
        <v>153</v>
      </c>
      <c r="D72" s="88">
        <v>236051.01345523295</v>
      </c>
      <c r="E72" s="91">
        <v>63733.773632912897</v>
      </c>
      <c r="F72" s="91">
        <v>254935.09453165159</v>
      </c>
      <c r="G72" s="92">
        <f t="shared" si="8"/>
        <v>318668.86816456448</v>
      </c>
      <c r="H72" s="180">
        <f>63733.7736329128-1000</f>
        <v>62733.773632912802</v>
      </c>
      <c r="I72" s="180">
        <v>254935.09453165159</v>
      </c>
      <c r="J72" s="117">
        <f t="shared" si="9"/>
        <v>317668.86816456437</v>
      </c>
      <c r="K72" s="140">
        <f t="shared" si="10"/>
        <v>62733.773632912802</v>
      </c>
      <c r="L72" s="73">
        <f t="shared" si="11"/>
        <v>254935.09453165159</v>
      </c>
      <c r="M72" s="73">
        <f t="shared" si="12"/>
        <v>317668.86816456437</v>
      </c>
      <c r="N72" s="301">
        <f t="shared" si="13"/>
        <v>58342.409478608904</v>
      </c>
      <c r="O72" s="301">
        <f t="shared" si="14"/>
        <v>237089.63791443597</v>
      </c>
      <c r="P72" s="300">
        <f t="shared" si="15"/>
        <v>295432.04739304486</v>
      </c>
    </row>
    <row r="73" spans="1:16" x14ac:dyDescent="0.2">
      <c r="A73" s="49">
        <v>66</v>
      </c>
      <c r="B73" s="47" t="s">
        <v>145</v>
      </c>
      <c r="C73" s="33" t="s">
        <v>153</v>
      </c>
      <c r="D73" s="88">
        <v>653171.28694417479</v>
      </c>
      <c r="E73" s="91">
        <v>176356.24747492711</v>
      </c>
      <c r="F73" s="91">
        <v>705424.98989970889</v>
      </c>
      <c r="G73" s="92">
        <f t="shared" si="8"/>
        <v>881781.237374636</v>
      </c>
      <c r="H73" s="180">
        <f>176356.247474927-1000</f>
        <v>175356.24747492699</v>
      </c>
      <c r="I73" s="180">
        <v>705424.98989970889</v>
      </c>
      <c r="J73" s="117">
        <f t="shared" si="9"/>
        <v>880781.23737463588</v>
      </c>
      <c r="K73" s="140">
        <f t="shared" si="10"/>
        <v>175356.24747492699</v>
      </c>
      <c r="L73" s="73">
        <f t="shared" si="11"/>
        <v>705424.98989970889</v>
      </c>
      <c r="M73" s="73">
        <f t="shared" si="12"/>
        <v>880781.23737463588</v>
      </c>
      <c r="N73" s="301">
        <f t="shared" si="13"/>
        <v>163081.31015168209</v>
      </c>
      <c r="O73" s="301">
        <f t="shared" si="14"/>
        <v>656045.24060672929</v>
      </c>
      <c r="P73" s="300">
        <f t="shared" si="15"/>
        <v>819126.55075841141</v>
      </c>
    </row>
    <row r="74" spans="1:16" ht="22.5" x14ac:dyDescent="0.25">
      <c r="A74" s="49"/>
      <c r="B74" s="30" t="s">
        <v>124</v>
      </c>
      <c r="C74" s="33" t="s">
        <v>153</v>
      </c>
      <c r="D74" s="88"/>
      <c r="E74" s="91"/>
      <c r="F74" s="91"/>
      <c r="G74" s="91">
        <f t="shared" ref="G74" si="16">F74+E74</f>
        <v>0</v>
      </c>
      <c r="H74" s="180"/>
      <c r="I74" s="180"/>
      <c r="J74" s="180">
        <f t="shared" ref="J74" si="17">I74+H74</f>
        <v>0</v>
      </c>
      <c r="K74" s="140">
        <f t="shared" si="10"/>
        <v>0</v>
      </c>
      <c r="L74" s="73">
        <f t="shared" si="11"/>
        <v>0</v>
      </c>
      <c r="M74" s="73">
        <f t="shared" si="12"/>
        <v>0</v>
      </c>
      <c r="N74" s="301">
        <f t="shared" si="13"/>
        <v>0</v>
      </c>
      <c r="O74" s="301">
        <f t="shared" si="14"/>
        <v>0</v>
      </c>
      <c r="P74" s="300">
        <f t="shared" si="15"/>
        <v>0</v>
      </c>
    </row>
    <row r="75" spans="1:16" x14ac:dyDescent="0.25">
      <c r="A75" s="49">
        <v>67</v>
      </c>
      <c r="B75" s="46" t="s">
        <v>175</v>
      </c>
      <c r="C75" s="33" t="s">
        <v>153</v>
      </c>
      <c r="D75" s="88">
        <v>2573704.0366336275</v>
      </c>
      <c r="E75" s="91">
        <v>669163.04952474311</v>
      </c>
      <c r="F75" s="91">
        <v>2676652.1980989729</v>
      </c>
      <c r="G75" s="92">
        <f t="shared" ref="G75:G138" si="18">E75+F75</f>
        <v>3345815.247623716</v>
      </c>
      <c r="H75" s="180">
        <f>669163.049524743-1000</f>
        <v>668163.04952474299</v>
      </c>
      <c r="I75" s="180">
        <v>2676652.1980989729</v>
      </c>
      <c r="J75" s="117">
        <f t="shared" ref="J75:J138" si="19">H75+I75</f>
        <v>3344815.247623716</v>
      </c>
      <c r="K75" s="140">
        <f t="shared" si="10"/>
        <v>668163.04952474299</v>
      </c>
      <c r="L75" s="73">
        <f t="shared" si="11"/>
        <v>2676652.1980989729</v>
      </c>
      <c r="M75" s="73">
        <f t="shared" si="12"/>
        <v>3344815.247623716</v>
      </c>
      <c r="N75" s="301">
        <f t="shared" si="13"/>
        <v>621391.63605801098</v>
      </c>
      <c r="O75" s="301">
        <f t="shared" si="14"/>
        <v>2489286.5442320448</v>
      </c>
      <c r="P75" s="300">
        <f t="shared" si="15"/>
        <v>3110678.1802900559</v>
      </c>
    </row>
    <row r="76" spans="1:16" x14ac:dyDescent="0.25">
      <c r="A76" s="49">
        <v>68</v>
      </c>
      <c r="B76" s="46" t="s">
        <v>343</v>
      </c>
      <c r="C76" s="33" t="s">
        <v>153</v>
      </c>
      <c r="D76" s="88">
        <v>2328873.7222438855</v>
      </c>
      <c r="E76" s="91">
        <v>596191.67289443454</v>
      </c>
      <c r="F76" s="91">
        <v>2384766.6915777391</v>
      </c>
      <c r="G76" s="92">
        <f t="shared" si="18"/>
        <v>2980958.3644721736</v>
      </c>
      <c r="H76" s="180">
        <f>596191.672894435-1000</f>
        <v>595191.672894435</v>
      </c>
      <c r="I76" s="180">
        <v>2384766.6915777391</v>
      </c>
      <c r="J76" s="117">
        <f t="shared" si="19"/>
        <v>2979958.3644721741</v>
      </c>
      <c r="K76" s="140">
        <f t="shared" si="10"/>
        <v>595191.672894435</v>
      </c>
      <c r="L76" s="73">
        <f t="shared" si="11"/>
        <v>2384766.6915777391</v>
      </c>
      <c r="M76" s="73">
        <f t="shared" si="12"/>
        <v>2979958.3644721741</v>
      </c>
      <c r="N76" s="301">
        <f t="shared" si="13"/>
        <v>553528.25579182454</v>
      </c>
      <c r="O76" s="301">
        <f t="shared" si="14"/>
        <v>2217833.0231672972</v>
      </c>
      <c r="P76" s="300">
        <f t="shared" si="15"/>
        <v>2771361.2789591216</v>
      </c>
    </row>
    <row r="77" spans="1:16" x14ac:dyDescent="0.2">
      <c r="A77" s="49">
        <v>69</v>
      </c>
      <c r="B77" s="47" t="s">
        <v>122</v>
      </c>
      <c r="C77" s="33" t="s">
        <v>153</v>
      </c>
      <c r="D77" s="88">
        <v>1015150.0840550271</v>
      </c>
      <c r="E77" s="91">
        <v>259878.42151808692</v>
      </c>
      <c r="F77" s="91">
        <v>1039513.6860723479</v>
      </c>
      <c r="G77" s="92">
        <f t="shared" si="18"/>
        <v>1299392.1075904348</v>
      </c>
      <c r="H77" s="180">
        <f>259878.421518087-1000</f>
        <v>258878.42151808701</v>
      </c>
      <c r="I77" s="180">
        <v>1039513.6860723479</v>
      </c>
      <c r="J77" s="117">
        <f t="shared" si="19"/>
        <v>1298392.1075904348</v>
      </c>
      <c r="K77" s="140">
        <f t="shared" si="10"/>
        <v>258878.42151808701</v>
      </c>
      <c r="L77" s="73">
        <f t="shared" si="11"/>
        <v>1039513.6860723479</v>
      </c>
      <c r="M77" s="73">
        <f t="shared" si="12"/>
        <v>1298392.1075904348</v>
      </c>
      <c r="N77" s="301">
        <f t="shared" si="13"/>
        <v>240756.93201182093</v>
      </c>
      <c r="O77" s="301">
        <f t="shared" si="14"/>
        <v>966747.7280472836</v>
      </c>
      <c r="P77" s="300">
        <f t="shared" si="15"/>
        <v>1207504.6600591044</v>
      </c>
    </row>
    <row r="78" spans="1:16" x14ac:dyDescent="0.2">
      <c r="A78" s="49">
        <v>70</v>
      </c>
      <c r="B78" s="47" t="s">
        <v>121</v>
      </c>
      <c r="C78" s="33" t="s">
        <v>153</v>
      </c>
      <c r="D78" s="88">
        <v>388145.62037398096</v>
      </c>
      <c r="E78" s="91">
        <v>104799.31750097487</v>
      </c>
      <c r="F78" s="91">
        <v>419197.27000389947</v>
      </c>
      <c r="G78" s="92">
        <f t="shared" si="18"/>
        <v>523996.58750487433</v>
      </c>
      <c r="H78" s="180">
        <f>104799.317500975-1000</f>
        <v>103799.317500975</v>
      </c>
      <c r="I78" s="180">
        <v>419197.27000389947</v>
      </c>
      <c r="J78" s="117">
        <f t="shared" si="19"/>
        <v>522996.58750487445</v>
      </c>
      <c r="K78" s="140">
        <f t="shared" si="10"/>
        <v>103799.317500975</v>
      </c>
      <c r="L78" s="73">
        <f t="shared" si="11"/>
        <v>419197.27000389947</v>
      </c>
      <c r="M78" s="73">
        <f t="shared" si="12"/>
        <v>522996.58750487445</v>
      </c>
      <c r="N78" s="301">
        <f t="shared" si="13"/>
        <v>96533.365275906748</v>
      </c>
      <c r="O78" s="301">
        <f t="shared" si="14"/>
        <v>389853.46110362653</v>
      </c>
      <c r="P78" s="300">
        <f t="shared" si="15"/>
        <v>486386.82637953328</v>
      </c>
    </row>
    <row r="79" spans="1:16" x14ac:dyDescent="0.25">
      <c r="A79" s="49">
        <v>71</v>
      </c>
      <c r="B79" s="46" t="s">
        <v>344</v>
      </c>
      <c r="C79" s="33" t="s">
        <v>153</v>
      </c>
      <c r="D79" s="88">
        <v>1015150.0840550271</v>
      </c>
      <c r="E79" s="91">
        <v>259878.42151808692</v>
      </c>
      <c r="F79" s="91">
        <v>1039513.6860723479</v>
      </c>
      <c r="G79" s="92">
        <f t="shared" si="18"/>
        <v>1299392.1075904348</v>
      </c>
      <c r="H79" s="180">
        <f>259878.421518087-1000</f>
        <v>258878.42151808701</v>
      </c>
      <c r="I79" s="180">
        <v>1039513.6860723479</v>
      </c>
      <c r="J79" s="117">
        <f t="shared" si="19"/>
        <v>1298392.1075904348</v>
      </c>
      <c r="K79" s="140">
        <f t="shared" si="10"/>
        <v>258878.42151808701</v>
      </c>
      <c r="L79" s="73">
        <f t="shared" si="11"/>
        <v>1039513.6860723479</v>
      </c>
      <c r="M79" s="73">
        <f t="shared" si="12"/>
        <v>1298392.1075904348</v>
      </c>
      <c r="N79" s="301">
        <f t="shared" si="13"/>
        <v>240756.93201182093</v>
      </c>
      <c r="O79" s="301">
        <f t="shared" si="14"/>
        <v>966747.7280472836</v>
      </c>
      <c r="P79" s="300">
        <f t="shared" si="15"/>
        <v>1207504.6600591044</v>
      </c>
    </row>
    <row r="80" spans="1:16" x14ac:dyDescent="0.25">
      <c r="A80" s="49">
        <v>72</v>
      </c>
      <c r="B80" s="46" t="s">
        <v>130</v>
      </c>
      <c r="C80" s="33" t="s">
        <v>153</v>
      </c>
      <c r="D80" s="88">
        <v>232887.37222438853</v>
      </c>
      <c r="E80" s="91">
        <v>62879.590500584891</v>
      </c>
      <c r="F80" s="91">
        <v>251518.36200233965</v>
      </c>
      <c r="G80" s="92">
        <f t="shared" si="18"/>
        <v>314397.95250292454</v>
      </c>
      <c r="H80" s="180">
        <f>62879.5905005849-1000</f>
        <v>61879.590500584898</v>
      </c>
      <c r="I80" s="180">
        <v>251518.36200233965</v>
      </c>
      <c r="J80" s="117">
        <f t="shared" si="19"/>
        <v>313397.95250292454</v>
      </c>
      <c r="K80" s="140">
        <f t="shared" si="10"/>
        <v>61879.590500584898</v>
      </c>
      <c r="L80" s="73">
        <f t="shared" si="11"/>
        <v>251518.36200233965</v>
      </c>
      <c r="M80" s="73">
        <f t="shared" si="12"/>
        <v>313397.95250292454</v>
      </c>
      <c r="N80" s="301">
        <f t="shared" si="13"/>
        <v>57548.019165543956</v>
      </c>
      <c r="O80" s="301">
        <f t="shared" si="14"/>
        <v>233912.07666217588</v>
      </c>
      <c r="P80" s="300">
        <f t="shared" si="15"/>
        <v>291460.09582771984</v>
      </c>
    </row>
    <row r="81" spans="1:16" ht="22.5" x14ac:dyDescent="0.25">
      <c r="A81" s="49"/>
      <c r="B81" s="30" t="s">
        <v>31</v>
      </c>
      <c r="C81" s="33" t="s">
        <v>153</v>
      </c>
      <c r="D81" s="88"/>
      <c r="E81" s="91">
        <v>0</v>
      </c>
      <c r="F81" s="91">
        <v>0</v>
      </c>
      <c r="G81" s="92">
        <f t="shared" si="18"/>
        <v>0</v>
      </c>
      <c r="H81" s="180">
        <v>0</v>
      </c>
      <c r="I81" s="180">
        <v>0</v>
      </c>
      <c r="J81" s="117">
        <f t="shared" si="19"/>
        <v>0</v>
      </c>
      <c r="K81" s="140">
        <f t="shared" si="10"/>
        <v>0</v>
      </c>
      <c r="L81" s="73">
        <f t="shared" si="11"/>
        <v>0</v>
      </c>
      <c r="M81" s="73">
        <f t="shared" si="12"/>
        <v>0</v>
      </c>
      <c r="N81" s="301">
        <f t="shared" si="13"/>
        <v>0</v>
      </c>
      <c r="O81" s="301">
        <f t="shared" si="14"/>
        <v>0</v>
      </c>
      <c r="P81" s="300">
        <f t="shared" si="15"/>
        <v>0</v>
      </c>
    </row>
    <row r="82" spans="1:16" x14ac:dyDescent="0.25">
      <c r="A82" s="49">
        <v>73</v>
      </c>
      <c r="B82" s="46" t="s">
        <v>323</v>
      </c>
      <c r="C82" s="33" t="s">
        <v>153</v>
      </c>
      <c r="D82" s="88">
        <v>2567732.5655509513</v>
      </c>
      <c r="E82" s="91">
        <v>667610.46704324707</v>
      </c>
      <c r="F82" s="91">
        <v>2670441.8681729897</v>
      </c>
      <c r="G82" s="92">
        <f t="shared" si="18"/>
        <v>3338052.3352162368</v>
      </c>
      <c r="H82" s="180">
        <f>667610.467043247-1000</f>
        <v>666610.46704324696</v>
      </c>
      <c r="I82" s="180">
        <v>2670441.8681729897</v>
      </c>
      <c r="J82" s="117">
        <f t="shared" si="19"/>
        <v>3337052.3352162368</v>
      </c>
      <c r="K82" s="140">
        <f t="shared" si="10"/>
        <v>666610.46704324696</v>
      </c>
      <c r="L82" s="73">
        <f t="shared" si="11"/>
        <v>2670441.8681729897</v>
      </c>
      <c r="M82" s="73">
        <f t="shared" si="12"/>
        <v>3337052.3352162368</v>
      </c>
      <c r="N82" s="301">
        <f t="shared" si="13"/>
        <v>619947.73435021972</v>
      </c>
      <c r="O82" s="301">
        <f t="shared" si="14"/>
        <v>2483510.9374008803</v>
      </c>
      <c r="P82" s="300">
        <f t="shared" si="15"/>
        <v>3103458.6717511001</v>
      </c>
    </row>
    <row r="83" spans="1:16" x14ac:dyDescent="0.25">
      <c r="A83" s="49">
        <v>74</v>
      </c>
      <c r="B83" s="46" t="s">
        <v>178</v>
      </c>
      <c r="C83" s="33" t="s">
        <v>153</v>
      </c>
      <c r="D83" s="88">
        <v>1268931.6335977013</v>
      </c>
      <c r="E83" s="91">
        <v>324846.49820101145</v>
      </c>
      <c r="F83" s="91">
        <v>1299385.9928040463</v>
      </c>
      <c r="G83" s="92">
        <f t="shared" si="18"/>
        <v>1624232.4910050577</v>
      </c>
      <c r="H83" s="180">
        <f>324846.498201011-1000</f>
        <v>323846.49820101098</v>
      </c>
      <c r="I83" s="180">
        <v>1299385.9928040463</v>
      </c>
      <c r="J83" s="117">
        <f t="shared" si="19"/>
        <v>1623232.4910050572</v>
      </c>
      <c r="K83" s="140">
        <f t="shared" si="10"/>
        <v>323846.49820101098</v>
      </c>
      <c r="L83" s="73">
        <f t="shared" si="11"/>
        <v>1299385.9928040463</v>
      </c>
      <c r="M83" s="73">
        <f t="shared" si="12"/>
        <v>1623232.4910050572</v>
      </c>
      <c r="N83" s="301">
        <f t="shared" si="13"/>
        <v>301177.24332694022</v>
      </c>
      <c r="O83" s="301">
        <f t="shared" si="14"/>
        <v>1208428.973307763</v>
      </c>
      <c r="P83" s="300">
        <f t="shared" si="15"/>
        <v>1509606.2166347033</v>
      </c>
    </row>
    <row r="84" spans="1:16" x14ac:dyDescent="0.25">
      <c r="A84" s="49">
        <v>75</v>
      </c>
      <c r="B84" s="46" t="s">
        <v>180</v>
      </c>
      <c r="C84" s="33" t="s">
        <v>153</v>
      </c>
      <c r="D84" s="88">
        <v>1263200.3999999999</v>
      </c>
      <c r="E84" s="91">
        <v>323379.30239999993</v>
      </c>
      <c r="F84" s="91">
        <v>1293517.2095999999</v>
      </c>
      <c r="G84" s="92">
        <f t="shared" si="18"/>
        <v>1616896.5119999999</v>
      </c>
      <c r="H84" s="180">
        <f>323379.3024-1000</f>
        <v>322379.30239999999</v>
      </c>
      <c r="I84" s="180">
        <v>1293517.2095999999</v>
      </c>
      <c r="J84" s="117">
        <f t="shared" si="19"/>
        <v>1615896.5119999999</v>
      </c>
      <c r="K84" s="140">
        <f t="shared" si="10"/>
        <v>322379.30239999999</v>
      </c>
      <c r="L84" s="73">
        <f t="shared" si="11"/>
        <v>1293517.2095999999</v>
      </c>
      <c r="M84" s="73">
        <f t="shared" si="12"/>
        <v>1615896.5119999999</v>
      </c>
      <c r="N84" s="301">
        <f t="shared" si="13"/>
        <v>299812.75123200001</v>
      </c>
      <c r="O84" s="301">
        <f t="shared" si="14"/>
        <v>1202971.004928</v>
      </c>
      <c r="P84" s="300">
        <f t="shared" si="15"/>
        <v>1502783.7561600001</v>
      </c>
    </row>
    <row r="85" spans="1:16" x14ac:dyDescent="0.2">
      <c r="A85" s="49">
        <v>76</v>
      </c>
      <c r="B85" s="47" t="s">
        <v>79</v>
      </c>
      <c r="C85" s="33" t="s">
        <v>153</v>
      </c>
      <c r="D85" s="88">
        <v>154938</v>
      </c>
      <c r="E85" s="91">
        <v>41833.25999999998</v>
      </c>
      <c r="F85" s="91">
        <v>167333.04000000004</v>
      </c>
      <c r="G85" s="92">
        <f t="shared" si="18"/>
        <v>209166.30000000002</v>
      </c>
      <c r="H85" s="180">
        <f>41833.26-1000</f>
        <v>40833.26</v>
      </c>
      <c r="I85" s="180">
        <v>167333.04000000004</v>
      </c>
      <c r="J85" s="117">
        <f t="shared" si="19"/>
        <v>208166.30000000005</v>
      </c>
      <c r="K85" s="140">
        <f t="shared" si="10"/>
        <v>40833.26</v>
      </c>
      <c r="L85" s="73">
        <f t="shared" si="11"/>
        <v>167333.04000000004</v>
      </c>
      <c r="M85" s="73">
        <f t="shared" si="12"/>
        <v>208166.30000000005</v>
      </c>
      <c r="N85" s="301">
        <f t="shared" si="13"/>
        <v>37974.931799999998</v>
      </c>
      <c r="O85" s="301">
        <f t="shared" si="14"/>
        <v>155619.72720000002</v>
      </c>
      <c r="P85" s="300">
        <f t="shared" si="15"/>
        <v>193594.65900000001</v>
      </c>
    </row>
    <row r="86" spans="1:16" x14ac:dyDescent="0.25">
      <c r="A86" s="49">
        <v>77</v>
      </c>
      <c r="B86" s="46" t="s">
        <v>179</v>
      </c>
      <c r="C86" s="33" t="s">
        <v>153</v>
      </c>
      <c r="D86" s="88">
        <v>217361.54740942933</v>
      </c>
      <c r="E86" s="91">
        <v>58687.617800545908</v>
      </c>
      <c r="F86" s="91">
        <v>234750.47120218372</v>
      </c>
      <c r="G86" s="92">
        <f t="shared" si="18"/>
        <v>293438.08900272963</v>
      </c>
      <c r="H86" s="180">
        <f>58687.6178005459-1000</f>
        <v>57687.617800545901</v>
      </c>
      <c r="I86" s="180">
        <v>234750.47120218372</v>
      </c>
      <c r="J86" s="117">
        <f t="shared" si="19"/>
        <v>292438.08900272963</v>
      </c>
      <c r="K86" s="140">
        <f t="shared" si="10"/>
        <v>57687.617800545901</v>
      </c>
      <c r="L86" s="73">
        <f t="shared" si="11"/>
        <v>234750.47120218372</v>
      </c>
      <c r="M86" s="73">
        <f t="shared" si="12"/>
        <v>292438.08900272963</v>
      </c>
      <c r="N86" s="301">
        <f t="shared" si="13"/>
        <v>53649.48455450769</v>
      </c>
      <c r="O86" s="301">
        <f t="shared" si="14"/>
        <v>218317.93821803085</v>
      </c>
      <c r="P86" s="300">
        <f t="shared" si="15"/>
        <v>271967.42277253856</v>
      </c>
    </row>
    <row r="87" spans="1:16" x14ac:dyDescent="0.2">
      <c r="A87" s="49">
        <v>78</v>
      </c>
      <c r="B87" s="47" t="s">
        <v>77</v>
      </c>
      <c r="C87" s="33" t="s">
        <v>153</v>
      </c>
      <c r="D87" s="88">
        <v>149286.77706691576</v>
      </c>
      <c r="E87" s="91">
        <v>40307.429808067245</v>
      </c>
      <c r="F87" s="91">
        <v>161229.71923226904</v>
      </c>
      <c r="G87" s="92">
        <f t="shared" si="18"/>
        <v>201537.14904033628</v>
      </c>
      <c r="H87" s="180">
        <f>40307.4298080672-1000</f>
        <v>39307.429808067202</v>
      </c>
      <c r="I87" s="180">
        <v>161229.71923226904</v>
      </c>
      <c r="J87" s="117">
        <f t="shared" si="19"/>
        <v>200537.14904033625</v>
      </c>
      <c r="K87" s="140">
        <f t="shared" si="10"/>
        <v>39307.429808067202</v>
      </c>
      <c r="L87" s="73">
        <f t="shared" si="11"/>
        <v>161229.71923226904</v>
      </c>
      <c r="M87" s="73">
        <f t="shared" si="12"/>
        <v>200537.14904033625</v>
      </c>
      <c r="N87" s="301">
        <f t="shared" si="13"/>
        <v>36555.909721502496</v>
      </c>
      <c r="O87" s="301">
        <f t="shared" si="14"/>
        <v>149943.63888601022</v>
      </c>
      <c r="P87" s="300">
        <f t="shared" si="15"/>
        <v>186499.54860751273</v>
      </c>
    </row>
    <row r="88" spans="1:16" ht="22.5" x14ac:dyDescent="0.25">
      <c r="A88" s="49"/>
      <c r="B88" s="30" t="s">
        <v>90</v>
      </c>
      <c r="C88" s="33" t="s">
        <v>153</v>
      </c>
      <c r="D88" s="88"/>
      <c r="E88" s="91">
        <v>0</v>
      </c>
      <c r="F88" s="91">
        <v>0</v>
      </c>
      <c r="G88" s="92">
        <f t="shared" si="18"/>
        <v>0</v>
      </c>
      <c r="H88" s="180">
        <v>0</v>
      </c>
      <c r="I88" s="180">
        <v>0</v>
      </c>
      <c r="J88" s="117">
        <f t="shared" si="19"/>
        <v>0</v>
      </c>
      <c r="K88" s="140">
        <f t="shared" si="10"/>
        <v>0</v>
      </c>
      <c r="L88" s="73">
        <f t="shared" si="11"/>
        <v>0</v>
      </c>
      <c r="M88" s="73">
        <f t="shared" si="12"/>
        <v>0</v>
      </c>
      <c r="N88" s="301">
        <f t="shared" si="13"/>
        <v>0</v>
      </c>
      <c r="O88" s="301">
        <f t="shared" si="14"/>
        <v>0</v>
      </c>
      <c r="P88" s="300">
        <f t="shared" si="15"/>
        <v>0</v>
      </c>
    </row>
    <row r="89" spans="1:16" x14ac:dyDescent="0.25">
      <c r="A89" s="49">
        <v>79</v>
      </c>
      <c r="B89" s="46" t="s">
        <v>481</v>
      </c>
      <c r="C89" s="33" t="s">
        <v>153</v>
      </c>
      <c r="D89" s="88">
        <v>97616.82</v>
      </c>
      <c r="E89" s="91">
        <v>26356.541400000002</v>
      </c>
      <c r="F89" s="91">
        <v>105426.16560000002</v>
      </c>
      <c r="G89" s="92">
        <f t="shared" si="18"/>
        <v>131782.70700000002</v>
      </c>
      <c r="H89" s="180">
        <f>26356.5414-1000</f>
        <v>25356.541399999998</v>
      </c>
      <c r="I89" s="180">
        <v>105426.16560000002</v>
      </c>
      <c r="J89" s="117">
        <f t="shared" si="19"/>
        <v>130782.70700000002</v>
      </c>
      <c r="K89" s="140">
        <f t="shared" si="10"/>
        <v>25356.541399999998</v>
      </c>
      <c r="L89" s="73">
        <f t="shared" si="11"/>
        <v>105426.16560000002</v>
      </c>
      <c r="M89" s="73">
        <f t="shared" si="12"/>
        <v>130782.70700000002</v>
      </c>
      <c r="N89" s="301">
        <f t="shared" si="13"/>
        <v>23581.583501999998</v>
      </c>
      <c r="O89" s="301">
        <f t="shared" si="14"/>
        <v>98046.33400800002</v>
      </c>
      <c r="P89" s="300">
        <f t="shared" si="15"/>
        <v>121627.91751000001</v>
      </c>
    </row>
    <row r="90" spans="1:16" x14ac:dyDescent="0.25">
      <c r="A90" s="49">
        <v>80</v>
      </c>
      <c r="B90" s="46" t="s">
        <v>181</v>
      </c>
      <c r="C90" s="33" t="s">
        <v>153</v>
      </c>
      <c r="D90" s="88">
        <v>901600</v>
      </c>
      <c r="E90" s="91">
        <v>230809.59999999998</v>
      </c>
      <c r="F90" s="91">
        <v>923238.40000000002</v>
      </c>
      <c r="G90" s="92">
        <f t="shared" si="18"/>
        <v>1154048</v>
      </c>
      <c r="H90" s="180">
        <f>230809.6-1000</f>
        <v>229809.6</v>
      </c>
      <c r="I90" s="180">
        <v>923238.40000000002</v>
      </c>
      <c r="J90" s="117">
        <f t="shared" si="19"/>
        <v>1153048</v>
      </c>
      <c r="K90" s="140">
        <f t="shared" si="10"/>
        <v>229809.6</v>
      </c>
      <c r="L90" s="73">
        <f t="shared" si="11"/>
        <v>923238.40000000002</v>
      </c>
      <c r="M90" s="73">
        <f t="shared" si="12"/>
        <v>1153048</v>
      </c>
      <c r="N90" s="301">
        <f t="shared" si="13"/>
        <v>213722.92800000001</v>
      </c>
      <c r="O90" s="301">
        <f t="shared" si="14"/>
        <v>858611.71200000006</v>
      </c>
      <c r="P90" s="300">
        <f t="shared" si="15"/>
        <v>1072334.6400000001</v>
      </c>
    </row>
    <row r="91" spans="1:16" x14ac:dyDescent="0.2">
      <c r="A91" s="49">
        <v>81</v>
      </c>
      <c r="B91" s="47" t="s">
        <v>482</v>
      </c>
      <c r="C91" s="33" t="s">
        <v>153</v>
      </c>
      <c r="D91" s="88">
        <v>1161363.1729773222</v>
      </c>
      <c r="E91" s="91">
        <v>297308.97228219453</v>
      </c>
      <c r="F91" s="91">
        <v>1189235.8891287779</v>
      </c>
      <c r="G91" s="92">
        <f t="shared" si="18"/>
        <v>1486544.8614109724</v>
      </c>
      <c r="H91" s="180">
        <f>297308.972282195-1000</f>
        <v>296308.972282195</v>
      </c>
      <c r="I91" s="180">
        <v>1189235.8891287779</v>
      </c>
      <c r="J91" s="117">
        <f t="shared" si="19"/>
        <v>1485544.8614109729</v>
      </c>
      <c r="K91" s="140">
        <f t="shared" si="10"/>
        <v>296308.972282195</v>
      </c>
      <c r="L91" s="73">
        <f t="shared" si="11"/>
        <v>1189235.8891287779</v>
      </c>
      <c r="M91" s="73">
        <f t="shared" si="12"/>
        <v>1485544.8614109729</v>
      </c>
      <c r="N91" s="301">
        <f t="shared" si="13"/>
        <v>275567.34422244132</v>
      </c>
      <c r="O91" s="301">
        <f t="shared" si="14"/>
        <v>1105989.3768897634</v>
      </c>
      <c r="P91" s="300">
        <f t="shared" si="15"/>
        <v>1381556.7211122047</v>
      </c>
    </row>
    <row r="92" spans="1:16" x14ac:dyDescent="0.2">
      <c r="A92" s="49">
        <v>82</v>
      </c>
      <c r="B92" s="47" t="s">
        <v>80</v>
      </c>
      <c r="C92" s="33" t="s">
        <v>153</v>
      </c>
      <c r="D92" s="88">
        <v>637240.44299999997</v>
      </c>
      <c r="E92" s="91">
        <v>172054.91960999998</v>
      </c>
      <c r="F92" s="91">
        <v>688219.67844000005</v>
      </c>
      <c r="G92" s="92">
        <f t="shared" si="18"/>
        <v>860274.59805000003</v>
      </c>
      <c r="H92" s="180">
        <f>172054.91961-1000</f>
        <v>171054.91961000001</v>
      </c>
      <c r="I92" s="180">
        <v>688219.67844000005</v>
      </c>
      <c r="J92" s="117">
        <f t="shared" si="19"/>
        <v>859274.59805000003</v>
      </c>
      <c r="K92" s="140">
        <f t="shared" si="10"/>
        <v>171054.91961000001</v>
      </c>
      <c r="L92" s="73">
        <f t="shared" si="11"/>
        <v>688219.67844000005</v>
      </c>
      <c r="M92" s="73">
        <f t="shared" si="12"/>
        <v>859274.59805000003</v>
      </c>
      <c r="N92" s="301">
        <f t="shared" si="13"/>
        <v>159081.07523730001</v>
      </c>
      <c r="O92" s="301">
        <f t="shared" si="14"/>
        <v>640044.30094920006</v>
      </c>
      <c r="P92" s="300">
        <f t="shared" si="15"/>
        <v>799125.37618650007</v>
      </c>
    </row>
    <row r="93" spans="1:16" x14ac:dyDescent="0.2">
      <c r="A93" s="49">
        <v>83</v>
      </c>
      <c r="B93" s="47" t="s">
        <v>345</v>
      </c>
      <c r="C93" s="33" t="s">
        <v>153</v>
      </c>
      <c r="D93" s="88">
        <v>412188.49</v>
      </c>
      <c r="E93" s="91">
        <v>111290.89229999995</v>
      </c>
      <c r="F93" s="91">
        <v>445163.56920000003</v>
      </c>
      <c r="G93" s="92">
        <f t="shared" si="18"/>
        <v>556454.46149999998</v>
      </c>
      <c r="H93" s="180">
        <f>111290.8923-1000</f>
        <v>110290.89230000001</v>
      </c>
      <c r="I93" s="180">
        <v>445163.56920000003</v>
      </c>
      <c r="J93" s="117">
        <f t="shared" si="19"/>
        <v>555454.46149999998</v>
      </c>
      <c r="K93" s="140">
        <f t="shared" si="10"/>
        <v>110290.89230000001</v>
      </c>
      <c r="L93" s="73">
        <f t="shared" si="11"/>
        <v>445163.56920000003</v>
      </c>
      <c r="M93" s="73">
        <f t="shared" si="12"/>
        <v>555454.46149999998</v>
      </c>
      <c r="N93" s="301">
        <f t="shared" si="13"/>
        <v>102570.52983900001</v>
      </c>
      <c r="O93" s="301">
        <f t="shared" si="14"/>
        <v>414002.11935600004</v>
      </c>
      <c r="P93" s="300">
        <f t="shared" si="15"/>
        <v>516572.64919500006</v>
      </c>
    </row>
    <row r="94" spans="1:16" x14ac:dyDescent="0.25">
      <c r="A94" s="49">
        <v>84</v>
      </c>
      <c r="B94" s="35" t="s">
        <v>185</v>
      </c>
      <c r="C94" s="33" t="s">
        <v>153</v>
      </c>
      <c r="D94" s="88">
        <v>441392.245</v>
      </c>
      <c r="E94" s="91">
        <v>119175.90615</v>
      </c>
      <c r="F94" s="91">
        <v>476703.62460000004</v>
      </c>
      <c r="G94" s="92">
        <f t="shared" si="18"/>
        <v>595879.53075000003</v>
      </c>
      <c r="H94" s="180">
        <f>119175.90615-1000</f>
        <v>118175.90615</v>
      </c>
      <c r="I94" s="180">
        <v>476703.62460000004</v>
      </c>
      <c r="J94" s="117">
        <f t="shared" si="19"/>
        <v>594879.53075000003</v>
      </c>
      <c r="K94" s="140">
        <f t="shared" si="10"/>
        <v>118175.90615</v>
      </c>
      <c r="L94" s="73">
        <f t="shared" si="11"/>
        <v>476703.62460000004</v>
      </c>
      <c r="M94" s="73">
        <f t="shared" si="12"/>
        <v>594879.53075000003</v>
      </c>
      <c r="N94" s="301">
        <f t="shared" si="13"/>
        <v>109903.5927195</v>
      </c>
      <c r="O94" s="301">
        <f t="shared" si="14"/>
        <v>443334.37087800005</v>
      </c>
      <c r="P94" s="300">
        <f t="shared" si="15"/>
        <v>553237.9635975</v>
      </c>
    </row>
    <row r="95" spans="1:16" x14ac:dyDescent="0.2">
      <c r="A95" s="49">
        <v>85</v>
      </c>
      <c r="B95" s="47" t="s">
        <v>99</v>
      </c>
      <c r="C95" s="33" t="s">
        <v>153</v>
      </c>
      <c r="D95" s="88">
        <v>289479.12280000001</v>
      </c>
      <c r="E95" s="91">
        <v>78159.363155999978</v>
      </c>
      <c r="F95" s="91">
        <v>312637.45262400009</v>
      </c>
      <c r="G95" s="92">
        <f t="shared" si="18"/>
        <v>390796.81578000006</v>
      </c>
      <c r="H95" s="180">
        <f>78159.363156-1000</f>
        <v>77159.363156000007</v>
      </c>
      <c r="I95" s="180">
        <v>312637.45262400009</v>
      </c>
      <c r="J95" s="117">
        <f t="shared" si="19"/>
        <v>389796.81578000006</v>
      </c>
      <c r="K95" s="140">
        <f t="shared" si="10"/>
        <v>77159.363156000007</v>
      </c>
      <c r="L95" s="73">
        <f t="shared" si="11"/>
        <v>312637.45262400009</v>
      </c>
      <c r="M95" s="73">
        <f t="shared" si="12"/>
        <v>389796.81578000006</v>
      </c>
      <c r="N95" s="301">
        <f t="shared" si="13"/>
        <v>71758.20773508001</v>
      </c>
      <c r="O95" s="301">
        <f t="shared" si="14"/>
        <v>290752.8309403201</v>
      </c>
      <c r="P95" s="300">
        <f t="shared" si="15"/>
        <v>362511.03867540008</v>
      </c>
    </row>
    <row r="96" spans="1:16" x14ac:dyDescent="0.2">
      <c r="A96" s="49">
        <v>86</v>
      </c>
      <c r="B96" s="47" t="s">
        <v>325</v>
      </c>
      <c r="C96" s="33" t="s">
        <v>153</v>
      </c>
      <c r="D96" s="88">
        <v>267222.48</v>
      </c>
      <c r="E96" s="91">
        <v>72150.069599999988</v>
      </c>
      <c r="F96" s="91">
        <v>288600.27840000001</v>
      </c>
      <c r="G96" s="92">
        <f t="shared" si="18"/>
        <v>360750.348</v>
      </c>
      <c r="H96" s="180">
        <f>72150.0696-1000</f>
        <v>71150.069600000003</v>
      </c>
      <c r="I96" s="180">
        <v>288600.27840000001</v>
      </c>
      <c r="J96" s="117">
        <f t="shared" si="19"/>
        <v>359750.348</v>
      </c>
      <c r="K96" s="140">
        <f t="shared" si="10"/>
        <v>71150.069600000003</v>
      </c>
      <c r="L96" s="73">
        <f t="shared" si="11"/>
        <v>288600.27840000001</v>
      </c>
      <c r="M96" s="73">
        <f t="shared" si="12"/>
        <v>359750.348</v>
      </c>
      <c r="N96" s="301">
        <f t="shared" si="13"/>
        <v>66169.564727999998</v>
      </c>
      <c r="O96" s="301">
        <f t="shared" si="14"/>
        <v>268398.25891199999</v>
      </c>
      <c r="P96" s="300">
        <f t="shared" si="15"/>
        <v>334567.82363999996</v>
      </c>
    </row>
    <row r="97" spans="1:16" x14ac:dyDescent="0.2">
      <c r="A97" s="49">
        <v>87</v>
      </c>
      <c r="B97" s="47" t="s">
        <v>186</v>
      </c>
      <c r="C97" s="33" t="s">
        <v>153</v>
      </c>
      <c r="D97" s="88">
        <v>245498.62399999998</v>
      </c>
      <c r="E97" s="91">
        <v>66284.628480000014</v>
      </c>
      <c r="F97" s="91">
        <v>265138.51392</v>
      </c>
      <c r="G97" s="92">
        <f t="shared" si="18"/>
        <v>331423.14240000001</v>
      </c>
      <c r="H97" s="180">
        <f>66284.62848-1000</f>
        <v>65284.628479999999</v>
      </c>
      <c r="I97" s="180">
        <v>265138.51392</v>
      </c>
      <c r="J97" s="117">
        <f t="shared" si="19"/>
        <v>330423.14240000001</v>
      </c>
      <c r="K97" s="140">
        <f t="shared" si="10"/>
        <v>65284.628479999999</v>
      </c>
      <c r="L97" s="73">
        <f t="shared" si="11"/>
        <v>265138.51392</v>
      </c>
      <c r="M97" s="73">
        <f t="shared" si="12"/>
        <v>330423.14240000001</v>
      </c>
      <c r="N97" s="301">
        <f t="shared" si="13"/>
        <v>60714.704486399998</v>
      </c>
      <c r="O97" s="301">
        <f t="shared" si="14"/>
        <v>246578.81794559999</v>
      </c>
      <c r="P97" s="300">
        <f t="shared" si="15"/>
        <v>307293.52243199997</v>
      </c>
    </row>
    <row r="98" spans="1:16" x14ac:dyDescent="0.2">
      <c r="A98" s="49">
        <v>88</v>
      </c>
      <c r="B98" s="47" t="s">
        <v>483</v>
      </c>
      <c r="C98" s="33" t="s">
        <v>153</v>
      </c>
      <c r="D98" s="88">
        <v>843547.94579999999</v>
      </c>
      <c r="E98" s="91">
        <v>215948.27412479999</v>
      </c>
      <c r="F98" s="91">
        <v>863793.09649919998</v>
      </c>
      <c r="G98" s="92">
        <f t="shared" si="18"/>
        <v>1079741.370624</v>
      </c>
      <c r="H98" s="180">
        <f>215948.2741248-1000</f>
        <v>214948.27412479999</v>
      </c>
      <c r="I98" s="180">
        <v>863793.09649919998</v>
      </c>
      <c r="J98" s="117">
        <f t="shared" si="19"/>
        <v>1078741.370624</v>
      </c>
      <c r="K98" s="140">
        <f t="shared" si="10"/>
        <v>214948.27412479999</v>
      </c>
      <c r="L98" s="73">
        <f t="shared" si="11"/>
        <v>863793.09649919998</v>
      </c>
      <c r="M98" s="73">
        <f t="shared" si="12"/>
        <v>1078741.370624</v>
      </c>
      <c r="N98" s="301">
        <f t="shared" si="13"/>
        <v>199901.894936064</v>
      </c>
      <c r="O98" s="301">
        <f t="shared" si="14"/>
        <v>803327.57974425599</v>
      </c>
      <c r="P98" s="300">
        <f t="shared" si="15"/>
        <v>1003229.47468032</v>
      </c>
    </row>
    <row r="99" spans="1:16" x14ac:dyDescent="0.2">
      <c r="A99" s="49">
        <v>89</v>
      </c>
      <c r="B99" s="47" t="s">
        <v>103</v>
      </c>
      <c r="C99" s="33" t="s">
        <v>153</v>
      </c>
      <c r="D99" s="88">
        <v>144001.20000000001</v>
      </c>
      <c r="E99" s="91">
        <v>38880.323999999993</v>
      </c>
      <c r="F99" s="91">
        <v>155521.29600000003</v>
      </c>
      <c r="G99" s="92">
        <f t="shared" si="18"/>
        <v>194401.62000000002</v>
      </c>
      <c r="H99" s="180">
        <f>38880.324-1000</f>
        <v>37880.324000000001</v>
      </c>
      <c r="I99" s="180">
        <v>155521.29600000003</v>
      </c>
      <c r="J99" s="117">
        <f t="shared" si="19"/>
        <v>193401.62000000002</v>
      </c>
      <c r="K99" s="140">
        <f t="shared" si="10"/>
        <v>37880.324000000001</v>
      </c>
      <c r="L99" s="73">
        <f t="shared" si="11"/>
        <v>155521.29600000003</v>
      </c>
      <c r="M99" s="73">
        <f t="shared" si="12"/>
        <v>193401.62000000002</v>
      </c>
      <c r="N99" s="301">
        <f t="shared" si="13"/>
        <v>35228.70132</v>
      </c>
      <c r="O99" s="301">
        <f t="shared" si="14"/>
        <v>144634.80528000003</v>
      </c>
      <c r="P99" s="300">
        <f t="shared" si="15"/>
        <v>179863.50660000002</v>
      </c>
    </row>
    <row r="100" spans="1:16" x14ac:dyDescent="0.25">
      <c r="A100" s="49">
        <v>90</v>
      </c>
      <c r="B100" s="46" t="s">
        <v>346</v>
      </c>
      <c r="C100" s="33" t="s">
        <v>153</v>
      </c>
      <c r="D100" s="88">
        <v>642380.6765497569</v>
      </c>
      <c r="E100" s="91">
        <v>173442.78266843432</v>
      </c>
      <c r="F100" s="91">
        <v>693771.1306737375</v>
      </c>
      <c r="G100" s="92">
        <f t="shared" si="18"/>
        <v>867213.91334217181</v>
      </c>
      <c r="H100" s="180">
        <f>173442.782668434-1000</f>
        <v>172442.782668434</v>
      </c>
      <c r="I100" s="180">
        <v>693771.1306737375</v>
      </c>
      <c r="J100" s="117">
        <f t="shared" si="19"/>
        <v>866213.91334217147</v>
      </c>
      <c r="K100" s="140">
        <f t="shared" si="10"/>
        <v>172442.782668434</v>
      </c>
      <c r="L100" s="73">
        <f t="shared" si="11"/>
        <v>693771.1306737375</v>
      </c>
      <c r="M100" s="73">
        <f t="shared" si="12"/>
        <v>866213.91334217147</v>
      </c>
      <c r="N100" s="301">
        <f t="shared" si="13"/>
        <v>160371.78788164363</v>
      </c>
      <c r="O100" s="301">
        <f t="shared" si="14"/>
        <v>645207.15152657591</v>
      </c>
      <c r="P100" s="300">
        <f t="shared" si="15"/>
        <v>805578.93940821954</v>
      </c>
    </row>
    <row r="101" spans="1:16" x14ac:dyDescent="0.25">
      <c r="A101" s="49">
        <v>91</v>
      </c>
      <c r="B101" s="35" t="s">
        <v>190</v>
      </c>
      <c r="C101" s="33" t="s">
        <v>153</v>
      </c>
      <c r="D101" s="88">
        <v>109368</v>
      </c>
      <c r="E101" s="91">
        <v>29529.360000000001</v>
      </c>
      <c r="F101" s="91">
        <v>118117.44000000002</v>
      </c>
      <c r="G101" s="92">
        <f t="shared" si="18"/>
        <v>147646.80000000002</v>
      </c>
      <c r="H101" s="180">
        <f>29529.36-1000</f>
        <v>28529.360000000001</v>
      </c>
      <c r="I101" s="180">
        <v>118117.44000000002</v>
      </c>
      <c r="J101" s="117">
        <f t="shared" si="19"/>
        <v>146646.80000000002</v>
      </c>
      <c r="K101" s="140">
        <f t="shared" si="10"/>
        <v>28529.360000000001</v>
      </c>
      <c r="L101" s="73">
        <f t="shared" si="11"/>
        <v>118117.44000000002</v>
      </c>
      <c r="M101" s="73">
        <f t="shared" si="12"/>
        <v>146646.80000000002</v>
      </c>
      <c r="N101" s="301">
        <f t="shared" si="13"/>
        <v>26532.304800000002</v>
      </c>
      <c r="O101" s="301">
        <f t="shared" si="14"/>
        <v>109849.21920000002</v>
      </c>
      <c r="P101" s="300">
        <f t="shared" si="15"/>
        <v>136381.52400000003</v>
      </c>
    </row>
    <row r="102" spans="1:16" ht="22.5" x14ac:dyDescent="0.25">
      <c r="A102" s="49"/>
      <c r="B102" s="30" t="s">
        <v>28</v>
      </c>
      <c r="C102" s="33" t="s">
        <v>153</v>
      </c>
      <c r="D102" s="88"/>
      <c r="E102" s="95"/>
      <c r="F102" s="96"/>
      <c r="G102" s="92">
        <f t="shared" si="18"/>
        <v>0</v>
      </c>
      <c r="H102" s="183"/>
      <c r="I102" s="184"/>
      <c r="J102" s="117">
        <f t="shared" si="19"/>
        <v>0</v>
      </c>
      <c r="K102" s="140">
        <f t="shared" si="10"/>
        <v>0</v>
      </c>
      <c r="L102" s="73">
        <f t="shared" si="11"/>
        <v>0</v>
      </c>
      <c r="M102" s="73">
        <f t="shared" si="12"/>
        <v>0</v>
      </c>
      <c r="N102" s="301">
        <f t="shared" si="13"/>
        <v>0</v>
      </c>
      <c r="O102" s="301">
        <f t="shared" si="14"/>
        <v>0</v>
      </c>
      <c r="P102" s="300">
        <f t="shared" si="15"/>
        <v>0</v>
      </c>
    </row>
    <row r="103" spans="1:16" x14ac:dyDescent="0.25">
      <c r="A103" s="49">
        <v>92</v>
      </c>
      <c r="B103" s="46" t="s">
        <v>114</v>
      </c>
      <c r="C103" s="33" t="s">
        <v>153</v>
      </c>
      <c r="D103" s="88">
        <v>935508.77419999999</v>
      </c>
      <c r="E103" s="91">
        <v>239490.2461951999</v>
      </c>
      <c r="F103" s="91">
        <v>957960.98478080006</v>
      </c>
      <c r="G103" s="92">
        <f t="shared" si="18"/>
        <v>1197451.230976</v>
      </c>
      <c r="H103" s="180">
        <f>239490.2461952-1000</f>
        <v>238490.24619519999</v>
      </c>
      <c r="I103" s="180">
        <v>957960.98478080006</v>
      </c>
      <c r="J103" s="117">
        <f t="shared" si="19"/>
        <v>1196451.230976</v>
      </c>
      <c r="K103" s="140">
        <f t="shared" si="10"/>
        <v>238490.24619519999</v>
      </c>
      <c r="L103" s="73">
        <f t="shared" si="11"/>
        <v>957960.98478080006</v>
      </c>
      <c r="M103" s="73">
        <f t="shared" si="12"/>
        <v>1196451.230976</v>
      </c>
      <c r="N103" s="301">
        <f t="shared" si="13"/>
        <v>221795.92896153597</v>
      </c>
      <c r="O103" s="301">
        <f t="shared" si="14"/>
        <v>890903.71584614401</v>
      </c>
      <c r="P103" s="300">
        <f t="shared" si="15"/>
        <v>1112699.64480768</v>
      </c>
    </row>
    <row r="104" spans="1:16" x14ac:dyDescent="0.25">
      <c r="A104" s="49">
        <v>93</v>
      </c>
      <c r="B104" s="35" t="s">
        <v>191</v>
      </c>
      <c r="C104" s="33" t="s">
        <v>153</v>
      </c>
      <c r="D104" s="88">
        <v>109368</v>
      </c>
      <c r="E104" s="91">
        <v>29529.360000000001</v>
      </c>
      <c r="F104" s="91">
        <v>118117.44000000002</v>
      </c>
      <c r="G104" s="92">
        <f t="shared" si="18"/>
        <v>147646.80000000002</v>
      </c>
      <c r="H104" s="180">
        <f>29529.36-1000</f>
        <v>28529.360000000001</v>
      </c>
      <c r="I104" s="180">
        <v>118117.44000000002</v>
      </c>
      <c r="J104" s="117">
        <f t="shared" si="19"/>
        <v>146646.80000000002</v>
      </c>
      <c r="K104" s="140">
        <f t="shared" si="10"/>
        <v>28529.360000000001</v>
      </c>
      <c r="L104" s="73">
        <f t="shared" si="11"/>
        <v>118117.44000000002</v>
      </c>
      <c r="M104" s="73">
        <f t="shared" si="12"/>
        <v>146646.80000000002</v>
      </c>
      <c r="N104" s="301">
        <f t="shared" si="13"/>
        <v>26532.304800000002</v>
      </c>
      <c r="O104" s="301">
        <f t="shared" si="14"/>
        <v>109849.21920000002</v>
      </c>
      <c r="P104" s="300">
        <f t="shared" si="15"/>
        <v>136381.52400000003</v>
      </c>
    </row>
    <row r="105" spans="1:16" x14ac:dyDescent="0.25">
      <c r="A105" s="49">
        <v>94</v>
      </c>
      <c r="B105" s="46" t="s">
        <v>117</v>
      </c>
      <c r="C105" s="33" t="s">
        <v>153</v>
      </c>
      <c r="D105" s="88">
        <v>902307.28559999994</v>
      </c>
      <c r="E105" s="91">
        <v>230990.66511359997</v>
      </c>
      <c r="F105" s="91">
        <v>923962.66045439988</v>
      </c>
      <c r="G105" s="92">
        <f t="shared" si="18"/>
        <v>1154953.3255679999</v>
      </c>
      <c r="H105" s="180">
        <f>230990.6651136-1000</f>
        <v>229990.6651136</v>
      </c>
      <c r="I105" s="180">
        <v>923962.66045439988</v>
      </c>
      <c r="J105" s="117">
        <f t="shared" si="19"/>
        <v>1153953.3255679999</v>
      </c>
      <c r="K105" s="140">
        <f t="shared" si="10"/>
        <v>229990.6651136</v>
      </c>
      <c r="L105" s="73">
        <f t="shared" si="11"/>
        <v>923962.66045439988</v>
      </c>
      <c r="M105" s="73">
        <f t="shared" si="12"/>
        <v>1153953.3255679999</v>
      </c>
      <c r="N105" s="301">
        <f t="shared" si="13"/>
        <v>213891.318555648</v>
      </c>
      <c r="O105" s="301">
        <f t="shared" si="14"/>
        <v>859285.27422259189</v>
      </c>
      <c r="P105" s="300">
        <f t="shared" si="15"/>
        <v>1073176.5927782399</v>
      </c>
    </row>
    <row r="106" spans="1:16" x14ac:dyDescent="0.25">
      <c r="A106" s="49">
        <v>95</v>
      </c>
      <c r="B106" s="35" t="s">
        <v>347</v>
      </c>
      <c r="C106" s="33" t="s">
        <v>153</v>
      </c>
      <c r="D106" s="88">
        <v>375496.8</v>
      </c>
      <c r="E106" s="91">
        <v>101384.136</v>
      </c>
      <c r="F106" s="91">
        <v>405536.54399999999</v>
      </c>
      <c r="G106" s="92">
        <f t="shared" si="18"/>
        <v>506920.68</v>
      </c>
      <c r="H106" s="180">
        <f>101384.136-1000</f>
        <v>100384.136</v>
      </c>
      <c r="I106" s="180">
        <v>405536.54399999999</v>
      </c>
      <c r="J106" s="117">
        <f t="shared" si="19"/>
        <v>505920.68</v>
      </c>
      <c r="K106" s="140">
        <f t="shared" si="10"/>
        <v>100384.136</v>
      </c>
      <c r="L106" s="73">
        <f t="shared" si="11"/>
        <v>405536.54399999999</v>
      </c>
      <c r="M106" s="73">
        <f t="shared" si="12"/>
        <v>505920.68</v>
      </c>
      <c r="N106" s="301">
        <f t="shared" si="13"/>
        <v>93357.246480000002</v>
      </c>
      <c r="O106" s="301">
        <f t="shared" si="14"/>
        <v>377148.98592000001</v>
      </c>
      <c r="P106" s="300">
        <f t="shared" si="15"/>
        <v>470506.23239999998</v>
      </c>
    </row>
    <row r="107" spans="1:16" x14ac:dyDescent="0.2">
      <c r="A107" s="49">
        <v>96</v>
      </c>
      <c r="B107" s="47" t="s">
        <v>80</v>
      </c>
      <c r="C107" s="33" t="s">
        <v>153</v>
      </c>
      <c r="D107" s="88">
        <v>1105026.93</v>
      </c>
      <c r="E107" s="91">
        <v>282886.89408</v>
      </c>
      <c r="F107" s="91">
        <v>1131547.57632</v>
      </c>
      <c r="G107" s="92">
        <f t="shared" si="18"/>
        <v>1414434.4704</v>
      </c>
      <c r="H107" s="180">
        <f>282886.89408-1000</f>
        <v>281886.89408</v>
      </c>
      <c r="I107" s="180">
        <v>1131547.57632</v>
      </c>
      <c r="J107" s="117">
        <f t="shared" si="19"/>
        <v>1413434.4704</v>
      </c>
      <c r="K107" s="140">
        <f t="shared" si="10"/>
        <v>281886.89408</v>
      </c>
      <c r="L107" s="73">
        <f t="shared" si="11"/>
        <v>1131547.57632</v>
      </c>
      <c r="M107" s="73">
        <f t="shared" si="12"/>
        <v>1413434.4704</v>
      </c>
      <c r="N107" s="301">
        <f t="shared" si="13"/>
        <v>262154.81149440003</v>
      </c>
      <c r="O107" s="301">
        <f t="shared" si="14"/>
        <v>1052339.2459776001</v>
      </c>
      <c r="P107" s="300">
        <f t="shared" si="15"/>
        <v>1314494.0574720001</v>
      </c>
    </row>
    <row r="108" spans="1:16" x14ac:dyDescent="0.2">
      <c r="A108" s="49">
        <v>97</v>
      </c>
      <c r="B108" s="47" t="s">
        <v>99</v>
      </c>
      <c r="C108" s="33" t="s">
        <v>153</v>
      </c>
      <c r="D108" s="88">
        <v>396459</v>
      </c>
      <c r="E108" s="91">
        <v>107043.93</v>
      </c>
      <c r="F108" s="91">
        <v>428175.72000000003</v>
      </c>
      <c r="G108" s="92">
        <f t="shared" si="18"/>
        <v>535219.65</v>
      </c>
      <c r="H108" s="180">
        <f>107043.93-1000</f>
        <v>106043.93</v>
      </c>
      <c r="I108" s="180">
        <v>428175.72000000003</v>
      </c>
      <c r="J108" s="117">
        <f t="shared" si="19"/>
        <v>534219.65</v>
      </c>
      <c r="K108" s="140">
        <f t="shared" si="10"/>
        <v>106043.93</v>
      </c>
      <c r="L108" s="73">
        <f t="shared" si="11"/>
        <v>428175.72000000003</v>
      </c>
      <c r="M108" s="73">
        <f t="shared" si="12"/>
        <v>534219.65</v>
      </c>
      <c r="N108" s="301">
        <f t="shared" si="13"/>
        <v>98620.854899999991</v>
      </c>
      <c r="O108" s="301">
        <f t="shared" si="14"/>
        <v>398203.41960000002</v>
      </c>
      <c r="P108" s="300">
        <f t="shared" si="15"/>
        <v>496824.2745</v>
      </c>
    </row>
    <row r="109" spans="1:16" x14ac:dyDescent="0.2">
      <c r="A109" s="49">
        <v>98</v>
      </c>
      <c r="B109" s="47" t="s">
        <v>103</v>
      </c>
      <c r="C109" s="33" t="s">
        <v>153</v>
      </c>
      <c r="D109" s="88">
        <v>124861.8</v>
      </c>
      <c r="E109" s="91">
        <v>33712.685999999987</v>
      </c>
      <c r="F109" s="91">
        <v>134850.74400000004</v>
      </c>
      <c r="G109" s="92">
        <f t="shared" si="18"/>
        <v>168563.43000000002</v>
      </c>
      <c r="H109" s="180">
        <f>33712.6859999999-1000</f>
        <v>32712.6859999999</v>
      </c>
      <c r="I109" s="180">
        <v>134850.74400000004</v>
      </c>
      <c r="J109" s="117">
        <f t="shared" si="19"/>
        <v>167563.42999999993</v>
      </c>
      <c r="K109" s="140">
        <f t="shared" si="10"/>
        <v>32712.6859999999</v>
      </c>
      <c r="L109" s="73">
        <f t="shared" si="11"/>
        <v>134850.74400000004</v>
      </c>
      <c r="M109" s="73">
        <f t="shared" si="12"/>
        <v>167563.42999999993</v>
      </c>
      <c r="N109" s="301">
        <f t="shared" si="13"/>
        <v>30422.797979999908</v>
      </c>
      <c r="O109" s="301">
        <f t="shared" si="14"/>
        <v>125411.19192000003</v>
      </c>
      <c r="P109" s="300">
        <f t="shared" si="15"/>
        <v>155833.98989999993</v>
      </c>
    </row>
    <row r="110" spans="1:16" x14ac:dyDescent="0.2">
      <c r="A110" s="49">
        <v>99</v>
      </c>
      <c r="B110" s="47" t="s">
        <v>348</v>
      </c>
      <c r="C110" s="33" t="s">
        <v>153</v>
      </c>
      <c r="D110" s="88">
        <v>314077.45600000001</v>
      </c>
      <c r="E110" s="91">
        <v>84800.913119999983</v>
      </c>
      <c r="F110" s="91">
        <v>339203.65248000005</v>
      </c>
      <c r="G110" s="92">
        <f t="shared" si="18"/>
        <v>424004.56560000003</v>
      </c>
      <c r="H110" s="180">
        <f>84800.91312-1000</f>
        <v>83800.913119999997</v>
      </c>
      <c r="I110" s="180">
        <v>339203.65248000005</v>
      </c>
      <c r="J110" s="117">
        <f t="shared" si="19"/>
        <v>423004.56560000003</v>
      </c>
      <c r="K110" s="140">
        <f t="shared" si="10"/>
        <v>83800.913119999997</v>
      </c>
      <c r="L110" s="73">
        <f t="shared" si="11"/>
        <v>339203.65248000005</v>
      </c>
      <c r="M110" s="73">
        <f t="shared" si="12"/>
        <v>423004.56560000003</v>
      </c>
      <c r="N110" s="301">
        <f t="shared" si="13"/>
        <v>77934.849201599995</v>
      </c>
      <c r="O110" s="301">
        <f t="shared" si="14"/>
        <v>315459.39680640004</v>
      </c>
      <c r="P110" s="300">
        <f t="shared" si="15"/>
        <v>393394.24600800005</v>
      </c>
    </row>
    <row r="111" spans="1:16" x14ac:dyDescent="0.25">
      <c r="A111" s="49">
        <v>100</v>
      </c>
      <c r="B111" s="46" t="s">
        <v>119</v>
      </c>
      <c r="C111" s="33" t="s">
        <v>153</v>
      </c>
      <c r="D111" s="88">
        <v>343034.71159999998</v>
      </c>
      <c r="E111" s="91">
        <v>92619.37213199999</v>
      </c>
      <c r="F111" s="91">
        <v>370477.48852800002</v>
      </c>
      <c r="G111" s="92">
        <f t="shared" si="18"/>
        <v>463096.86066000001</v>
      </c>
      <c r="H111" s="180">
        <f>92619.372132-1000</f>
        <v>91619.372132000004</v>
      </c>
      <c r="I111" s="180">
        <v>370477.48852800002</v>
      </c>
      <c r="J111" s="117">
        <f t="shared" si="19"/>
        <v>462096.86066000001</v>
      </c>
      <c r="K111" s="140">
        <f t="shared" si="10"/>
        <v>91619.372132000004</v>
      </c>
      <c r="L111" s="73">
        <f t="shared" si="11"/>
        <v>370477.48852800002</v>
      </c>
      <c r="M111" s="73">
        <f t="shared" si="12"/>
        <v>462096.86066000001</v>
      </c>
      <c r="N111" s="301">
        <f t="shared" si="13"/>
        <v>85206.016082760005</v>
      </c>
      <c r="O111" s="301">
        <f t="shared" si="14"/>
        <v>344544.06433104002</v>
      </c>
      <c r="P111" s="300">
        <f t="shared" si="15"/>
        <v>429750.08041380002</v>
      </c>
    </row>
    <row r="112" spans="1:16" ht="22.5" x14ac:dyDescent="0.25">
      <c r="A112" s="49"/>
      <c r="B112" s="30" t="s">
        <v>35</v>
      </c>
      <c r="C112" s="33" t="s">
        <v>153</v>
      </c>
      <c r="D112" s="88"/>
      <c r="E112" s="91">
        <v>0</v>
      </c>
      <c r="F112" s="91">
        <v>0</v>
      </c>
      <c r="G112" s="92">
        <f t="shared" si="18"/>
        <v>0</v>
      </c>
      <c r="H112" s="180">
        <v>0</v>
      </c>
      <c r="I112" s="180">
        <v>0</v>
      </c>
      <c r="J112" s="117">
        <f t="shared" si="19"/>
        <v>0</v>
      </c>
      <c r="K112" s="140">
        <f t="shared" si="10"/>
        <v>0</v>
      </c>
      <c r="L112" s="73">
        <f t="shared" si="11"/>
        <v>0</v>
      </c>
      <c r="M112" s="73">
        <f t="shared" si="12"/>
        <v>0</v>
      </c>
      <c r="N112" s="301">
        <f t="shared" si="13"/>
        <v>0</v>
      </c>
      <c r="O112" s="301">
        <f t="shared" si="14"/>
        <v>0</v>
      </c>
      <c r="P112" s="300">
        <f t="shared" si="15"/>
        <v>0</v>
      </c>
    </row>
    <row r="113" spans="1:16" x14ac:dyDescent="0.25">
      <c r="A113" s="49">
        <v>101</v>
      </c>
      <c r="B113" s="51" t="s">
        <v>30</v>
      </c>
      <c r="C113" s="33" t="s">
        <v>153</v>
      </c>
      <c r="D113" s="88">
        <v>39645.9</v>
      </c>
      <c r="E113" s="91">
        <v>11893.769999999997</v>
      </c>
      <c r="F113" s="91">
        <v>47575.080000000009</v>
      </c>
      <c r="G113" s="92">
        <f t="shared" si="18"/>
        <v>59468.850000000006</v>
      </c>
      <c r="H113" s="180">
        <f>11893.77-1000</f>
        <v>10893.77</v>
      </c>
      <c r="I113" s="180">
        <v>47575.080000000009</v>
      </c>
      <c r="J113" s="117">
        <f t="shared" si="19"/>
        <v>58468.850000000006</v>
      </c>
      <c r="K113" s="140">
        <f t="shared" si="10"/>
        <v>10893.77</v>
      </c>
      <c r="L113" s="73">
        <f t="shared" si="11"/>
        <v>47575.080000000009</v>
      </c>
      <c r="M113" s="73">
        <f t="shared" si="12"/>
        <v>58468.850000000006</v>
      </c>
      <c r="N113" s="301">
        <f t="shared" si="13"/>
        <v>10131.206099999999</v>
      </c>
      <c r="O113" s="301">
        <f t="shared" si="14"/>
        <v>44244.824400000005</v>
      </c>
      <c r="P113" s="300">
        <f t="shared" si="15"/>
        <v>54376.030500000008</v>
      </c>
    </row>
    <row r="114" spans="1:16" x14ac:dyDescent="0.2">
      <c r="A114" s="49">
        <v>102</v>
      </c>
      <c r="B114" s="52" t="s">
        <v>82</v>
      </c>
      <c r="C114" s="33" t="s">
        <v>153</v>
      </c>
      <c r="D114" s="88">
        <v>284950.2586</v>
      </c>
      <c r="E114" s="91">
        <v>76936.56982199999</v>
      </c>
      <c r="F114" s="91">
        <v>307746.27928800002</v>
      </c>
      <c r="G114" s="92">
        <f t="shared" si="18"/>
        <v>384682.84911000001</v>
      </c>
      <c r="H114" s="180">
        <f>76936.569822-1000</f>
        <v>75936.569822000005</v>
      </c>
      <c r="I114" s="180">
        <v>307746.27928800002</v>
      </c>
      <c r="J114" s="117">
        <f t="shared" si="19"/>
        <v>383682.84911000001</v>
      </c>
      <c r="K114" s="140">
        <f t="shared" si="10"/>
        <v>75936.569822000005</v>
      </c>
      <c r="L114" s="73">
        <f t="shared" si="11"/>
        <v>307746.27928800002</v>
      </c>
      <c r="M114" s="73">
        <f t="shared" si="12"/>
        <v>383682.84911000001</v>
      </c>
      <c r="N114" s="301">
        <f t="shared" si="13"/>
        <v>70621.009934460002</v>
      </c>
      <c r="O114" s="301">
        <f t="shared" si="14"/>
        <v>286204.03973784001</v>
      </c>
      <c r="P114" s="300">
        <f t="shared" si="15"/>
        <v>356825.0496723</v>
      </c>
    </row>
    <row r="115" spans="1:16" x14ac:dyDescent="0.2">
      <c r="A115" s="49">
        <v>103</v>
      </c>
      <c r="B115" s="52" t="s">
        <v>349</v>
      </c>
      <c r="C115" s="33" t="s">
        <v>153</v>
      </c>
      <c r="D115" s="88">
        <v>284950.2586</v>
      </c>
      <c r="E115" s="91">
        <v>76936.56982199999</v>
      </c>
      <c r="F115" s="91">
        <v>307746.27928800002</v>
      </c>
      <c r="G115" s="92">
        <f t="shared" si="18"/>
        <v>384682.84911000001</v>
      </c>
      <c r="H115" s="180">
        <f>76936.569822-1000</f>
        <v>75936.569822000005</v>
      </c>
      <c r="I115" s="180">
        <v>307746.27928800002</v>
      </c>
      <c r="J115" s="117">
        <f t="shared" si="19"/>
        <v>383682.84911000001</v>
      </c>
      <c r="K115" s="140">
        <f t="shared" si="10"/>
        <v>75936.569822000005</v>
      </c>
      <c r="L115" s="73">
        <f t="shared" si="11"/>
        <v>307746.27928800002</v>
      </c>
      <c r="M115" s="73">
        <f t="shared" si="12"/>
        <v>383682.84911000001</v>
      </c>
      <c r="N115" s="301">
        <f t="shared" si="13"/>
        <v>70621.009934460002</v>
      </c>
      <c r="O115" s="301">
        <f t="shared" si="14"/>
        <v>286204.03973784001</v>
      </c>
      <c r="P115" s="300">
        <f t="shared" si="15"/>
        <v>356825.0496723</v>
      </c>
    </row>
    <row r="116" spans="1:16" x14ac:dyDescent="0.2">
      <c r="A116" s="49">
        <v>104</v>
      </c>
      <c r="B116" s="52" t="s">
        <v>328</v>
      </c>
      <c r="C116" s="33" t="s">
        <v>153</v>
      </c>
      <c r="D116" s="88">
        <v>483634.57550000004</v>
      </c>
      <c r="E116" s="91">
        <v>130581.33538499998</v>
      </c>
      <c r="F116" s="91">
        <v>522325.34154000005</v>
      </c>
      <c r="G116" s="92">
        <f t="shared" si="18"/>
        <v>652906.67692500004</v>
      </c>
      <c r="H116" s="180">
        <f>130581.335385-1000</f>
        <v>129581.335385</v>
      </c>
      <c r="I116" s="180">
        <v>522325.34154000005</v>
      </c>
      <c r="J116" s="117">
        <f t="shared" si="19"/>
        <v>651906.67692500004</v>
      </c>
      <c r="K116" s="140">
        <f t="shared" si="10"/>
        <v>129581.335385</v>
      </c>
      <c r="L116" s="73">
        <f t="shared" si="11"/>
        <v>522325.34154000005</v>
      </c>
      <c r="M116" s="73">
        <f t="shared" si="12"/>
        <v>651906.67692500004</v>
      </c>
      <c r="N116" s="301">
        <f t="shared" si="13"/>
        <v>120510.64190804999</v>
      </c>
      <c r="O116" s="301">
        <f t="shared" si="14"/>
        <v>485762.56763220002</v>
      </c>
      <c r="P116" s="300">
        <f t="shared" si="15"/>
        <v>606273.20954025001</v>
      </c>
    </row>
    <row r="117" spans="1:16" x14ac:dyDescent="0.2">
      <c r="A117" s="49">
        <v>105</v>
      </c>
      <c r="B117" s="52" t="s">
        <v>350</v>
      </c>
      <c r="C117" s="33" t="s">
        <v>153</v>
      </c>
      <c r="D117" s="88">
        <v>483634.57550000004</v>
      </c>
      <c r="E117" s="91">
        <v>130581.33538499998</v>
      </c>
      <c r="F117" s="91">
        <v>522325.34154000005</v>
      </c>
      <c r="G117" s="92">
        <f t="shared" si="18"/>
        <v>652906.67692500004</v>
      </c>
      <c r="H117" s="180">
        <f>130581.335385-1000</f>
        <v>129581.335385</v>
      </c>
      <c r="I117" s="180">
        <v>522325.34154000005</v>
      </c>
      <c r="J117" s="117">
        <f t="shared" si="19"/>
        <v>651906.67692500004</v>
      </c>
      <c r="K117" s="140">
        <f t="shared" si="10"/>
        <v>129581.335385</v>
      </c>
      <c r="L117" s="73">
        <f t="shared" si="11"/>
        <v>522325.34154000005</v>
      </c>
      <c r="M117" s="73">
        <f t="shared" si="12"/>
        <v>651906.67692500004</v>
      </c>
      <c r="N117" s="301">
        <f t="shared" si="13"/>
        <v>120510.64190804999</v>
      </c>
      <c r="O117" s="301">
        <f t="shared" si="14"/>
        <v>485762.56763220002</v>
      </c>
      <c r="P117" s="300">
        <f t="shared" si="15"/>
        <v>606273.20954025001</v>
      </c>
    </row>
    <row r="118" spans="1:16" x14ac:dyDescent="0.25">
      <c r="A118" s="49">
        <v>106</v>
      </c>
      <c r="B118" s="37" t="s">
        <v>199</v>
      </c>
      <c r="C118" s="33" t="s">
        <v>153</v>
      </c>
      <c r="D118" s="88">
        <v>147470.39999999999</v>
      </c>
      <c r="E118" s="91">
        <v>39817.008000000002</v>
      </c>
      <c r="F118" s="91">
        <v>159268.03200000001</v>
      </c>
      <c r="G118" s="92">
        <f t="shared" si="18"/>
        <v>199085.04</v>
      </c>
      <c r="H118" s="180">
        <f>39817.008-1000</f>
        <v>38817.008000000002</v>
      </c>
      <c r="I118" s="180">
        <v>159268.03200000001</v>
      </c>
      <c r="J118" s="117">
        <f t="shared" si="19"/>
        <v>198085.04</v>
      </c>
      <c r="K118" s="140">
        <f t="shared" si="10"/>
        <v>38817.008000000002</v>
      </c>
      <c r="L118" s="73">
        <f t="shared" si="11"/>
        <v>159268.03200000001</v>
      </c>
      <c r="M118" s="73">
        <f t="shared" si="12"/>
        <v>198085.04</v>
      </c>
      <c r="N118" s="301">
        <f t="shared" si="13"/>
        <v>36099.817439999999</v>
      </c>
      <c r="O118" s="301">
        <f t="shared" si="14"/>
        <v>148119.26976</v>
      </c>
      <c r="P118" s="300">
        <f t="shared" si="15"/>
        <v>184219.08720000001</v>
      </c>
    </row>
    <row r="119" spans="1:16" x14ac:dyDescent="0.25">
      <c r="A119" s="49">
        <v>107</v>
      </c>
      <c r="B119" s="46" t="s">
        <v>36</v>
      </c>
      <c r="C119" s="33" t="s">
        <v>153</v>
      </c>
      <c r="D119" s="88">
        <v>1186419.3600000001</v>
      </c>
      <c r="E119" s="91">
        <v>303723.35615999997</v>
      </c>
      <c r="F119" s="91">
        <v>1214893.4246400001</v>
      </c>
      <c r="G119" s="92">
        <f t="shared" si="18"/>
        <v>1518616.7808000001</v>
      </c>
      <c r="H119" s="180">
        <f>303723.35616-1000</f>
        <v>302723.35616000002</v>
      </c>
      <c r="I119" s="180">
        <v>1214893.4246400001</v>
      </c>
      <c r="J119" s="117">
        <f t="shared" si="19"/>
        <v>1517616.7808000001</v>
      </c>
      <c r="K119" s="140">
        <f t="shared" si="10"/>
        <v>302723.35616000002</v>
      </c>
      <c r="L119" s="73">
        <f t="shared" si="11"/>
        <v>1214893.4246400001</v>
      </c>
      <c r="M119" s="73">
        <f t="shared" si="12"/>
        <v>1517616.7808000001</v>
      </c>
      <c r="N119" s="301">
        <f t="shared" si="13"/>
        <v>281532.72122880002</v>
      </c>
      <c r="O119" s="301">
        <f t="shared" si="14"/>
        <v>1129850.8849152001</v>
      </c>
      <c r="P119" s="300">
        <f t="shared" si="15"/>
        <v>1411383.6061440001</v>
      </c>
    </row>
    <row r="120" spans="1:16" x14ac:dyDescent="0.25">
      <c r="A120" s="49">
        <v>108</v>
      </c>
      <c r="B120" s="35" t="s">
        <v>201</v>
      </c>
      <c r="C120" s="33" t="s">
        <v>153</v>
      </c>
      <c r="D120" s="88">
        <v>705890.08</v>
      </c>
      <c r="E120" s="91">
        <v>190590.32159999991</v>
      </c>
      <c r="F120" s="91">
        <v>762361.2864000001</v>
      </c>
      <c r="G120" s="92">
        <f t="shared" si="18"/>
        <v>952951.60800000001</v>
      </c>
      <c r="H120" s="180">
        <f>190590.3216-1000</f>
        <v>189590.3216</v>
      </c>
      <c r="I120" s="180">
        <v>762361.2864000001</v>
      </c>
      <c r="J120" s="117">
        <f t="shared" si="19"/>
        <v>951951.60800000012</v>
      </c>
      <c r="K120" s="140">
        <f t="shared" si="10"/>
        <v>189590.3216</v>
      </c>
      <c r="L120" s="73">
        <f t="shared" si="11"/>
        <v>762361.2864000001</v>
      </c>
      <c r="M120" s="73">
        <f t="shared" si="12"/>
        <v>951951.60800000012</v>
      </c>
      <c r="N120" s="301">
        <f t="shared" si="13"/>
        <v>176318.99908799998</v>
      </c>
      <c r="O120" s="301">
        <f t="shared" si="14"/>
        <v>708995.99635200005</v>
      </c>
      <c r="P120" s="300">
        <f t="shared" si="15"/>
        <v>885314.99543999997</v>
      </c>
    </row>
    <row r="121" spans="1:16" x14ac:dyDescent="0.25">
      <c r="A121" s="49">
        <v>109</v>
      </c>
      <c r="B121" s="37" t="s">
        <v>461</v>
      </c>
      <c r="C121" s="33" t="s">
        <v>153</v>
      </c>
      <c r="D121" s="88">
        <v>441343</v>
      </c>
      <c r="E121" s="91">
        <v>119162.60999999999</v>
      </c>
      <c r="F121" s="91">
        <v>476650.44000000006</v>
      </c>
      <c r="G121" s="92">
        <f t="shared" si="18"/>
        <v>595813.05000000005</v>
      </c>
      <c r="H121" s="180">
        <f>119162.61-1000</f>
        <v>118162.61</v>
      </c>
      <c r="I121" s="180">
        <v>476650.44000000006</v>
      </c>
      <c r="J121" s="117">
        <f t="shared" si="19"/>
        <v>594813.05000000005</v>
      </c>
      <c r="K121" s="140">
        <f t="shared" si="10"/>
        <v>118162.61</v>
      </c>
      <c r="L121" s="73">
        <f t="shared" si="11"/>
        <v>476650.44000000006</v>
      </c>
      <c r="M121" s="73">
        <f t="shared" si="12"/>
        <v>594813.05000000005</v>
      </c>
      <c r="N121" s="301">
        <f t="shared" si="13"/>
        <v>109891.2273</v>
      </c>
      <c r="O121" s="301">
        <f t="shared" si="14"/>
        <v>443284.90920000005</v>
      </c>
      <c r="P121" s="300">
        <f t="shared" si="15"/>
        <v>553176.13650000002</v>
      </c>
    </row>
    <row r="122" spans="1:16" x14ac:dyDescent="0.25">
      <c r="A122" s="49">
        <v>110</v>
      </c>
      <c r="B122" s="37" t="s">
        <v>462</v>
      </c>
      <c r="C122" s="33" t="s">
        <v>153</v>
      </c>
      <c r="D122" s="88">
        <v>216237</v>
      </c>
      <c r="E122" s="91">
        <v>58383.989999999991</v>
      </c>
      <c r="F122" s="91">
        <v>233535.96000000002</v>
      </c>
      <c r="G122" s="92">
        <f t="shared" si="18"/>
        <v>291919.95</v>
      </c>
      <c r="H122" s="180">
        <f>58383.9899999999-1000</f>
        <v>57383.989999999903</v>
      </c>
      <c r="I122" s="180">
        <v>233535.96000000002</v>
      </c>
      <c r="J122" s="117">
        <f t="shared" si="19"/>
        <v>290919.94999999995</v>
      </c>
      <c r="K122" s="140">
        <f t="shared" si="10"/>
        <v>57383.989999999903</v>
      </c>
      <c r="L122" s="73">
        <f t="shared" si="11"/>
        <v>233535.96000000002</v>
      </c>
      <c r="M122" s="73">
        <f t="shared" si="12"/>
        <v>290919.94999999995</v>
      </c>
      <c r="N122" s="301">
        <f t="shared" si="13"/>
        <v>53367.11069999991</v>
      </c>
      <c r="O122" s="301">
        <f t="shared" si="14"/>
        <v>217188.44280000002</v>
      </c>
      <c r="P122" s="300">
        <f t="shared" si="15"/>
        <v>270555.55349999992</v>
      </c>
    </row>
    <row r="123" spans="1:16" x14ac:dyDescent="0.25">
      <c r="A123" s="49">
        <v>111</v>
      </c>
      <c r="B123" s="35" t="s">
        <v>463</v>
      </c>
      <c r="C123" s="33" t="s">
        <v>153</v>
      </c>
      <c r="D123" s="88">
        <v>156923.48000000001</v>
      </c>
      <c r="E123" s="91">
        <v>42369.339600000007</v>
      </c>
      <c r="F123" s="91">
        <v>169477.35840000003</v>
      </c>
      <c r="G123" s="92">
        <f t="shared" si="18"/>
        <v>211846.69800000003</v>
      </c>
      <c r="H123" s="180">
        <f>42369.3396-1000</f>
        <v>41369.339599999999</v>
      </c>
      <c r="I123" s="180">
        <v>169477.35840000003</v>
      </c>
      <c r="J123" s="117">
        <f t="shared" si="19"/>
        <v>210846.69800000003</v>
      </c>
      <c r="K123" s="140">
        <f t="shared" si="10"/>
        <v>41369.339599999999</v>
      </c>
      <c r="L123" s="73">
        <f t="shared" si="11"/>
        <v>169477.35840000003</v>
      </c>
      <c r="M123" s="73">
        <f t="shared" si="12"/>
        <v>210846.69800000003</v>
      </c>
      <c r="N123" s="301">
        <f t="shared" si="13"/>
        <v>38473.485827999997</v>
      </c>
      <c r="O123" s="301">
        <f t="shared" si="14"/>
        <v>157613.94331200002</v>
      </c>
      <c r="P123" s="300">
        <f t="shared" si="15"/>
        <v>196087.42914000002</v>
      </c>
    </row>
    <row r="124" spans="1:16" x14ac:dyDescent="0.25">
      <c r="A124" s="49">
        <v>112</v>
      </c>
      <c r="B124" s="35" t="s">
        <v>464</v>
      </c>
      <c r="C124" s="33" t="s">
        <v>153</v>
      </c>
      <c r="D124" s="88">
        <v>136710</v>
      </c>
      <c r="E124" s="91">
        <v>36911.699999999983</v>
      </c>
      <c r="F124" s="91">
        <v>147646.80000000002</v>
      </c>
      <c r="G124" s="92">
        <f t="shared" si="18"/>
        <v>184558.5</v>
      </c>
      <c r="H124" s="180">
        <f>36911.7-1000</f>
        <v>35911.699999999997</v>
      </c>
      <c r="I124" s="180">
        <v>147646.80000000002</v>
      </c>
      <c r="J124" s="117">
        <f t="shared" si="19"/>
        <v>183558.5</v>
      </c>
      <c r="K124" s="140">
        <f t="shared" si="10"/>
        <v>35911.699999999997</v>
      </c>
      <c r="L124" s="73">
        <f t="shared" si="11"/>
        <v>147646.80000000002</v>
      </c>
      <c r="M124" s="73">
        <f t="shared" si="12"/>
        <v>183558.5</v>
      </c>
      <c r="N124" s="301">
        <f t="shared" si="13"/>
        <v>33397.880999999994</v>
      </c>
      <c r="O124" s="301">
        <f t="shared" si="14"/>
        <v>137311.524</v>
      </c>
      <c r="P124" s="300">
        <f t="shared" si="15"/>
        <v>170709.405</v>
      </c>
    </row>
    <row r="125" spans="1:16" x14ac:dyDescent="0.25">
      <c r="A125" s="49">
        <v>113</v>
      </c>
      <c r="B125" s="46" t="s">
        <v>37</v>
      </c>
      <c r="C125" s="33" t="s">
        <v>153</v>
      </c>
      <c r="D125" s="88">
        <v>161229.71923226904</v>
      </c>
      <c r="E125" s="91">
        <v>43532.024192712619</v>
      </c>
      <c r="F125" s="91">
        <v>174128.09677085059</v>
      </c>
      <c r="G125" s="92">
        <f t="shared" si="18"/>
        <v>217660.12096356321</v>
      </c>
      <c r="H125" s="180">
        <f>43532.0241927126-1000</f>
        <v>42532.024192712597</v>
      </c>
      <c r="I125" s="180">
        <v>174128.09677085059</v>
      </c>
      <c r="J125" s="117">
        <f t="shared" si="19"/>
        <v>216660.12096356318</v>
      </c>
      <c r="K125" s="140">
        <f t="shared" si="10"/>
        <v>42532.024192712597</v>
      </c>
      <c r="L125" s="73">
        <f t="shared" si="11"/>
        <v>174128.09677085059</v>
      </c>
      <c r="M125" s="73">
        <f t="shared" si="12"/>
        <v>216660.12096356318</v>
      </c>
      <c r="N125" s="301">
        <f t="shared" si="13"/>
        <v>39554.782499222718</v>
      </c>
      <c r="O125" s="301">
        <f t="shared" si="14"/>
        <v>161939.12999689105</v>
      </c>
      <c r="P125" s="300">
        <f t="shared" si="15"/>
        <v>201493.91249611377</v>
      </c>
    </row>
    <row r="126" spans="1:16" x14ac:dyDescent="0.25">
      <c r="A126" s="49">
        <v>114</v>
      </c>
      <c r="B126" s="46" t="s">
        <v>337</v>
      </c>
      <c r="C126" s="33" t="s">
        <v>153</v>
      </c>
      <c r="D126" s="88">
        <v>450942.1</v>
      </c>
      <c r="E126" s="91">
        <v>121754.36699999997</v>
      </c>
      <c r="F126" s="91">
        <v>487017.46799999999</v>
      </c>
      <c r="G126" s="92">
        <f t="shared" si="18"/>
        <v>608771.83499999996</v>
      </c>
      <c r="H126" s="180">
        <f>121754.367-1000</f>
        <v>120754.367</v>
      </c>
      <c r="I126" s="180">
        <v>487017.46799999999</v>
      </c>
      <c r="J126" s="117">
        <f t="shared" si="19"/>
        <v>607771.83499999996</v>
      </c>
      <c r="K126" s="140">
        <f t="shared" si="10"/>
        <v>120754.367</v>
      </c>
      <c r="L126" s="73">
        <f t="shared" si="11"/>
        <v>487017.46799999999</v>
      </c>
      <c r="M126" s="73">
        <f t="shared" si="12"/>
        <v>607771.83499999996</v>
      </c>
      <c r="N126" s="301">
        <f t="shared" si="13"/>
        <v>112301.56130999999</v>
      </c>
      <c r="O126" s="301">
        <f t="shared" si="14"/>
        <v>452926.24523999996</v>
      </c>
      <c r="P126" s="300">
        <f t="shared" si="15"/>
        <v>565227.80654999998</v>
      </c>
    </row>
    <row r="127" spans="1:16" x14ac:dyDescent="0.25">
      <c r="A127" s="49">
        <v>115</v>
      </c>
      <c r="B127" s="46" t="s">
        <v>351</v>
      </c>
      <c r="C127" s="33" t="s">
        <v>153</v>
      </c>
      <c r="D127" s="88">
        <v>343226.38</v>
      </c>
      <c r="E127" s="91">
        <v>92671.122600000002</v>
      </c>
      <c r="F127" s="91">
        <v>370684.49040000001</v>
      </c>
      <c r="G127" s="92">
        <f t="shared" si="18"/>
        <v>463355.61300000001</v>
      </c>
      <c r="H127" s="180">
        <f>92671.1226-1000</f>
        <v>91671.122600000002</v>
      </c>
      <c r="I127" s="180">
        <v>370684.49040000001</v>
      </c>
      <c r="J127" s="117">
        <f t="shared" si="19"/>
        <v>462355.61300000001</v>
      </c>
      <c r="K127" s="140">
        <f t="shared" si="10"/>
        <v>91671.122600000002</v>
      </c>
      <c r="L127" s="73">
        <f t="shared" si="11"/>
        <v>370684.49040000001</v>
      </c>
      <c r="M127" s="73">
        <f t="shared" si="12"/>
        <v>462355.61300000001</v>
      </c>
      <c r="N127" s="301">
        <f t="shared" si="13"/>
        <v>85254.144018000006</v>
      </c>
      <c r="O127" s="301">
        <f t="shared" si="14"/>
        <v>344736.57607200003</v>
      </c>
      <c r="P127" s="300">
        <f t="shared" si="15"/>
        <v>429990.72009000002</v>
      </c>
    </row>
    <row r="128" spans="1:16" x14ac:dyDescent="0.25">
      <c r="A128" s="49">
        <v>116</v>
      </c>
      <c r="B128" s="38" t="s">
        <v>329</v>
      </c>
      <c r="C128" s="33" t="s">
        <v>153</v>
      </c>
      <c r="D128" s="88">
        <v>970737.04</v>
      </c>
      <c r="E128" s="91">
        <v>248508.68223999999</v>
      </c>
      <c r="F128" s="91">
        <v>994034.72895999998</v>
      </c>
      <c r="G128" s="92">
        <f t="shared" si="18"/>
        <v>1242543.4112</v>
      </c>
      <c r="H128" s="180">
        <f>248508.68224-1000</f>
        <v>247508.68223999999</v>
      </c>
      <c r="I128" s="180">
        <v>994034.72895999998</v>
      </c>
      <c r="J128" s="117">
        <f t="shared" si="19"/>
        <v>1241543.4112</v>
      </c>
      <c r="K128" s="140">
        <f t="shared" si="10"/>
        <v>247508.68223999999</v>
      </c>
      <c r="L128" s="73">
        <f t="shared" si="11"/>
        <v>994034.72895999998</v>
      </c>
      <c r="M128" s="73">
        <f t="shared" si="12"/>
        <v>1241543.4112</v>
      </c>
      <c r="N128" s="301">
        <f t="shared" si="13"/>
        <v>230183.07448320001</v>
      </c>
      <c r="O128" s="301">
        <f t="shared" si="14"/>
        <v>924452.29793280002</v>
      </c>
      <c r="P128" s="300">
        <f t="shared" si="15"/>
        <v>1154635.3724160001</v>
      </c>
    </row>
    <row r="129" spans="1:16" ht="22.5" x14ac:dyDescent="0.25">
      <c r="A129" s="49"/>
      <c r="B129" s="30" t="s">
        <v>39</v>
      </c>
      <c r="C129" s="33" t="s">
        <v>153</v>
      </c>
      <c r="D129" s="88"/>
      <c r="E129" s="91">
        <v>0</v>
      </c>
      <c r="F129" s="91">
        <v>0</v>
      </c>
      <c r="G129" s="92">
        <f t="shared" si="18"/>
        <v>0</v>
      </c>
      <c r="H129" s="180">
        <v>0</v>
      </c>
      <c r="I129" s="180">
        <v>0</v>
      </c>
      <c r="J129" s="117">
        <f t="shared" si="19"/>
        <v>0</v>
      </c>
      <c r="K129" s="140">
        <f t="shared" si="10"/>
        <v>0</v>
      </c>
      <c r="L129" s="73">
        <f t="shared" si="11"/>
        <v>0</v>
      </c>
      <c r="M129" s="73">
        <f t="shared" si="12"/>
        <v>0</v>
      </c>
      <c r="N129" s="301">
        <f t="shared" si="13"/>
        <v>0</v>
      </c>
      <c r="O129" s="301">
        <f t="shared" si="14"/>
        <v>0</v>
      </c>
      <c r="P129" s="300">
        <f t="shared" si="15"/>
        <v>0</v>
      </c>
    </row>
    <row r="130" spans="1:16" x14ac:dyDescent="0.25">
      <c r="A130" s="49">
        <v>117</v>
      </c>
      <c r="B130" s="46" t="s">
        <v>40</v>
      </c>
      <c r="C130" s="33" t="s">
        <v>153</v>
      </c>
      <c r="D130" s="88">
        <v>1645349.284765305</v>
      </c>
      <c r="E130" s="91">
        <v>421209.41689991811</v>
      </c>
      <c r="F130" s="91">
        <v>1684837.6675996725</v>
      </c>
      <c r="G130" s="92">
        <f t="shared" si="18"/>
        <v>2106047.0844995906</v>
      </c>
      <c r="H130" s="180">
        <f>421209.416899918-1000</f>
        <v>420209.416899918</v>
      </c>
      <c r="I130" s="180">
        <v>1684837.6675996725</v>
      </c>
      <c r="J130" s="117">
        <f t="shared" si="19"/>
        <v>2105047.0844995906</v>
      </c>
      <c r="K130" s="140">
        <f t="shared" si="10"/>
        <v>420209.416899918</v>
      </c>
      <c r="L130" s="73">
        <f t="shared" si="11"/>
        <v>1684837.6675996725</v>
      </c>
      <c r="M130" s="73">
        <f t="shared" si="12"/>
        <v>2105047.0844995906</v>
      </c>
      <c r="N130" s="301">
        <f t="shared" si="13"/>
        <v>390794.75771692372</v>
      </c>
      <c r="O130" s="301">
        <f t="shared" si="14"/>
        <v>1566899.0308676953</v>
      </c>
      <c r="P130" s="300">
        <f t="shared" si="15"/>
        <v>1957693.7885846191</v>
      </c>
    </row>
    <row r="131" spans="1:16" ht="22.5" x14ac:dyDescent="0.25">
      <c r="A131" s="49">
        <v>118</v>
      </c>
      <c r="B131" s="46" t="s">
        <v>209</v>
      </c>
      <c r="C131" s="33" t="s">
        <v>153</v>
      </c>
      <c r="D131" s="88">
        <v>892052.84</v>
      </c>
      <c r="E131" s="91">
        <v>228365.52703999996</v>
      </c>
      <c r="F131" s="91">
        <v>913462.10815999995</v>
      </c>
      <c r="G131" s="92">
        <f t="shared" si="18"/>
        <v>1141827.6351999999</v>
      </c>
      <c r="H131" s="180">
        <f>228365.52704-1000</f>
        <v>227365.52703999999</v>
      </c>
      <c r="I131" s="180">
        <v>913462.10815999995</v>
      </c>
      <c r="J131" s="117">
        <f t="shared" si="19"/>
        <v>1140827.6351999999</v>
      </c>
      <c r="K131" s="140">
        <f t="shared" si="10"/>
        <v>227365.52703999999</v>
      </c>
      <c r="L131" s="73">
        <f t="shared" si="11"/>
        <v>913462.10815999995</v>
      </c>
      <c r="M131" s="73">
        <f t="shared" si="12"/>
        <v>1140827.6351999999</v>
      </c>
      <c r="N131" s="301">
        <f t="shared" si="13"/>
        <v>211449.94014719999</v>
      </c>
      <c r="O131" s="301">
        <f t="shared" si="14"/>
        <v>849519.76058879995</v>
      </c>
      <c r="P131" s="300">
        <f t="shared" si="15"/>
        <v>1060969.700736</v>
      </c>
    </row>
    <row r="132" spans="1:16" x14ac:dyDescent="0.25">
      <c r="A132" s="49">
        <v>119</v>
      </c>
      <c r="B132" s="32" t="s">
        <v>208</v>
      </c>
      <c r="C132" s="33" t="s">
        <v>153</v>
      </c>
      <c r="D132" s="88">
        <v>218736</v>
      </c>
      <c r="E132" s="91">
        <v>59058.720000000001</v>
      </c>
      <c r="F132" s="91">
        <v>236234.88000000003</v>
      </c>
      <c r="G132" s="92">
        <f t="shared" si="18"/>
        <v>295293.60000000003</v>
      </c>
      <c r="H132" s="180">
        <f>59058.72-1000</f>
        <v>58058.720000000001</v>
      </c>
      <c r="I132" s="180">
        <v>236234.88000000003</v>
      </c>
      <c r="J132" s="117">
        <f t="shared" si="19"/>
        <v>294293.60000000003</v>
      </c>
      <c r="K132" s="140">
        <f t="shared" si="10"/>
        <v>58058.720000000001</v>
      </c>
      <c r="L132" s="73">
        <f t="shared" si="11"/>
        <v>236234.88000000003</v>
      </c>
      <c r="M132" s="73">
        <f t="shared" si="12"/>
        <v>294293.60000000003</v>
      </c>
      <c r="N132" s="301">
        <f t="shared" si="13"/>
        <v>53994.609600000003</v>
      </c>
      <c r="O132" s="301">
        <f t="shared" si="14"/>
        <v>219698.43840000004</v>
      </c>
      <c r="P132" s="300">
        <f t="shared" si="15"/>
        <v>273693.04800000007</v>
      </c>
    </row>
    <row r="133" spans="1:16" x14ac:dyDescent="0.25">
      <c r="A133" s="49">
        <v>120</v>
      </c>
      <c r="B133" s="46" t="s">
        <v>41</v>
      </c>
      <c r="C133" s="33" t="s">
        <v>153</v>
      </c>
      <c r="D133" s="88">
        <v>1647510.9572972348</v>
      </c>
      <c r="E133" s="91">
        <v>421762.80506809196</v>
      </c>
      <c r="F133" s="91">
        <v>1687051.2202723688</v>
      </c>
      <c r="G133" s="92">
        <f t="shared" si="18"/>
        <v>2108814.0253404607</v>
      </c>
      <c r="H133" s="180">
        <f>421762.805068092-1000</f>
        <v>420762.80506809201</v>
      </c>
      <c r="I133" s="180">
        <v>1687051.2202723688</v>
      </c>
      <c r="J133" s="117">
        <f t="shared" si="19"/>
        <v>2107814.0253404607</v>
      </c>
      <c r="K133" s="140">
        <f t="shared" si="10"/>
        <v>420762.80506809201</v>
      </c>
      <c r="L133" s="73">
        <f t="shared" si="11"/>
        <v>1687051.2202723688</v>
      </c>
      <c r="M133" s="73">
        <f t="shared" si="12"/>
        <v>2107814.0253404607</v>
      </c>
      <c r="N133" s="301">
        <f t="shared" si="13"/>
        <v>391309.40871332557</v>
      </c>
      <c r="O133" s="301">
        <f t="shared" si="14"/>
        <v>1568957.634853303</v>
      </c>
      <c r="P133" s="300">
        <f t="shared" si="15"/>
        <v>1960267.0435666286</v>
      </c>
    </row>
    <row r="134" spans="1:16" x14ac:dyDescent="0.25">
      <c r="A134" s="49">
        <v>121</v>
      </c>
      <c r="B134" s="46" t="s">
        <v>210</v>
      </c>
      <c r="C134" s="33" t="s">
        <v>153</v>
      </c>
      <c r="D134" s="88">
        <v>441852.6</v>
      </c>
      <c r="E134" s="91">
        <v>119300.20199999999</v>
      </c>
      <c r="F134" s="91">
        <v>477200.80800000002</v>
      </c>
      <c r="G134" s="92">
        <f t="shared" si="18"/>
        <v>596501.01</v>
      </c>
      <c r="H134" s="180">
        <f>119300.202-1000</f>
        <v>118300.202</v>
      </c>
      <c r="I134" s="180">
        <v>477200.80800000002</v>
      </c>
      <c r="J134" s="117">
        <f t="shared" si="19"/>
        <v>595501.01</v>
      </c>
      <c r="K134" s="140">
        <f t="shared" ref="K134:K197" si="20">MIN(E134,H134)</f>
        <v>118300.202</v>
      </c>
      <c r="L134" s="73">
        <f t="shared" ref="L134:L197" si="21">MIN(F134,I134)</f>
        <v>477200.80800000002</v>
      </c>
      <c r="M134" s="73">
        <f t="shared" si="12"/>
        <v>595501.01</v>
      </c>
      <c r="N134" s="301">
        <f t="shared" si="13"/>
        <v>110019.18786000001</v>
      </c>
      <c r="O134" s="301">
        <f t="shared" si="14"/>
        <v>443796.75144000002</v>
      </c>
      <c r="P134" s="300">
        <f t="shared" si="15"/>
        <v>553815.93929999997</v>
      </c>
    </row>
    <row r="135" spans="1:16" x14ac:dyDescent="0.25">
      <c r="A135" s="49">
        <v>122</v>
      </c>
      <c r="B135" s="32" t="s">
        <v>212</v>
      </c>
      <c r="C135" s="33" t="s">
        <v>153</v>
      </c>
      <c r="D135" s="88">
        <v>314243.86</v>
      </c>
      <c r="E135" s="91">
        <v>84845.842199999955</v>
      </c>
      <c r="F135" s="91">
        <v>339383.36880000005</v>
      </c>
      <c r="G135" s="92">
        <f t="shared" si="18"/>
        <v>424229.21100000001</v>
      </c>
      <c r="H135" s="180">
        <f>84845.8422-1000</f>
        <v>83845.842199999999</v>
      </c>
      <c r="I135" s="180">
        <v>339383.36880000005</v>
      </c>
      <c r="J135" s="117">
        <f t="shared" si="19"/>
        <v>423229.21100000007</v>
      </c>
      <c r="K135" s="140">
        <f t="shared" si="20"/>
        <v>83845.842199999999</v>
      </c>
      <c r="L135" s="73">
        <f t="shared" si="21"/>
        <v>339383.36880000005</v>
      </c>
      <c r="M135" s="73">
        <f t="shared" ref="M135:M198" si="22">L135+K135</f>
        <v>423229.21100000007</v>
      </c>
      <c r="N135" s="301">
        <f t="shared" ref="N135:N198" si="23">K135-(K135*7%)</f>
        <v>77976.633245999998</v>
      </c>
      <c r="O135" s="301">
        <f t="shared" ref="O135:O198" si="24">L135-(L135*7%)</f>
        <v>315626.53298400005</v>
      </c>
      <c r="P135" s="300">
        <f t="shared" ref="P135:P198" si="25">O135+N135</f>
        <v>393603.16623000003</v>
      </c>
    </row>
    <row r="136" spans="1:16" ht="22.5" x14ac:dyDescent="0.25">
      <c r="A136" s="49">
        <v>123</v>
      </c>
      <c r="B136" s="32" t="s">
        <v>213</v>
      </c>
      <c r="C136" s="33" t="s">
        <v>153</v>
      </c>
      <c r="D136" s="88">
        <v>1176834.96</v>
      </c>
      <c r="E136" s="91">
        <v>301269.74976000004</v>
      </c>
      <c r="F136" s="91">
        <v>1205078.9990399999</v>
      </c>
      <c r="G136" s="92">
        <f t="shared" si="18"/>
        <v>1506348.7487999999</v>
      </c>
      <c r="H136" s="180">
        <f>301269.74976-1000</f>
        <v>300269.74975999998</v>
      </c>
      <c r="I136" s="180">
        <v>1205078.9990399999</v>
      </c>
      <c r="J136" s="117">
        <f t="shared" si="19"/>
        <v>1505348.7487999999</v>
      </c>
      <c r="K136" s="140">
        <f t="shared" si="20"/>
        <v>300269.74975999998</v>
      </c>
      <c r="L136" s="73">
        <f t="shared" si="21"/>
        <v>1205078.9990399999</v>
      </c>
      <c r="M136" s="73">
        <f t="shared" si="22"/>
        <v>1505348.7487999999</v>
      </c>
      <c r="N136" s="301">
        <f t="shared" si="23"/>
        <v>279250.86727679998</v>
      </c>
      <c r="O136" s="301">
        <f t="shared" si="24"/>
        <v>1120723.4691071999</v>
      </c>
      <c r="P136" s="300">
        <f t="shared" si="25"/>
        <v>1399974.3363839998</v>
      </c>
    </row>
    <row r="137" spans="1:16" x14ac:dyDescent="0.25">
      <c r="A137" s="49">
        <v>124</v>
      </c>
      <c r="B137" s="46" t="s">
        <v>214</v>
      </c>
      <c r="C137" s="33" t="s">
        <v>153</v>
      </c>
      <c r="D137" s="88">
        <v>637324.8276877288</v>
      </c>
      <c r="E137" s="91">
        <v>172077.70347568672</v>
      </c>
      <c r="F137" s="91">
        <v>688310.81390274724</v>
      </c>
      <c r="G137" s="92">
        <f t="shared" si="18"/>
        <v>860388.51737843396</v>
      </c>
      <c r="H137" s="180">
        <v>172077.70347568672</v>
      </c>
      <c r="I137" s="180">
        <v>688310.81390274724</v>
      </c>
      <c r="J137" s="117">
        <f t="shared" si="19"/>
        <v>860388.51737843396</v>
      </c>
      <c r="K137" s="140">
        <f t="shared" si="20"/>
        <v>172077.70347568672</v>
      </c>
      <c r="L137" s="73">
        <f t="shared" si="21"/>
        <v>688310.81390274724</v>
      </c>
      <c r="M137" s="73">
        <f t="shared" si="22"/>
        <v>860388.51737843396</v>
      </c>
      <c r="N137" s="301">
        <f t="shared" si="23"/>
        <v>160032.26423238864</v>
      </c>
      <c r="O137" s="301">
        <f t="shared" si="24"/>
        <v>640129.05692955491</v>
      </c>
      <c r="P137" s="300">
        <f t="shared" si="25"/>
        <v>800161.32116194349</v>
      </c>
    </row>
    <row r="138" spans="1:16" x14ac:dyDescent="0.25">
      <c r="A138" s="49">
        <v>125</v>
      </c>
      <c r="B138" s="46" t="s">
        <v>354</v>
      </c>
      <c r="C138" s="33" t="s">
        <v>153</v>
      </c>
      <c r="D138" s="88">
        <v>441226.92879999999</v>
      </c>
      <c r="E138" s="91">
        <v>119131.27077599999</v>
      </c>
      <c r="F138" s="91">
        <v>476525.08310400008</v>
      </c>
      <c r="G138" s="92">
        <f t="shared" si="18"/>
        <v>595656.35388000007</v>
      </c>
      <c r="H138" s="180">
        <f>119131.270776-1000</f>
        <v>118131.270776</v>
      </c>
      <c r="I138" s="180">
        <v>476525.08310400008</v>
      </c>
      <c r="J138" s="117">
        <f t="shared" si="19"/>
        <v>594656.35388000007</v>
      </c>
      <c r="K138" s="140">
        <f t="shared" si="20"/>
        <v>118131.270776</v>
      </c>
      <c r="L138" s="73">
        <f t="shared" si="21"/>
        <v>476525.08310400008</v>
      </c>
      <c r="M138" s="73">
        <f t="shared" si="22"/>
        <v>594656.35388000007</v>
      </c>
      <c r="N138" s="301">
        <f t="shared" si="23"/>
        <v>109862.08182168001</v>
      </c>
      <c r="O138" s="301">
        <f t="shared" si="24"/>
        <v>443168.32728672004</v>
      </c>
      <c r="P138" s="300">
        <f t="shared" si="25"/>
        <v>553030.40910840011</v>
      </c>
    </row>
    <row r="139" spans="1:16" x14ac:dyDescent="0.25">
      <c r="A139" s="49">
        <v>126</v>
      </c>
      <c r="B139" s="46" t="s">
        <v>215</v>
      </c>
      <c r="C139" s="33" t="s">
        <v>153</v>
      </c>
      <c r="D139" s="88">
        <v>31899</v>
      </c>
      <c r="E139" s="91">
        <v>9569.6999999999971</v>
      </c>
      <c r="F139" s="91">
        <v>38278.800000000003</v>
      </c>
      <c r="G139" s="92">
        <f t="shared" ref="G139:G202" si="26">E139+F139</f>
        <v>47848.5</v>
      </c>
      <c r="H139" s="180">
        <f>9569.7-1000</f>
        <v>8569.7000000000007</v>
      </c>
      <c r="I139" s="180">
        <v>38278.800000000003</v>
      </c>
      <c r="J139" s="117">
        <f t="shared" ref="J139:J202" si="27">H139+I139</f>
        <v>46848.5</v>
      </c>
      <c r="K139" s="140">
        <f t="shared" si="20"/>
        <v>8569.7000000000007</v>
      </c>
      <c r="L139" s="73">
        <f t="shared" si="21"/>
        <v>38278.800000000003</v>
      </c>
      <c r="M139" s="73">
        <f t="shared" si="22"/>
        <v>46848.5</v>
      </c>
      <c r="N139" s="301">
        <f t="shared" si="23"/>
        <v>7969.8210000000008</v>
      </c>
      <c r="O139" s="301">
        <f t="shared" si="24"/>
        <v>35599.284</v>
      </c>
      <c r="P139" s="300">
        <f t="shared" si="25"/>
        <v>43569.105000000003</v>
      </c>
    </row>
    <row r="140" spans="1:16" x14ac:dyDescent="0.25">
      <c r="A140" s="49">
        <v>127</v>
      </c>
      <c r="B140" s="32" t="s">
        <v>216</v>
      </c>
      <c r="C140" s="33" t="s">
        <v>153</v>
      </c>
      <c r="D140" s="88">
        <v>5175.576</v>
      </c>
      <c r="E140" s="91">
        <v>1552.6727999999994</v>
      </c>
      <c r="F140" s="91">
        <v>6210.6912000000002</v>
      </c>
      <c r="G140" s="92">
        <f t="shared" si="26"/>
        <v>7763.3639999999996</v>
      </c>
      <c r="H140" s="180">
        <f>1552.6728-200</f>
        <v>1352.6728000000001</v>
      </c>
      <c r="I140" s="180">
        <v>6210.6912000000002</v>
      </c>
      <c r="J140" s="117">
        <f t="shared" si="27"/>
        <v>7563.3640000000005</v>
      </c>
      <c r="K140" s="140">
        <f t="shared" si="20"/>
        <v>1352.6728000000001</v>
      </c>
      <c r="L140" s="73">
        <f t="shared" si="21"/>
        <v>6210.6912000000002</v>
      </c>
      <c r="M140" s="73">
        <f t="shared" si="22"/>
        <v>7563.3640000000005</v>
      </c>
      <c r="N140" s="301">
        <f t="shared" si="23"/>
        <v>1257.9857039999999</v>
      </c>
      <c r="O140" s="301">
        <f t="shared" si="24"/>
        <v>5775.9428159999998</v>
      </c>
      <c r="P140" s="300">
        <f t="shared" si="25"/>
        <v>7033.9285199999995</v>
      </c>
    </row>
    <row r="141" spans="1:16" x14ac:dyDescent="0.25">
      <c r="A141" s="49">
        <v>128</v>
      </c>
      <c r="B141" s="32" t="s">
        <v>221</v>
      </c>
      <c r="C141" s="33" t="s">
        <v>153</v>
      </c>
      <c r="D141" s="88">
        <v>5175.576</v>
      </c>
      <c r="E141" s="91">
        <v>1552.6727999999994</v>
      </c>
      <c r="F141" s="91">
        <v>6210.6912000000002</v>
      </c>
      <c r="G141" s="92">
        <f t="shared" si="26"/>
        <v>7763.3639999999996</v>
      </c>
      <c r="H141" s="180">
        <f t="shared" ref="H141:H142" si="28">1552.6728-200</f>
        <v>1352.6728000000001</v>
      </c>
      <c r="I141" s="180">
        <v>6210.6912000000002</v>
      </c>
      <c r="J141" s="117">
        <f t="shared" si="27"/>
        <v>7563.3640000000005</v>
      </c>
      <c r="K141" s="140">
        <f t="shared" si="20"/>
        <v>1352.6728000000001</v>
      </c>
      <c r="L141" s="73">
        <f t="shared" si="21"/>
        <v>6210.6912000000002</v>
      </c>
      <c r="M141" s="73">
        <f t="shared" si="22"/>
        <v>7563.3640000000005</v>
      </c>
      <c r="N141" s="301">
        <f t="shared" si="23"/>
        <v>1257.9857039999999</v>
      </c>
      <c r="O141" s="301">
        <f t="shared" si="24"/>
        <v>5775.9428159999998</v>
      </c>
      <c r="P141" s="300">
        <f t="shared" si="25"/>
        <v>7033.9285199999995</v>
      </c>
    </row>
    <row r="142" spans="1:16" x14ac:dyDescent="0.25">
      <c r="A142" s="49">
        <v>129</v>
      </c>
      <c r="B142" s="32" t="s">
        <v>217</v>
      </c>
      <c r="C142" s="33" t="s">
        <v>153</v>
      </c>
      <c r="D142" s="88">
        <v>5175.576</v>
      </c>
      <c r="E142" s="91">
        <v>1552.6727999999994</v>
      </c>
      <c r="F142" s="91">
        <v>6210.6912000000002</v>
      </c>
      <c r="G142" s="92">
        <f t="shared" si="26"/>
        <v>7763.3639999999996</v>
      </c>
      <c r="H142" s="180">
        <f t="shared" si="28"/>
        <v>1352.6728000000001</v>
      </c>
      <c r="I142" s="180">
        <v>6210.6912000000002</v>
      </c>
      <c r="J142" s="117">
        <f t="shared" si="27"/>
        <v>7563.3640000000005</v>
      </c>
      <c r="K142" s="140">
        <f t="shared" si="20"/>
        <v>1352.6728000000001</v>
      </c>
      <c r="L142" s="73">
        <f t="shared" si="21"/>
        <v>6210.6912000000002</v>
      </c>
      <c r="M142" s="73">
        <f t="shared" si="22"/>
        <v>7563.3640000000005</v>
      </c>
      <c r="N142" s="301">
        <f t="shared" si="23"/>
        <v>1257.9857039999999</v>
      </c>
      <c r="O142" s="301">
        <f t="shared" si="24"/>
        <v>5775.9428159999998</v>
      </c>
      <c r="P142" s="300">
        <f t="shared" si="25"/>
        <v>7033.9285199999995</v>
      </c>
    </row>
    <row r="143" spans="1:16" x14ac:dyDescent="0.25">
      <c r="A143" s="49">
        <v>130</v>
      </c>
      <c r="B143" s="32" t="s">
        <v>218</v>
      </c>
      <c r="C143" s="33" t="s">
        <v>153</v>
      </c>
      <c r="D143" s="88">
        <v>3528.49</v>
      </c>
      <c r="E143" s="91">
        <v>1058.5469999999996</v>
      </c>
      <c r="F143" s="91">
        <v>4234.1880000000001</v>
      </c>
      <c r="G143" s="92">
        <f t="shared" si="26"/>
        <v>5292.7349999999997</v>
      </c>
      <c r="H143" s="180">
        <f>1058.547-500</f>
        <v>558.54700000000003</v>
      </c>
      <c r="I143" s="180">
        <v>4234.1880000000001</v>
      </c>
      <c r="J143" s="117">
        <f t="shared" si="27"/>
        <v>4792.7350000000006</v>
      </c>
      <c r="K143" s="140">
        <f t="shared" si="20"/>
        <v>558.54700000000003</v>
      </c>
      <c r="L143" s="73">
        <f t="shared" si="21"/>
        <v>4234.1880000000001</v>
      </c>
      <c r="M143" s="73">
        <f t="shared" si="22"/>
        <v>4792.7350000000006</v>
      </c>
      <c r="N143" s="301">
        <f t="shared" si="23"/>
        <v>519.44871000000001</v>
      </c>
      <c r="O143" s="301">
        <f t="shared" si="24"/>
        <v>3937.79484</v>
      </c>
      <c r="P143" s="300">
        <f t="shared" si="25"/>
        <v>4457.2435500000001</v>
      </c>
    </row>
    <row r="144" spans="1:16" x14ac:dyDescent="0.25">
      <c r="A144" s="49">
        <v>131</v>
      </c>
      <c r="B144" s="32" t="s">
        <v>219</v>
      </c>
      <c r="C144" s="33" t="s">
        <v>153</v>
      </c>
      <c r="D144" s="88">
        <v>31899</v>
      </c>
      <c r="E144" s="91">
        <v>9569.6999999999971</v>
      </c>
      <c r="F144" s="91">
        <v>38278.800000000003</v>
      </c>
      <c r="G144" s="92">
        <f t="shared" si="26"/>
        <v>47848.5</v>
      </c>
      <c r="H144" s="180">
        <f>9569.7-500</f>
        <v>9069.7000000000007</v>
      </c>
      <c r="I144" s="180">
        <v>38278.800000000003</v>
      </c>
      <c r="J144" s="117">
        <f t="shared" si="27"/>
        <v>47348.5</v>
      </c>
      <c r="K144" s="140">
        <f t="shared" si="20"/>
        <v>9069.7000000000007</v>
      </c>
      <c r="L144" s="73">
        <f t="shared" si="21"/>
        <v>38278.800000000003</v>
      </c>
      <c r="M144" s="73">
        <f t="shared" si="22"/>
        <v>47348.5</v>
      </c>
      <c r="N144" s="301">
        <f t="shared" si="23"/>
        <v>8434.8209999999999</v>
      </c>
      <c r="O144" s="301">
        <f t="shared" si="24"/>
        <v>35599.284</v>
      </c>
      <c r="P144" s="300">
        <f t="shared" si="25"/>
        <v>44034.104999999996</v>
      </c>
    </row>
    <row r="145" spans="1:16" x14ac:dyDescent="0.25">
      <c r="A145" s="49">
        <v>132</v>
      </c>
      <c r="B145" s="32" t="s">
        <v>220</v>
      </c>
      <c r="C145" s="33" t="s">
        <v>153</v>
      </c>
      <c r="D145" s="88">
        <v>6174.5291999999999</v>
      </c>
      <c r="E145" s="91">
        <v>1852.3587599999992</v>
      </c>
      <c r="F145" s="91">
        <v>7409.4350400000003</v>
      </c>
      <c r="G145" s="92">
        <f t="shared" si="26"/>
        <v>9261.7937999999995</v>
      </c>
      <c r="H145" s="180">
        <f>1852.35876-500</f>
        <v>1352.3587600000001</v>
      </c>
      <c r="I145" s="180">
        <v>7409.4350400000003</v>
      </c>
      <c r="J145" s="117">
        <f t="shared" si="27"/>
        <v>8761.7937999999995</v>
      </c>
      <c r="K145" s="140">
        <f t="shared" si="20"/>
        <v>1352.3587600000001</v>
      </c>
      <c r="L145" s="73">
        <f t="shared" si="21"/>
        <v>7409.4350400000003</v>
      </c>
      <c r="M145" s="73">
        <f t="shared" si="22"/>
        <v>8761.7937999999995</v>
      </c>
      <c r="N145" s="301">
        <f t="shared" si="23"/>
        <v>1257.6936468000001</v>
      </c>
      <c r="O145" s="301">
        <f t="shared" si="24"/>
        <v>6890.7745872000005</v>
      </c>
      <c r="P145" s="300">
        <f t="shared" si="25"/>
        <v>8148.4682340000008</v>
      </c>
    </row>
    <row r="146" spans="1:16" x14ac:dyDescent="0.25">
      <c r="A146" s="49">
        <v>133</v>
      </c>
      <c r="B146" s="50" t="s">
        <v>223</v>
      </c>
      <c r="C146" s="33" t="s">
        <v>153</v>
      </c>
      <c r="D146" s="88">
        <v>735444.92</v>
      </c>
      <c r="E146" s="91">
        <v>198570.12839999993</v>
      </c>
      <c r="F146" s="91">
        <v>794280.51360000018</v>
      </c>
      <c r="G146" s="92">
        <f t="shared" si="26"/>
        <v>992850.64200000011</v>
      </c>
      <c r="H146" s="180">
        <f>198570.1284-500</f>
        <v>198070.12839999999</v>
      </c>
      <c r="I146" s="180">
        <v>794280.51360000018</v>
      </c>
      <c r="J146" s="117">
        <f t="shared" si="27"/>
        <v>992350.64200000023</v>
      </c>
      <c r="K146" s="140">
        <f t="shared" si="20"/>
        <v>198070.12839999999</v>
      </c>
      <c r="L146" s="73">
        <f t="shared" si="21"/>
        <v>794280.51360000018</v>
      </c>
      <c r="M146" s="73">
        <f t="shared" si="22"/>
        <v>992350.64200000023</v>
      </c>
      <c r="N146" s="301">
        <f t="shared" si="23"/>
        <v>184205.21941199998</v>
      </c>
      <c r="O146" s="301">
        <f t="shared" si="24"/>
        <v>738680.87764800014</v>
      </c>
      <c r="P146" s="300">
        <f t="shared" si="25"/>
        <v>922886.09706000006</v>
      </c>
    </row>
    <row r="147" spans="1:16" x14ac:dyDescent="0.25">
      <c r="A147" s="49">
        <v>134</v>
      </c>
      <c r="B147" s="38" t="s">
        <v>222</v>
      </c>
      <c r="C147" s="33" t="s">
        <v>153</v>
      </c>
      <c r="D147" s="88">
        <v>494855.17480000004</v>
      </c>
      <c r="E147" s="91">
        <v>133610.89719599998</v>
      </c>
      <c r="F147" s="91">
        <v>534443.58878400014</v>
      </c>
      <c r="G147" s="92">
        <f t="shared" si="26"/>
        <v>668054.48598000011</v>
      </c>
      <c r="H147" s="180">
        <f>133610.897196-500</f>
        <v>133110.89719600001</v>
      </c>
      <c r="I147" s="180">
        <v>534443.58878400014</v>
      </c>
      <c r="J147" s="117">
        <f t="shared" si="27"/>
        <v>667554.48598000011</v>
      </c>
      <c r="K147" s="140">
        <f t="shared" si="20"/>
        <v>133110.89719600001</v>
      </c>
      <c r="L147" s="73">
        <f t="shared" si="21"/>
        <v>534443.58878400014</v>
      </c>
      <c r="M147" s="73">
        <f t="shared" si="22"/>
        <v>667554.48598000011</v>
      </c>
      <c r="N147" s="301">
        <f t="shared" si="23"/>
        <v>123793.13439228</v>
      </c>
      <c r="O147" s="301">
        <f t="shared" si="24"/>
        <v>497032.53756912012</v>
      </c>
      <c r="P147" s="300">
        <f t="shared" si="25"/>
        <v>620825.67196140008</v>
      </c>
    </row>
    <row r="148" spans="1:16" x14ac:dyDescent="0.25">
      <c r="A148" s="49">
        <v>135</v>
      </c>
      <c r="B148" s="38" t="s">
        <v>224</v>
      </c>
      <c r="C148" s="33" t="s">
        <v>153</v>
      </c>
      <c r="D148" s="88">
        <v>608049.13400000008</v>
      </c>
      <c r="E148" s="91">
        <v>164173.26618000004</v>
      </c>
      <c r="F148" s="91">
        <v>656693.06472000014</v>
      </c>
      <c r="G148" s="92">
        <f t="shared" si="26"/>
        <v>820866.33090000018</v>
      </c>
      <c r="H148" s="180">
        <f>164173.26618-1000</f>
        <v>163173.26618000001</v>
      </c>
      <c r="I148" s="180">
        <v>656693.06472000014</v>
      </c>
      <c r="J148" s="117">
        <f t="shared" si="27"/>
        <v>819866.33090000018</v>
      </c>
      <c r="K148" s="140">
        <f t="shared" si="20"/>
        <v>163173.26618000001</v>
      </c>
      <c r="L148" s="73">
        <f t="shared" si="21"/>
        <v>656693.06472000014</v>
      </c>
      <c r="M148" s="73">
        <f t="shared" si="22"/>
        <v>819866.33090000018</v>
      </c>
      <c r="N148" s="301">
        <f t="shared" si="23"/>
        <v>151751.13754739999</v>
      </c>
      <c r="O148" s="301">
        <f t="shared" si="24"/>
        <v>610724.55018960009</v>
      </c>
      <c r="P148" s="300">
        <f t="shared" si="25"/>
        <v>762475.68773700006</v>
      </c>
    </row>
    <row r="149" spans="1:16" ht="22.5" x14ac:dyDescent="0.25">
      <c r="A149" s="49">
        <v>136</v>
      </c>
      <c r="B149" s="32" t="s">
        <v>226</v>
      </c>
      <c r="C149" s="33" t="s">
        <v>153</v>
      </c>
      <c r="D149" s="88">
        <v>647411.27500000002</v>
      </c>
      <c r="E149" s="91">
        <v>174801.04424999992</v>
      </c>
      <c r="F149" s="91">
        <v>699204.17700000014</v>
      </c>
      <c r="G149" s="92">
        <f t="shared" si="26"/>
        <v>874005.22125000006</v>
      </c>
      <c r="H149" s="180">
        <f>174801.04425-1000</f>
        <v>173801.04425000001</v>
      </c>
      <c r="I149" s="180">
        <v>699204.17700000014</v>
      </c>
      <c r="J149" s="117">
        <f t="shared" si="27"/>
        <v>873005.22125000018</v>
      </c>
      <c r="K149" s="140">
        <f t="shared" si="20"/>
        <v>173801.04425000001</v>
      </c>
      <c r="L149" s="73">
        <f t="shared" si="21"/>
        <v>699204.17700000014</v>
      </c>
      <c r="M149" s="73">
        <f t="shared" si="22"/>
        <v>873005.22125000018</v>
      </c>
      <c r="N149" s="301">
        <f t="shared" si="23"/>
        <v>161634.97115250002</v>
      </c>
      <c r="O149" s="301">
        <f t="shared" si="24"/>
        <v>650259.88461000007</v>
      </c>
      <c r="P149" s="300">
        <f t="shared" si="25"/>
        <v>811894.85576250008</v>
      </c>
    </row>
    <row r="150" spans="1:16" x14ac:dyDescent="0.25">
      <c r="A150" s="49">
        <v>137</v>
      </c>
      <c r="B150" s="32" t="s">
        <v>227</v>
      </c>
      <c r="C150" s="33" t="s">
        <v>153</v>
      </c>
      <c r="D150" s="88">
        <v>1391943.3528</v>
      </c>
      <c r="E150" s="91">
        <v>356337.49831679999</v>
      </c>
      <c r="F150" s="91">
        <v>1425349.9932672</v>
      </c>
      <c r="G150" s="92">
        <f t="shared" si="26"/>
        <v>1781687.4915839999</v>
      </c>
      <c r="H150" s="180">
        <v>356337.49831679999</v>
      </c>
      <c r="I150" s="180">
        <v>1425349.9932672</v>
      </c>
      <c r="J150" s="117">
        <f t="shared" si="27"/>
        <v>1781687.4915839999</v>
      </c>
      <c r="K150" s="140">
        <f t="shared" si="20"/>
        <v>356337.49831679999</v>
      </c>
      <c r="L150" s="73">
        <f t="shared" si="21"/>
        <v>1425349.9932672</v>
      </c>
      <c r="M150" s="73">
        <f t="shared" si="22"/>
        <v>1781687.4915839999</v>
      </c>
      <c r="N150" s="301">
        <f t="shared" si="23"/>
        <v>331393.87343462399</v>
      </c>
      <c r="O150" s="301">
        <f t="shared" si="24"/>
        <v>1325575.493738496</v>
      </c>
      <c r="P150" s="300">
        <f t="shared" si="25"/>
        <v>1656969.3671731199</v>
      </c>
    </row>
    <row r="151" spans="1:16" x14ac:dyDescent="0.25">
      <c r="A151" s="49">
        <v>138</v>
      </c>
      <c r="B151" s="46" t="s">
        <v>42</v>
      </c>
      <c r="C151" s="33" t="s">
        <v>153</v>
      </c>
      <c r="D151" s="88">
        <v>118211.24155266659</v>
      </c>
      <c r="E151" s="91">
        <v>31917.035219219979</v>
      </c>
      <c r="F151" s="91">
        <v>127668.14087687992</v>
      </c>
      <c r="G151" s="92">
        <f t="shared" si="26"/>
        <v>159585.17609609989</v>
      </c>
      <c r="H151" s="180">
        <f>31917.0352192199-1000</f>
        <v>30917.035219219899</v>
      </c>
      <c r="I151" s="180">
        <v>127668.14087687992</v>
      </c>
      <c r="J151" s="117">
        <f t="shared" si="27"/>
        <v>158585.17609609981</v>
      </c>
      <c r="K151" s="140">
        <f t="shared" si="20"/>
        <v>30917.035219219899</v>
      </c>
      <c r="L151" s="73">
        <f t="shared" si="21"/>
        <v>127668.14087687992</v>
      </c>
      <c r="M151" s="73">
        <f t="shared" si="22"/>
        <v>158585.17609609981</v>
      </c>
      <c r="N151" s="301">
        <f t="shared" si="23"/>
        <v>28752.842753874505</v>
      </c>
      <c r="O151" s="301">
        <f t="shared" si="24"/>
        <v>118731.37101549833</v>
      </c>
      <c r="P151" s="300">
        <f t="shared" si="25"/>
        <v>147484.21376937284</v>
      </c>
    </row>
    <row r="152" spans="1:16" x14ac:dyDescent="0.25">
      <c r="A152" s="49">
        <v>139</v>
      </c>
      <c r="B152" s="46" t="s">
        <v>93</v>
      </c>
      <c r="C152" s="33" t="s">
        <v>153</v>
      </c>
      <c r="D152" s="88">
        <v>510532.17600000004</v>
      </c>
      <c r="E152" s="91">
        <v>137843.68752000004</v>
      </c>
      <c r="F152" s="91">
        <v>551374.75008000003</v>
      </c>
      <c r="G152" s="92">
        <f t="shared" si="26"/>
        <v>689218.43760000006</v>
      </c>
      <c r="H152" s="180">
        <f>137843.68752-1000</f>
        <v>136843.68752000001</v>
      </c>
      <c r="I152" s="180">
        <v>551374.75008000003</v>
      </c>
      <c r="J152" s="117">
        <f t="shared" si="27"/>
        <v>688218.43760000006</v>
      </c>
      <c r="K152" s="140">
        <f t="shared" si="20"/>
        <v>136843.68752000001</v>
      </c>
      <c r="L152" s="73">
        <f t="shared" si="21"/>
        <v>551374.75008000003</v>
      </c>
      <c r="M152" s="73">
        <f t="shared" si="22"/>
        <v>688218.43760000006</v>
      </c>
      <c r="N152" s="301">
        <f t="shared" si="23"/>
        <v>127264.6293936</v>
      </c>
      <c r="O152" s="301">
        <f t="shared" si="24"/>
        <v>512778.5175744</v>
      </c>
      <c r="P152" s="300">
        <f t="shared" si="25"/>
        <v>640043.14696799999</v>
      </c>
    </row>
    <row r="153" spans="1:16" x14ac:dyDescent="0.2">
      <c r="A153" s="49">
        <v>140</v>
      </c>
      <c r="B153" s="53" t="s">
        <v>95</v>
      </c>
      <c r="C153" s="33" t="s">
        <v>153</v>
      </c>
      <c r="D153" s="88">
        <v>1029486.7855999999</v>
      </c>
      <c r="E153" s="91">
        <v>263548.61711360002</v>
      </c>
      <c r="F153" s="91">
        <v>1054194.4684543998</v>
      </c>
      <c r="G153" s="92">
        <f t="shared" si="26"/>
        <v>1317743.0855679999</v>
      </c>
      <c r="H153" s="180">
        <f>263548.6171136-1000</f>
        <v>262548.61711360002</v>
      </c>
      <c r="I153" s="180">
        <v>1054194.4684543998</v>
      </c>
      <c r="J153" s="117">
        <f t="shared" si="27"/>
        <v>1316743.0855679999</v>
      </c>
      <c r="K153" s="140">
        <f t="shared" si="20"/>
        <v>262548.61711360002</v>
      </c>
      <c r="L153" s="73">
        <f t="shared" si="21"/>
        <v>1054194.4684543998</v>
      </c>
      <c r="M153" s="73">
        <f t="shared" si="22"/>
        <v>1316743.0855679999</v>
      </c>
      <c r="N153" s="301">
        <f t="shared" si="23"/>
        <v>244170.21391564803</v>
      </c>
      <c r="O153" s="301">
        <f t="shared" si="24"/>
        <v>980400.85566259187</v>
      </c>
      <c r="P153" s="300">
        <f t="shared" si="25"/>
        <v>1224571.0695782399</v>
      </c>
    </row>
    <row r="154" spans="1:16" x14ac:dyDescent="0.2">
      <c r="A154" s="49">
        <v>141</v>
      </c>
      <c r="B154" s="53" t="s">
        <v>228</v>
      </c>
      <c r="C154" s="33" t="s">
        <v>153</v>
      </c>
      <c r="D154" s="88">
        <v>2439.3650459419164</v>
      </c>
      <c r="E154" s="91">
        <v>731.80951378257487</v>
      </c>
      <c r="F154" s="91">
        <v>2927.2380551302995</v>
      </c>
      <c r="G154" s="92">
        <f t="shared" si="26"/>
        <v>3659.0475689128743</v>
      </c>
      <c r="H154" s="180">
        <f>731.809513782575-1000</f>
        <v>-268.19048621742502</v>
      </c>
      <c r="I154" s="180">
        <v>2927.2380551302995</v>
      </c>
      <c r="J154" s="117">
        <f t="shared" si="27"/>
        <v>2659.0475689128743</v>
      </c>
      <c r="K154" s="140">
        <f t="shared" si="20"/>
        <v>-268.19048621742502</v>
      </c>
      <c r="L154" s="73">
        <f t="shared" si="21"/>
        <v>2927.2380551302995</v>
      </c>
      <c r="M154" s="73">
        <f t="shared" si="22"/>
        <v>2659.0475689128743</v>
      </c>
      <c r="N154" s="301">
        <f t="shared" si="23"/>
        <v>-249.41715218220526</v>
      </c>
      <c r="O154" s="301">
        <f t="shared" si="24"/>
        <v>2722.3313912711783</v>
      </c>
      <c r="P154" s="300">
        <f t="shared" si="25"/>
        <v>2472.9142390889729</v>
      </c>
    </row>
    <row r="155" spans="1:16" x14ac:dyDescent="0.2">
      <c r="A155" s="49">
        <v>142</v>
      </c>
      <c r="B155" s="53" t="s">
        <v>229</v>
      </c>
      <c r="C155" s="33" t="s">
        <v>153</v>
      </c>
      <c r="D155" s="88">
        <v>97574.601837676659</v>
      </c>
      <c r="E155" s="91">
        <v>26345.142496172688</v>
      </c>
      <c r="F155" s="91">
        <v>105380.56998469081</v>
      </c>
      <c r="G155" s="92">
        <f t="shared" si="26"/>
        <v>131725.7124808635</v>
      </c>
      <c r="H155" s="180">
        <f>26345.1424961727-1000</f>
        <v>25345.142496172699</v>
      </c>
      <c r="I155" s="180">
        <v>105380.56998469081</v>
      </c>
      <c r="J155" s="117">
        <f t="shared" si="27"/>
        <v>130725.71248086351</v>
      </c>
      <c r="K155" s="140">
        <f t="shared" si="20"/>
        <v>25345.142496172699</v>
      </c>
      <c r="L155" s="73">
        <f t="shared" si="21"/>
        <v>105380.56998469081</v>
      </c>
      <c r="M155" s="73">
        <f t="shared" si="22"/>
        <v>130725.71248086351</v>
      </c>
      <c r="N155" s="301">
        <f t="shared" si="23"/>
        <v>23570.982521440608</v>
      </c>
      <c r="O155" s="301">
        <f t="shared" si="24"/>
        <v>98003.930085762448</v>
      </c>
      <c r="P155" s="300">
        <f t="shared" si="25"/>
        <v>121574.91260720306</v>
      </c>
    </row>
    <row r="156" spans="1:16" x14ac:dyDescent="0.2">
      <c r="A156" s="49">
        <v>143</v>
      </c>
      <c r="B156" s="53" t="s">
        <v>241</v>
      </c>
      <c r="C156" s="33" t="s">
        <v>153</v>
      </c>
      <c r="D156" s="88">
        <v>177274.68920000002</v>
      </c>
      <c r="E156" s="91">
        <v>47864.166083999997</v>
      </c>
      <c r="F156" s="91">
        <v>191456.66433600005</v>
      </c>
      <c r="G156" s="92">
        <f t="shared" si="26"/>
        <v>239320.83042000004</v>
      </c>
      <c r="H156" s="180">
        <f>47864.166084-1000</f>
        <v>46864.166083999997</v>
      </c>
      <c r="I156" s="180">
        <v>191456.66433600005</v>
      </c>
      <c r="J156" s="117">
        <f t="shared" si="27"/>
        <v>238320.83042000004</v>
      </c>
      <c r="K156" s="140">
        <f t="shared" si="20"/>
        <v>46864.166083999997</v>
      </c>
      <c r="L156" s="73">
        <f t="shared" si="21"/>
        <v>191456.66433600005</v>
      </c>
      <c r="M156" s="73">
        <f t="shared" si="22"/>
        <v>238320.83042000004</v>
      </c>
      <c r="N156" s="301">
        <f t="shared" si="23"/>
        <v>43583.674458119996</v>
      </c>
      <c r="O156" s="301">
        <f t="shared" si="24"/>
        <v>178054.69783248004</v>
      </c>
      <c r="P156" s="300">
        <f t="shared" si="25"/>
        <v>221638.37229060003</v>
      </c>
    </row>
    <row r="157" spans="1:16" x14ac:dyDescent="0.2">
      <c r="A157" s="49">
        <v>144</v>
      </c>
      <c r="B157" s="47" t="s">
        <v>85</v>
      </c>
      <c r="C157" s="33" t="s">
        <v>153</v>
      </c>
      <c r="D157" s="88">
        <v>96158.598844341788</v>
      </c>
      <c r="E157" s="91">
        <v>25962.821687972275</v>
      </c>
      <c r="F157" s="91">
        <v>103851.28675188914</v>
      </c>
      <c r="G157" s="92">
        <f t="shared" si="26"/>
        <v>129814.10843986142</v>
      </c>
      <c r="H157" s="180">
        <f>25962.8216879723-1000</f>
        <v>24962.8216879723</v>
      </c>
      <c r="I157" s="180">
        <v>103851.28675188914</v>
      </c>
      <c r="J157" s="117">
        <f t="shared" si="27"/>
        <v>128814.10843986145</v>
      </c>
      <c r="K157" s="140">
        <f t="shared" si="20"/>
        <v>24962.8216879723</v>
      </c>
      <c r="L157" s="73">
        <f t="shared" si="21"/>
        <v>103851.28675188914</v>
      </c>
      <c r="M157" s="73">
        <f t="shared" si="22"/>
        <v>128814.10843986145</v>
      </c>
      <c r="N157" s="301">
        <f t="shared" si="23"/>
        <v>23215.42416981424</v>
      </c>
      <c r="O157" s="301">
        <f t="shared" si="24"/>
        <v>96581.6966792569</v>
      </c>
      <c r="P157" s="300">
        <f t="shared" si="25"/>
        <v>119797.12084907114</v>
      </c>
    </row>
    <row r="158" spans="1:16" x14ac:dyDescent="0.2">
      <c r="A158" s="49">
        <v>145</v>
      </c>
      <c r="B158" s="47" t="s">
        <v>232</v>
      </c>
      <c r="C158" s="33" t="s">
        <v>153</v>
      </c>
      <c r="D158" s="88">
        <v>960761.04180000001</v>
      </c>
      <c r="E158" s="91">
        <v>245954.82670079998</v>
      </c>
      <c r="F158" s="91">
        <v>983819.30680320004</v>
      </c>
      <c r="G158" s="92">
        <f t="shared" si="26"/>
        <v>1229774.133504</v>
      </c>
      <c r="H158" s="180">
        <f>245954.8267008-1000</f>
        <v>244954.82670080001</v>
      </c>
      <c r="I158" s="180">
        <v>983819.30680320004</v>
      </c>
      <c r="J158" s="117">
        <f t="shared" si="27"/>
        <v>1228774.133504</v>
      </c>
      <c r="K158" s="140">
        <f t="shared" si="20"/>
        <v>244954.82670080001</v>
      </c>
      <c r="L158" s="73">
        <f t="shared" si="21"/>
        <v>983819.30680320004</v>
      </c>
      <c r="M158" s="73">
        <f t="shared" si="22"/>
        <v>1228774.133504</v>
      </c>
      <c r="N158" s="301">
        <f t="shared" si="23"/>
        <v>227807.98883174401</v>
      </c>
      <c r="O158" s="301">
        <f t="shared" si="24"/>
        <v>914951.95532697602</v>
      </c>
      <c r="P158" s="300">
        <f t="shared" si="25"/>
        <v>1142759.9441587201</v>
      </c>
    </row>
    <row r="159" spans="1:16" x14ac:dyDescent="0.2">
      <c r="A159" s="49">
        <v>146</v>
      </c>
      <c r="B159" s="47" t="s">
        <v>67</v>
      </c>
      <c r="C159" s="33" t="s">
        <v>153</v>
      </c>
      <c r="D159" s="88">
        <v>772069.65432852972</v>
      </c>
      <c r="E159" s="91">
        <v>197649.83150810353</v>
      </c>
      <c r="F159" s="91">
        <v>790599.32603241457</v>
      </c>
      <c r="G159" s="92">
        <f t="shared" si="26"/>
        <v>988249.15754051809</v>
      </c>
      <c r="H159" s="180">
        <f>197649.831508104-1000</f>
        <v>196649.83150810399</v>
      </c>
      <c r="I159" s="180">
        <v>790599.32603241457</v>
      </c>
      <c r="J159" s="117">
        <f t="shared" si="27"/>
        <v>987249.15754051856</v>
      </c>
      <c r="K159" s="140">
        <f t="shared" si="20"/>
        <v>196649.83150810399</v>
      </c>
      <c r="L159" s="73">
        <f t="shared" si="21"/>
        <v>790599.32603241457</v>
      </c>
      <c r="M159" s="73">
        <f t="shared" si="22"/>
        <v>987249.15754051856</v>
      </c>
      <c r="N159" s="301">
        <f t="shared" si="23"/>
        <v>182884.3433025367</v>
      </c>
      <c r="O159" s="301">
        <f t="shared" si="24"/>
        <v>735257.37321014551</v>
      </c>
      <c r="P159" s="300">
        <f t="shared" si="25"/>
        <v>918141.71651268215</v>
      </c>
    </row>
    <row r="160" spans="1:16" x14ac:dyDescent="0.25">
      <c r="A160" s="49">
        <v>147</v>
      </c>
      <c r="B160" s="38" t="s">
        <v>237</v>
      </c>
      <c r="C160" s="33" t="s">
        <v>153</v>
      </c>
      <c r="D160" s="88">
        <v>696493.86596869212</v>
      </c>
      <c r="E160" s="91">
        <v>188053.3438115468</v>
      </c>
      <c r="F160" s="91">
        <v>752213.37524618767</v>
      </c>
      <c r="G160" s="92">
        <f t="shared" si="26"/>
        <v>940266.71905773447</v>
      </c>
      <c r="H160" s="180">
        <f>188053.343811547-1000</f>
        <v>187053.34381154701</v>
      </c>
      <c r="I160" s="180">
        <v>752213.37524618767</v>
      </c>
      <c r="J160" s="117">
        <f t="shared" si="27"/>
        <v>939266.71905773471</v>
      </c>
      <c r="K160" s="140">
        <f t="shared" si="20"/>
        <v>187053.34381154701</v>
      </c>
      <c r="L160" s="73">
        <f t="shared" si="21"/>
        <v>752213.37524618767</v>
      </c>
      <c r="M160" s="73">
        <f t="shared" si="22"/>
        <v>939266.71905773471</v>
      </c>
      <c r="N160" s="301">
        <f t="shared" si="23"/>
        <v>173959.6097447387</v>
      </c>
      <c r="O160" s="301">
        <f t="shared" si="24"/>
        <v>699558.43897895457</v>
      </c>
      <c r="P160" s="300">
        <f t="shared" si="25"/>
        <v>873518.04872369324</v>
      </c>
    </row>
    <row r="161" spans="1:16" x14ac:dyDescent="0.25">
      <c r="A161" s="49">
        <v>148</v>
      </c>
      <c r="B161" s="38" t="s">
        <v>238</v>
      </c>
      <c r="C161" s="33" t="s">
        <v>153</v>
      </c>
      <c r="D161" s="88">
        <v>633004.59782491974</v>
      </c>
      <c r="E161" s="91">
        <v>170911.24141272833</v>
      </c>
      <c r="F161" s="91">
        <v>683644.96565091342</v>
      </c>
      <c r="G161" s="92">
        <f t="shared" si="26"/>
        <v>854556.20706364175</v>
      </c>
      <c r="H161" s="180">
        <f>170911.241412728-1000</f>
        <v>169911.24141272801</v>
      </c>
      <c r="I161" s="180">
        <v>683644.96565091342</v>
      </c>
      <c r="J161" s="117">
        <f t="shared" si="27"/>
        <v>853556.2070636414</v>
      </c>
      <c r="K161" s="140">
        <f t="shared" si="20"/>
        <v>169911.24141272801</v>
      </c>
      <c r="L161" s="73">
        <f t="shared" si="21"/>
        <v>683644.96565091342</v>
      </c>
      <c r="M161" s="73">
        <f t="shared" si="22"/>
        <v>853556.2070636414</v>
      </c>
      <c r="N161" s="301">
        <f t="shared" si="23"/>
        <v>158017.45451383706</v>
      </c>
      <c r="O161" s="301">
        <f t="shared" si="24"/>
        <v>635789.81805534952</v>
      </c>
      <c r="P161" s="300">
        <f t="shared" si="25"/>
        <v>793807.27256918652</v>
      </c>
    </row>
    <row r="162" spans="1:16" x14ac:dyDescent="0.25">
      <c r="A162" s="49">
        <v>149</v>
      </c>
      <c r="B162" s="38" t="s">
        <v>233</v>
      </c>
      <c r="C162" s="33" t="s">
        <v>153</v>
      </c>
      <c r="D162" s="88">
        <v>671809.60550858558</v>
      </c>
      <c r="E162" s="91">
        <v>181388.59348731802</v>
      </c>
      <c r="F162" s="91">
        <v>725554.37394927256</v>
      </c>
      <c r="G162" s="92">
        <f t="shared" si="26"/>
        <v>906942.96743659058</v>
      </c>
      <c r="H162" s="180">
        <f>181388.593487318-1000</f>
        <v>180388.59348731799</v>
      </c>
      <c r="I162" s="180">
        <v>725554.37394927256</v>
      </c>
      <c r="J162" s="117">
        <f t="shared" si="27"/>
        <v>905942.96743659058</v>
      </c>
      <c r="K162" s="140">
        <f t="shared" si="20"/>
        <v>180388.59348731799</v>
      </c>
      <c r="L162" s="73">
        <f t="shared" si="21"/>
        <v>725554.37394927256</v>
      </c>
      <c r="M162" s="73">
        <f t="shared" si="22"/>
        <v>905942.96743659058</v>
      </c>
      <c r="N162" s="301">
        <f t="shared" si="23"/>
        <v>167761.39194320573</v>
      </c>
      <c r="O162" s="301">
        <f t="shared" si="24"/>
        <v>674765.5677728235</v>
      </c>
      <c r="P162" s="300">
        <f t="shared" si="25"/>
        <v>842526.95971602923</v>
      </c>
    </row>
    <row r="163" spans="1:16" x14ac:dyDescent="0.25">
      <c r="A163" s="49">
        <v>150</v>
      </c>
      <c r="B163" s="38" t="s">
        <v>234</v>
      </c>
      <c r="C163" s="33" t="s">
        <v>153</v>
      </c>
      <c r="D163" s="88">
        <v>662772.38117206271</v>
      </c>
      <c r="E163" s="91">
        <v>178948.54291645694</v>
      </c>
      <c r="F163" s="91">
        <v>715794.17166582774</v>
      </c>
      <c r="G163" s="92">
        <f t="shared" si="26"/>
        <v>894742.71458228468</v>
      </c>
      <c r="H163" s="180">
        <f>178948.542916457-1000</f>
        <v>177948.54291645699</v>
      </c>
      <c r="I163" s="180">
        <v>715794.17166582774</v>
      </c>
      <c r="J163" s="117">
        <f t="shared" si="27"/>
        <v>893742.71458228468</v>
      </c>
      <c r="K163" s="140">
        <f t="shared" si="20"/>
        <v>177948.54291645699</v>
      </c>
      <c r="L163" s="73">
        <f t="shared" si="21"/>
        <v>715794.17166582774</v>
      </c>
      <c r="M163" s="73">
        <f t="shared" si="22"/>
        <v>893742.71458228468</v>
      </c>
      <c r="N163" s="301">
        <f t="shared" si="23"/>
        <v>165492.144912305</v>
      </c>
      <c r="O163" s="301">
        <f t="shared" si="24"/>
        <v>665688.57964921976</v>
      </c>
      <c r="P163" s="300">
        <f t="shared" si="25"/>
        <v>831180.72456152481</v>
      </c>
    </row>
    <row r="164" spans="1:16" x14ac:dyDescent="0.25">
      <c r="A164" s="49">
        <v>151</v>
      </c>
      <c r="B164" s="38" t="s">
        <v>235</v>
      </c>
      <c r="C164" s="33" t="s">
        <v>153</v>
      </c>
      <c r="D164" s="88">
        <v>1872351.6126000001</v>
      </c>
      <c r="E164" s="91">
        <v>479322.01282559987</v>
      </c>
      <c r="F164" s="91">
        <v>1917288.0513024004</v>
      </c>
      <c r="G164" s="92">
        <f t="shared" si="26"/>
        <v>2396610.0641280003</v>
      </c>
      <c r="H164" s="180">
        <f>479322.0128256-1000</f>
        <v>478322.01282559999</v>
      </c>
      <c r="I164" s="180">
        <v>1917288.0513024004</v>
      </c>
      <c r="J164" s="117">
        <f t="shared" si="27"/>
        <v>2395610.0641280003</v>
      </c>
      <c r="K164" s="140">
        <f t="shared" si="20"/>
        <v>478322.01282559999</v>
      </c>
      <c r="L164" s="73">
        <f t="shared" si="21"/>
        <v>1917288.0513024004</v>
      </c>
      <c r="M164" s="73">
        <f t="shared" si="22"/>
        <v>2395610.0641280003</v>
      </c>
      <c r="N164" s="301">
        <f t="shared" si="23"/>
        <v>444839.47192780802</v>
      </c>
      <c r="O164" s="301">
        <f t="shared" si="24"/>
        <v>1783077.8877112323</v>
      </c>
      <c r="P164" s="300">
        <f t="shared" si="25"/>
        <v>2227917.3596390402</v>
      </c>
    </row>
    <row r="165" spans="1:16" x14ac:dyDescent="0.2">
      <c r="A165" s="49">
        <v>152</v>
      </c>
      <c r="B165" s="47" t="s">
        <v>84</v>
      </c>
      <c r="C165" s="33" t="s">
        <v>153</v>
      </c>
      <c r="D165" s="88">
        <v>1114856.768432105</v>
      </c>
      <c r="E165" s="91">
        <v>285403.33271861891</v>
      </c>
      <c r="F165" s="91">
        <v>1141613.3308744754</v>
      </c>
      <c r="G165" s="92">
        <f t="shared" si="26"/>
        <v>1427016.6635930943</v>
      </c>
      <c r="H165" s="180">
        <f>285403.332718619-1000</f>
        <v>284403.33271861903</v>
      </c>
      <c r="I165" s="180">
        <v>1141613.3308744754</v>
      </c>
      <c r="J165" s="117">
        <f t="shared" si="27"/>
        <v>1426016.6635930943</v>
      </c>
      <c r="K165" s="140">
        <f t="shared" si="20"/>
        <v>284403.33271861903</v>
      </c>
      <c r="L165" s="73">
        <f t="shared" si="21"/>
        <v>1141613.3308744754</v>
      </c>
      <c r="M165" s="73">
        <f t="shared" si="22"/>
        <v>1426016.6635930943</v>
      </c>
      <c r="N165" s="301">
        <f t="shared" si="23"/>
        <v>264495.09942831571</v>
      </c>
      <c r="O165" s="301">
        <f t="shared" si="24"/>
        <v>1061700.3977132621</v>
      </c>
      <c r="P165" s="300">
        <f t="shared" si="25"/>
        <v>1326195.4971415778</v>
      </c>
    </row>
    <row r="166" spans="1:16" x14ac:dyDescent="0.2">
      <c r="A166" s="49">
        <v>153</v>
      </c>
      <c r="B166" s="47" t="s">
        <v>236</v>
      </c>
      <c r="C166" s="33" t="s">
        <v>153</v>
      </c>
      <c r="D166" s="88">
        <v>292602.08305115491</v>
      </c>
      <c r="E166" s="91">
        <v>79002.562423811818</v>
      </c>
      <c r="F166" s="91">
        <v>316010.24969524733</v>
      </c>
      <c r="G166" s="92">
        <f t="shared" si="26"/>
        <v>395012.81211905915</v>
      </c>
      <c r="H166" s="180">
        <f>79002.5624238118-1000</f>
        <v>78002.562423811803</v>
      </c>
      <c r="I166" s="180">
        <v>316010.24969524733</v>
      </c>
      <c r="J166" s="117">
        <f t="shared" si="27"/>
        <v>394012.81211905915</v>
      </c>
      <c r="K166" s="140">
        <f t="shared" si="20"/>
        <v>78002.562423811803</v>
      </c>
      <c r="L166" s="73">
        <f t="shared" si="21"/>
        <v>316010.24969524733</v>
      </c>
      <c r="M166" s="73">
        <f t="shared" si="22"/>
        <v>394012.81211905915</v>
      </c>
      <c r="N166" s="301">
        <f t="shared" si="23"/>
        <v>72542.383054144972</v>
      </c>
      <c r="O166" s="301">
        <f t="shared" si="24"/>
        <v>293889.53221658</v>
      </c>
      <c r="P166" s="300">
        <f t="shared" si="25"/>
        <v>366431.91527072497</v>
      </c>
    </row>
    <row r="167" spans="1:16" x14ac:dyDescent="0.2">
      <c r="A167" s="49">
        <v>154</v>
      </c>
      <c r="B167" s="53" t="s">
        <v>239</v>
      </c>
      <c r="C167" s="33" t="s">
        <v>153</v>
      </c>
      <c r="D167" s="88">
        <v>316487.96738186147</v>
      </c>
      <c r="E167" s="91">
        <v>85451.751193102566</v>
      </c>
      <c r="F167" s="91">
        <v>341807.00477241044</v>
      </c>
      <c r="G167" s="92">
        <f t="shared" si="26"/>
        <v>427258.755965513</v>
      </c>
      <c r="H167" s="180">
        <f>85451.7511931026-1000</f>
        <v>84451.751193102595</v>
      </c>
      <c r="I167" s="180">
        <v>341807.00477241044</v>
      </c>
      <c r="J167" s="117">
        <f t="shared" si="27"/>
        <v>426258.75596551306</v>
      </c>
      <c r="K167" s="140">
        <f t="shared" si="20"/>
        <v>84451.751193102595</v>
      </c>
      <c r="L167" s="73">
        <f t="shared" si="21"/>
        <v>341807.00477241044</v>
      </c>
      <c r="M167" s="73">
        <f t="shared" si="22"/>
        <v>426258.75596551306</v>
      </c>
      <c r="N167" s="301">
        <f t="shared" si="23"/>
        <v>78540.128609585416</v>
      </c>
      <c r="O167" s="301">
        <f t="shared" si="24"/>
        <v>317880.51443834172</v>
      </c>
      <c r="P167" s="300">
        <f t="shared" si="25"/>
        <v>396420.64304792712</v>
      </c>
    </row>
    <row r="168" spans="1:16" x14ac:dyDescent="0.2">
      <c r="A168" s="49">
        <v>155</v>
      </c>
      <c r="B168" s="53" t="s">
        <v>240</v>
      </c>
      <c r="C168" s="33" t="s">
        <v>153</v>
      </c>
      <c r="D168" s="88">
        <v>355899.67652752728</v>
      </c>
      <c r="E168" s="91">
        <v>96092.912662432354</v>
      </c>
      <c r="F168" s="91">
        <v>384371.65064972948</v>
      </c>
      <c r="G168" s="92">
        <f t="shared" si="26"/>
        <v>480464.56331216183</v>
      </c>
      <c r="H168" s="180">
        <f>96092.9126624324-1000</f>
        <v>95092.912662432398</v>
      </c>
      <c r="I168" s="180">
        <v>384371.65064972948</v>
      </c>
      <c r="J168" s="117">
        <f t="shared" si="27"/>
        <v>479464.56331216189</v>
      </c>
      <c r="K168" s="140">
        <f t="shared" si="20"/>
        <v>95092.912662432398</v>
      </c>
      <c r="L168" s="73">
        <f t="shared" si="21"/>
        <v>384371.65064972948</v>
      </c>
      <c r="M168" s="73">
        <f t="shared" si="22"/>
        <v>479464.56331216189</v>
      </c>
      <c r="N168" s="301">
        <f t="shared" si="23"/>
        <v>88436.408776062133</v>
      </c>
      <c r="O168" s="301">
        <f t="shared" si="24"/>
        <v>357465.63510424842</v>
      </c>
      <c r="P168" s="300">
        <f t="shared" si="25"/>
        <v>445902.04388031055</v>
      </c>
    </row>
    <row r="169" spans="1:16" x14ac:dyDescent="0.2">
      <c r="A169" s="49">
        <v>156</v>
      </c>
      <c r="B169" s="53" t="s">
        <v>269</v>
      </c>
      <c r="C169" s="33" t="s">
        <v>153</v>
      </c>
      <c r="D169" s="88">
        <v>147909.636</v>
      </c>
      <c r="E169" s="91">
        <v>39935.601719999977</v>
      </c>
      <c r="F169" s="91">
        <v>159742.40688000002</v>
      </c>
      <c r="G169" s="92">
        <f t="shared" si="26"/>
        <v>199678.0086</v>
      </c>
      <c r="H169" s="180">
        <f>39935.60172-1000</f>
        <v>38935.601719999999</v>
      </c>
      <c r="I169" s="180">
        <v>159742.40688000002</v>
      </c>
      <c r="J169" s="117">
        <f t="shared" si="27"/>
        <v>198678.00860000003</v>
      </c>
      <c r="K169" s="140">
        <f t="shared" si="20"/>
        <v>38935.601719999999</v>
      </c>
      <c r="L169" s="73">
        <f t="shared" si="21"/>
        <v>159742.40688000002</v>
      </c>
      <c r="M169" s="73">
        <f t="shared" si="22"/>
        <v>198678.00860000003</v>
      </c>
      <c r="N169" s="301">
        <f t="shared" si="23"/>
        <v>36210.1095996</v>
      </c>
      <c r="O169" s="301">
        <f t="shared" si="24"/>
        <v>148560.43839840003</v>
      </c>
      <c r="P169" s="300">
        <f t="shared" si="25"/>
        <v>184770.54799800002</v>
      </c>
    </row>
    <row r="170" spans="1:16" x14ac:dyDescent="0.2">
      <c r="A170" s="49">
        <v>157</v>
      </c>
      <c r="B170" s="53" t="s">
        <v>272</v>
      </c>
      <c r="C170" s="33" t="s">
        <v>153</v>
      </c>
      <c r="D170" s="88">
        <v>1029294.2156</v>
      </c>
      <c r="E170" s="91">
        <v>263499.31919359998</v>
      </c>
      <c r="F170" s="91">
        <v>1053997.2767744001</v>
      </c>
      <c r="G170" s="92">
        <f t="shared" si="26"/>
        <v>1317496.5959680001</v>
      </c>
      <c r="H170" s="180">
        <f>263499.3191936-1000</f>
        <v>262499.31919359998</v>
      </c>
      <c r="I170" s="180">
        <v>1053997.2767744001</v>
      </c>
      <c r="J170" s="117">
        <f t="shared" si="27"/>
        <v>1316496.5959680001</v>
      </c>
      <c r="K170" s="140">
        <f t="shared" si="20"/>
        <v>262499.31919359998</v>
      </c>
      <c r="L170" s="73">
        <f t="shared" si="21"/>
        <v>1053997.2767744001</v>
      </c>
      <c r="M170" s="73">
        <f t="shared" si="22"/>
        <v>1316496.5959680001</v>
      </c>
      <c r="N170" s="301">
        <f t="shared" si="23"/>
        <v>244124.36685004798</v>
      </c>
      <c r="O170" s="301">
        <f t="shared" si="24"/>
        <v>980217.46740019217</v>
      </c>
      <c r="P170" s="300">
        <f t="shared" si="25"/>
        <v>1224341.8342502401</v>
      </c>
    </row>
    <row r="171" spans="1:16" x14ac:dyDescent="0.2">
      <c r="A171" s="49">
        <v>158</v>
      </c>
      <c r="B171" s="53" t="s">
        <v>273</v>
      </c>
      <c r="C171" s="33" t="s">
        <v>153</v>
      </c>
      <c r="D171" s="88">
        <v>844020.30589590303</v>
      </c>
      <c r="E171" s="91">
        <v>216069.19830935111</v>
      </c>
      <c r="F171" s="91">
        <v>864276.79323740478</v>
      </c>
      <c r="G171" s="92">
        <f t="shared" si="26"/>
        <v>1080345.9915467559</v>
      </c>
      <c r="H171" s="180">
        <f>216069.198309351-1000</f>
        <v>215069.19830935099</v>
      </c>
      <c r="I171" s="180">
        <v>864276.79323740478</v>
      </c>
      <c r="J171" s="117">
        <f t="shared" si="27"/>
        <v>1079345.9915467557</v>
      </c>
      <c r="K171" s="140">
        <f t="shared" si="20"/>
        <v>215069.19830935099</v>
      </c>
      <c r="L171" s="73">
        <f t="shared" si="21"/>
        <v>864276.79323740478</v>
      </c>
      <c r="M171" s="73">
        <f t="shared" si="22"/>
        <v>1079345.9915467557</v>
      </c>
      <c r="N171" s="301">
        <f t="shared" si="23"/>
        <v>200014.35442769641</v>
      </c>
      <c r="O171" s="301">
        <f t="shared" si="24"/>
        <v>803777.41771078645</v>
      </c>
      <c r="P171" s="300">
        <f t="shared" si="25"/>
        <v>1003791.7721384829</v>
      </c>
    </row>
    <row r="172" spans="1:16" x14ac:dyDescent="0.2">
      <c r="A172" s="49">
        <v>159</v>
      </c>
      <c r="B172" s="53" t="s">
        <v>94</v>
      </c>
      <c r="C172" s="33" t="s">
        <v>153</v>
      </c>
      <c r="D172" s="88">
        <v>412085.84480000002</v>
      </c>
      <c r="E172" s="91">
        <v>111263.17809599999</v>
      </c>
      <c r="F172" s="91">
        <v>445052.71238400007</v>
      </c>
      <c r="G172" s="92">
        <f t="shared" si="26"/>
        <v>556315.89048000006</v>
      </c>
      <c r="H172" s="180">
        <f>111263.178096-1000</f>
        <v>110263.178096</v>
      </c>
      <c r="I172" s="180">
        <v>445052.71238400007</v>
      </c>
      <c r="J172" s="117">
        <f t="shared" si="27"/>
        <v>555315.89048000006</v>
      </c>
      <c r="K172" s="140">
        <f t="shared" si="20"/>
        <v>110263.178096</v>
      </c>
      <c r="L172" s="73">
        <f t="shared" si="21"/>
        <v>445052.71238400007</v>
      </c>
      <c r="M172" s="73">
        <f t="shared" si="22"/>
        <v>555315.89048000006</v>
      </c>
      <c r="N172" s="301">
        <f t="shared" si="23"/>
        <v>102544.75562928</v>
      </c>
      <c r="O172" s="301">
        <f t="shared" si="24"/>
        <v>413899.02251712006</v>
      </c>
      <c r="P172" s="300">
        <f t="shared" si="25"/>
        <v>516443.77814640006</v>
      </c>
    </row>
    <row r="173" spans="1:16" x14ac:dyDescent="0.2">
      <c r="A173" s="49">
        <v>160</v>
      </c>
      <c r="B173" s="53" t="s">
        <v>250</v>
      </c>
      <c r="C173" s="33" t="s">
        <v>153</v>
      </c>
      <c r="D173" s="88">
        <v>172041.13639999999</v>
      </c>
      <c r="E173" s="91">
        <v>46451.106827999989</v>
      </c>
      <c r="F173" s="91">
        <v>185804.42731200001</v>
      </c>
      <c r="G173" s="92">
        <f t="shared" si="26"/>
        <v>232255.53414</v>
      </c>
      <c r="H173" s="180">
        <f>46451.106828-1000</f>
        <v>45451.106828000004</v>
      </c>
      <c r="I173" s="180">
        <v>185804.42731200001</v>
      </c>
      <c r="J173" s="117">
        <f t="shared" si="27"/>
        <v>231255.53414</v>
      </c>
      <c r="K173" s="140">
        <f t="shared" si="20"/>
        <v>45451.106828000004</v>
      </c>
      <c r="L173" s="73">
        <f t="shared" si="21"/>
        <v>185804.42731200001</v>
      </c>
      <c r="M173" s="73">
        <f t="shared" si="22"/>
        <v>231255.53414</v>
      </c>
      <c r="N173" s="301">
        <f t="shared" si="23"/>
        <v>42269.52935004</v>
      </c>
      <c r="O173" s="301">
        <f t="shared" si="24"/>
        <v>172798.11740016</v>
      </c>
      <c r="P173" s="300">
        <f t="shared" si="25"/>
        <v>215067.64675020002</v>
      </c>
    </row>
    <row r="174" spans="1:16" x14ac:dyDescent="0.2">
      <c r="A174" s="49">
        <v>161</v>
      </c>
      <c r="B174" s="47" t="s">
        <v>120</v>
      </c>
      <c r="C174" s="33" t="s">
        <v>153</v>
      </c>
      <c r="D174" s="88">
        <v>8086631.0923999995</v>
      </c>
      <c r="E174" s="91">
        <v>2102524.0840239991</v>
      </c>
      <c r="F174" s="91">
        <v>8410096.3360959999</v>
      </c>
      <c r="G174" s="92">
        <f t="shared" si="26"/>
        <v>10512620.420119999</v>
      </c>
      <c r="H174" s="180">
        <f>2102524.084024-1000</f>
        <v>2101524.084024</v>
      </c>
      <c r="I174" s="180">
        <v>8410096.3360959999</v>
      </c>
      <c r="J174" s="117">
        <f t="shared" si="27"/>
        <v>10511620.420120001</v>
      </c>
      <c r="K174" s="140">
        <f t="shared" si="20"/>
        <v>2101524.084024</v>
      </c>
      <c r="L174" s="73">
        <f t="shared" si="21"/>
        <v>8410096.3360959999</v>
      </c>
      <c r="M174" s="73">
        <f t="shared" si="22"/>
        <v>10511620.420120001</v>
      </c>
      <c r="N174" s="301">
        <f t="shared" si="23"/>
        <v>1954417.3981423199</v>
      </c>
      <c r="O174" s="301">
        <f t="shared" si="24"/>
        <v>7821389.5925692795</v>
      </c>
      <c r="P174" s="300">
        <f t="shared" si="25"/>
        <v>9775806.9907115996</v>
      </c>
    </row>
    <row r="175" spans="1:16" x14ac:dyDescent="0.2">
      <c r="A175" s="49">
        <v>162</v>
      </c>
      <c r="B175" s="47" t="s">
        <v>242</v>
      </c>
      <c r="C175" s="33" t="s">
        <v>153</v>
      </c>
      <c r="D175" s="88">
        <v>441909.00880000001</v>
      </c>
      <c r="E175" s="91">
        <v>119315.43237599998</v>
      </c>
      <c r="F175" s="91">
        <v>477261.72950400005</v>
      </c>
      <c r="G175" s="92">
        <f t="shared" si="26"/>
        <v>596577.16188000003</v>
      </c>
      <c r="H175" s="180">
        <f>119315.432376-1000</f>
        <v>118315.432376</v>
      </c>
      <c r="I175" s="180">
        <v>477261.72950400005</v>
      </c>
      <c r="J175" s="117">
        <f t="shared" si="27"/>
        <v>595577.16188000003</v>
      </c>
      <c r="K175" s="140">
        <f t="shared" si="20"/>
        <v>118315.432376</v>
      </c>
      <c r="L175" s="73">
        <f t="shared" si="21"/>
        <v>477261.72950400005</v>
      </c>
      <c r="M175" s="73">
        <f t="shared" si="22"/>
        <v>595577.16188000003</v>
      </c>
      <c r="N175" s="301">
        <f t="shared" si="23"/>
        <v>110033.35210968</v>
      </c>
      <c r="O175" s="301">
        <f t="shared" si="24"/>
        <v>443853.40843872004</v>
      </c>
      <c r="P175" s="300">
        <f t="shared" si="25"/>
        <v>553886.76054839999</v>
      </c>
    </row>
    <row r="176" spans="1:16" x14ac:dyDescent="0.25">
      <c r="A176" s="49">
        <v>163</v>
      </c>
      <c r="B176" s="50" t="s">
        <v>230</v>
      </c>
      <c r="C176" s="33" t="s">
        <v>153</v>
      </c>
      <c r="D176" s="88">
        <v>608456.7159999999</v>
      </c>
      <c r="E176" s="91">
        <v>164283.31331999996</v>
      </c>
      <c r="F176" s="91">
        <v>657133.25327999995</v>
      </c>
      <c r="G176" s="92">
        <f t="shared" si="26"/>
        <v>821416.5665999999</v>
      </c>
      <c r="H176" s="180">
        <f>164283.31332-1000</f>
        <v>163283.31331999999</v>
      </c>
      <c r="I176" s="180">
        <v>657133.25327999995</v>
      </c>
      <c r="J176" s="117">
        <f t="shared" si="27"/>
        <v>820416.5665999999</v>
      </c>
      <c r="K176" s="140">
        <f t="shared" si="20"/>
        <v>163283.31331999999</v>
      </c>
      <c r="L176" s="73">
        <f t="shared" si="21"/>
        <v>657133.25327999995</v>
      </c>
      <c r="M176" s="73">
        <f t="shared" si="22"/>
        <v>820416.5665999999</v>
      </c>
      <c r="N176" s="301">
        <f t="shared" si="23"/>
        <v>151853.48138759998</v>
      </c>
      <c r="O176" s="301">
        <f t="shared" si="24"/>
        <v>611133.92555039993</v>
      </c>
      <c r="P176" s="300">
        <f t="shared" si="25"/>
        <v>762987.40693799988</v>
      </c>
    </row>
    <row r="177" spans="1:16" x14ac:dyDescent="0.25">
      <c r="A177" s="49">
        <v>164</v>
      </c>
      <c r="B177" s="50" t="s">
        <v>231</v>
      </c>
      <c r="C177" s="33" t="s">
        <v>153</v>
      </c>
      <c r="D177" s="88">
        <v>19905.218774886038</v>
      </c>
      <c r="E177" s="91">
        <v>5971.5656324658084</v>
      </c>
      <c r="F177" s="91">
        <v>23886.262529863248</v>
      </c>
      <c r="G177" s="92">
        <f t="shared" si="26"/>
        <v>29857.828162329057</v>
      </c>
      <c r="H177" s="180">
        <f>5971.56563246581-1000</f>
        <v>4971.5656324658103</v>
      </c>
      <c r="I177" s="180">
        <v>23886.262529863248</v>
      </c>
      <c r="J177" s="117">
        <f t="shared" si="27"/>
        <v>28857.82816232906</v>
      </c>
      <c r="K177" s="140">
        <f t="shared" si="20"/>
        <v>4971.5656324658103</v>
      </c>
      <c r="L177" s="73">
        <f t="shared" si="21"/>
        <v>23886.262529863248</v>
      </c>
      <c r="M177" s="73">
        <f t="shared" si="22"/>
        <v>28857.82816232906</v>
      </c>
      <c r="N177" s="301">
        <f t="shared" si="23"/>
        <v>4623.5560381932037</v>
      </c>
      <c r="O177" s="301">
        <f t="shared" si="24"/>
        <v>22214.224152772822</v>
      </c>
      <c r="P177" s="300">
        <f t="shared" si="25"/>
        <v>26837.780190966027</v>
      </c>
    </row>
    <row r="178" spans="1:16" x14ac:dyDescent="0.2">
      <c r="A178" s="49">
        <v>165</v>
      </c>
      <c r="B178" s="53" t="s">
        <v>135</v>
      </c>
      <c r="C178" s="33" t="s">
        <v>153</v>
      </c>
      <c r="D178" s="88">
        <v>1535143.2506625499</v>
      </c>
      <c r="E178" s="91">
        <v>392996.67216961272</v>
      </c>
      <c r="F178" s="91">
        <v>1571986.6886784511</v>
      </c>
      <c r="G178" s="92">
        <f t="shared" si="26"/>
        <v>1964983.3608480638</v>
      </c>
      <c r="H178" s="180">
        <f>392996.672169613-1000</f>
        <v>391996.67216961301</v>
      </c>
      <c r="I178" s="180">
        <v>1571986.6886784511</v>
      </c>
      <c r="J178" s="117">
        <f t="shared" si="27"/>
        <v>1963983.3608480641</v>
      </c>
      <c r="K178" s="140">
        <f t="shared" si="20"/>
        <v>391996.67216961301</v>
      </c>
      <c r="L178" s="73">
        <f t="shared" si="21"/>
        <v>1571986.6886784511</v>
      </c>
      <c r="M178" s="73">
        <f t="shared" si="22"/>
        <v>1963983.3608480641</v>
      </c>
      <c r="N178" s="301">
        <f t="shared" si="23"/>
        <v>364556.9051177401</v>
      </c>
      <c r="O178" s="301">
        <f t="shared" si="24"/>
        <v>1461947.6204709595</v>
      </c>
      <c r="P178" s="300">
        <f t="shared" si="25"/>
        <v>1826504.5255886996</v>
      </c>
    </row>
    <row r="179" spans="1:16" ht="22.5" x14ac:dyDescent="0.25">
      <c r="A179" s="49"/>
      <c r="B179" s="29" t="s">
        <v>44</v>
      </c>
      <c r="C179" s="33" t="s">
        <v>153</v>
      </c>
      <c r="D179" s="88"/>
      <c r="E179" s="91">
        <v>0</v>
      </c>
      <c r="F179" s="91">
        <v>0</v>
      </c>
      <c r="G179" s="92">
        <f t="shared" si="26"/>
        <v>0</v>
      </c>
      <c r="H179" s="180">
        <v>0</v>
      </c>
      <c r="I179" s="180">
        <v>0</v>
      </c>
      <c r="J179" s="117">
        <f t="shared" si="27"/>
        <v>0</v>
      </c>
      <c r="K179" s="140">
        <f t="shared" si="20"/>
        <v>0</v>
      </c>
      <c r="L179" s="73">
        <f t="shared" si="21"/>
        <v>0</v>
      </c>
      <c r="M179" s="73">
        <f t="shared" si="22"/>
        <v>0</v>
      </c>
      <c r="N179" s="301">
        <f t="shared" si="23"/>
        <v>0</v>
      </c>
      <c r="O179" s="301">
        <f t="shared" si="24"/>
        <v>0</v>
      </c>
      <c r="P179" s="300">
        <f t="shared" si="25"/>
        <v>0</v>
      </c>
    </row>
    <row r="180" spans="1:16" x14ac:dyDescent="0.2">
      <c r="A180" s="49">
        <v>166</v>
      </c>
      <c r="B180" s="47" t="s">
        <v>86</v>
      </c>
      <c r="C180" s="33" t="s">
        <v>153</v>
      </c>
      <c r="D180" s="88">
        <v>101515.00840550273</v>
      </c>
      <c r="E180" s="91">
        <v>27409.052269485735</v>
      </c>
      <c r="F180" s="91">
        <v>109636.20907794296</v>
      </c>
      <c r="G180" s="92">
        <f t="shared" si="26"/>
        <v>137045.26134742869</v>
      </c>
      <c r="H180" s="180">
        <f>27409.0522694857-1000</f>
        <v>26409.052269485699</v>
      </c>
      <c r="I180" s="180">
        <v>109636.20907794296</v>
      </c>
      <c r="J180" s="117">
        <f t="shared" si="27"/>
        <v>136045.26134742866</v>
      </c>
      <c r="K180" s="140">
        <f t="shared" si="20"/>
        <v>26409.052269485699</v>
      </c>
      <c r="L180" s="73">
        <f t="shared" si="21"/>
        <v>109636.20907794296</v>
      </c>
      <c r="M180" s="73">
        <f t="shared" si="22"/>
        <v>136045.26134742866</v>
      </c>
      <c r="N180" s="301">
        <f t="shared" si="23"/>
        <v>24560.418610621698</v>
      </c>
      <c r="O180" s="301">
        <f t="shared" si="24"/>
        <v>101961.67444248695</v>
      </c>
      <c r="P180" s="300">
        <f t="shared" si="25"/>
        <v>126522.09305310865</v>
      </c>
    </row>
    <row r="181" spans="1:16" x14ac:dyDescent="0.25">
      <c r="A181" s="49">
        <v>167</v>
      </c>
      <c r="B181" s="50" t="s">
        <v>45</v>
      </c>
      <c r="C181" s="33" t="s">
        <v>153</v>
      </c>
      <c r="D181" s="88">
        <v>706042.76400000008</v>
      </c>
      <c r="E181" s="91">
        <v>190631.54628000001</v>
      </c>
      <c r="F181" s="91">
        <v>762526.18512000015</v>
      </c>
      <c r="G181" s="92">
        <f t="shared" si="26"/>
        <v>953157.73140000016</v>
      </c>
      <c r="H181" s="180">
        <f>190631.54628-1000</f>
        <v>189631.54628000001</v>
      </c>
      <c r="I181" s="180">
        <v>762526.18512000015</v>
      </c>
      <c r="J181" s="117">
        <f t="shared" si="27"/>
        <v>952157.73140000016</v>
      </c>
      <c r="K181" s="140">
        <f t="shared" si="20"/>
        <v>189631.54628000001</v>
      </c>
      <c r="L181" s="73">
        <f t="shared" si="21"/>
        <v>762526.18512000015</v>
      </c>
      <c r="M181" s="73">
        <f t="shared" si="22"/>
        <v>952157.73140000016</v>
      </c>
      <c r="N181" s="301">
        <f t="shared" si="23"/>
        <v>176357.33804040001</v>
      </c>
      <c r="O181" s="301">
        <f t="shared" si="24"/>
        <v>709149.35216160014</v>
      </c>
      <c r="P181" s="300">
        <f t="shared" si="25"/>
        <v>885506.69020200009</v>
      </c>
    </row>
    <row r="182" spans="1:16" x14ac:dyDescent="0.25">
      <c r="A182" s="49">
        <v>168</v>
      </c>
      <c r="B182" s="40" t="s">
        <v>243</v>
      </c>
      <c r="C182" s="33" t="s">
        <v>153</v>
      </c>
      <c r="D182" s="88">
        <v>469817.43037174921</v>
      </c>
      <c r="E182" s="91">
        <v>126850.70620037225</v>
      </c>
      <c r="F182" s="91">
        <v>507402.82480148919</v>
      </c>
      <c r="G182" s="92">
        <f t="shared" si="26"/>
        <v>634253.53100186144</v>
      </c>
      <c r="H182" s="180">
        <f>126850.706200372-1000</f>
        <v>125850.70620037201</v>
      </c>
      <c r="I182" s="180">
        <v>507402.82480148919</v>
      </c>
      <c r="J182" s="117">
        <f t="shared" si="27"/>
        <v>633253.53100186121</v>
      </c>
      <c r="K182" s="140">
        <f t="shared" si="20"/>
        <v>125850.70620037201</v>
      </c>
      <c r="L182" s="73">
        <f t="shared" si="21"/>
        <v>507402.82480148919</v>
      </c>
      <c r="M182" s="73">
        <f t="shared" si="22"/>
        <v>633253.53100186121</v>
      </c>
      <c r="N182" s="301">
        <f t="shared" si="23"/>
        <v>117041.15676634596</v>
      </c>
      <c r="O182" s="301">
        <f t="shared" si="24"/>
        <v>471884.62706538494</v>
      </c>
      <c r="P182" s="300">
        <f t="shared" si="25"/>
        <v>588925.78383173095</v>
      </c>
    </row>
    <row r="183" spans="1:16" x14ac:dyDescent="0.25">
      <c r="A183" s="49">
        <v>169</v>
      </c>
      <c r="B183" s="50" t="s">
        <v>46</v>
      </c>
      <c r="C183" s="33" t="s">
        <v>153</v>
      </c>
      <c r="D183" s="88">
        <v>89572.066240149434</v>
      </c>
      <c r="E183" s="91">
        <v>24184.457884840347</v>
      </c>
      <c r="F183" s="91">
        <v>96737.831539361403</v>
      </c>
      <c r="G183" s="92">
        <f t="shared" si="26"/>
        <v>120922.28942420175</v>
      </c>
      <c r="H183" s="180">
        <f>24184.4578848403-1000</f>
        <v>23184.4578848403</v>
      </c>
      <c r="I183" s="180">
        <v>96737.831539361403</v>
      </c>
      <c r="J183" s="117">
        <f t="shared" si="27"/>
        <v>119922.28942420171</v>
      </c>
      <c r="K183" s="140">
        <f t="shared" si="20"/>
        <v>23184.4578848403</v>
      </c>
      <c r="L183" s="73">
        <f t="shared" si="21"/>
        <v>96737.831539361403</v>
      </c>
      <c r="M183" s="73">
        <f t="shared" si="22"/>
        <v>119922.28942420171</v>
      </c>
      <c r="N183" s="301">
        <f t="shared" si="23"/>
        <v>21561.54583290148</v>
      </c>
      <c r="O183" s="301">
        <f t="shared" si="24"/>
        <v>89966.183331606109</v>
      </c>
      <c r="P183" s="300">
        <f t="shared" si="25"/>
        <v>111527.72916450759</v>
      </c>
    </row>
    <row r="184" spans="1:16" x14ac:dyDescent="0.2">
      <c r="A184" s="49">
        <v>170</v>
      </c>
      <c r="B184" s="47" t="s">
        <v>87</v>
      </c>
      <c r="C184" s="33" t="s">
        <v>153</v>
      </c>
      <c r="D184" s="88">
        <v>95543.537322826058</v>
      </c>
      <c r="E184" s="91">
        <v>25796.755077163034</v>
      </c>
      <c r="F184" s="91">
        <v>103187.02030865215</v>
      </c>
      <c r="G184" s="92">
        <f t="shared" si="26"/>
        <v>128983.77538581518</v>
      </c>
      <c r="H184" s="180">
        <f>25796.755077163-1000</f>
        <v>24796.755077163001</v>
      </c>
      <c r="I184" s="180">
        <v>103187.02030865215</v>
      </c>
      <c r="J184" s="117">
        <f t="shared" si="27"/>
        <v>127983.77538581516</v>
      </c>
      <c r="K184" s="140">
        <f t="shared" si="20"/>
        <v>24796.755077163001</v>
      </c>
      <c r="L184" s="73">
        <f t="shared" si="21"/>
        <v>103187.02030865215</v>
      </c>
      <c r="M184" s="73">
        <f t="shared" si="22"/>
        <v>127983.77538581516</v>
      </c>
      <c r="N184" s="301">
        <f t="shared" si="23"/>
        <v>23060.982221761591</v>
      </c>
      <c r="O184" s="301">
        <f t="shared" si="24"/>
        <v>95963.928887046495</v>
      </c>
      <c r="P184" s="300">
        <f t="shared" si="25"/>
        <v>119024.91110880808</v>
      </c>
    </row>
    <row r="185" spans="1:16" x14ac:dyDescent="0.25">
      <c r="A185" s="49">
        <v>171</v>
      </c>
      <c r="B185" s="46" t="s">
        <v>129</v>
      </c>
      <c r="C185" s="33" t="s">
        <v>153</v>
      </c>
      <c r="D185" s="88">
        <v>234125.25817982745</v>
      </c>
      <c r="E185" s="91">
        <v>63213.819708553405</v>
      </c>
      <c r="F185" s="91">
        <v>252855.27883421365</v>
      </c>
      <c r="G185" s="92">
        <f t="shared" si="26"/>
        <v>316069.09854276705</v>
      </c>
      <c r="H185" s="180">
        <f>63213.8197085534-1000</f>
        <v>62213.819708553398</v>
      </c>
      <c r="I185" s="180">
        <v>252855.27883421365</v>
      </c>
      <c r="J185" s="117">
        <f t="shared" si="27"/>
        <v>315069.09854276705</v>
      </c>
      <c r="K185" s="140">
        <f t="shared" si="20"/>
        <v>62213.819708553398</v>
      </c>
      <c r="L185" s="73">
        <f t="shared" si="21"/>
        <v>252855.27883421365</v>
      </c>
      <c r="M185" s="73">
        <f t="shared" si="22"/>
        <v>315069.09854276705</v>
      </c>
      <c r="N185" s="301">
        <f t="shared" si="23"/>
        <v>57858.852328954657</v>
      </c>
      <c r="O185" s="301">
        <f t="shared" si="24"/>
        <v>235155.40931581869</v>
      </c>
      <c r="P185" s="300">
        <f t="shared" si="25"/>
        <v>293014.26164477336</v>
      </c>
    </row>
    <row r="186" spans="1:16" ht="22.5" x14ac:dyDescent="0.25">
      <c r="A186" s="49"/>
      <c r="B186" s="29" t="s">
        <v>59</v>
      </c>
      <c r="C186" s="33" t="s">
        <v>153</v>
      </c>
      <c r="D186" s="88"/>
      <c r="E186" s="91">
        <v>0</v>
      </c>
      <c r="F186" s="91">
        <v>0</v>
      </c>
      <c r="G186" s="92">
        <f t="shared" si="26"/>
        <v>0</v>
      </c>
      <c r="H186" s="180">
        <v>0</v>
      </c>
      <c r="I186" s="180">
        <v>0</v>
      </c>
      <c r="J186" s="117">
        <f t="shared" si="27"/>
        <v>0</v>
      </c>
      <c r="K186" s="140">
        <f t="shared" si="20"/>
        <v>0</v>
      </c>
      <c r="L186" s="73">
        <f t="shared" si="21"/>
        <v>0</v>
      </c>
      <c r="M186" s="73">
        <f t="shared" si="22"/>
        <v>0</v>
      </c>
      <c r="N186" s="301">
        <f t="shared" si="23"/>
        <v>0</v>
      </c>
      <c r="O186" s="301">
        <f t="shared" si="24"/>
        <v>0</v>
      </c>
      <c r="P186" s="300">
        <f t="shared" si="25"/>
        <v>0</v>
      </c>
    </row>
    <row r="187" spans="1:16" x14ac:dyDescent="0.25">
      <c r="A187" s="49">
        <v>172</v>
      </c>
      <c r="B187" s="50" t="s">
        <v>60</v>
      </c>
      <c r="C187" s="33" t="s">
        <v>153</v>
      </c>
      <c r="D187" s="88">
        <v>192952.39600000001</v>
      </c>
      <c r="E187" s="91">
        <v>52097.146919999999</v>
      </c>
      <c r="F187" s="91">
        <v>208388.58768000003</v>
      </c>
      <c r="G187" s="92">
        <f t="shared" si="26"/>
        <v>260485.73460000003</v>
      </c>
      <c r="H187" s="180">
        <f>52097.14692-1000</f>
        <v>51097.146919999999</v>
      </c>
      <c r="I187" s="180">
        <v>208388.58768000003</v>
      </c>
      <c r="J187" s="117">
        <f t="shared" si="27"/>
        <v>259485.73460000003</v>
      </c>
      <c r="K187" s="140">
        <f t="shared" si="20"/>
        <v>51097.146919999999</v>
      </c>
      <c r="L187" s="73">
        <f t="shared" si="21"/>
        <v>208388.58768000003</v>
      </c>
      <c r="M187" s="73">
        <f t="shared" si="22"/>
        <v>259485.73460000003</v>
      </c>
      <c r="N187" s="301">
        <f t="shared" si="23"/>
        <v>47520.346635599999</v>
      </c>
      <c r="O187" s="301">
        <f t="shared" si="24"/>
        <v>193801.38654240003</v>
      </c>
      <c r="P187" s="300">
        <f t="shared" si="25"/>
        <v>241321.73317800002</v>
      </c>
    </row>
    <row r="188" spans="1:16" x14ac:dyDescent="0.25">
      <c r="A188" s="49">
        <v>173</v>
      </c>
      <c r="B188" s="50" t="s">
        <v>131</v>
      </c>
      <c r="C188" s="33" t="s">
        <v>153</v>
      </c>
      <c r="D188" s="88">
        <v>30806.505799999999</v>
      </c>
      <c r="E188" s="91">
        <v>9241.9517399999968</v>
      </c>
      <c r="F188" s="91">
        <v>36967.806960000002</v>
      </c>
      <c r="G188" s="92">
        <f t="shared" si="26"/>
        <v>46209.758699999998</v>
      </c>
      <c r="H188" s="180">
        <f>9241.95174-1000</f>
        <v>8241.9517400000004</v>
      </c>
      <c r="I188" s="180">
        <v>36967.806960000002</v>
      </c>
      <c r="J188" s="117">
        <f t="shared" si="27"/>
        <v>45209.758700000006</v>
      </c>
      <c r="K188" s="140">
        <f t="shared" si="20"/>
        <v>8241.9517400000004</v>
      </c>
      <c r="L188" s="73">
        <f t="shared" si="21"/>
        <v>36967.806960000002</v>
      </c>
      <c r="M188" s="73">
        <f t="shared" si="22"/>
        <v>45209.758700000006</v>
      </c>
      <c r="N188" s="301">
        <f t="shared" si="23"/>
        <v>7665.0151182</v>
      </c>
      <c r="O188" s="301">
        <f t="shared" si="24"/>
        <v>34380.060472800003</v>
      </c>
      <c r="P188" s="300">
        <f t="shared" si="25"/>
        <v>42045.075591000001</v>
      </c>
    </row>
    <row r="189" spans="1:16" x14ac:dyDescent="0.25">
      <c r="A189" s="49">
        <v>174</v>
      </c>
      <c r="B189" s="50" t="s">
        <v>244</v>
      </c>
      <c r="C189" s="33" t="s">
        <v>153</v>
      </c>
      <c r="D189" s="88">
        <v>69995.520000000004</v>
      </c>
      <c r="E189" s="91">
        <v>20998.655999999988</v>
      </c>
      <c r="F189" s="91">
        <v>83994.624000000011</v>
      </c>
      <c r="G189" s="92">
        <f t="shared" si="26"/>
        <v>104993.28</v>
      </c>
      <c r="H189" s="180">
        <f>20998.656-1000</f>
        <v>19998.655999999999</v>
      </c>
      <c r="I189" s="180">
        <v>83994.624000000011</v>
      </c>
      <c r="J189" s="117">
        <f t="shared" si="27"/>
        <v>103993.28000000001</v>
      </c>
      <c r="K189" s="140">
        <f t="shared" si="20"/>
        <v>19998.655999999999</v>
      </c>
      <c r="L189" s="73">
        <f t="shared" si="21"/>
        <v>83994.624000000011</v>
      </c>
      <c r="M189" s="73">
        <f t="shared" si="22"/>
        <v>103993.28000000001</v>
      </c>
      <c r="N189" s="301">
        <f t="shared" si="23"/>
        <v>18598.750079999998</v>
      </c>
      <c r="O189" s="301">
        <f t="shared" si="24"/>
        <v>78115.000320000006</v>
      </c>
      <c r="P189" s="300">
        <f t="shared" si="25"/>
        <v>96713.750400000004</v>
      </c>
    </row>
    <row r="190" spans="1:16" x14ac:dyDescent="0.25">
      <c r="A190" s="49">
        <v>175</v>
      </c>
      <c r="B190" s="50" t="s">
        <v>61</v>
      </c>
      <c r="C190" s="33" t="s">
        <v>153</v>
      </c>
      <c r="D190" s="88">
        <v>80806.733000000007</v>
      </c>
      <c r="E190" s="91">
        <v>21817.817909999998</v>
      </c>
      <c r="F190" s="91">
        <v>87271.271640000021</v>
      </c>
      <c r="G190" s="92">
        <f t="shared" si="26"/>
        <v>109089.08955000002</v>
      </c>
      <c r="H190" s="180">
        <f>21817.81791-1000</f>
        <v>20817.817910000002</v>
      </c>
      <c r="I190" s="180">
        <v>87271.271640000021</v>
      </c>
      <c r="J190" s="117">
        <f t="shared" si="27"/>
        <v>108089.08955000002</v>
      </c>
      <c r="K190" s="140">
        <f t="shared" si="20"/>
        <v>20817.817910000002</v>
      </c>
      <c r="L190" s="73">
        <f t="shared" si="21"/>
        <v>87271.271640000021</v>
      </c>
      <c r="M190" s="73">
        <f t="shared" si="22"/>
        <v>108089.08955000002</v>
      </c>
      <c r="N190" s="301">
        <f t="shared" si="23"/>
        <v>19360.570656300002</v>
      </c>
      <c r="O190" s="301">
        <f t="shared" si="24"/>
        <v>81162.282625200023</v>
      </c>
      <c r="P190" s="300">
        <f t="shared" si="25"/>
        <v>100522.85328150002</v>
      </c>
    </row>
    <row r="191" spans="1:16" x14ac:dyDescent="0.25">
      <c r="A191" s="49">
        <v>176</v>
      </c>
      <c r="B191" s="50" t="s">
        <v>118</v>
      </c>
      <c r="C191" s="33" t="s">
        <v>153</v>
      </c>
      <c r="D191" s="88">
        <v>191394</v>
      </c>
      <c r="E191" s="91">
        <v>51676.380000000005</v>
      </c>
      <c r="F191" s="91">
        <v>206705.52000000002</v>
      </c>
      <c r="G191" s="92">
        <f t="shared" si="26"/>
        <v>258381.90000000002</v>
      </c>
      <c r="H191" s="180">
        <f>51676.38-1000</f>
        <v>50676.38</v>
      </c>
      <c r="I191" s="180">
        <v>206705.52000000002</v>
      </c>
      <c r="J191" s="117">
        <f t="shared" si="27"/>
        <v>257381.90000000002</v>
      </c>
      <c r="K191" s="140">
        <f t="shared" si="20"/>
        <v>50676.38</v>
      </c>
      <c r="L191" s="73">
        <f t="shared" si="21"/>
        <v>206705.52000000002</v>
      </c>
      <c r="M191" s="73">
        <f t="shared" si="22"/>
        <v>257381.90000000002</v>
      </c>
      <c r="N191" s="301">
        <f t="shared" si="23"/>
        <v>47129.0334</v>
      </c>
      <c r="O191" s="301">
        <f t="shared" si="24"/>
        <v>192236.1336</v>
      </c>
      <c r="P191" s="300">
        <f t="shared" si="25"/>
        <v>239365.16700000002</v>
      </c>
    </row>
    <row r="192" spans="1:16" x14ac:dyDescent="0.25">
      <c r="A192" s="49">
        <v>177</v>
      </c>
      <c r="B192" s="50" t="s">
        <v>321</v>
      </c>
      <c r="C192" s="33" t="s">
        <v>153</v>
      </c>
      <c r="D192" s="88">
        <v>160224.12</v>
      </c>
      <c r="E192" s="91">
        <v>43260.512399999978</v>
      </c>
      <c r="F192" s="91">
        <v>173042.04960000003</v>
      </c>
      <c r="G192" s="92">
        <f t="shared" si="26"/>
        <v>216302.56200000001</v>
      </c>
      <c r="H192" s="180">
        <f>43260.5124-1000</f>
        <v>42260.5124</v>
      </c>
      <c r="I192" s="180">
        <v>173042.04960000003</v>
      </c>
      <c r="J192" s="117">
        <f t="shared" si="27"/>
        <v>215302.56200000003</v>
      </c>
      <c r="K192" s="140">
        <f t="shared" si="20"/>
        <v>42260.5124</v>
      </c>
      <c r="L192" s="73">
        <f t="shared" si="21"/>
        <v>173042.04960000003</v>
      </c>
      <c r="M192" s="73">
        <f t="shared" si="22"/>
        <v>215302.56200000003</v>
      </c>
      <c r="N192" s="301">
        <f t="shared" si="23"/>
        <v>39302.276531999996</v>
      </c>
      <c r="O192" s="301">
        <f t="shared" si="24"/>
        <v>160929.10612800001</v>
      </c>
      <c r="P192" s="300">
        <f t="shared" si="25"/>
        <v>200231.38266</v>
      </c>
    </row>
    <row r="193" spans="1:16" x14ac:dyDescent="0.25">
      <c r="A193" s="49">
        <v>178</v>
      </c>
      <c r="B193" s="50" t="s">
        <v>247</v>
      </c>
      <c r="C193" s="33" t="s">
        <v>153</v>
      </c>
      <c r="D193" s="88">
        <v>16415</v>
      </c>
      <c r="E193" s="91">
        <v>4924.5</v>
      </c>
      <c r="F193" s="91">
        <v>19698</v>
      </c>
      <c r="G193" s="92">
        <f t="shared" si="26"/>
        <v>24622.5</v>
      </c>
      <c r="H193" s="180">
        <f>4924.5-1000</f>
        <v>3924.5</v>
      </c>
      <c r="I193" s="180">
        <v>19698</v>
      </c>
      <c r="J193" s="117">
        <f t="shared" si="27"/>
        <v>23622.5</v>
      </c>
      <c r="K193" s="140">
        <f t="shared" si="20"/>
        <v>3924.5</v>
      </c>
      <c r="L193" s="73">
        <f t="shared" si="21"/>
        <v>19698</v>
      </c>
      <c r="M193" s="73">
        <f t="shared" si="22"/>
        <v>23622.5</v>
      </c>
      <c r="N193" s="301">
        <f t="shared" si="23"/>
        <v>3649.7849999999999</v>
      </c>
      <c r="O193" s="301">
        <f t="shared" si="24"/>
        <v>18319.14</v>
      </c>
      <c r="P193" s="300">
        <f t="shared" si="25"/>
        <v>21968.924999999999</v>
      </c>
    </row>
    <row r="194" spans="1:16" x14ac:dyDescent="0.25">
      <c r="A194" s="49">
        <v>179</v>
      </c>
      <c r="B194" s="50" t="s">
        <v>248</v>
      </c>
      <c r="C194" s="33" t="s">
        <v>153</v>
      </c>
      <c r="D194" s="88">
        <v>32197.184599999997</v>
      </c>
      <c r="E194" s="91">
        <v>9659.1553799999965</v>
      </c>
      <c r="F194" s="91">
        <v>38636.621520000001</v>
      </c>
      <c r="G194" s="92">
        <f t="shared" si="26"/>
        <v>48295.776899999997</v>
      </c>
      <c r="H194" s="180">
        <f>9659.15538-500</f>
        <v>9159.1553800000002</v>
      </c>
      <c r="I194" s="180">
        <v>38636.621520000001</v>
      </c>
      <c r="J194" s="117">
        <f t="shared" si="27"/>
        <v>47795.776899999997</v>
      </c>
      <c r="K194" s="140">
        <f t="shared" si="20"/>
        <v>9159.1553800000002</v>
      </c>
      <c r="L194" s="73">
        <f t="shared" si="21"/>
        <v>38636.621520000001</v>
      </c>
      <c r="M194" s="73">
        <f t="shared" si="22"/>
        <v>47795.776899999997</v>
      </c>
      <c r="N194" s="301">
        <f t="shared" si="23"/>
        <v>8518.0145033999997</v>
      </c>
      <c r="O194" s="301">
        <f t="shared" si="24"/>
        <v>35932.058013599999</v>
      </c>
      <c r="P194" s="300">
        <f t="shared" si="25"/>
        <v>44450.072517000001</v>
      </c>
    </row>
    <row r="195" spans="1:16" x14ac:dyDescent="0.25">
      <c r="A195" s="49">
        <v>180</v>
      </c>
      <c r="B195" s="50" t="s">
        <v>249</v>
      </c>
      <c r="C195" s="33" t="s">
        <v>153</v>
      </c>
      <c r="D195" s="88">
        <v>24445.603355511801</v>
      </c>
      <c r="E195" s="91">
        <v>7333.68100665354</v>
      </c>
      <c r="F195" s="91">
        <v>29334.72402661416</v>
      </c>
      <c r="G195" s="92">
        <f t="shared" si="26"/>
        <v>36668.4050332677</v>
      </c>
      <c r="H195" s="180">
        <f>7333.68100665354-500</f>
        <v>6833.68100665354</v>
      </c>
      <c r="I195" s="180">
        <v>29334.72402661416</v>
      </c>
      <c r="J195" s="117">
        <f t="shared" si="27"/>
        <v>36168.4050332677</v>
      </c>
      <c r="K195" s="140">
        <f t="shared" si="20"/>
        <v>6833.68100665354</v>
      </c>
      <c r="L195" s="73">
        <f t="shared" si="21"/>
        <v>29334.72402661416</v>
      </c>
      <c r="M195" s="73">
        <f t="shared" si="22"/>
        <v>36168.4050332677</v>
      </c>
      <c r="N195" s="301">
        <f t="shared" si="23"/>
        <v>6355.3233361877919</v>
      </c>
      <c r="O195" s="301">
        <f t="shared" si="24"/>
        <v>27281.293344751168</v>
      </c>
      <c r="P195" s="300">
        <f t="shared" si="25"/>
        <v>33636.616680938962</v>
      </c>
    </row>
    <row r="196" spans="1:16" ht="22.5" x14ac:dyDescent="0.25">
      <c r="A196" s="49"/>
      <c r="B196" s="41" t="s">
        <v>47</v>
      </c>
      <c r="C196" s="33" t="s">
        <v>153</v>
      </c>
      <c r="D196" s="88"/>
      <c r="E196" s="91">
        <v>0</v>
      </c>
      <c r="F196" s="91">
        <v>0</v>
      </c>
      <c r="G196" s="92">
        <f t="shared" si="26"/>
        <v>0</v>
      </c>
      <c r="H196" s="180">
        <v>0</v>
      </c>
      <c r="I196" s="180">
        <v>0</v>
      </c>
      <c r="J196" s="117">
        <f t="shared" si="27"/>
        <v>0</v>
      </c>
      <c r="K196" s="140">
        <f t="shared" si="20"/>
        <v>0</v>
      </c>
      <c r="L196" s="73">
        <f t="shared" si="21"/>
        <v>0</v>
      </c>
      <c r="M196" s="73">
        <f t="shared" si="22"/>
        <v>0</v>
      </c>
      <c r="N196" s="301">
        <f t="shared" si="23"/>
        <v>0</v>
      </c>
      <c r="O196" s="301">
        <f t="shared" si="24"/>
        <v>0</v>
      </c>
      <c r="P196" s="300">
        <f t="shared" si="25"/>
        <v>0</v>
      </c>
    </row>
    <row r="197" spans="1:16" x14ac:dyDescent="0.25">
      <c r="A197" s="49">
        <v>181</v>
      </c>
      <c r="B197" s="50" t="s">
        <v>48</v>
      </c>
      <c r="C197" s="33" t="s">
        <v>153</v>
      </c>
      <c r="D197" s="88">
        <v>970897.12300000002</v>
      </c>
      <c r="E197" s="91">
        <v>248549.66348799993</v>
      </c>
      <c r="F197" s="91">
        <v>994198.6539520002</v>
      </c>
      <c r="G197" s="92">
        <f t="shared" si="26"/>
        <v>1242748.3174400001</v>
      </c>
      <c r="H197" s="180">
        <f>248549.663488-1000</f>
        <v>247549.66348799999</v>
      </c>
      <c r="I197" s="180">
        <v>994198.6539520002</v>
      </c>
      <c r="J197" s="117">
        <f t="shared" si="27"/>
        <v>1241748.3174400001</v>
      </c>
      <c r="K197" s="140">
        <f t="shared" si="20"/>
        <v>247549.66348799999</v>
      </c>
      <c r="L197" s="73">
        <f t="shared" si="21"/>
        <v>994198.6539520002</v>
      </c>
      <c r="M197" s="73">
        <f t="shared" si="22"/>
        <v>1241748.3174400001</v>
      </c>
      <c r="N197" s="301">
        <f t="shared" si="23"/>
        <v>230221.18704383998</v>
      </c>
      <c r="O197" s="301">
        <f t="shared" si="24"/>
        <v>924604.74817536015</v>
      </c>
      <c r="P197" s="300">
        <f t="shared" si="25"/>
        <v>1154825.9352192001</v>
      </c>
    </row>
    <row r="198" spans="1:16" x14ac:dyDescent="0.25">
      <c r="A198" s="49">
        <v>182</v>
      </c>
      <c r="B198" s="50" t="s">
        <v>147</v>
      </c>
      <c r="C198" s="33" t="s">
        <v>153</v>
      </c>
      <c r="D198" s="88">
        <v>833403.02500000002</v>
      </c>
      <c r="E198" s="91">
        <v>213351.1743999999</v>
      </c>
      <c r="F198" s="91">
        <v>853404.69760000007</v>
      </c>
      <c r="G198" s="92">
        <f t="shared" si="26"/>
        <v>1066755.872</v>
      </c>
      <c r="H198" s="180">
        <f>213351.1744-1000</f>
        <v>212351.17439999999</v>
      </c>
      <c r="I198" s="180">
        <v>853404.69760000007</v>
      </c>
      <c r="J198" s="117">
        <f t="shared" si="27"/>
        <v>1065755.872</v>
      </c>
      <c r="K198" s="140">
        <f t="shared" ref="K198:K234" si="29">MIN(E198,H198)</f>
        <v>212351.17439999999</v>
      </c>
      <c r="L198" s="73">
        <f t="shared" ref="L198:L234" si="30">MIN(F198,I198)</f>
        <v>853404.69760000007</v>
      </c>
      <c r="M198" s="73">
        <f t="shared" si="22"/>
        <v>1065755.872</v>
      </c>
      <c r="N198" s="301">
        <f t="shared" si="23"/>
        <v>197486.59219199998</v>
      </c>
      <c r="O198" s="301">
        <f t="shared" si="24"/>
        <v>793666.36876800004</v>
      </c>
      <c r="P198" s="300">
        <f t="shared" si="25"/>
        <v>991152.96096000005</v>
      </c>
    </row>
    <row r="199" spans="1:16" x14ac:dyDescent="0.25">
      <c r="A199" s="49">
        <v>183</v>
      </c>
      <c r="B199" s="50" t="s">
        <v>50</v>
      </c>
      <c r="C199" s="33" t="s">
        <v>153</v>
      </c>
      <c r="D199" s="88">
        <v>140464.24479292281</v>
      </c>
      <c r="E199" s="91">
        <v>37925.346094089153</v>
      </c>
      <c r="F199" s="91">
        <v>151701.38437635664</v>
      </c>
      <c r="G199" s="92">
        <f t="shared" si="26"/>
        <v>189626.73047044579</v>
      </c>
      <c r="H199" s="180">
        <f>37925.3460940892-1000</f>
        <v>36925.346094089196</v>
      </c>
      <c r="I199" s="180">
        <v>151701.38437635664</v>
      </c>
      <c r="J199" s="117">
        <f t="shared" si="27"/>
        <v>188626.73047044582</v>
      </c>
      <c r="K199" s="140">
        <f t="shared" si="29"/>
        <v>36925.346094089196</v>
      </c>
      <c r="L199" s="73">
        <f t="shared" si="30"/>
        <v>151701.38437635664</v>
      </c>
      <c r="M199" s="73">
        <f t="shared" ref="M199:M234" si="31">L199+K199</f>
        <v>188626.73047044582</v>
      </c>
      <c r="N199" s="301">
        <f t="shared" ref="N199:N235" si="32">K199-(K199*7%)</f>
        <v>34340.571867502949</v>
      </c>
      <c r="O199" s="301">
        <f t="shared" ref="O199:O235" si="33">L199-(L199*7%)</f>
        <v>141082.28747001168</v>
      </c>
      <c r="P199" s="300">
        <f t="shared" ref="P199:P235" si="34">O199+N199</f>
        <v>175422.85933751462</v>
      </c>
    </row>
    <row r="200" spans="1:16" x14ac:dyDescent="0.25">
      <c r="A200" s="49">
        <v>184</v>
      </c>
      <c r="B200" s="50" t="s">
        <v>51</v>
      </c>
      <c r="C200" s="33" t="s">
        <v>153</v>
      </c>
      <c r="D200" s="88">
        <v>238038.8466306043</v>
      </c>
      <c r="E200" s="91">
        <v>64270.48859026315</v>
      </c>
      <c r="F200" s="91">
        <v>257081.95436105269</v>
      </c>
      <c r="G200" s="92">
        <f t="shared" si="26"/>
        <v>321352.44295131584</v>
      </c>
      <c r="H200" s="180">
        <f>64270.4885902632-1000</f>
        <v>63270.488590263201</v>
      </c>
      <c r="I200" s="180">
        <v>257081.95436105269</v>
      </c>
      <c r="J200" s="117">
        <f t="shared" si="27"/>
        <v>320352.4429513159</v>
      </c>
      <c r="K200" s="140">
        <f t="shared" si="29"/>
        <v>63270.488590263201</v>
      </c>
      <c r="L200" s="73">
        <f t="shared" si="30"/>
        <v>257081.95436105269</v>
      </c>
      <c r="M200" s="73">
        <f t="shared" si="31"/>
        <v>320352.4429513159</v>
      </c>
      <c r="N200" s="301">
        <f t="shared" si="32"/>
        <v>58841.55438894478</v>
      </c>
      <c r="O200" s="301">
        <f t="shared" si="33"/>
        <v>239086.217555779</v>
      </c>
      <c r="P200" s="300">
        <f t="shared" si="34"/>
        <v>297927.77194472379</v>
      </c>
    </row>
    <row r="201" spans="1:16" x14ac:dyDescent="0.25">
      <c r="A201" s="49">
        <v>185</v>
      </c>
      <c r="B201" s="50" t="s">
        <v>52</v>
      </c>
      <c r="C201" s="33" t="s">
        <v>153</v>
      </c>
      <c r="D201" s="88">
        <v>415001.93655993527</v>
      </c>
      <c r="E201" s="91">
        <v>112050.52287118253</v>
      </c>
      <c r="F201" s="91">
        <v>448202.09148473013</v>
      </c>
      <c r="G201" s="92">
        <f t="shared" si="26"/>
        <v>560252.61435591266</v>
      </c>
      <c r="H201" s="180">
        <f>112050.522871183-1000</f>
        <v>111050.522871183</v>
      </c>
      <c r="I201" s="180">
        <v>448202.09148473013</v>
      </c>
      <c r="J201" s="117">
        <f t="shared" si="27"/>
        <v>559252.61435591313</v>
      </c>
      <c r="K201" s="140">
        <f t="shared" si="29"/>
        <v>111050.522871183</v>
      </c>
      <c r="L201" s="73">
        <f t="shared" si="30"/>
        <v>448202.09148473013</v>
      </c>
      <c r="M201" s="73">
        <f t="shared" si="31"/>
        <v>559252.61435591313</v>
      </c>
      <c r="N201" s="301">
        <f t="shared" si="32"/>
        <v>103276.98627020018</v>
      </c>
      <c r="O201" s="301">
        <f t="shared" si="33"/>
        <v>416827.94508079899</v>
      </c>
      <c r="P201" s="300">
        <f t="shared" si="34"/>
        <v>520104.93135099916</v>
      </c>
    </row>
    <row r="202" spans="1:16" x14ac:dyDescent="0.25">
      <c r="A202" s="49">
        <v>186</v>
      </c>
      <c r="B202" s="50" t="s">
        <v>53</v>
      </c>
      <c r="C202" s="33" t="s">
        <v>153</v>
      </c>
      <c r="D202" s="88">
        <v>833423.09539999999</v>
      </c>
      <c r="E202" s="91">
        <v>213356.31242239999</v>
      </c>
      <c r="F202" s="91">
        <v>853425.24968960008</v>
      </c>
      <c r="G202" s="92">
        <f t="shared" si="26"/>
        <v>1066781.5621120001</v>
      </c>
      <c r="H202" s="180">
        <f>213356.3124224-1000</f>
        <v>212356.31242239999</v>
      </c>
      <c r="I202" s="180">
        <v>853425.24968960008</v>
      </c>
      <c r="J202" s="117">
        <f t="shared" si="27"/>
        <v>1065781.5621120001</v>
      </c>
      <c r="K202" s="140">
        <f t="shared" si="29"/>
        <v>212356.31242239999</v>
      </c>
      <c r="L202" s="73">
        <f t="shared" si="30"/>
        <v>853425.24968960008</v>
      </c>
      <c r="M202" s="73">
        <f t="shared" si="31"/>
        <v>1065781.5621120001</v>
      </c>
      <c r="N202" s="301">
        <f t="shared" si="32"/>
        <v>197491.370552832</v>
      </c>
      <c r="O202" s="301">
        <f t="shared" si="33"/>
        <v>793685.48221132811</v>
      </c>
      <c r="P202" s="300">
        <f t="shared" si="34"/>
        <v>991176.85276416014</v>
      </c>
    </row>
    <row r="203" spans="1:16" x14ac:dyDescent="0.25">
      <c r="A203" s="49">
        <v>187</v>
      </c>
      <c r="B203" s="50" t="s">
        <v>54</v>
      </c>
      <c r="C203" s="33" t="s">
        <v>153</v>
      </c>
      <c r="D203" s="88">
        <v>571606.44092217472</v>
      </c>
      <c r="E203" s="91">
        <v>154333.73904898716</v>
      </c>
      <c r="F203" s="91">
        <v>617334.95619594876</v>
      </c>
      <c r="G203" s="92">
        <f t="shared" ref="G203:G233" si="35">E203+F203</f>
        <v>771668.69524493592</v>
      </c>
      <c r="H203" s="180">
        <f>154333.739048987-1000</f>
        <v>153333.73904898699</v>
      </c>
      <c r="I203" s="180">
        <v>617334.95619594876</v>
      </c>
      <c r="J203" s="117">
        <f t="shared" ref="J203:J233" si="36">H203+I203</f>
        <v>770668.69524493581</v>
      </c>
      <c r="K203" s="140">
        <f t="shared" si="29"/>
        <v>153333.73904898699</v>
      </c>
      <c r="L203" s="73">
        <f t="shared" si="30"/>
        <v>617334.95619594876</v>
      </c>
      <c r="M203" s="73">
        <f t="shared" si="31"/>
        <v>770668.69524493581</v>
      </c>
      <c r="N203" s="301">
        <f t="shared" si="32"/>
        <v>142600.37731555791</v>
      </c>
      <c r="O203" s="301">
        <f t="shared" si="33"/>
        <v>574121.50926223234</v>
      </c>
      <c r="P203" s="300">
        <f t="shared" si="34"/>
        <v>716721.88657779025</v>
      </c>
    </row>
    <row r="204" spans="1:16" x14ac:dyDescent="0.25">
      <c r="A204" s="49">
        <v>188</v>
      </c>
      <c r="B204" s="50" t="s">
        <v>251</v>
      </c>
      <c r="C204" s="33" t="s">
        <v>153</v>
      </c>
      <c r="D204" s="88">
        <v>901845.63699999999</v>
      </c>
      <c r="E204" s="91">
        <v>230872.48307199997</v>
      </c>
      <c r="F204" s="91">
        <v>923489.93228800001</v>
      </c>
      <c r="G204" s="92">
        <f t="shared" si="35"/>
        <v>1154362.41536</v>
      </c>
      <c r="H204" s="180">
        <f>230872.483072-1000</f>
        <v>229872.483072</v>
      </c>
      <c r="I204" s="180">
        <v>923489.93228800001</v>
      </c>
      <c r="J204" s="117">
        <f t="shared" si="36"/>
        <v>1153362.41536</v>
      </c>
      <c r="K204" s="140">
        <f t="shared" si="29"/>
        <v>229872.483072</v>
      </c>
      <c r="L204" s="73">
        <f t="shared" si="30"/>
        <v>923489.93228800001</v>
      </c>
      <c r="M204" s="73">
        <f t="shared" si="31"/>
        <v>1153362.41536</v>
      </c>
      <c r="N204" s="301">
        <f t="shared" si="32"/>
        <v>213781.40925696</v>
      </c>
      <c r="O204" s="301">
        <f t="shared" si="33"/>
        <v>858845.63702784001</v>
      </c>
      <c r="P204" s="300">
        <f t="shared" si="34"/>
        <v>1072627.0462847999</v>
      </c>
    </row>
    <row r="205" spans="1:16" x14ac:dyDescent="0.25">
      <c r="A205" s="49">
        <v>189</v>
      </c>
      <c r="B205" s="50" t="s">
        <v>252</v>
      </c>
      <c r="C205" s="33" t="s">
        <v>153</v>
      </c>
      <c r="D205" s="88">
        <v>865830</v>
      </c>
      <c r="E205" s="91">
        <v>221652.47999999998</v>
      </c>
      <c r="F205" s="91">
        <v>886609.91999999993</v>
      </c>
      <c r="G205" s="92">
        <f t="shared" si="35"/>
        <v>1108262.3999999999</v>
      </c>
      <c r="H205" s="180">
        <f>221652.48-1000</f>
        <v>220652.48</v>
      </c>
      <c r="I205" s="180">
        <v>886609.91999999993</v>
      </c>
      <c r="J205" s="117">
        <f t="shared" si="36"/>
        <v>1107262.3999999999</v>
      </c>
      <c r="K205" s="140">
        <f t="shared" si="29"/>
        <v>220652.48</v>
      </c>
      <c r="L205" s="73">
        <f t="shared" si="30"/>
        <v>886609.91999999993</v>
      </c>
      <c r="M205" s="73">
        <f t="shared" si="31"/>
        <v>1107262.3999999999</v>
      </c>
      <c r="N205" s="301">
        <f t="shared" si="32"/>
        <v>205206.8064</v>
      </c>
      <c r="O205" s="301">
        <f t="shared" si="33"/>
        <v>824547.22559999989</v>
      </c>
      <c r="P205" s="300">
        <f t="shared" si="34"/>
        <v>1029754.0319999999</v>
      </c>
    </row>
    <row r="206" spans="1:16" x14ac:dyDescent="0.25">
      <c r="A206" s="49">
        <v>190</v>
      </c>
      <c r="B206" s="48" t="s">
        <v>58</v>
      </c>
      <c r="C206" s="33" t="s">
        <v>153</v>
      </c>
      <c r="D206" s="88">
        <v>355446</v>
      </c>
      <c r="E206" s="91">
        <v>95970.419999999984</v>
      </c>
      <c r="F206" s="91">
        <v>383881.68000000005</v>
      </c>
      <c r="G206" s="92">
        <f t="shared" si="35"/>
        <v>479852.10000000003</v>
      </c>
      <c r="H206" s="180">
        <f>95970.42-1000</f>
        <v>94970.42</v>
      </c>
      <c r="I206" s="180">
        <v>383881.68000000005</v>
      </c>
      <c r="J206" s="117">
        <f t="shared" si="36"/>
        <v>478852.10000000003</v>
      </c>
      <c r="K206" s="140">
        <f t="shared" si="29"/>
        <v>94970.42</v>
      </c>
      <c r="L206" s="73">
        <f t="shared" si="30"/>
        <v>383881.68000000005</v>
      </c>
      <c r="M206" s="73">
        <f t="shared" si="31"/>
        <v>478852.10000000003</v>
      </c>
      <c r="N206" s="301">
        <f t="shared" si="32"/>
        <v>88322.49059999999</v>
      </c>
      <c r="O206" s="301">
        <f t="shared" si="33"/>
        <v>357009.96240000002</v>
      </c>
      <c r="P206" s="300">
        <f t="shared" si="34"/>
        <v>445332.45299999998</v>
      </c>
    </row>
    <row r="207" spans="1:16" x14ac:dyDescent="0.25">
      <c r="A207" s="49">
        <v>191</v>
      </c>
      <c r="B207" s="48" t="s">
        <v>136</v>
      </c>
      <c r="C207" s="33" t="s">
        <v>153</v>
      </c>
      <c r="D207" s="88">
        <v>5194738.92</v>
      </c>
      <c r="E207" s="91">
        <v>1350632.1191999996</v>
      </c>
      <c r="F207" s="91">
        <v>5402528.4768000003</v>
      </c>
      <c r="G207" s="92">
        <f t="shared" si="35"/>
        <v>6753160.5959999999</v>
      </c>
      <c r="H207" s="180">
        <f>1350632.1192-1000</f>
        <v>1349632.1192000001</v>
      </c>
      <c r="I207" s="180">
        <v>5402528.4768000003</v>
      </c>
      <c r="J207" s="117">
        <f t="shared" si="36"/>
        <v>6752160.5960000008</v>
      </c>
      <c r="K207" s="140">
        <f t="shared" si="29"/>
        <v>1349632.1192000001</v>
      </c>
      <c r="L207" s="73">
        <f t="shared" si="30"/>
        <v>5402528.4768000003</v>
      </c>
      <c r="M207" s="73">
        <f t="shared" si="31"/>
        <v>6752160.5960000008</v>
      </c>
      <c r="N207" s="301">
        <f t="shared" si="32"/>
        <v>1255157.8708560001</v>
      </c>
      <c r="O207" s="301">
        <f t="shared" si="33"/>
        <v>5024351.4834240004</v>
      </c>
      <c r="P207" s="300">
        <f t="shared" si="34"/>
        <v>6279509.3542800006</v>
      </c>
    </row>
    <row r="208" spans="1:16" x14ac:dyDescent="0.2">
      <c r="A208" s="49">
        <v>192</v>
      </c>
      <c r="B208" s="47" t="s">
        <v>64</v>
      </c>
      <c r="C208" s="33" t="s">
        <v>153</v>
      </c>
      <c r="D208" s="88">
        <v>234906.75654335957</v>
      </c>
      <c r="E208" s="91">
        <v>63424.824266707088</v>
      </c>
      <c r="F208" s="91">
        <v>253699.29706682838</v>
      </c>
      <c r="G208" s="92">
        <f t="shared" si="35"/>
        <v>317124.12133353547</v>
      </c>
      <c r="H208" s="180">
        <f>63424.8242667071-1000</f>
        <v>62424.824266707103</v>
      </c>
      <c r="I208" s="180">
        <v>253699.29706682838</v>
      </c>
      <c r="J208" s="117">
        <f t="shared" si="36"/>
        <v>316124.12133353547</v>
      </c>
      <c r="K208" s="140">
        <f t="shared" si="29"/>
        <v>62424.824266707103</v>
      </c>
      <c r="L208" s="73">
        <f t="shared" si="30"/>
        <v>253699.29706682838</v>
      </c>
      <c r="M208" s="73">
        <f t="shared" si="31"/>
        <v>316124.12133353547</v>
      </c>
      <c r="N208" s="301">
        <f t="shared" si="32"/>
        <v>58055.086568037608</v>
      </c>
      <c r="O208" s="301">
        <f t="shared" si="33"/>
        <v>235940.3462721504</v>
      </c>
      <c r="P208" s="300">
        <f t="shared" si="34"/>
        <v>293995.43284018803</v>
      </c>
    </row>
    <row r="209" spans="1:16" x14ac:dyDescent="0.2">
      <c r="A209" s="49">
        <v>193</v>
      </c>
      <c r="B209" s="47" t="s">
        <v>88</v>
      </c>
      <c r="C209" s="33" t="s">
        <v>153</v>
      </c>
      <c r="D209" s="88">
        <v>308701.08310086746</v>
      </c>
      <c r="E209" s="91">
        <v>83349.292437234195</v>
      </c>
      <c r="F209" s="91">
        <v>333397.1697489369</v>
      </c>
      <c r="G209" s="92">
        <f t="shared" si="35"/>
        <v>416746.46218617109</v>
      </c>
      <c r="H209" s="180">
        <f>83349.2924372342-1000</f>
        <v>82349.292437234195</v>
      </c>
      <c r="I209" s="180">
        <v>333397.1697489369</v>
      </c>
      <c r="J209" s="117">
        <f t="shared" si="36"/>
        <v>415746.46218617109</v>
      </c>
      <c r="K209" s="140">
        <f t="shared" si="29"/>
        <v>82349.292437234195</v>
      </c>
      <c r="L209" s="73">
        <f t="shared" si="30"/>
        <v>333397.1697489369</v>
      </c>
      <c r="M209" s="73">
        <f t="shared" si="31"/>
        <v>415746.46218617109</v>
      </c>
      <c r="N209" s="301">
        <f t="shared" si="32"/>
        <v>76584.841966627806</v>
      </c>
      <c r="O209" s="301">
        <f t="shared" si="33"/>
        <v>310059.36786651134</v>
      </c>
      <c r="P209" s="300">
        <f t="shared" si="34"/>
        <v>386644.20983313915</v>
      </c>
    </row>
    <row r="210" spans="1:16" x14ac:dyDescent="0.2">
      <c r="A210" s="49">
        <v>194</v>
      </c>
      <c r="B210" s="47" t="s">
        <v>330</v>
      </c>
      <c r="C210" s="33" t="s">
        <v>153</v>
      </c>
      <c r="D210" s="88">
        <v>34409.269999999997</v>
      </c>
      <c r="E210" s="91">
        <v>10322.780999999995</v>
      </c>
      <c r="F210" s="91">
        <v>41291.124000000003</v>
      </c>
      <c r="G210" s="92">
        <f t="shared" si="35"/>
        <v>51613.904999999999</v>
      </c>
      <c r="H210" s="180">
        <f>10322.781-1000</f>
        <v>9322.7810000000009</v>
      </c>
      <c r="I210" s="180">
        <v>41291.124000000003</v>
      </c>
      <c r="J210" s="117">
        <f t="shared" si="36"/>
        <v>50613.905000000006</v>
      </c>
      <c r="K210" s="140">
        <f t="shared" si="29"/>
        <v>9322.7810000000009</v>
      </c>
      <c r="L210" s="73">
        <f t="shared" si="30"/>
        <v>41291.124000000003</v>
      </c>
      <c r="M210" s="73">
        <f t="shared" si="31"/>
        <v>50613.905000000006</v>
      </c>
      <c r="N210" s="301">
        <f t="shared" si="32"/>
        <v>8670.1863300000005</v>
      </c>
      <c r="O210" s="301">
        <f t="shared" si="33"/>
        <v>38400.745320000002</v>
      </c>
      <c r="P210" s="300">
        <f t="shared" si="34"/>
        <v>47070.931649999999</v>
      </c>
    </row>
    <row r="211" spans="1:16" ht="22.5" x14ac:dyDescent="0.25">
      <c r="A211" s="49"/>
      <c r="B211" s="29" t="s">
        <v>98</v>
      </c>
      <c r="C211" s="33" t="s">
        <v>153</v>
      </c>
      <c r="D211" s="88"/>
      <c r="E211" s="91">
        <v>0</v>
      </c>
      <c r="F211" s="91">
        <v>0</v>
      </c>
      <c r="G211" s="92">
        <f t="shared" si="35"/>
        <v>0</v>
      </c>
      <c r="H211" s="180">
        <v>0</v>
      </c>
      <c r="I211" s="180">
        <v>0</v>
      </c>
      <c r="J211" s="117">
        <f t="shared" si="36"/>
        <v>0</v>
      </c>
      <c r="K211" s="140">
        <f t="shared" si="29"/>
        <v>0</v>
      </c>
      <c r="L211" s="73">
        <f t="shared" si="30"/>
        <v>0</v>
      </c>
      <c r="M211" s="73">
        <f t="shared" si="31"/>
        <v>0</v>
      </c>
      <c r="N211" s="301">
        <f t="shared" si="32"/>
        <v>0</v>
      </c>
      <c r="O211" s="301">
        <f t="shared" si="33"/>
        <v>0</v>
      </c>
      <c r="P211" s="300">
        <f t="shared" si="34"/>
        <v>0</v>
      </c>
    </row>
    <row r="212" spans="1:16" x14ac:dyDescent="0.25">
      <c r="A212" s="49">
        <v>195</v>
      </c>
      <c r="B212" s="50" t="s">
        <v>253</v>
      </c>
      <c r="C212" s="33" t="s">
        <v>153</v>
      </c>
      <c r="D212" s="88">
        <v>314436.92</v>
      </c>
      <c r="E212" s="91">
        <v>84897.968399999954</v>
      </c>
      <c r="F212" s="91">
        <v>339591.87360000005</v>
      </c>
      <c r="G212" s="92">
        <f t="shared" si="35"/>
        <v>424489.842</v>
      </c>
      <c r="H212" s="180">
        <f>84897.9684-1000</f>
        <v>83897.968399999998</v>
      </c>
      <c r="I212" s="180">
        <v>339591.87360000005</v>
      </c>
      <c r="J212" s="117">
        <f t="shared" si="36"/>
        <v>423489.84200000006</v>
      </c>
      <c r="K212" s="140">
        <f t="shared" si="29"/>
        <v>83897.968399999998</v>
      </c>
      <c r="L212" s="73">
        <f t="shared" si="30"/>
        <v>339591.87360000005</v>
      </c>
      <c r="M212" s="73">
        <f t="shared" si="31"/>
        <v>423489.84200000006</v>
      </c>
      <c r="N212" s="301">
        <f t="shared" si="32"/>
        <v>78025.110612000004</v>
      </c>
      <c r="O212" s="301">
        <f t="shared" si="33"/>
        <v>315820.44244800007</v>
      </c>
      <c r="P212" s="300">
        <f t="shared" si="34"/>
        <v>393845.55306000006</v>
      </c>
    </row>
    <row r="213" spans="1:16" x14ac:dyDescent="0.25">
      <c r="A213" s="49">
        <v>196</v>
      </c>
      <c r="B213" s="50" t="s">
        <v>254</v>
      </c>
      <c r="C213" s="33" t="s">
        <v>153</v>
      </c>
      <c r="D213" s="88">
        <v>117713.01360000001</v>
      </c>
      <c r="E213" s="91">
        <v>31782.513672000001</v>
      </c>
      <c r="F213" s="91">
        <v>127130.054688</v>
      </c>
      <c r="G213" s="92">
        <f t="shared" si="35"/>
        <v>158912.56836</v>
      </c>
      <c r="H213" s="180">
        <f>31782.513672-1000</f>
        <v>30782.513672000001</v>
      </c>
      <c r="I213" s="180">
        <v>127130.054688</v>
      </c>
      <c r="J213" s="117">
        <f t="shared" si="36"/>
        <v>157912.56836</v>
      </c>
      <c r="K213" s="140">
        <f t="shared" si="29"/>
        <v>30782.513672000001</v>
      </c>
      <c r="L213" s="73">
        <f t="shared" si="30"/>
        <v>127130.054688</v>
      </c>
      <c r="M213" s="73">
        <f t="shared" si="31"/>
        <v>157912.56836</v>
      </c>
      <c r="N213" s="301">
        <f t="shared" si="32"/>
        <v>28627.73771496</v>
      </c>
      <c r="O213" s="301">
        <f t="shared" si="33"/>
        <v>118230.95085984</v>
      </c>
      <c r="P213" s="300">
        <f t="shared" si="34"/>
        <v>146858.68857480001</v>
      </c>
    </row>
    <row r="214" spans="1:16" x14ac:dyDescent="0.25">
      <c r="A214" s="49">
        <v>197</v>
      </c>
      <c r="B214" s="39" t="s">
        <v>452</v>
      </c>
      <c r="C214" s="33" t="s">
        <v>153</v>
      </c>
      <c r="D214" s="88">
        <v>1715794.0352</v>
      </c>
      <c r="E214" s="91">
        <v>439243.2730111999</v>
      </c>
      <c r="F214" s="91">
        <v>1756973.0920448003</v>
      </c>
      <c r="G214" s="92">
        <f t="shared" si="35"/>
        <v>2196216.3650560002</v>
      </c>
      <c r="H214" s="180">
        <f>439243.2730112-1000</f>
        <v>438243.27301120001</v>
      </c>
      <c r="I214" s="180">
        <v>1756973.0920448003</v>
      </c>
      <c r="J214" s="117">
        <f t="shared" si="36"/>
        <v>2195216.3650560002</v>
      </c>
      <c r="K214" s="140">
        <f t="shared" si="29"/>
        <v>438243.27301120001</v>
      </c>
      <c r="L214" s="73">
        <f t="shared" si="30"/>
        <v>1756973.0920448003</v>
      </c>
      <c r="M214" s="73">
        <f t="shared" si="31"/>
        <v>2195216.3650560002</v>
      </c>
      <c r="N214" s="301">
        <f t="shared" si="32"/>
        <v>407566.24390041601</v>
      </c>
      <c r="O214" s="301">
        <f t="shared" si="33"/>
        <v>1633984.9756016643</v>
      </c>
      <c r="P214" s="300">
        <f t="shared" si="34"/>
        <v>2041551.2195020802</v>
      </c>
    </row>
    <row r="215" spans="1:16" x14ac:dyDescent="0.25">
      <c r="A215" s="49">
        <v>198</v>
      </c>
      <c r="B215" s="39" t="s">
        <v>256</v>
      </c>
      <c r="C215" s="33" t="s">
        <v>153</v>
      </c>
      <c r="D215" s="88">
        <v>608354.87439999997</v>
      </c>
      <c r="E215" s="91">
        <v>164255.81608799996</v>
      </c>
      <c r="F215" s="91">
        <v>657023.26435200009</v>
      </c>
      <c r="G215" s="92">
        <f t="shared" si="35"/>
        <v>821279.08044000005</v>
      </c>
      <c r="H215" s="180">
        <f>164255.816088-1000</f>
        <v>163255.81608799999</v>
      </c>
      <c r="I215" s="180">
        <v>657023.26435200009</v>
      </c>
      <c r="J215" s="117">
        <f t="shared" si="36"/>
        <v>820279.08044000005</v>
      </c>
      <c r="K215" s="140">
        <f t="shared" si="29"/>
        <v>163255.81608799999</v>
      </c>
      <c r="L215" s="73">
        <f t="shared" si="30"/>
        <v>657023.26435200009</v>
      </c>
      <c r="M215" s="73">
        <f t="shared" si="31"/>
        <v>820279.08044000005</v>
      </c>
      <c r="N215" s="301">
        <f t="shared" si="32"/>
        <v>151827.90896184</v>
      </c>
      <c r="O215" s="301">
        <f t="shared" si="33"/>
        <v>611031.63584736013</v>
      </c>
      <c r="P215" s="300">
        <f t="shared" si="34"/>
        <v>762859.5448092001</v>
      </c>
    </row>
    <row r="216" spans="1:16" x14ac:dyDescent="0.2">
      <c r="A216" s="49">
        <v>199</v>
      </c>
      <c r="B216" s="47" t="s">
        <v>69</v>
      </c>
      <c r="C216" s="33" t="s">
        <v>153</v>
      </c>
      <c r="D216" s="88">
        <v>97515.766304260585</v>
      </c>
      <c r="E216" s="91">
        <v>26329.256902150359</v>
      </c>
      <c r="F216" s="91">
        <v>105317.02760860145</v>
      </c>
      <c r="G216" s="92">
        <f t="shared" si="35"/>
        <v>131646.28451075181</v>
      </c>
      <c r="H216" s="180">
        <f>26329.2569021504-1000</f>
        <v>25329.256902150399</v>
      </c>
      <c r="I216" s="180">
        <v>105317.02760860145</v>
      </c>
      <c r="J216" s="117">
        <f t="shared" si="36"/>
        <v>130646.28451075185</v>
      </c>
      <c r="K216" s="140">
        <f t="shared" si="29"/>
        <v>25329.256902150399</v>
      </c>
      <c r="L216" s="73">
        <f t="shared" si="30"/>
        <v>105317.02760860145</v>
      </c>
      <c r="M216" s="73">
        <f t="shared" si="31"/>
        <v>130646.28451075185</v>
      </c>
      <c r="N216" s="301">
        <f t="shared" si="32"/>
        <v>23556.20891899987</v>
      </c>
      <c r="O216" s="301">
        <f t="shared" si="33"/>
        <v>97944.835675999348</v>
      </c>
      <c r="P216" s="300">
        <f t="shared" si="34"/>
        <v>121501.04459499921</v>
      </c>
    </row>
    <row r="217" spans="1:16" x14ac:dyDescent="0.2">
      <c r="A217" s="49">
        <v>200</v>
      </c>
      <c r="B217" s="47" t="s">
        <v>70</v>
      </c>
      <c r="C217" s="33" t="s">
        <v>153</v>
      </c>
      <c r="D217" s="88">
        <v>712193.79885134113</v>
      </c>
      <c r="E217" s="91">
        <v>192292.32568986202</v>
      </c>
      <c r="F217" s="91">
        <v>769169.30275944853</v>
      </c>
      <c r="G217" s="92">
        <f t="shared" si="35"/>
        <v>961461.62844931055</v>
      </c>
      <c r="H217" s="180">
        <f>192292.325689862-1000</f>
        <v>191292.32568986199</v>
      </c>
      <c r="I217" s="180">
        <v>769169.30275944853</v>
      </c>
      <c r="J217" s="117">
        <f t="shared" si="36"/>
        <v>960461.62844931055</v>
      </c>
      <c r="K217" s="140">
        <f t="shared" si="29"/>
        <v>191292.32568986199</v>
      </c>
      <c r="L217" s="73">
        <f t="shared" si="30"/>
        <v>769169.30275944853</v>
      </c>
      <c r="M217" s="73">
        <f t="shared" si="31"/>
        <v>960461.62844931055</v>
      </c>
      <c r="N217" s="301">
        <f t="shared" si="32"/>
        <v>177901.86289157165</v>
      </c>
      <c r="O217" s="301">
        <f t="shared" si="33"/>
        <v>715327.45156628708</v>
      </c>
      <c r="P217" s="300">
        <f t="shared" si="34"/>
        <v>893229.31445785868</v>
      </c>
    </row>
    <row r="218" spans="1:16" x14ac:dyDescent="0.2">
      <c r="A218" s="49">
        <v>201</v>
      </c>
      <c r="B218" s="47" t="s">
        <v>1</v>
      </c>
      <c r="C218" s="33" t="s">
        <v>153</v>
      </c>
      <c r="D218" s="88">
        <v>147656.43339999998</v>
      </c>
      <c r="E218" s="91">
        <v>39867.237017999985</v>
      </c>
      <c r="F218" s="91">
        <v>159468.948072</v>
      </c>
      <c r="G218" s="92">
        <f t="shared" si="35"/>
        <v>199336.18508999998</v>
      </c>
      <c r="H218" s="180">
        <f>39867.237018-1000</f>
        <v>38867.237018</v>
      </c>
      <c r="I218" s="180">
        <v>159468.948072</v>
      </c>
      <c r="J218" s="117">
        <f t="shared" si="36"/>
        <v>198336.18508999998</v>
      </c>
      <c r="K218" s="140">
        <f t="shared" si="29"/>
        <v>38867.237018</v>
      </c>
      <c r="L218" s="73">
        <f t="shared" si="30"/>
        <v>159468.948072</v>
      </c>
      <c r="M218" s="73">
        <f t="shared" si="31"/>
        <v>198336.18508999998</v>
      </c>
      <c r="N218" s="301">
        <f t="shared" si="32"/>
        <v>36146.530426739999</v>
      </c>
      <c r="O218" s="301">
        <f t="shared" si="33"/>
        <v>148306.12170696</v>
      </c>
      <c r="P218" s="300">
        <f t="shared" si="34"/>
        <v>184452.6521337</v>
      </c>
    </row>
    <row r="219" spans="1:16" x14ac:dyDescent="0.25">
      <c r="A219" s="49">
        <v>202</v>
      </c>
      <c r="B219" s="50" t="s">
        <v>56</v>
      </c>
      <c r="C219" s="33" t="s">
        <v>153</v>
      </c>
      <c r="D219" s="88">
        <v>74825.94</v>
      </c>
      <c r="E219" s="91">
        <v>20203.003799999991</v>
      </c>
      <c r="F219" s="91">
        <v>80812.015200000023</v>
      </c>
      <c r="G219" s="92">
        <f t="shared" si="35"/>
        <v>101015.01900000001</v>
      </c>
      <c r="H219" s="180">
        <f>20203.0038-1000</f>
        <v>19203.003799999999</v>
      </c>
      <c r="I219" s="180">
        <v>80812.015200000023</v>
      </c>
      <c r="J219" s="117">
        <f t="shared" si="36"/>
        <v>100015.01900000003</v>
      </c>
      <c r="K219" s="140">
        <f t="shared" si="29"/>
        <v>19203.003799999999</v>
      </c>
      <c r="L219" s="73">
        <f t="shared" si="30"/>
        <v>80812.015200000023</v>
      </c>
      <c r="M219" s="73">
        <f t="shared" si="31"/>
        <v>100015.01900000003</v>
      </c>
      <c r="N219" s="301">
        <f t="shared" si="32"/>
        <v>17858.793533999997</v>
      </c>
      <c r="O219" s="301">
        <f t="shared" si="33"/>
        <v>75155.174136000016</v>
      </c>
      <c r="P219" s="300">
        <f t="shared" si="34"/>
        <v>93013.967670000013</v>
      </c>
    </row>
    <row r="220" spans="1:16" x14ac:dyDescent="0.25">
      <c r="A220" s="49">
        <v>203</v>
      </c>
      <c r="B220" s="50" t="s">
        <v>57</v>
      </c>
      <c r="C220" s="33" t="s">
        <v>153</v>
      </c>
      <c r="D220" s="88">
        <v>28891.38</v>
      </c>
      <c r="E220" s="91">
        <v>8667.413999999997</v>
      </c>
      <c r="F220" s="91">
        <v>34669.656000000003</v>
      </c>
      <c r="G220" s="92">
        <f t="shared" si="35"/>
        <v>43337.07</v>
      </c>
      <c r="H220" s="180">
        <f>8667.414-1000</f>
        <v>7667.4140000000007</v>
      </c>
      <c r="I220" s="180">
        <v>34669.656000000003</v>
      </c>
      <c r="J220" s="117">
        <f t="shared" si="36"/>
        <v>42337.070000000007</v>
      </c>
      <c r="K220" s="140">
        <f t="shared" si="29"/>
        <v>7667.4140000000007</v>
      </c>
      <c r="L220" s="73">
        <f t="shared" si="30"/>
        <v>34669.656000000003</v>
      </c>
      <c r="M220" s="73">
        <f t="shared" si="31"/>
        <v>42337.070000000007</v>
      </c>
      <c r="N220" s="301">
        <f t="shared" si="32"/>
        <v>7130.695020000001</v>
      </c>
      <c r="O220" s="301">
        <f t="shared" si="33"/>
        <v>32242.780080000004</v>
      </c>
      <c r="P220" s="300">
        <f t="shared" si="34"/>
        <v>39373.475100000003</v>
      </c>
    </row>
    <row r="221" spans="1:16" x14ac:dyDescent="0.25">
      <c r="A221" s="49">
        <v>204</v>
      </c>
      <c r="B221" s="39" t="s">
        <v>257</v>
      </c>
      <c r="C221" s="33" t="s">
        <v>153</v>
      </c>
      <c r="D221" s="88">
        <v>118531.38219999999</v>
      </c>
      <c r="E221" s="91">
        <v>32003.473193999991</v>
      </c>
      <c r="F221" s="91">
        <v>128013.89277600002</v>
      </c>
      <c r="G221" s="92">
        <f t="shared" si="35"/>
        <v>160017.36597000001</v>
      </c>
      <c r="H221" s="180">
        <f>32003.473194-1000</f>
        <v>31003.473193999998</v>
      </c>
      <c r="I221" s="180">
        <v>128013.89277600002</v>
      </c>
      <c r="J221" s="117">
        <f t="shared" si="36"/>
        <v>159017.36597000001</v>
      </c>
      <c r="K221" s="140">
        <f t="shared" si="29"/>
        <v>31003.473193999998</v>
      </c>
      <c r="L221" s="73">
        <f t="shared" si="30"/>
        <v>128013.89277600002</v>
      </c>
      <c r="M221" s="73">
        <f t="shared" si="31"/>
        <v>159017.36597000001</v>
      </c>
      <c r="N221" s="301">
        <f t="shared" si="32"/>
        <v>28833.230070419999</v>
      </c>
      <c r="O221" s="301">
        <f t="shared" si="33"/>
        <v>119052.92028168002</v>
      </c>
      <c r="P221" s="300">
        <f t="shared" si="34"/>
        <v>147886.15035210003</v>
      </c>
    </row>
    <row r="222" spans="1:16" x14ac:dyDescent="0.25">
      <c r="A222" s="49">
        <v>205</v>
      </c>
      <c r="B222" s="50" t="s">
        <v>258</v>
      </c>
      <c r="C222" s="33" t="s">
        <v>153</v>
      </c>
      <c r="D222" s="88">
        <v>108357.16919999999</v>
      </c>
      <c r="E222" s="91">
        <v>29256.435683999996</v>
      </c>
      <c r="F222" s="91">
        <v>117025.74273599999</v>
      </c>
      <c r="G222" s="92">
        <f t="shared" si="35"/>
        <v>146282.17841999998</v>
      </c>
      <c r="H222" s="180">
        <f>29256.435684-1000</f>
        <v>28256.435684</v>
      </c>
      <c r="I222" s="180">
        <v>117025.74273599999</v>
      </c>
      <c r="J222" s="117">
        <f t="shared" si="36"/>
        <v>145282.17841999998</v>
      </c>
      <c r="K222" s="140">
        <f t="shared" si="29"/>
        <v>28256.435684</v>
      </c>
      <c r="L222" s="73">
        <f t="shared" si="30"/>
        <v>117025.74273599999</v>
      </c>
      <c r="M222" s="73">
        <f t="shared" si="31"/>
        <v>145282.17841999998</v>
      </c>
      <c r="N222" s="301">
        <f t="shared" si="32"/>
        <v>26278.48518612</v>
      </c>
      <c r="O222" s="301">
        <f t="shared" si="33"/>
        <v>108833.94074447999</v>
      </c>
      <c r="P222" s="300">
        <f t="shared" si="34"/>
        <v>135112.42593059997</v>
      </c>
    </row>
    <row r="223" spans="1:16" x14ac:dyDescent="0.25">
      <c r="A223" s="49">
        <v>206</v>
      </c>
      <c r="B223" s="50" t="s">
        <v>259</v>
      </c>
      <c r="C223" s="33" t="s">
        <v>153</v>
      </c>
      <c r="D223" s="88">
        <v>32585</v>
      </c>
      <c r="E223" s="91">
        <v>9775.5</v>
      </c>
      <c r="F223" s="91">
        <v>39102</v>
      </c>
      <c r="G223" s="92">
        <f t="shared" si="35"/>
        <v>48877.5</v>
      </c>
      <c r="H223" s="180">
        <f>9775.5-1000</f>
        <v>8775.5</v>
      </c>
      <c r="I223" s="180">
        <v>39102</v>
      </c>
      <c r="J223" s="117">
        <f t="shared" si="36"/>
        <v>47877.5</v>
      </c>
      <c r="K223" s="140">
        <f t="shared" si="29"/>
        <v>8775.5</v>
      </c>
      <c r="L223" s="73">
        <f t="shared" si="30"/>
        <v>39102</v>
      </c>
      <c r="M223" s="73">
        <f t="shared" si="31"/>
        <v>47877.5</v>
      </c>
      <c r="N223" s="301">
        <f t="shared" si="32"/>
        <v>8161.2150000000001</v>
      </c>
      <c r="O223" s="301">
        <f t="shared" si="33"/>
        <v>36364.86</v>
      </c>
      <c r="P223" s="300">
        <f t="shared" si="34"/>
        <v>44526.074999999997</v>
      </c>
    </row>
    <row r="224" spans="1:16" x14ac:dyDescent="0.25">
      <c r="A224" s="49">
        <v>207</v>
      </c>
      <c r="B224" s="46" t="s">
        <v>260</v>
      </c>
      <c r="C224" s="33" t="s">
        <v>153</v>
      </c>
      <c r="D224" s="88">
        <v>29415.944599999999</v>
      </c>
      <c r="E224" s="91">
        <v>8824.7833800000008</v>
      </c>
      <c r="F224" s="91">
        <v>35299.133519999996</v>
      </c>
      <c r="G224" s="92">
        <f t="shared" si="35"/>
        <v>44123.916899999997</v>
      </c>
      <c r="H224" s="180">
        <f>8824.78338-1000</f>
        <v>7824.7833800000008</v>
      </c>
      <c r="I224" s="180">
        <v>35299.133519999996</v>
      </c>
      <c r="J224" s="117">
        <f t="shared" si="36"/>
        <v>43123.916899999997</v>
      </c>
      <c r="K224" s="140">
        <f t="shared" si="29"/>
        <v>7824.7833800000008</v>
      </c>
      <c r="L224" s="73">
        <f t="shared" si="30"/>
        <v>35299.133519999996</v>
      </c>
      <c r="M224" s="73">
        <f t="shared" si="31"/>
        <v>43123.916899999997</v>
      </c>
      <c r="N224" s="301">
        <f t="shared" si="32"/>
        <v>7277.0485434000002</v>
      </c>
      <c r="O224" s="301">
        <f t="shared" si="33"/>
        <v>32828.194173599994</v>
      </c>
      <c r="P224" s="300">
        <f t="shared" si="34"/>
        <v>40105.242716999994</v>
      </c>
    </row>
    <row r="225" spans="1:16" x14ac:dyDescent="0.25">
      <c r="A225" s="49">
        <v>208</v>
      </c>
      <c r="B225" s="42" t="s">
        <v>261</v>
      </c>
      <c r="C225" s="33" t="s">
        <v>153</v>
      </c>
      <c r="D225" s="88">
        <v>205800</v>
      </c>
      <c r="E225" s="91">
        <v>55566</v>
      </c>
      <c r="F225" s="91">
        <v>222264</v>
      </c>
      <c r="G225" s="92">
        <f t="shared" si="35"/>
        <v>277830</v>
      </c>
      <c r="H225" s="180">
        <f>55566-1000</f>
        <v>54566</v>
      </c>
      <c r="I225" s="180">
        <v>222264</v>
      </c>
      <c r="J225" s="117">
        <f t="shared" si="36"/>
        <v>276830</v>
      </c>
      <c r="K225" s="140">
        <f t="shared" si="29"/>
        <v>54566</v>
      </c>
      <c r="L225" s="73">
        <f t="shared" si="30"/>
        <v>222264</v>
      </c>
      <c r="M225" s="73">
        <f t="shared" si="31"/>
        <v>276830</v>
      </c>
      <c r="N225" s="301">
        <f t="shared" si="32"/>
        <v>50746.38</v>
      </c>
      <c r="O225" s="301">
        <f t="shared" si="33"/>
        <v>206705.52</v>
      </c>
      <c r="P225" s="300">
        <f t="shared" si="34"/>
        <v>257451.9</v>
      </c>
    </row>
    <row r="226" spans="1:16" x14ac:dyDescent="0.25">
      <c r="A226" s="49">
        <v>209</v>
      </c>
      <c r="B226" s="46" t="s">
        <v>352</v>
      </c>
      <c r="C226" s="33" t="s">
        <v>153</v>
      </c>
      <c r="D226" s="88">
        <v>530057.86259999999</v>
      </c>
      <c r="E226" s="91">
        <v>143115.62290199997</v>
      </c>
      <c r="F226" s="91">
        <v>572462.49160800001</v>
      </c>
      <c r="G226" s="92">
        <f t="shared" si="35"/>
        <v>715578.11450999998</v>
      </c>
      <c r="H226" s="180">
        <f>143115.622902-1000</f>
        <v>142115.622902</v>
      </c>
      <c r="I226" s="180">
        <v>572462.49160800001</v>
      </c>
      <c r="J226" s="117">
        <f t="shared" si="36"/>
        <v>714578.11450999998</v>
      </c>
      <c r="K226" s="140">
        <f t="shared" si="29"/>
        <v>142115.622902</v>
      </c>
      <c r="L226" s="73">
        <f t="shared" si="30"/>
        <v>572462.49160800001</v>
      </c>
      <c r="M226" s="73">
        <f t="shared" si="31"/>
        <v>714578.11450999998</v>
      </c>
      <c r="N226" s="301">
        <f t="shared" si="32"/>
        <v>132167.52929886</v>
      </c>
      <c r="O226" s="301">
        <f t="shared" si="33"/>
        <v>532390.11719543999</v>
      </c>
      <c r="P226" s="300">
        <f t="shared" si="34"/>
        <v>664557.64649429999</v>
      </c>
    </row>
    <row r="227" spans="1:16" ht="22.5" x14ac:dyDescent="0.25">
      <c r="A227" s="56"/>
      <c r="B227" s="29" t="s">
        <v>62</v>
      </c>
      <c r="C227" s="33" t="s">
        <v>153</v>
      </c>
      <c r="D227" s="88"/>
      <c r="E227" s="91">
        <v>0</v>
      </c>
      <c r="F227" s="91">
        <v>0</v>
      </c>
      <c r="G227" s="92">
        <f t="shared" si="35"/>
        <v>0</v>
      </c>
      <c r="H227" s="180">
        <v>0</v>
      </c>
      <c r="I227" s="180">
        <v>0</v>
      </c>
      <c r="J227" s="117">
        <f t="shared" si="36"/>
        <v>0</v>
      </c>
      <c r="K227" s="140">
        <f t="shared" si="29"/>
        <v>0</v>
      </c>
      <c r="L227" s="73">
        <f t="shared" si="30"/>
        <v>0</v>
      </c>
      <c r="M227" s="73">
        <f t="shared" si="31"/>
        <v>0</v>
      </c>
      <c r="N227" s="301">
        <f t="shared" si="32"/>
        <v>0</v>
      </c>
      <c r="O227" s="301">
        <f t="shared" si="33"/>
        <v>0</v>
      </c>
      <c r="P227" s="300">
        <f t="shared" si="34"/>
        <v>0</v>
      </c>
    </row>
    <row r="228" spans="1:16" ht="22.5" x14ac:dyDescent="0.25">
      <c r="A228" s="56">
        <v>210</v>
      </c>
      <c r="B228" s="50" t="s">
        <v>384</v>
      </c>
      <c r="C228" s="33" t="s">
        <v>153</v>
      </c>
      <c r="D228" s="88">
        <v>765092.41899999999</v>
      </c>
      <c r="E228" s="91">
        <v>395863.65926400002</v>
      </c>
      <c r="F228" s="91">
        <v>783454.63705600007</v>
      </c>
      <c r="G228" s="92">
        <f t="shared" si="35"/>
        <v>1179318.2963200002</v>
      </c>
      <c r="H228" s="180">
        <f>395863.659264-1000</f>
        <v>394863.65926400002</v>
      </c>
      <c r="I228" s="180">
        <v>783454.63705600007</v>
      </c>
      <c r="J228" s="117">
        <f t="shared" si="36"/>
        <v>1178318.2963200002</v>
      </c>
      <c r="K228" s="140">
        <f t="shared" si="29"/>
        <v>394863.65926400002</v>
      </c>
      <c r="L228" s="73">
        <f t="shared" si="30"/>
        <v>783454.63705600007</v>
      </c>
      <c r="M228" s="73">
        <f t="shared" si="31"/>
        <v>1178318.2963200002</v>
      </c>
      <c r="N228" s="301">
        <f t="shared" si="32"/>
        <v>367223.20311552001</v>
      </c>
      <c r="O228" s="301">
        <f t="shared" si="33"/>
        <v>728612.81246208004</v>
      </c>
      <c r="P228" s="300">
        <f t="shared" si="34"/>
        <v>1095836.0155776001</v>
      </c>
    </row>
    <row r="229" spans="1:16" x14ac:dyDescent="0.25">
      <c r="A229" s="56">
        <v>211</v>
      </c>
      <c r="B229" s="50" t="s">
        <v>63</v>
      </c>
      <c r="C229" s="33" t="s">
        <v>153</v>
      </c>
      <c r="D229" s="88">
        <v>2131815.1765155573</v>
      </c>
      <c r="E229" s="91">
        <v>545744.6851879824</v>
      </c>
      <c r="F229" s="91">
        <v>2182978.740751931</v>
      </c>
      <c r="G229" s="92">
        <f t="shared" si="35"/>
        <v>2728723.4259399134</v>
      </c>
      <c r="H229" s="180">
        <f>545744.685187982-1000</f>
        <v>544744.68518798205</v>
      </c>
      <c r="I229" s="180">
        <v>2182978.740751931</v>
      </c>
      <c r="J229" s="117">
        <f t="shared" si="36"/>
        <v>2727723.4259399129</v>
      </c>
      <c r="K229" s="140">
        <f t="shared" si="29"/>
        <v>544744.68518798205</v>
      </c>
      <c r="L229" s="73">
        <f t="shared" si="30"/>
        <v>2182978.740751931</v>
      </c>
      <c r="M229" s="73">
        <f t="shared" si="31"/>
        <v>2727723.4259399129</v>
      </c>
      <c r="N229" s="301">
        <f t="shared" si="32"/>
        <v>506612.55722482328</v>
      </c>
      <c r="O229" s="301">
        <f t="shared" si="33"/>
        <v>2030170.2288992959</v>
      </c>
      <c r="P229" s="300">
        <f t="shared" si="34"/>
        <v>2536782.7861241191</v>
      </c>
    </row>
    <row r="230" spans="1:16" x14ac:dyDescent="0.25">
      <c r="A230" s="56">
        <v>212</v>
      </c>
      <c r="B230" s="50" t="s">
        <v>134</v>
      </c>
      <c r="C230" s="33" t="s">
        <v>153</v>
      </c>
      <c r="D230" s="88">
        <v>245804.25660000002</v>
      </c>
      <c r="E230" s="91">
        <v>66367.149282000028</v>
      </c>
      <c r="F230" s="91">
        <v>265468.59712800005</v>
      </c>
      <c r="G230" s="92">
        <f t="shared" si="35"/>
        <v>331835.74641000008</v>
      </c>
      <c r="H230" s="180">
        <f>66367.149282-1000</f>
        <v>65367.149281999998</v>
      </c>
      <c r="I230" s="180">
        <v>265468.59712800005</v>
      </c>
      <c r="J230" s="117">
        <f t="shared" si="36"/>
        <v>330835.74641000002</v>
      </c>
      <c r="K230" s="140">
        <f t="shared" si="29"/>
        <v>65367.149281999998</v>
      </c>
      <c r="L230" s="73">
        <f t="shared" si="30"/>
        <v>265468.59712800005</v>
      </c>
      <c r="M230" s="73">
        <f t="shared" si="31"/>
        <v>330835.74641000002</v>
      </c>
      <c r="N230" s="301">
        <f t="shared" si="32"/>
        <v>60791.448832260001</v>
      </c>
      <c r="O230" s="301">
        <f t="shared" si="33"/>
        <v>246885.79532904003</v>
      </c>
      <c r="P230" s="300">
        <f t="shared" si="34"/>
        <v>307677.24416130001</v>
      </c>
    </row>
    <row r="231" spans="1:16" x14ac:dyDescent="0.25">
      <c r="A231" s="56">
        <v>213</v>
      </c>
      <c r="B231" s="57" t="s">
        <v>264</v>
      </c>
      <c r="C231" s="33" t="s">
        <v>153</v>
      </c>
      <c r="D231" s="88">
        <v>441692.66399999999</v>
      </c>
      <c r="E231" s="91">
        <v>519257.01928000001</v>
      </c>
      <c r="F231" s="91">
        <v>477028.07712000003</v>
      </c>
      <c r="G231" s="92">
        <f t="shared" si="35"/>
        <v>996285.09640000004</v>
      </c>
      <c r="H231" s="180">
        <f>519257.01928-1000</f>
        <v>518257.01928000001</v>
      </c>
      <c r="I231" s="180">
        <v>477028.07712000003</v>
      </c>
      <c r="J231" s="117">
        <f t="shared" si="36"/>
        <v>995285.09640000004</v>
      </c>
      <c r="K231" s="140">
        <f t="shared" si="29"/>
        <v>518257.01928000001</v>
      </c>
      <c r="L231" s="73">
        <f t="shared" si="30"/>
        <v>477028.07712000003</v>
      </c>
      <c r="M231" s="73">
        <f t="shared" si="31"/>
        <v>995285.09640000004</v>
      </c>
      <c r="N231" s="301">
        <f t="shared" si="32"/>
        <v>481979.02793039999</v>
      </c>
      <c r="O231" s="301">
        <f t="shared" si="33"/>
        <v>443636.11172160006</v>
      </c>
      <c r="P231" s="300">
        <f t="shared" si="34"/>
        <v>925615.13965200004</v>
      </c>
    </row>
    <row r="232" spans="1:16" x14ac:dyDescent="0.25">
      <c r="A232" s="56">
        <v>214</v>
      </c>
      <c r="B232" s="35" t="s">
        <v>73</v>
      </c>
      <c r="C232" s="33" t="s">
        <v>153</v>
      </c>
      <c r="D232" s="88">
        <v>73598.627200000003</v>
      </c>
      <c r="E232" s="91">
        <v>22079.588159999999</v>
      </c>
      <c r="F232" s="91">
        <v>88318.352640000012</v>
      </c>
      <c r="G232" s="92">
        <f t="shared" si="35"/>
        <v>110397.94080000001</v>
      </c>
      <c r="H232" s="180">
        <f>22079.58816-1000</f>
        <v>21079.588159999999</v>
      </c>
      <c r="I232" s="180">
        <v>88318.352640000012</v>
      </c>
      <c r="J232" s="117">
        <f t="shared" si="36"/>
        <v>109397.94080000001</v>
      </c>
      <c r="K232" s="140">
        <f t="shared" si="29"/>
        <v>21079.588159999999</v>
      </c>
      <c r="L232" s="73">
        <f t="shared" si="30"/>
        <v>88318.352640000012</v>
      </c>
      <c r="M232" s="73">
        <f t="shared" si="31"/>
        <v>109397.94080000001</v>
      </c>
      <c r="N232" s="301">
        <f t="shared" si="32"/>
        <v>19604.016988799998</v>
      </c>
      <c r="O232" s="301">
        <f t="shared" si="33"/>
        <v>82136.067955200007</v>
      </c>
      <c r="P232" s="300">
        <f t="shared" si="34"/>
        <v>101740.084944</v>
      </c>
    </row>
    <row r="233" spans="1:16" x14ac:dyDescent="0.2">
      <c r="A233" s="100">
        <v>215</v>
      </c>
      <c r="B233" s="101" t="s">
        <v>72</v>
      </c>
      <c r="C233" s="102" t="s">
        <v>153</v>
      </c>
      <c r="D233" s="103">
        <v>1033813.1406326923</v>
      </c>
      <c r="E233" s="104">
        <v>364656.16400196898</v>
      </c>
      <c r="F233" s="104">
        <v>1158624.6560078801</v>
      </c>
      <c r="G233" s="105">
        <f t="shared" si="35"/>
        <v>1523280.820009849</v>
      </c>
      <c r="H233" s="185">
        <f>364656.164001969-1000</f>
        <v>363656.16400196898</v>
      </c>
      <c r="I233" s="185">
        <v>1158624.6560078801</v>
      </c>
      <c r="J233" s="123">
        <f t="shared" si="36"/>
        <v>1522280.820009849</v>
      </c>
      <c r="K233" s="140">
        <f t="shared" si="29"/>
        <v>363656.16400196898</v>
      </c>
      <c r="L233" s="73">
        <f t="shared" si="30"/>
        <v>1158624.6560078801</v>
      </c>
      <c r="M233" s="73">
        <f t="shared" si="31"/>
        <v>1522280.820009849</v>
      </c>
      <c r="N233" s="301">
        <f t="shared" si="32"/>
        <v>338200.23252183117</v>
      </c>
      <c r="O233" s="301">
        <f t="shared" si="33"/>
        <v>1077520.9300873284</v>
      </c>
      <c r="P233" s="300">
        <f t="shared" si="34"/>
        <v>1415721.1626091595</v>
      </c>
    </row>
    <row r="234" spans="1:16" x14ac:dyDescent="0.25">
      <c r="A234" s="267" t="s">
        <v>491</v>
      </c>
      <c r="B234" s="267"/>
      <c r="C234" s="267"/>
      <c r="D234" s="106">
        <f t="shared" ref="D234:G234" si="37">SUM(D6:D233)</f>
        <v>169215796.61342835</v>
      </c>
      <c r="E234" s="107">
        <f t="shared" si="37"/>
        <v>44883217.032803826</v>
      </c>
      <c r="F234" s="107">
        <f t="shared" si="37"/>
        <v>178832868.13121527</v>
      </c>
      <c r="G234" s="107">
        <f t="shared" si="37"/>
        <v>223716085.16401944</v>
      </c>
      <c r="H234" s="147">
        <f>SUM(H6:H233)</f>
        <v>44677117.032803819</v>
      </c>
      <c r="I234" s="147">
        <f>SUM(I6:I233)</f>
        <v>178832868.13121527</v>
      </c>
      <c r="J234" s="147">
        <f>SUM(J6:J233)</f>
        <v>223509985.16401941</v>
      </c>
      <c r="K234" s="140">
        <f t="shared" si="29"/>
        <v>44677117.032803819</v>
      </c>
      <c r="L234" s="73">
        <f t="shared" si="30"/>
        <v>178832868.13121527</v>
      </c>
      <c r="M234" s="73">
        <f t="shared" si="31"/>
        <v>223509985.16401911</v>
      </c>
      <c r="N234" s="301">
        <f t="shared" si="32"/>
        <v>41549718.840507552</v>
      </c>
      <c r="O234" s="301">
        <f t="shared" si="33"/>
        <v>166314567.36203021</v>
      </c>
      <c r="P234" s="300">
        <f t="shared" si="34"/>
        <v>207864286.20253778</v>
      </c>
    </row>
    <row r="235" spans="1:16" x14ac:dyDescent="0.25">
      <c r="A235" s="267" t="s">
        <v>492</v>
      </c>
      <c r="B235" s="267"/>
      <c r="C235" s="267"/>
      <c r="D235" s="108">
        <v>1</v>
      </c>
      <c r="E235" s="109">
        <f>+E234/G234</f>
        <v>0.20062579317842655</v>
      </c>
      <c r="F235" s="109">
        <f>+F234/G234</f>
        <v>0.7993742068215719</v>
      </c>
      <c r="G235" s="109">
        <f>+E235+F235</f>
        <v>0.99999999999999845</v>
      </c>
      <c r="H235" s="109">
        <f>+H234/J234</f>
        <v>0.19988868506263019</v>
      </c>
      <c r="I235" s="109">
        <f>+I234/J234</f>
        <v>0.80011131493736842</v>
      </c>
      <c r="J235" s="109">
        <f>+H235+I235</f>
        <v>0.99999999999999867</v>
      </c>
      <c r="K235" s="109">
        <f>+K234/M234</f>
        <v>0.19988868506263044</v>
      </c>
      <c r="L235" s="109">
        <f t="shared" ref="L235" si="38">+L234/M234</f>
        <v>0.80011131493736953</v>
      </c>
      <c r="M235" s="109">
        <f>+K235+L235</f>
        <v>1</v>
      </c>
      <c r="N235" s="68"/>
      <c r="O235" s="68"/>
      <c r="P235" s="138"/>
    </row>
    <row r="238" spans="1:16" x14ac:dyDescent="0.25">
      <c r="E238" s="66">
        <f>+M234-D234</f>
        <v>54294188.550590754</v>
      </c>
      <c r="F238" s="109">
        <f>+E238/D234</f>
        <v>0.32085768372219547</v>
      </c>
    </row>
  </sheetData>
  <mergeCells count="7">
    <mergeCell ref="N4:P4"/>
    <mergeCell ref="K4:M4"/>
    <mergeCell ref="A234:C234"/>
    <mergeCell ref="A235:C235"/>
    <mergeCell ref="A3:C3"/>
    <mergeCell ref="E4:G4"/>
    <mergeCell ref="H4:J4"/>
  </mergeCells>
  <hyperlinks>
    <hyperlink ref="E2" r:id="rId1" xr:uid="{00000000-0004-0000-0000-000000000000}"/>
  </hyperlinks>
  <pageMargins left="0.7" right="0.7" top="0.75" bottom="0.75" header="0.3" footer="0.3"/>
  <pageSetup paperSize="9" orientation="portrait" r:id="rId2"/>
  <ignoredErrors>
    <ignoredError sqref="G7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5">
    <tabColor rgb="FF00B0F0"/>
  </sheetPr>
  <dimension ref="A1:S262"/>
  <sheetViews>
    <sheetView topLeftCell="I241" zoomScaleNormal="100" zoomScaleSheetLayoutView="115" workbookViewId="0">
      <selection activeCell="U257" sqref="U257"/>
    </sheetView>
  </sheetViews>
  <sheetFormatPr baseColWidth="10" defaultColWidth="9.140625" defaultRowHeight="11.25" x14ac:dyDescent="0.25"/>
  <cols>
    <col min="1" max="1" width="4.7109375" style="59" customWidth="1"/>
    <col min="2" max="2" width="56.7109375" style="60" customWidth="1"/>
    <col min="3" max="3" width="8.7109375" style="60" customWidth="1"/>
    <col min="4" max="4" width="13.7109375" style="74" customWidth="1"/>
    <col min="5" max="8" width="13.7109375" style="76" customWidth="1"/>
    <col min="9" max="9" width="16.140625" style="76" customWidth="1"/>
    <col min="10" max="10" width="15.85546875" style="76" customWidth="1"/>
    <col min="11" max="13" width="18.140625" style="76" customWidth="1"/>
    <col min="14" max="16" width="13.7109375" style="76" customWidth="1"/>
    <col min="17" max="17" width="13.85546875" style="75" customWidth="1"/>
    <col min="18" max="18" width="14.5703125" style="75" customWidth="1"/>
    <col min="19" max="19" width="14.42578125" style="75" customWidth="1"/>
    <col min="20" max="16384" width="9.140625" style="75"/>
  </cols>
  <sheetData>
    <row r="1" spans="1:19" ht="22.5" customHeight="1" x14ac:dyDescent="0.25"/>
    <row r="2" spans="1:19" x14ac:dyDescent="0.25">
      <c r="A2" s="268" t="s">
        <v>475</v>
      </c>
      <c r="B2" s="268"/>
      <c r="C2" s="268"/>
    </row>
    <row r="3" spans="1:19" s="27" customFormat="1" x14ac:dyDescent="0.25">
      <c r="A3" s="28"/>
      <c r="D3" s="26"/>
      <c r="E3" s="269" t="s">
        <v>473</v>
      </c>
      <c r="F3" s="269"/>
      <c r="G3" s="269"/>
      <c r="H3" s="274" t="s">
        <v>570</v>
      </c>
      <c r="I3" s="275"/>
      <c r="J3" s="276"/>
      <c r="K3" s="270" t="s">
        <v>493</v>
      </c>
      <c r="L3" s="271"/>
      <c r="M3" s="272"/>
      <c r="N3" s="266" t="s">
        <v>480</v>
      </c>
      <c r="O3" s="266"/>
      <c r="P3" s="266"/>
      <c r="Q3" s="295" t="s">
        <v>576</v>
      </c>
      <c r="R3" s="296"/>
      <c r="S3" s="297"/>
    </row>
    <row r="4" spans="1:19" ht="45" x14ac:dyDescent="0.25">
      <c r="A4" s="29" t="s">
        <v>0</v>
      </c>
      <c r="B4" s="30" t="s">
        <v>91</v>
      </c>
      <c r="C4" s="45" t="s">
        <v>152</v>
      </c>
      <c r="D4" s="110" t="s">
        <v>472</v>
      </c>
      <c r="E4" s="89" t="s">
        <v>469</v>
      </c>
      <c r="F4" s="89" t="s">
        <v>470</v>
      </c>
      <c r="G4" s="90" t="s">
        <v>471</v>
      </c>
      <c r="H4" s="233" t="s">
        <v>469</v>
      </c>
      <c r="I4" s="233" t="s">
        <v>470</v>
      </c>
      <c r="J4" s="231" t="s">
        <v>471</v>
      </c>
      <c r="K4" s="178" t="s">
        <v>469</v>
      </c>
      <c r="L4" s="178" t="s">
        <v>470</v>
      </c>
      <c r="M4" s="179" t="s">
        <v>471</v>
      </c>
      <c r="N4" s="97" t="s">
        <v>469</v>
      </c>
      <c r="O4" s="97" t="s">
        <v>470</v>
      </c>
      <c r="P4" s="98" t="s">
        <v>471</v>
      </c>
      <c r="Q4" s="298" t="s">
        <v>574</v>
      </c>
      <c r="R4" s="298" t="s">
        <v>575</v>
      </c>
      <c r="S4" s="299" t="s">
        <v>471</v>
      </c>
    </row>
    <row r="5" spans="1:19" ht="33.75" x14ac:dyDescent="0.25">
      <c r="A5" s="36">
        <v>1</v>
      </c>
      <c r="B5" s="46" t="s">
        <v>154</v>
      </c>
      <c r="C5" s="62" t="s">
        <v>153</v>
      </c>
      <c r="D5" s="111">
        <v>6855961.4319725493</v>
      </c>
      <c r="E5" s="112">
        <v>2073242.7370285001</v>
      </c>
      <c r="F5" s="112">
        <v>8292970.9481140003</v>
      </c>
      <c r="G5" s="112">
        <f>F5+E5</f>
        <v>10366213.6851425</v>
      </c>
      <c r="H5" s="252">
        <v>1627000</v>
      </c>
      <c r="I5" s="252">
        <v>8135000</v>
      </c>
      <c r="J5" s="253">
        <v>9762000</v>
      </c>
      <c r="K5" s="186">
        <f>2073242.7370285-40000</f>
        <v>2033242.7370285001</v>
      </c>
      <c r="L5" s="186">
        <f>8292970.948114-1000</f>
        <v>8291970.9481140003</v>
      </c>
      <c r="M5" s="187">
        <f>K5+L5</f>
        <v>10325213.6851425</v>
      </c>
      <c r="N5" s="99">
        <f>MIN(E5,H5,K5)</f>
        <v>1627000</v>
      </c>
      <c r="O5" s="73">
        <f>MIN(F5,I5,L5)</f>
        <v>8135000</v>
      </c>
      <c r="P5" s="73">
        <f>O5+N5</f>
        <v>9762000</v>
      </c>
      <c r="Q5" s="301">
        <f>N5-(N5*7%)</f>
        <v>1513110</v>
      </c>
      <c r="R5" s="301">
        <f>O5-(O5*7%)</f>
        <v>7565550</v>
      </c>
      <c r="S5" s="300">
        <f>R5+Q5</f>
        <v>9078660</v>
      </c>
    </row>
    <row r="6" spans="1:19" ht="15" x14ac:dyDescent="0.25">
      <c r="A6" s="36">
        <v>2</v>
      </c>
      <c r="B6" s="46" t="s">
        <v>155</v>
      </c>
      <c r="C6" s="62" t="s">
        <v>153</v>
      </c>
      <c r="D6" s="111">
        <v>1178882.8975245787</v>
      </c>
      <c r="E6" s="112">
        <v>341876.04028212768</v>
      </c>
      <c r="F6" s="112">
        <v>1367504.1611285114</v>
      </c>
      <c r="G6" s="112">
        <f t="shared" ref="G6:G47" si="0">F6+E6</f>
        <v>1709380.2014106391</v>
      </c>
      <c r="H6" s="252">
        <v>240000</v>
      </c>
      <c r="I6" s="252">
        <v>1200000</v>
      </c>
      <c r="J6" s="253">
        <v>1440000</v>
      </c>
      <c r="K6" s="186">
        <v>341876.04028212797</v>
      </c>
      <c r="L6" s="186">
        <f>1367504.16112851-1000</f>
        <v>1366504.16112851</v>
      </c>
      <c r="M6" s="187">
        <f t="shared" ref="M6:M69" si="1">K6+L6</f>
        <v>1708380.2014106379</v>
      </c>
      <c r="N6" s="99">
        <f t="shared" ref="N6:N69" si="2">MIN(E6,H6,K6)</f>
        <v>240000</v>
      </c>
      <c r="O6" s="73">
        <f t="shared" ref="O6:O69" si="3">MIN(F6,I6,L6)</f>
        <v>1200000</v>
      </c>
      <c r="P6" s="73">
        <f t="shared" ref="P6:P69" si="4">O6+N6</f>
        <v>1440000</v>
      </c>
      <c r="Q6" s="301">
        <f t="shared" ref="Q6:Q69" si="5">N6-(N6*7%)</f>
        <v>223200</v>
      </c>
      <c r="R6" s="301">
        <f t="shared" ref="R6:R69" si="6">O6-(O6*7%)</f>
        <v>1116000</v>
      </c>
      <c r="S6" s="300">
        <f t="shared" ref="S6:S69" si="7">R6+Q6</f>
        <v>1339200</v>
      </c>
    </row>
    <row r="7" spans="1:19" ht="15" x14ac:dyDescent="0.25">
      <c r="A7" s="36">
        <v>3</v>
      </c>
      <c r="B7" s="46" t="s">
        <v>156</v>
      </c>
      <c r="C7" s="62" t="s">
        <v>153</v>
      </c>
      <c r="D7" s="111">
        <v>309539.08482488932</v>
      </c>
      <c r="E7" s="112">
        <v>89766.334599217866</v>
      </c>
      <c r="F7" s="112">
        <v>359065.33839687164</v>
      </c>
      <c r="G7" s="112">
        <f t="shared" si="0"/>
        <v>448831.6729960895</v>
      </c>
      <c r="H7" s="252">
        <v>72000</v>
      </c>
      <c r="I7" s="252">
        <v>360000</v>
      </c>
      <c r="J7" s="253">
        <v>432000</v>
      </c>
      <c r="K7" s="186">
        <f>89766.3345992179-1000</f>
        <v>88766.334599217895</v>
      </c>
      <c r="L7" s="186">
        <v>359065.33839687164</v>
      </c>
      <c r="M7" s="187">
        <f t="shared" si="1"/>
        <v>447831.67299608956</v>
      </c>
      <c r="N7" s="99">
        <f t="shared" si="2"/>
        <v>72000</v>
      </c>
      <c r="O7" s="73">
        <f t="shared" si="3"/>
        <v>359065.33839687164</v>
      </c>
      <c r="P7" s="73">
        <f t="shared" si="4"/>
        <v>431065.33839687164</v>
      </c>
      <c r="Q7" s="301">
        <f t="shared" si="5"/>
        <v>66960</v>
      </c>
      <c r="R7" s="301">
        <f t="shared" si="6"/>
        <v>333930.76470909064</v>
      </c>
      <c r="S7" s="300">
        <f t="shared" si="7"/>
        <v>400890.76470909064</v>
      </c>
    </row>
    <row r="8" spans="1:19" ht="15" x14ac:dyDescent="0.25">
      <c r="A8" s="36">
        <v>4</v>
      </c>
      <c r="B8" s="46" t="s">
        <v>133</v>
      </c>
      <c r="C8" s="62" t="s">
        <v>153</v>
      </c>
      <c r="D8" s="111">
        <v>3222760.4338984909</v>
      </c>
      <c r="E8" s="112">
        <v>974562.75521090347</v>
      </c>
      <c r="F8" s="112">
        <v>3898251.0208436148</v>
      </c>
      <c r="G8" s="112">
        <f t="shared" si="0"/>
        <v>4872813.7760545183</v>
      </c>
      <c r="H8" s="252">
        <v>840000</v>
      </c>
      <c r="I8" s="252">
        <v>4200000</v>
      </c>
      <c r="J8" s="253">
        <v>5040000</v>
      </c>
      <c r="K8" s="186">
        <f>974562.755210903-1000</f>
        <v>973562.75521090301</v>
      </c>
      <c r="L8" s="186">
        <v>3898251.0208436148</v>
      </c>
      <c r="M8" s="187">
        <f t="shared" si="1"/>
        <v>4871813.7760545183</v>
      </c>
      <c r="N8" s="99">
        <f t="shared" si="2"/>
        <v>840000</v>
      </c>
      <c r="O8" s="73">
        <f t="shared" si="3"/>
        <v>3898251.0208436148</v>
      </c>
      <c r="P8" s="73">
        <f t="shared" si="4"/>
        <v>4738251.0208436148</v>
      </c>
      <c r="Q8" s="301">
        <f t="shared" si="5"/>
        <v>781200</v>
      </c>
      <c r="R8" s="301">
        <f t="shared" si="6"/>
        <v>3625373.4493845617</v>
      </c>
      <c r="S8" s="300">
        <f t="shared" si="7"/>
        <v>4406573.4493845617</v>
      </c>
    </row>
    <row r="9" spans="1:19" ht="15" x14ac:dyDescent="0.25">
      <c r="A9" s="36">
        <v>5</v>
      </c>
      <c r="B9" s="46" t="s">
        <v>4</v>
      </c>
      <c r="C9" s="62" t="s">
        <v>153</v>
      </c>
      <c r="D9" s="111">
        <v>1108034.7868205956</v>
      </c>
      <c r="E9" s="112">
        <v>321330.08817797271</v>
      </c>
      <c r="F9" s="112">
        <v>1285320.3527118908</v>
      </c>
      <c r="G9" s="112">
        <f t="shared" si="0"/>
        <v>1606650.4408898635</v>
      </c>
      <c r="H9" s="252">
        <v>280000</v>
      </c>
      <c r="I9" s="252">
        <v>1400000</v>
      </c>
      <c r="J9" s="253">
        <v>1680000</v>
      </c>
      <c r="K9" s="186">
        <f>321330.088177973-1000</f>
        <v>320330.088177973</v>
      </c>
      <c r="L9" s="186">
        <v>1285320.3527118908</v>
      </c>
      <c r="M9" s="187">
        <f t="shared" si="1"/>
        <v>1605650.4408898638</v>
      </c>
      <c r="N9" s="99">
        <f t="shared" si="2"/>
        <v>280000</v>
      </c>
      <c r="O9" s="73">
        <f t="shared" si="3"/>
        <v>1285320.3527118908</v>
      </c>
      <c r="P9" s="73">
        <f t="shared" si="4"/>
        <v>1565320.3527118908</v>
      </c>
      <c r="Q9" s="301">
        <f t="shared" si="5"/>
        <v>260400</v>
      </c>
      <c r="R9" s="301">
        <f t="shared" si="6"/>
        <v>1195347.9280220584</v>
      </c>
      <c r="S9" s="300">
        <f t="shared" si="7"/>
        <v>1455747.9280220584</v>
      </c>
    </row>
    <row r="10" spans="1:19" ht="15" x14ac:dyDescent="0.25">
      <c r="A10" s="36">
        <v>6</v>
      </c>
      <c r="B10" s="46" t="s">
        <v>96</v>
      </c>
      <c r="C10" s="62" t="s">
        <v>153</v>
      </c>
      <c r="D10" s="111">
        <v>1143692.9137365709</v>
      </c>
      <c r="E10" s="112">
        <v>331670.94498360553</v>
      </c>
      <c r="F10" s="112">
        <v>1326683.7799344221</v>
      </c>
      <c r="G10" s="112">
        <f t="shared" si="0"/>
        <v>1658354.7249180276</v>
      </c>
      <c r="H10" s="252">
        <v>199000</v>
      </c>
      <c r="I10" s="252">
        <v>995000</v>
      </c>
      <c r="J10" s="253">
        <v>1194000</v>
      </c>
      <c r="K10" s="186">
        <f>331670.944983606-1000</f>
        <v>330670.94498360599</v>
      </c>
      <c r="L10" s="186">
        <v>1326683.7799344221</v>
      </c>
      <c r="M10" s="187">
        <f t="shared" si="1"/>
        <v>1657354.7249180281</v>
      </c>
      <c r="N10" s="99">
        <f t="shared" si="2"/>
        <v>199000</v>
      </c>
      <c r="O10" s="73">
        <f t="shared" si="3"/>
        <v>995000</v>
      </c>
      <c r="P10" s="73">
        <f t="shared" si="4"/>
        <v>1194000</v>
      </c>
      <c r="Q10" s="301">
        <f t="shared" si="5"/>
        <v>185070</v>
      </c>
      <c r="R10" s="301">
        <f t="shared" si="6"/>
        <v>925350</v>
      </c>
      <c r="S10" s="300">
        <f t="shared" si="7"/>
        <v>1110420</v>
      </c>
    </row>
    <row r="11" spans="1:19" ht="15" x14ac:dyDescent="0.25">
      <c r="A11" s="36">
        <v>7</v>
      </c>
      <c r="B11" s="46" t="s">
        <v>8</v>
      </c>
      <c r="C11" s="62" t="s">
        <v>153</v>
      </c>
      <c r="D11" s="111">
        <v>204164.07722492705</v>
      </c>
      <c r="E11" s="112">
        <v>59207.582395228848</v>
      </c>
      <c r="F11" s="112">
        <v>236830.32958091539</v>
      </c>
      <c r="G11" s="112">
        <f t="shared" si="0"/>
        <v>296037.91197614424</v>
      </c>
      <c r="H11" s="252">
        <v>48000</v>
      </c>
      <c r="I11" s="252">
        <v>240000</v>
      </c>
      <c r="J11" s="253">
        <v>288000</v>
      </c>
      <c r="K11" s="186">
        <f>59207.5823952288-1000</f>
        <v>58207.582395228797</v>
      </c>
      <c r="L11" s="186">
        <v>236830.32958091539</v>
      </c>
      <c r="M11" s="187">
        <f t="shared" si="1"/>
        <v>295037.91197614418</v>
      </c>
      <c r="N11" s="99">
        <f t="shared" si="2"/>
        <v>48000</v>
      </c>
      <c r="O11" s="73">
        <f t="shared" si="3"/>
        <v>236830.32958091539</v>
      </c>
      <c r="P11" s="73">
        <f t="shared" si="4"/>
        <v>284830.32958091539</v>
      </c>
      <c r="Q11" s="301">
        <f t="shared" si="5"/>
        <v>44640</v>
      </c>
      <c r="R11" s="301">
        <f t="shared" si="6"/>
        <v>220252.20651025133</v>
      </c>
      <c r="S11" s="300">
        <f t="shared" si="7"/>
        <v>264892.20651025133</v>
      </c>
    </row>
    <row r="12" spans="1:19" ht="15" x14ac:dyDescent="0.25">
      <c r="A12" s="36">
        <v>8</v>
      </c>
      <c r="B12" s="46" t="s">
        <v>157</v>
      </c>
      <c r="C12" s="62" t="s">
        <v>153</v>
      </c>
      <c r="D12" s="111">
        <v>349054.71267487528</v>
      </c>
      <c r="E12" s="112">
        <v>101225.8666757138</v>
      </c>
      <c r="F12" s="112">
        <v>404903.46670285537</v>
      </c>
      <c r="G12" s="112">
        <f t="shared" si="0"/>
        <v>506129.33337856916</v>
      </c>
      <c r="H12" s="252">
        <v>82200</v>
      </c>
      <c r="I12" s="252">
        <v>411000</v>
      </c>
      <c r="J12" s="253">
        <v>493200</v>
      </c>
      <c r="K12" s="186">
        <f>101225.866675714-1000</f>
        <v>100225.866675714</v>
      </c>
      <c r="L12" s="186">
        <v>404903.46670285537</v>
      </c>
      <c r="M12" s="187">
        <f t="shared" si="1"/>
        <v>505129.33337856934</v>
      </c>
      <c r="N12" s="99">
        <f t="shared" si="2"/>
        <v>82200</v>
      </c>
      <c r="O12" s="73">
        <f t="shared" si="3"/>
        <v>404903.46670285537</v>
      </c>
      <c r="P12" s="73">
        <f t="shared" si="4"/>
        <v>487103.46670285537</v>
      </c>
      <c r="Q12" s="301">
        <f t="shared" si="5"/>
        <v>76446</v>
      </c>
      <c r="R12" s="301">
        <f t="shared" si="6"/>
        <v>376560.22403365548</v>
      </c>
      <c r="S12" s="300">
        <f t="shared" si="7"/>
        <v>453006.22403365548</v>
      </c>
    </row>
    <row r="13" spans="1:19" ht="15" x14ac:dyDescent="0.25">
      <c r="A13" s="36">
        <v>9</v>
      </c>
      <c r="B13" s="46" t="s">
        <v>10</v>
      </c>
      <c r="C13" s="62" t="s">
        <v>153</v>
      </c>
      <c r="D13" s="111">
        <v>159772.22089825288</v>
      </c>
      <c r="E13" s="112">
        <v>46333.944060493319</v>
      </c>
      <c r="F13" s="112">
        <v>185335.77624197336</v>
      </c>
      <c r="G13" s="112">
        <f t="shared" si="0"/>
        <v>231669.72030246668</v>
      </c>
      <c r="H13" s="252">
        <v>36000</v>
      </c>
      <c r="I13" s="252">
        <v>180000</v>
      </c>
      <c r="J13" s="253">
        <v>216000</v>
      </c>
      <c r="K13" s="186">
        <f>46333.9440604933-1000</f>
        <v>45333.944060493297</v>
      </c>
      <c r="L13" s="186">
        <v>185335.77624197336</v>
      </c>
      <c r="M13" s="187">
        <f t="shared" si="1"/>
        <v>230669.72030246665</v>
      </c>
      <c r="N13" s="99">
        <f t="shared" si="2"/>
        <v>36000</v>
      </c>
      <c r="O13" s="73">
        <f t="shared" si="3"/>
        <v>180000</v>
      </c>
      <c r="P13" s="73">
        <f t="shared" si="4"/>
        <v>216000</v>
      </c>
      <c r="Q13" s="301">
        <f t="shared" si="5"/>
        <v>33480</v>
      </c>
      <c r="R13" s="301">
        <f t="shared" si="6"/>
        <v>167400</v>
      </c>
      <c r="S13" s="300">
        <f t="shared" si="7"/>
        <v>200880</v>
      </c>
    </row>
    <row r="14" spans="1:19" ht="15" x14ac:dyDescent="0.25">
      <c r="A14" s="36">
        <v>10</v>
      </c>
      <c r="B14" s="46" t="s">
        <v>65</v>
      </c>
      <c r="C14" s="62" t="s">
        <v>153</v>
      </c>
      <c r="D14" s="111">
        <v>685796.9352742366</v>
      </c>
      <c r="E14" s="112">
        <v>258881.11122952797</v>
      </c>
      <c r="F14" s="112">
        <v>1035524.4449181121</v>
      </c>
      <c r="G14" s="112">
        <f t="shared" si="0"/>
        <v>1294405.5561476401</v>
      </c>
      <c r="H14" s="252">
        <v>174000</v>
      </c>
      <c r="I14" s="252">
        <v>870000</v>
      </c>
      <c r="J14" s="253">
        <v>1044000</v>
      </c>
      <c r="K14" s="186">
        <f>258881.111229528-1000</f>
        <v>257881.111229528</v>
      </c>
      <c r="L14" s="186">
        <v>1035524.4449181121</v>
      </c>
      <c r="M14" s="187">
        <f t="shared" si="1"/>
        <v>1293405.5561476401</v>
      </c>
      <c r="N14" s="99">
        <f t="shared" si="2"/>
        <v>174000</v>
      </c>
      <c r="O14" s="73">
        <f t="shared" si="3"/>
        <v>870000</v>
      </c>
      <c r="P14" s="73">
        <f t="shared" si="4"/>
        <v>1044000</v>
      </c>
      <c r="Q14" s="301">
        <f t="shared" si="5"/>
        <v>161820</v>
      </c>
      <c r="R14" s="301">
        <f t="shared" si="6"/>
        <v>809100</v>
      </c>
      <c r="S14" s="300">
        <f t="shared" si="7"/>
        <v>970920</v>
      </c>
    </row>
    <row r="15" spans="1:19" ht="15" x14ac:dyDescent="0.25">
      <c r="A15" s="36">
        <v>11</v>
      </c>
      <c r="B15" s="46" t="s">
        <v>9</v>
      </c>
      <c r="C15" s="62" t="s">
        <v>153</v>
      </c>
      <c r="D15" s="111">
        <v>234459.39190991624</v>
      </c>
      <c r="E15" s="112">
        <v>67993.223653875699</v>
      </c>
      <c r="F15" s="112">
        <v>271972.89461550285</v>
      </c>
      <c r="G15" s="112">
        <f t="shared" si="0"/>
        <v>339966.11826937855</v>
      </c>
      <c r="H15" s="252">
        <v>55000</v>
      </c>
      <c r="I15" s="252">
        <v>275000</v>
      </c>
      <c r="J15" s="253">
        <v>330000</v>
      </c>
      <c r="K15" s="186">
        <f>67993.2236538757-1000</f>
        <v>66993.223653875699</v>
      </c>
      <c r="L15" s="186">
        <v>271972.89461550285</v>
      </c>
      <c r="M15" s="187">
        <f t="shared" si="1"/>
        <v>338966.11826937855</v>
      </c>
      <c r="N15" s="99">
        <f t="shared" si="2"/>
        <v>55000</v>
      </c>
      <c r="O15" s="73">
        <f t="shared" si="3"/>
        <v>271972.89461550285</v>
      </c>
      <c r="P15" s="73">
        <f t="shared" si="4"/>
        <v>326972.89461550285</v>
      </c>
      <c r="Q15" s="301">
        <f t="shared" si="5"/>
        <v>51150</v>
      </c>
      <c r="R15" s="301">
        <f t="shared" si="6"/>
        <v>252934.79199241765</v>
      </c>
      <c r="S15" s="300">
        <f t="shared" si="7"/>
        <v>304084.79199241765</v>
      </c>
    </row>
    <row r="16" spans="1:19" ht="15" x14ac:dyDescent="0.2">
      <c r="A16" s="36">
        <v>12</v>
      </c>
      <c r="B16" s="47" t="s">
        <v>158</v>
      </c>
      <c r="C16" s="62" t="s">
        <v>153</v>
      </c>
      <c r="D16" s="111">
        <v>4452468.8801717497</v>
      </c>
      <c r="E16" s="112">
        <v>1346426.5893639363</v>
      </c>
      <c r="F16" s="112">
        <v>5385706.3574557491</v>
      </c>
      <c r="G16" s="112">
        <f t="shared" si="0"/>
        <v>6732132.9468196854</v>
      </c>
      <c r="H16" s="252">
        <v>1080000</v>
      </c>
      <c r="I16" s="252">
        <v>5400000</v>
      </c>
      <c r="J16" s="253">
        <v>6480000</v>
      </c>
      <c r="K16" s="186">
        <f>1346426.58936394-1000</f>
        <v>1345426.5893639401</v>
      </c>
      <c r="L16" s="186">
        <v>5385706.3574557491</v>
      </c>
      <c r="M16" s="187">
        <f t="shared" si="1"/>
        <v>6731132.9468196891</v>
      </c>
      <c r="N16" s="99">
        <f t="shared" si="2"/>
        <v>1080000</v>
      </c>
      <c r="O16" s="73">
        <f t="shared" si="3"/>
        <v>5385706.3574557491</v>
      </c>
      <c r="P16" s="73">
        <f t="shared" si="4"/>
        <v>6465706.3574557491</v>
      </c>
      <c r="Q16" s="301">
        <f t="shared" si="5"/>
        <v>1004400</v>
      </c>
      <c r="R16" s="301">
        <f t="shared" si="6"/>
        <v>5008706.9124338469</v>
      </c>
      <c r="S16" s="300">
        <f t="shared" si="7"/>
        <v>6013106.9124338469</v>
      </c>
    </row>
    <row r="17" spans="1:19" ht="15" x14ac:dyDescent="0.25">
      <c r="A17" s="36">
        <v>13</v>
      </c>
      <c r="B17" s="46" t="s">
        <v>2</v>
      </c>
      <c r="C17" s="62" t="s">
        <v>153</v>
      </c>
      <c r="D17" s="111">
        <v>487896.82268858561</v>
      </c>
      <c r="E17" s="112">
        <v>141490.07857968984</v>
      </c>
      <c r="F17" s="112">
        <v>565960.31431875925</v>
      </c>
      <c r="G17" s="112">
        <f t="shared" si="0"/>
        <v>707450.39289844909</v>
      </c>
      <c r="H17" s="252">
        <v>116000</v>
      </c>
      <c r="I17" s="252">
        <v>580000</v>
      </c>
      <c r="J17" s="253">
        <v>696000</v>
      </c>
      <c r="K17" s="186">
        <f>141490.07857969-1000</f>
        <v>140490.07857968999</v>
      </c>
      <c r="L17" s="186">
        <v>565960.31431875925</v>
      </c>
      <c r="M17" s="187">
        <f t="shared" si="1"/>
        <v>706450.39289844921</v>
      </c>
      <c r="N17" s="99">
        <f t="shared" si="2"/>
        <v>116000</v>
      </c>
      <c r="O17" s="73">
        <f t="shared" si="3"/>
        <v>565960.31431875925</v>
      </c>
      <c r="P17" s="73">
        <f t="shared" si="4"/>
        <v>681960.31431875925</v>
      </c>
      <c r="Q17" s="301">
        <f t="shared" si="5"/>
        <v>107880</v>
      </c>
      <c r="R17" s="301">
        <f t="shared" si="6"/>
        <v>526343.09231644613</v>
      </c>
      <c r="S17" s="300">
        <f t="shared" si="7"/>
        <v>634223.09231644613</v>
      </c>
    </row>
    <row r="18" spans="1:19" ht="15" x14ac:dyDescent="0.25">
      <c r="A18" s="36">
        <v>14</v>
      </c>
      <c r="B18" s="46" t="s">
        <v>3</v>
      </c>
      <c r="C18" s="62" t="s">
        <v>153</v>
      </c>
      <c r="D18" s="111">
        <v>487896.82268858561</v>
      </c>
      <c r="E18" s="112">
        <v>141490.07857968984</v>
      </c>
      <c r="F18" s="112">
        <v>565960.31431875925</v>
      </c>
      <c r="G18" s="112">
        <f t="shared" si="0"/>
        <v>707450.39289844909</v>
      </c>
      <c r="H18" s="252">
        <v>116000</v>
      </c>
      <c r="I18" s="252">
        <v>580000</v>
      </c>
      <c r="J18" s="253">
        <v>696000</v>
      </c>
      <c r="K18" s="186">
        <f>141490.07857969-1000</f>
        <v>140490.07857968999</v>
      </c>
      <c r="L18" s="186">
        <v>565960.31431875925</v>
      </c>
      <c r="M18" s="187">
        <f t="shared" si="1"/>
        <v>706450.39289844921</v>
      </c>
      <c r="N18" s="99">
        <f t="shared" si="2"/>
        <v>116000</v>
      </c>
      <c r="O18" s="73">
        <f t="shared" si="3"/>
        <v>565960.31431875925</v>
      </c>
      <c r="P18" s="73">
        <f t="shared" si="4"/>
        <v>681960.31431875925</v>
      </c>
      <c r="Q18" s="301">
        <f t="shared" si="5"/>
        <v>107880</v>
      </c>
      <c r="R18" s="301">
        <f t="shared" si="6"/>
        <v>526343.09231644613</v>
      </c>
      <c r="S18" s="300">
        <f t="shared" si="7"/>
        <v>634223.09231644613</v>
      </c>
    </row>
    <row r="19" spans="1:19" ht="15" x14ac:dyDescent="0.25">
      <c r="A19" s="36">
        <v>15</v>
      </c>
      <c r="B19" s="46" t="s">
        <v>15</v>
      </c>
      <c r="C19" s="62" t="s">
        <v>153</v>
      </c>
      <c r="D19" s="111">
        <v>1185010.6890471156</v>
      </c>
      <c r="E19" s="112">
        <v>343653.09982366348</v>
      </c>
      <c r="F19" s="112">
        <v>1374612.3992946541</v>
      </c>
      <c r="G19" s="112">
        <f t="shared" si="0"/>
        <v>1718265.4991183176</v>
      </c>
      <c r="H19" s="252">
        <v>300000</v>
      </c>
      <c r="I19" s="252">
        <v>1500000</v>
      </c>
      <c r="J19" s="253">
        <v>1800000</v>
      </c>
      <c r="K19" s="186">
        <f>343653.099823663-1000</f>
        <v>342653.09982366301</v>
      </c>
      <c r="L19" s="186">
        <v>1374612.3992946541</v>
      </c>
      <c r="M19" s="187">
        <f t="shared" si="1"/>
        <v>1717265.4991183172</v>
      </c>
      <c r="N19" s="99">
        <f t="shared" si="2"/>
        <v>300000</v>
      </c>
      <c r="O19" s="73">
        <f t="shared" si="3"/>
        <v>1374612.3992946541</v>
      </c>
      <c r="P19" s="73">
        <f t="shared" si="4"/>
        <v>1674612.3992946541</v>
      </c>
      <c r="Q19" s="301">
        <f t="shared" si="5"/>
        <v>279000</v>
      </c>
      <c r="R19" s="301">
        <f t="shared" si="6"/>
        <v>1278389.5313440284</v>
      </c>
      <c r="S19" s="300">
        <f t="shared" si="7"/>
        <v>1557389.5313440284</v>
      </c>
    </row>
    <row r="20" spans="1:19" ht="15" x14ac:dyDescent="0.25">
      <c r="A20" s="36">
        <v>16</v>
      </c>
      <c r="B20" s="46" t="s">
        <v>105</v>
      </c>
      <c r="C20" s="62" t="s">
        <v>153</v>
      </c>
      <c r="D20" s="111">
        <v>457245.86735294649</v>
      </c>
      <c r="E20" s="112">
        <v>132601.30153235444</v>
      </c>
      <c r="F20" s="112">
        <v>530405.20612941799</v>
      </c>
      <c r="G20" s="112">
        <f t="shared" si="0"/>
        <v>663006.50766177243</v>
      </c>
      <c r="H20" s="252">
        <v>108000</v>
      </c>
      <c r="I20" s="252">
        <v>540000</v>
      </c>
      <c r="J20" s="253">
        <v>648000</v>
      </c>
      <c r="K20" s="186">
        <f>132601.301532354-1000</f>
        <v>131601.301532354</v>
      </c>
      <c r="L20" s="186">
        <v>530405.20612941799</v>
      </c>
      <c r="M20" s="187">
        <f t="shared" si="1"/>
        <v>662006.50766177196</v>
      </c>
      <c r="N20" s="99">
        <f t="shared" si="2"/>
        <v>108000</v>
      </c>
      <c r="O20" s="73">
        <f t="shared" si="3"/>
        <v>530405.20612941799</v>
      </c>
      <c r="P20" s="73">
        <f t="shared" si="4"/>
        <v>638405.20612941799</v>
      </c>
      <c r="Q20" s="301">
        <f t="shared" si="5"/>
        <v>100440</v>
      </c>
      <c r="R20" s="301">
        <f t="shared" si="6"/>
        <v>493276.84170035872</v>
      </c>
      <c r="S20" s="300">
        <f t="shared" si="7"/>
        <v>593716.84170035878</v>
      </c>
    </row>
    <row r="21" spans="1:19" ht="15" x14ac:dyDescent="0.25">
      <c r="A21" s="36">
        <v>17</v>
      </c>
      <c r="B21" s="46" t="s">
        <v>106</v>
      </c>
      <c r="C21" s="62" t="s">
        <v>153</v>
      </c>
      <c r="D21" s="111">
        <v>616443.79445977963</v>
      </c>
      <c r="E21" s="112">
        <v>178768.70039333601</v>
      </c>
      <c r="F21" s="112">
        <v>715074.80157334439</v>
      </c>
      <c r="G21" s="112">
        <f t="shared" si="0"/>
        <v>893843.5019666804</v>
      </c>
      <c r="H21" s="252">
        <v>146000</v>
      </c>
      <c r="I21" s="252">
        <v>730000</v>
      </c>
      <c r="J21" s="253">
        <v>876000</v>
      </c>
      <c r="K21" s="186">
        <f>178768.700393336-1000</f>
        <v>177768.70039333601</v>
      </c>
      <c r="L21" s="186">
        <v>715074.80157334439</v>
      </c>
      <c r="M21" s="187">
        <f t="shared" si="1"/>
        <v>892843.5019666804</v>
      </c>
      <c r="N21" s="99">
        <f t="shared" si="2"/>
        <v>146000</v>
      </c>
      <c r="O21" s="73">
        <f t="shared" si="3"/>
        <v>715074.80157334439</v>
      </c>
      <c r="P21" s="73">
        <f t="shared" si="4"/>
        <v>861074.80157334439</v>
      </c>
      <c r="Q21" s="301">
        <f t="shared" si="5"/>
        <v>135780</v>
      </c>
      <c r="R21" s="301">
        <f t="shared" si="6"/>
        <v>665019.56546321022</v>
      </c>
      <c r="S21" s="300">
        <f t="shared" si="7"/>
        <v>800799.56546321022</v>
      </c>
    </row>
    <row r="22" spans="1:19" ht="15" x14ac:dyDescent="0.25">
      <c r="A22" s="36">
        <v>18</v>
      </c>
      <c r="B22" s="46" t="s">
        <v>6</v>
      </c>
      <c r="C22" s="62" t="s">
        <v>153</v>
      </c>
      <c r="D22" s="111">
        <v>724453.17724974116</v>
      </c>
      <c r="E22" s="112">
        <v>210091.42140242492</v>
      </c>
      <c r="F22" s="112">
        <v>840365.68560969981</v>
      </c>
      <c r="G22" s="112">
        <f t="shared" si="0"/>
        <v>1050457.1070121247</v>
      </c>
      <c r="H22" s="252">
        <v>171000</v>
      </c>
      <c r="I22" s="252">
        <v>855000</v>
      </c>
      <c r="J22" s="253">
        <v>1026000</v>
      </c>
      <c r="K22" s="186">
        <f>210091.421402425-1000</f>
        <v>209091.42140242501</v>
      </c>
      <c r="L22" s="186">
        <v>840365.68560969981</v>
      </c>
      <c r="M22" s="187">
        <f t="shared" si="1"/>
        <v>1049457.1070121247</v>
      </c>
      <c r="N22" s="99">
        <f t="shared" si="2"/>
        <v>171000</v>
      </c>
      <c r="O22" s="73">
        <f t="shared" si="3"/>
        <v>840365.68560969981</v>
      </c>
      <c r="P22" s="73">
        <f t="shared" si="4"/>
        <v>1011365.6856096998</v>
      </c>
      <c r="Q22" s="301">
        <f t="shared" si="5"/>
        <v>159030</v>
      </c>
      <c r="R22" s="301">
        <f t="shared" si="6"/>
        <v>781540.08761702082</v>
      </c>
      <c r="S22" s="300">
        <f t="shared" si="7"/>
        <v>940570.08761702082</v>
      </c>
    </row>
    <row r="23" spans="1:19" ht="15" x14ac:dyDescent="0.25">
      <c r="A23" s="36">
        <v>19</v>
      </c>
      <c r="B23" s="46" t="s">
        <v>159</v>
      </c>
      <c r="C23" s="62" t="s">
        <v>153</v>
      </c>
      <c r="D23" s="111">
        <v>1589179.9169346143</v>
      </c>
      <c r="E23" s="112">
        <v>460862.17591103795</v>
      </c>
      <c r="F23" s="112">
        <v>1843448.7036441525</v>
      </c>
      <c r="G23" s="112">
        <f t="shared" si="0"/>
        <v>2304310.8795551904</v>
      </c>
      <c r="H23" s="252">
        <v>390000</v>
      </c>
      <c r="I23" s="252">
        <v>1950000</v>
      </c>
      <c r="J23" s="253">
        <v>2340000</v>
      </c>
      <c r="K23" s="186">
        <f>460862.175911038-60000</f>
        <v>400862.17591103801</v>
      </c>
      <c r="L23" s="186">
        <v>1843448.7036441525</v>
      </c>
      <c r="M23" s="187">
        <f t="shared" si="1"/>
        <v>2244310.8795551904</v>
      </c>
      <c r="N23" s="99">
        <f t="shared" si="2"/>
        <v>390000</v>
      </c>
      <c r="O23" s="73">
        <f t="shared" si="3"/>
        <v>1843448.7036441525</v>
      </c>
      <c r="P23" s="73">
        <f t="shared" si="4"/>
        <v>2233448.7036441527</v>
      </c>
      <c r="Q23" s="301">
        <f t="shared" si="5"/>
        <v>362700</v>
      </c>
      <c r="R23" s="301">
        <f t="shared" si="6"/>
        <v>1714407.2943890619</v>
      </c>
      <c r="S23" s="300">
        <f t="shared" si="7"/>
        <v>2077107.2943890619</v>
      </c>
    </row>
    <row r="24" spans="1:19" ht="11.25" customHeight="1" x14ac:dyDescent="0.25">
      <c r="A24" s="36">
        <v>20</v>
      </c>
      <c r="B24" s="46" t="s">
        <v>160</v>
      </c>
      <c r="C24" s="62" t="s">
        <v>153</v>
      </c>
      <c r="D24" s="111">
        <v>243480.51</v>
      </c>
      <c r="E24" s="112">
        <v>70609.347899999993</v>
      </c>
      <c r="F24" s="112">
        <v>282437.39160000003</v>
      </c>
      <c r="G24" s="112">
        <f t="shared" si="0"/>
        <v>353046.73950000003</v>
      </c>
      <c r="H24" s="252">
        <v>60000</v>
      </c>
      <c r="I24" s="252">
        <v>300000</v>
      </c>
      <c r="J24" s="253">
        <v>360000</v>
      </c>
      <c r="K24" s="186">
        <f>70609.3479-1000</f>
        <v>69609.347899999993</v>
      </c>
      <c r="L24" s="186">
        <v>282437.39160000003</v>
      </c>
      <c r="M24" s="187">
        <f t="shared" si="1"/>
        <v>352046.73950000003</v>
      </c>
      <c r="N24" s="99">
        <f t="shared" si="2"/>
        <v>60000</v>
      </c>
      <c r="O24" s="73">
        <f t="shared" si="3"/>
        <v>282437.39160000003</v>
      </c>
      <c r="P24" s="73">
        <f t="shared" si="4"/>
        <v>342437.39160000003</v>
      </c>
      <c r="Q24" s="301">
        <f t="shared" si="5"/>
        <v>55800</v>
      </c>
      <c r="R24" s="301">
        <f t="shared" si="6"/>
        <v>262666.77418800001</v>
      </c>
      <c r="S24" s="300">
        <f t="shared" si="7"/>
        <v>318466.77418800001</v>
      </c>
    </row>
    <row r="25" spans="1:19" ht="15" x14ac:dyDescent="0.25">
      <c r="A25" s="36">
        <v>21</v>
      </c>
      <c r="B25" s="46" t="s">
        <v>5</v>
      </c>
      <c r="C25" s="62" t="s">
        <v>153</v>
      </c>
      <c r="D25" s="111">
        <v>158062.51139994353</v>
      </c>
      <c r="E25" s="112">
        <v>45838.128305983613</v>
      </c>
      <c r="F25" s="112">
        <v>183352.51322393448</v>
      </c>
      <c r="G25" s="112">
        <f t="shared" si="0"/>
        <v>229190.6415299181</v>
      </c>
      <c r="H25" s="252">
        <v>37400</v>
      </c>
      <c r="I25" s="252">
        <v>187000</v>
      </c>
      <c r="J25" s="253">
        <v>224400</v>
      </c>
      <c r="K25" s="186">
        <f>45838.1283059836-1000</f>
        <v>44838.128305983599</v>
      </c>
      <c r="L25" s="186">
        <v>183352.51322393448</v>
      </c>
      <c r="M25" s="187">
        <f t="shared" si="1"/>
        <v>228190.64152991807</v>
      </c>
      <c r="N25" s="99">
        <f t="shared" si="2"/>
        <v>37400</v>
      </c>
      <c r="O25" s="73">
        <f t="shared" si="3"/>
        <v>183352.51322393448</v>
      </c>
      <c r="P25" s="73">
        <f t="shared" si="4"/>
        <v>220752.51322393448</v>
      </c>
      <c r="Q25" s="301">
        <f t="shared" si="5"/>
        <v>34782</v>
      </c>
      <c r="R25" s="301">
        <f t="shared" si="6"/>
        <v>170517.83729825908</v>
      </c>
      <c r="S25" s="300">
        <f t="shared" si="7"/>
        <v>205299.83729825908</v>
      </c>
    </row>
    <row r="26" spans="1:19" ht="15" x14ac:dyDescent="0.25">
      <c r="A26" s="36">
        <v>22</v>
      </c>
      <c r="B26" s="46" t="s">
        <v>278</v>
      </c>
      <c r="C26" s="62" t="s">
        <v>153</v>
      </c>
      <c r="D26" s="111">
        <v>612029.6</v>
      </c>
      <c r="E26" s="112">
        <v>177488.58399999992</v>
      </c>
      <c r="F26" s="112">
        <v>709954.33600000001</v>
      </c>
      <c r="G26" s="112">
        <f t="shared" si="0"/>
        <v>887442.91999999993</v>
      </c>
      <c r="H26" s="252">
        <v>156000</v>
      </c>
      <c r="I26" s="252">
        <v>780000</v>
      </c>
      <c r="J26" s="253">
        <v>936000</v>
      </c>
      <c r="K26" s="186">
        <f>177488.584-1000</f>
        <v>176488.584</v>
      </c>
      <c r="L26" s="186">
        <v>709954.33600000001</v>
      </c>
      <c r="M26" s="187">
        <f t="shared" si="1"/>
        <v>886442.92</v>
      </c>
      <c r="N26" s="99">
        <f t="shared" si="2"/>
        <v>156000</v>
      </c>
      <c r="O26" s="73">
        <f t="shared" si="3"/>
        <v>709954.33600000001</v>
      </c>
      <c r="P26" s="73">
        <f t="shared" si="4"/>
        <v>865954.33600000001</v>
      </c>
      <c r="Q26" s="301">
        <f t="shared" si="5"/>
        <v>145080</v>
      </c>
      <c r="R26" s="301">
        <f t="shared" si="6"/>
        <v>660257.53248000005</v>
      </c>
      <c r="S26" s="300">
        <f t="shared" si="7"/>
        <v>805337.53248000005</v>
      </c>
    </row>
    <row r="27" spans="1:19" ht="15" x14ac:dyDescent="0.2">
      <c r="A27" s="36">
        <v>23</v>
      </c>
      <c r="B27" s="47" t="s">
        <v>132</v>
      </c>
      <c r="C27" s="62" t="s">
        <v>153</v>
      </c>
      <c r="D27" s="111">
        <v>832068.72094879742</v>
      </c>
      <c r="E27" s="112">
        <v>241299.92907515122</v>
      </c>
      <c r="F27" s="112">
        <v>965199.7163006051</v>
      </c>
      <c r="G27" s="112">
        <f t="shared" si="0"/>
        <v>1206499.6453757563</v>
      </c>
      <c r="H27" s="252">
        <v>196000</v>
      </c>
      <c r="I27" s="252">
        <v>980000</v>
      </c>
      <c r="J27" s="253">
        <v>1176000</v>
      </c>
      <c r="K27" s="186">
        <f>241299.929075151-1000</f>
        <v>240299.92907515101</v>
      </c>
      <c r="L27" s="186">
        <v>965199.7163006051</v>
      </c>
      <c r="M27" s="187">
        <f t="shared" si="1"/>
        <v>1205499.6453757561</v>
      </c>
      <c r="N27" s="99">
        <f t="shared" si="2"/>
        <v>196000</v>
      </c>
      <c r="O27" s="73">
        <f t="shared" si="3"/>
        <v>965199.7163006051</v>
      </c>
      <c r="P27" s="73">
        <f t="shared" si="4"/>
        <v>1161199.7163006051</v>
      </c>
      <c r="Q27" s="301">
        <f t="shared" si="5"/>
        <v>182280</v>
      </c>
      <c r="R27" s="301">
        <f t="shared" si="6"/>
        <v>897635.73615956272</v>
      </c>
      <c r="S27" s="300">
        <f t="shared" si="7"/>
        <v>1079915.7361595626</v>
      </c>
    </row>
    <row r="28" spans="1:19" ht="15" x14ac:dyDescent="0.2">
      <c r="A28" s="36">
        <v>24</v>
      </c>
      <c r="B28" s="47" t="s">
        <v>149</v>
      </c>
      <c r="C28" s="62" t="s">
        <v>153</v>
      </c>
      <c r="D28" s="111">
        <v>391017.67507637013</v>
      </c>
      <c r="E28" s="112">
        <v>113395.12577214732</v>
      </c>
      <c r="F28" s="112">
        <v>453580.50308858929</v>
      </c>
      <c r="G28" s="112">
        <f t="shared" si="0"/>
        <v>566975.62886073662</v>
      </c>
      <c r="H28" s="252">
        <v>94000</v>
      </c>
      <c r="I28" s="252">
        <v>470000</v>
      </c>
      <c r="J28" s="253">
        <v>564000</v>
      </c>
      <c r="K28" s="186">
        <f>113395.125772147-1000</f>
        <v>112395.125772147</v>
      </c>
      <c r="L28" s="186">
        <v>453580.50308858929</v>
      </c>
      <c r="M28" s="187">
        <f t="shared" si="1"/>
        <v>565975.62886073627</v>
      </c>
      <c r="N28" s="99">
        <f t="shared" si="2"/>
        <v>94000</v>
      </c>
      <c r="O28" s="73">
        <f t="shared" si="3"/>
        <v>453580.50308858929</v>
      </c>
      <c r="P28" s="73">
        <f t="shared" si="4"/>
        <v>547580.50308858929</v>
      </c>
      <c r="Q28" s="301">
        <f t="shared" si="5"/>
        <v>87420</v>
      </c>
      <c r="R28" s="301">
        <f t="shared" si="6"/>
        <v>421829.86787238804</v>
      </c>
      <c r="S28" s="300">
        <f t="shared" si="7"/>
        <v>509249.86787238804</v>
      </c>
    </row>
    <row r="29" spans="1:19" ht="15" x14ac:dyDescent="0.25">
      <c r="A29" s="36">
        <v>25</v>
      </c>
      <c r="B29" s="46" t="s">
        <v>11</v>
      </c>
      <c r="C29" s="62" t="s">
        <v>153</v>
      </c>
      <c r="D29" s="111">
        <v>246343.05839200196</v>
      </c>
      <c r="E29" s="112">
        <v>71439.486933680542</v>
      </c>
      <c r="F29" s="112">
        <v>285757.94773472229</v>
      </c>
      <c r="G29" s="112">
        <f t="shared" si="0"/>
        <v>357197.43466840283</v>
      </c>
      <c r="H29" s="252">
        <v>60000</v>
      </c>
      <c r="I29" s="252">
        <v>300000</v>
      </c>
      <c r="J29" s="253">
        <v>360000</v>
      </c>
      <c r="K29" s="186">
        <f>71439.4869336805-1000</f>
        <v>70439.486933680499</v>
      </c>
      <c r="L29" s="186">
        <v>285757.94773472229</v>
      </c>
      <c r="M29" s="187">
        <f t="shared" si="1"/>
        <v>356197.43466840277</v>
      </c>
      <c r="N29" s="99">
        <f t="shared" si="2"/>
        <v>60000</v>
      </c>
      <c r="O29" s="73">
        <f t="shared" si="3"/>
        <v>285757.94773472229</v>
      </c>
      <c r="P29" s="73">
        <f t="shared" si="4"/>
        <v>345757.94773472229</v>
      </c>
      <c r="Q29" s="301">
        <f t="shared" si="5"/>
        <v>55800</v>
      </c>
      <c r="R29" s="301">
        <f t="shared" si="6"/>
        <v>265754.89139329171</v>
      </c>
      <c r="S29" s="300">
        <f t="shared" si="7"/>
        <v>321554.89139329171</v>
      </c>
    </row>
    <row r="30" spans="1:19" ht="15" x14ac:dyDescent="0.2">
      <c r="A30" s="36">
        <v>26</v>
      </c>
      <c r="B30" s="47" t="s">
        <v>66</v>
      </c>
      <c r="C30" s="62" t="s">
        <v>153</v>
      </c>
      <c r="D30" s="111">
        <v>388570.34052486112</v>
      </c>
      <c r="E30" s="112">
        <v>112685.39875220973</v>
      </c>
      <c r="F30" s="112">
        <v>450741.59500883892</v>
      </c>
      <c r="G30" s="112">
        <f t="shared" si="0"/>
        <v>563426.99376104865</v>
      </c>
      <c r="H30" s="252">
        <v>92000</v>
      </c>
      <c r="I30" s="252">
        <v>460000</v>
      </c>
      <c r="J30" s="253">
        <v>552000</v>
      </c>
      <c r="K30" s="186">
        <f>112685.39875221-1000</f>
        <v>111685.39875221001</v>
      </c>
      <c r="L30" s="186">
        <v>450741.59500883892</v>
      </c>
      <c r="M30" s="187">
        <f t="shared" si="1"/>
        <v>562426.99376104889</v>
      </c>
      <c r="N30" s="99">
        <f t="shared" si="2"/>
        <v>92000</v>
      </c>
      <c r="O30" s="73">
        <f t="shared" si="3"/>
        <v>450741.59500883892</v>
      </c>
      <c r="P30" s="73">
        <f t="shared" si="4"/>
        <v>542741.59500883892</v>
      </c>
      <c r="Q30" s="301">
        <f t="shared" si="5"/>
        <v>85560</v>
      </c>
      <c r="R30" s="301">
        <f t="shared" si="6"/>
        <v>419189.68335822021</v>
      </c>
      <c r="S30" s="300">
        <f t="shared" si="7"/>
        <v>504749.68335822021</v>
      </c>
    </row>
    <row r="31" spans="1:19" ht="15" x14ac:dyDescent="0.25">
      <c r="A31" s="36">
        <v>27</v>
      </c>
      <c r="B31" s="46" t="s">
        <v>101</v>
      </c>
      <c r="C31" s="62" t="s">
        <v>153</v>
      </c>
      <c r="D31" s="111">
        <v>1271086.0291745455</v>
      </c>
      <c r="E31" s="112">
        <v>368614.94846061803</v>
      </c>
      <c r="F31" s="112">
        <v>1474459.7938424731</v>
      </c>
      <c r="G31" s="112">
        <f t="shared" si="0"/>
        <v>1843074.7423030911</v>
      </c>
      <c r="H31" s="252">
        <v>300000</v>
      </c>
      <c r="I31" s="252">
        <v>1500000</v>
      </c>
      <c r="J31" s="253">
        <v>1800000</v>
      </c>
      <c r="K31" s="186">
        <f>368614.948460618-1000</f>
        <v>367614.94846061798</v>
      </c>
      <c r="L31" s="186">
        <v>1474459.7938424731</v>
      </c>
      <c r="M31" s="187">
        <f t="shared" si="1"/>
        <v>1842074.7423030911</v>
      </c>
      <c r="N31" s="99">
        <f t="shared" si="2"/>
        <v>300000</v>
      </c>
      <c r="O31" s="73">
        <f t="shared" si="3"/>
        <v>1474459.7938424731</v>
      </c>
      <c r="P31" s="73">
        <f t="shared" si="4"/>
        <v>1774459.7938424731</v>
      </c>
      <c r="Q31" s="301">
        <f t="shared" si="5"/>
        <v>279000</v>
      </c>
      <c r="R31" s="301">
        <f t="shared" si="6"/>
        <v>1371247.6082734999</v>
      </c>
      <c r="S31" s="300">
        <f t="shared" si="7"/>
        <v>1650247.6082734999</v>
      </c>
    </row>
    <row r="32" spans="1:19" ht="15" x14ac:dyDescent="0.25">
      <c r="A32" s="36">
        <v>28</v>
      </c>
      <c r="B32" s="46" t="s">
        <v>161</v>
      </c>
      <c r="C32" s="62" t="s">
        <v>153</v>
      </c>
      <c r="D32" s="111">
        <v>259475.58</v>
      </c>
      <c r="E32" s="112">
        <v>75247.918199999956</v>
      </c>
      <c r="F32" s="112">
        <v>300991.6728</v>
      </c>
      <c r="G32" s="112">
        <f t="shared" si="0"/>
        <v>376239.59099999996</v>
      </c>
      <c r="H32" s="252">
        <v>68000</v>
      </c>
      <c r="I32" s="252">
        <v>340000</v>
      </c>
      <c r="J32" s="253">
        <v>408000</v>
      </c>
      <c r="K32" s="186">
        <f>75247.9182-1000</f>
        <v>74247.9182</v>
      </c>
      <c r="L32" s="186">
        <v>300991.6728</v>
      </c>
      <c r="M32" s="187">
        <f t="shared" si="1"/>
        <v>375239.59100000001</v>
      </c>
      <c r="N32" s="99">
        <f t="shared" si="2"/>
        <v>68000</v>
      </c>
      <c r="O32" s="73">
        <f t="shared" si="3"/>
        <v>300991.6728</v>
      </c>
      <c r="P32" s="73">
        <f t="shared" si="4"/>
        <v>368991.6728</v>
      </c>
      <c r="Q32" s="301">
        <f t="shared" si="5"/>
        <v>63240</v>
      </c>
      <c r="R32" s="301">
        <f t="shared" si="6"/>
        <v>279922.25570400001</v>
      </c>
      <c r="S32" s="300">
        <f t="shared" si="7"/>
        <v>343162.25570400001</v>
      </c>
    </row>
    <row r="33" spans="1:19" ht="15" x14ac:dyDescent="0.25">
      <c r="A33" s="36">
        <v>29</v>
      </c>
      <c r="B33" s="46" t="s">
        <v>13</v>
      </c>
      <c r="C33" s="62" t="s">
        <v>153</v>
      </c>
      <c r="D33" s="111">
        <v>1222933.9208948407</v>
      </c>
      <c r="E33" s="112">
        <v>354650.83705950365</v>
      </c>
      <c r="F33" s="112">
        <v>1418603.3482380153</v>
      </c>
      <c r="G33" s="112">
        <f t="shared" si="0"/>
        <v>1773254.185297519</v>
      </c>
      <c r="H33" s="252">
        <v>320000</v>
      </c>
      <c r="I33" s="252">
        <v>1600000</v>
      </c>
      <c r="J33" s="253">
        <v>1920000</v>
      </c>
      <c r="K33" s="186">
        <f>354650.837059504-1000</f>
        <v>353650.837059504</v>
      </c>
      <c r="L33" s="186">
        <v>1418603.3482380153</v>
      </c>
      <c r="M33" s="187">
        <f t="shared" si="1"/>
        <v>1772254.1852975194</v>
      </c>
      <c r="N33" s="99">
        <f t="shared" si="2"/>
        <v>320000</v>
      </c>
      <c r="O33" s="73">
        <f t="shared" si="3"/>
        <v>1418603.3482380153</v>
      </c>
      <c r="P33" s="73">
        <f t="shared" si="4"/>
        <v>1738603.3482380153</v>
      </c>
      <c r="Q33" s="301">
        <f t="shared" si="5"/>
        <v>297600</v>
      </c>
      <c r="R33" s="301">
        <f t="shared" si="6"/>
        <v>1319301.1138613543</v>
      </c>
      <c r="S33" s="300">
        <f t="shared" si="7"/>
        <v>1616901.1138613543</v>
      </c>
    </row>
    <row r="34" spans="1:19" ht="15" x14ac:dyDescent="0.25">
      <c r="A34" s="36">
        <v>30</v>
      </c>
      <c r="B34" s="46" t="s">
        <v>14</v>
      </c>
      <c r="C34" s="62" t="s">
        <v>153</v>
      </c>
      <c r="D34" s="111">
        <v>450231.6</v>
      </c>
      <c r="E34" s="112">
        <v>130567.16399999999</v>
      </c>
      <c r="F34" s="112">
        <v>522268.65599999996</v>
      </c>
      <c r="G34" s="112">
        <f t="shared" si="0"/>
        <v>652835.81999999995</v>
      </c>
      <c r="H34" s="252">
        <v>120000</v>
      </c>
      <c r="I34" s="252">
        <v>600000</v>
      </c>
      <c r="J34" s="253">
        <v>720000</v>
      </c>
      <c r="K34" s="186">
        <f>130567.164-1000</f>
        <v>129567.164</v>
      </c>
      <c r="L34" s="186">
        <v>522268.65599999996</v>
      </c>
      <c r="M34" s="187">
        <f t="shared" si="1"/>
        <v>651835.81999999995</v>
      </c>
      <c r="N34" s="99">
        <f t="shared" si="2"/>
        <v>120000</v>
      </c>
      <c r="O34" s="73">
        <f t="shared" si="3"/>
        <v>522268.65599999996</v>
      </c>
      <c r="P34" s="73">
        <f t="shared" si="4"/>
        <v>642268.65599999996</v>
      </c>
      <c r="Q34" s="301">
        <f t="shared" si="5"/>
        <v>111600</v>
      </c>
      <c r="R34" s="301">
        <f t="shared" si="6"/>
        <v>485709.85007999995</v>
      </c>
      <c r="S34" s="300">
        <f t="shared" si="7"/>
        <v>597309.85008</v>
      </c>
    </row>
    <row r="35" spans="1:19" ht="15" x14ac:dyDescent="0.2">
      <c r="A35" s="36">
        <v>31</v>
      </c>
      <c r="B35" s="47" t="s">
        <v>162</v>
      </c>
      <c r="C35" s="62" t="s">
        <v>153</v>
      </c>
      <c r="D35" s="111">
        <v>1033992.2620746304</v>
      </c>
      <c r="E35" s="112">
        <v>299857.75600164267</v>
      </c>
      <c r="F35" s="112">
        <v>1199431.0240065714</v>
      </c>
      <c r="G35" s="112">
        <f t="shared" si="0"/>
        <v>1499288.7800082141</v>
      </c>
      <c r="H35" s="252">
        <v>244000</v>
      </c>
      <c r="I35" s="252">
        <v>1220000</v>
      </c>
      <c r="J35" s="253">
        <v>1464000</v>
      </c>
      <c r="K35" s="186">
        <f>299857.756001643-1000</f>
        <v>298857.75600164302</v>
      </c>
      <c r="L35" s="186">
        <v>1199431.0240065714</v>
      </c>
      <c r="M35" s="187">
        <f t="shared" si="1"/>
        <v>1498288.7800082145</v>
      </c>
      <c r="N35" s="99">
        <f t="shared" si="2"/>
        <v>244000</v>
      </c>
      <c r="O35" s="73">
        <f t="shared" si="3"/>
        <v>1199431.0240065714</v>
      </c>
      <c r="P35" s="73">
        <f t="shared" si="4"/>
        <v>1443431.0240065714</v>
      </c>
      <c r="Q35" s="301">
        <f t="shared" si="5"/>
        <v>226920</v>
      </c>
      <c r="R35" s="301">
        <f t="shared" si="6"/>
        <v>1115470.8523261114</v>
      </c>
      <c r="S35" s="300">
        <f t="shared" si="7"/>
        <v>1342390.8523261114</v>
      </c>
    </row>
    <row r="36" spans="1:19" ht="15" x14ac:dyDescent="0.25">
      <c r="A36" s="36">
        <v>32</v>
      </c>
      <c r="B36" s="46" t="s">
        <v>151</v>
      </c>
      <c r="C36" s="62" t="s">
        <v>153</v>
      </c>
      <c r="D36" s="111">
        <v>125132.82152495526</v>
      </c>
      <c r="E36" s="112">
        <v>36288.518242237013</v>
      </c>
      <c r="F36" s="112">
        <v>145154.07296894811</v>
      </c>
      <c r="G36" s="112">
        <f t="shared" si="0"/>
        <v>181442.59121118512</v>
      </c>
      <c r="H36" s="252">
        <v>30000</v>
      </c>
      <c r="I36" s="252">
        <v>150000</v>
      </c>
      <c r="J36" s="253">
        <v>180000</v>
      </c>
      <c r="K36" s="186">
        <f>36288.518242237-1000</f>
        <v>35288.518242236998</v>
      </c>
      <c r="L36" s="186">
        <v>145154.07296894811</v>
      </c>
      <c r="M36" s="187">
        <f t="shared" si="1"/>
        <v>180442.59121118509</v>
      </c>
      <c r="N36" s="99">
        <f t="shared" si="2"/>
        <v>30000</v>
      </c>
      <c r="O36" s="73">
        <f t="shared" si="3"/>
        <v>145154.07296894811</v>
      </c>
      <c r="P36" s="73">
        <f t="shared" si="4"/>
        <v>175154.07296894811</v>
      </c>
      <c r="Q36" s="301">
        <f t="shared" si="5"/>
        <v>27900</v>
      </c>
      <c r="R36" s="301">
        <f t="shared" si="6"/>
        <v>134993.28786112173</v>
      </c>
      <c r="S36" s="300">
        <f t="shared" si="7"/>
        <v>162893.28786112173</v>
      </c>
    </row>
    <row r="37" spans="1:19" ht="15" x14ac:dyDescent="0.25">
      <c r="A37" s="36">
        <v>33</v>
      </c>
      <c r="B37" s="46" t="s">
        <v>163</v>
      </c>
      <c r="C37" s="62" t="s">
        <v>153</v>
      </c>
      <c r="D37" s="111">
        <v>116110.0864992085</v>
      </c>
      <c r="E37" s="112">
        <v>33671.925084770453</v>
      </c>
      <c r="F37" s="112">
        <v>134687.70033908187</v>
      </c>
      <c r="G37" s="112">
        <f t="shared" si="0"/>
        <v>168359.62542385233</v>
      </c>
      <c r="H37" s="252">
        <v>28000</v>
      </c>
      <c r="I37" s="252">
        <v>140000</v>
      </c>
      <c r="J37" s="253">
        <v>168000</v>
      </c>
      <c r="K37" s="186">
        <f>33671.9250847705-1000</f>
        <v>32671.925084770497</v>
      </c>
      <c r="L37" s="186">
        <v>134687.70033908187</v>
      </c>
      <c r="M37" s="187">
        <f t="shared" si="1"/>
        <v>167359.62542385235</v>
      </c>
      <c r="N37" s="99">
        <f t="shared" si="2"/>
        <v>28000</v>
      </c>
      <c r="O37" s="73">
        <f t="shared" si="3"/>
        <v>134687.70033908187</v>
      </c>
      <c r="P37" s="73">
        <f t="shared" si="4"/>
        <v>162687.70033908187</v>
      </c>
      <c r="Q37" s="301">
        <f t="shared" si="5"/>
        <v>26040</v>
      </c>
      <c r="R37" s="301">
        <f t="shared" si="6"/>
        <v>125259.56131534615</v>
      </c>
      <c r="S37" s="300">
        <f t="shared" si="7"/>
        <v>151299.56131534616</v>
      </c>
    </row>
    <row r="38" spans="1:19" ht="15" x14ac:dyDescent="0.25">
      <c r="A38" s="36">
        <v>34</v>
      </c>
      <c r="B38" s="46" t="s">
        <v>164</v>
      </c>
      <c r="C38" s="62" t="s">
        <v>153</v>
      </c>
      <c r="D38" s="111">
        <v>243679.70507491284</v>
      </c>
      <c r="E38" s="112">
        <v>70667.114471724723</v>
      </c>
      <c r="F38" s="112">
        <v>282668.45788689889</v>
      </c>
      <c r="G38" s="112">
        <f t="shared" si="0"/>
        <v>353335.57235862361</v>
      </c>
      <c r="H38" s="252">
        <v>60000</v>
      </c>
      <c r="I38" s="252">
        <v>300000</v>
      </c>
      <c r="J38" s="253">
        <v>360000</v>
      </c>
      <c r="K38" s="186">
        <f>70667.1144717247-1000</f>
        <v>69667.114471724693</v>
      </c>
      <c r="L38" s="186">
        <v>282668.45788689889</v>
      </c>
      <c r="M38" s="187">
        <f t="shared" si="1"/>
        <v>352335.57235862361</v>
      </c>
      <c r="N38" s="99">
        <f t="shared" si="2"/>
        <v>60000</v>
      </c>
      <c r="O38" s="73">
        <f t="shared" si="3"/>
        <v>282668.45788689889</v>
      </c>
      <c r="P38" s="73">
        <f t="shared" si="4"/>
        <v>342668.45788689889</v>
      </c>
      <c r="Q38" s="301">
        <f t="shared" si="5"/>
        <v>55800</v>
      </c>
      <c r="R38" s="301">
        <f t="shared" si="6"/>
        <v>262881.66583481594</v>
      </c>
      <c r="S38" s="300">
        <f t="shared" si="7"/>
        <v>318681.66583481594</v>
      </c>
    </row>
    <row r="39" spans="1:19" ht="15" x14ac:dyDescent="0.25">
      <c r="A39" s="36">
        <v>35</v>
      </c>
      <c r="B39" s="46" t="s">
        <v>165</v>
      </c>
      <c r="C39" s="62" t="s">
        <v>153</v>
      </c>
      <c r="D39" s="111">
        <v>95000</v>
      </c>
      <c r="E39" s="112">
        <v>28500</v>
      </c>
      <c r="F39" s="112">
        <v>114000</v>
      </c>
      <c r="G39" s="112">
        <f t="shared" si="0"/>
        <v>142500</v>
      </c>
      <c r="H39" s="252">
        <v>22600</v>
      </c>
      <c r="I39" s="252">
        <v>113000</v>
      </c>
      <c r="J39" s="253">
        <v>135600</v>
      </c>
      <c r="K39" s="186">
        <f>28500-500</f>
        <v>28000</v>
      </c>
      <c r="L39" s="186">
        <v>114000</v>
      </c>
      <c r="M39" s="187">
        <f t="shared" si="1"/>
        <v>142000</v>
      </c>
      <c r="N39" s="99">
        <f t="shared" si="2"/>
        <v>22600</v>
      </c>
      <c r="O39" s="73">
        <f t="shared" si="3"/>
        <v>113000</v>
      </c>
      <c r="P39" s="73">
        <f t="shared" si="4"/>
        <v>135600</v>
      </c>
      <c r="Q39" s="301">
        <f t="shared" si="5"/>
        <v>21018</v>
      </c>
      <c r="R39" s="301">
        <f t="shared" si="6"/>
        <v>105090</v>
      </c>
      <c r="S39" s="300">
        <f t="shared" si="7"/>
        <v>126108</v>
      </c>
    </row>
    <row r="40" spans="1:19" ht="15" x14ac:dyDescent="0.25">
      <c r="A40" s="36">
        <v>36</v>
      </c>
      <c r="B40" s="46" t="s">
        <v>12</v>
      </c>
      <c r="C40" s="62" t="s">
        <v>153</v>
      </c>
      <c r="D40" s="111">
        <v>3767272.3895669999</v>
      </c>
      <c r="E40" s="112">
        <v>1139223.1706050606</v>
      </c>
      <c r="F40" s="135">
        <v>4556892.6824202435</v>
      </c>
      <c r="G40" s="112">
        <f t="shared" si="0"/>
        <v>5696115.8530253042</v>
      </c>
      <c r="H40" s="252">
        <v>850000</v>
      </c>
      <c r="I40" s="252">
        <v>4250000</v>
      </c>
      <c r="J40" s="253">
        <v>5100000</v>
      </c>
      <c r="K40" s="186">
        <f>1139223.17060506-30000</f>
        <v>1109223.1706050599</v>
      </c>
      <c r="L40" s="186">
        <f>4556892.68242024-20000</f>
        <v>4536892.6824202398</v>
      </c>
      <c r="M40" s="187">
        <f t="shared" si="1"/>
        <v>5646115.8530252995</v>
      </c>
      <c r="N40" s="99">
        <f t="shared" si="2"/>
        <v>850000</v>
      </c>
      <c r="O40" s="73">
        <f t="shared" si="3"/>
        <v>4250000</v>
      </c>
      <c r="P40" s="73">
        <f t="shared" si="4"/>
        <v>5100000</v>
      </c>
      <c r="Q40" s="301">
        <f t="shared" si="5"/>
        <v>790500</v>
      </c>
      <c r="R40" s="301">
        <f t="shared" si="6"/>
        <v>3952500</v>
      </c>
      <c r="S40" s="300">
        <f t="shared" si="7"/>
        <v>4743000</v>
      </c>
    </row>
    <row r="41" spans="1:19" ht="15" x14ac:dyDescent="0.25">
      <c r="A41" s="36">
        <v>37</v>
      </c>
      <c r="B41" s="46" t="s">
        <v>166</v>
      </c>
      <c r="C41" s="62" t="s">
        <v>153</v>
      </c>
      <c r="D41" s="111">
        <v>1161123.6000000001</v>
      </c>
      <c r="E41" s="112">
        <v>336725.84399999981</v>
      </c>
      <c r="F41" s="112">
        <v>1346903.3760000002</v>
      </c>
      <c r="G41" s="112">
        <f t="shared" si="0"/>
        <v>1683629.22</v>
      </c>
      <c r="H41" s="252">
        <v>294000</v>
      </c>
      <c r="I41" s="252">
        <v>1470000</v>
      </c>
      <c r="J41" s="253">
        <v>1764000</v>
      </c>
      <c r="K41" s="186">
        <f>336725.844-1000</f>
        <v>335725.84399999998</v>
      </c>
      <c r="L41" s="186">
        <v>1346903.3760000002</v>
      </c>
      <c r="M41" s="187">
        <f t="shared" si="1"/>
        <v>1682629.2200000002</v>
      </c>
      <c r="N41" s="99">
        <f t="shared" si="2"/>
        <v>294000</v>
      </c>
      <c r="O41" s="73">
        <f t="shared" si="3"/>
        <v>1346903.3760000002</v>
      </c>
      <c r="P41" s="73">
        <f t="shared" si="4"/>
        <v>1640903.3760000002</v>
      </c>
      <c r="Q41" s="301">
        <f t="shared" si="5"/>
        <v>273420</v>
      </c>
      <c r="R41" s="301">
        <f t="shared" si="6"/>
        <v>1252620.13968</v>
      </c>
      <c r="S41" s="300">
        <f t="shared" si="7"/>
        <v>1526040.13968</v>
      </c>
    </row>
    <row r="42" spans="1:19" ht="15" x14ac:dyDescent="0.25">
      <c r="A42" s="36">
        <v>38</v>
      </c>
      <c r="B42" s="46" t="s">
        <v>7</v>
      </c>
      <c r="C42" s="62" t="s">
        <v>153</v>
      </c>
      <c r="D42" s="111">
        <v>420611.1</v>
      </c>
      <c r="E42" s="112">
        <v>121977.21899999998</v>
      </c>
      <c r="F42" s="112">
        <v>487908.87599999999</v>
      </c>
      <c r="G42" s="112">
        <f t="shared" si="0"/>
        <v>609886.09499999997</v>
      </c>
      <c r="H42" s="252">
        <v>106000</v>
      </c>
      <c r="I42" s="252">
        <v>530000</v>
      </c>
      <c r="J42" s="253">
        <v>636000</v>
      </c>
      <c r="K42" s="186">
        <f>121977.219-1000</f>
        <v>120977.219</v>
      </c>
      <c r="L42" s="186">
        <v>487908.87599999999</v>
      </c>
      <c r="M42" s="187">
        <f t="shared" si="1"/>
        <v>608886.09499999997</v>
      </c>
      <c r="N42" s="99">
        <f t="shared" si="2"/>
        <v>106000</v>
      </c>
      <c r="O42" s="73">
        <f t="shared" si="3"/>
        <v>487908.87599999999</v>
      </c>
      <c r="P42" s="73">
        <f t="shared" si="4"/>
        <v>593908.87599999993</v>
      </c>
      <c r="Q42" s="301">
        <f t="shared" si="5"/>
        <v>98580</v>
      </c>
      <c r="R42" s="301">
        <f t="shared" si="6"/>
        <v>453755.25468000001</v>
      </c>
      <c r="S42" s="300">
        <f t="shared" si="7"/>
        <v>552335.25468000001</v>
      </c>
    </row>
    <row r="43" spans="1:19" ht="15" x14ac:dyDescent="0.2">
      <c r="A43" s="36">
        <v>39</v>
      </c>
      <c r="B43" s="47" t="s">
        <v>353</v>
      </c>
      <c r="C43" s="62" t="s">
        <v>153</v>
      </c>
      <c r="D43" s="111">
        <v>374668.74264723598</v>
      </c>
      <c r="E43" s="112">
        <v>108653.93536769843</v>
      </c>
      <c r="F43" s="112">
        <v>434615.74147079373</v>
      </c>
      <c r="G43" s="112">
        <f t="shared" si="0"/>
        <v>543269.67683849216</v>
      </c>
      <c r="H43" s="252">
        <v>88400</v>
      </c>
      <c r="I43" s="252">
        <v>442000</v>
      </c>
      <c r="J43" s="253">
        <v>530400</v>
      </c>
      <c r="K43" s="186">
        <f>108653.935367698-1000</f>
        <v>107653.935367698</v>
      </c>
      <c r="L43" s="186">
        <v>434615.74147079373</v>
      </c>
      <c r="M43" s="187">
        <f t="shared" si="1"/>
        <v>542269.67683849169</v>
      </c>
      <c r="N43" s="99">
        <f t="shared" si="2"/>
        <v>88400</v>
      </c>
      <c r="O43" s="73">
        <f t="shared" si="3"/>
        <v>434615.74147079373</v>
      </c>
      <c r="P43" s="73">
        <f t="shared" si="4"/>
        <v>523015.74147079373</v>
      </c>
      <c r="Q43" s="301">
        <f t="shared" si="5"/>
        <v>82212</v>
      </c>
      <c r="R43" s="301">
        <f t="shared" si="6"/>
        <v>404192.63956783817</v>
      </c>
      <c r="S43" s="300">
        <f t="shared" si="7"/>
        <v>486404.63956783817</v>
      </c>
    </row>
    <row r="44" spans="1:19" ht="15" x14ac:dyDescent="0.2">
      <c r="A44" s="36">
        <v>40</v>
      </c>
      <c r="B44" s="47" t="s">
        <v>109</v>
      </c>
      <c r="C44" s="62" t="s">
        <v>153</v>
      </c>
      <c r="D44" s="111">
        <v>766414.86113336869</v>
      </c>
      <c r="E44" s="112">
        <v>222260.30972867692</v>
      </c>
      <c r="F44" s="112">
        <v>889041.23891470768</v>
      </c>
      <c r="G44" s="112">
        <f t="shared" si="0"/>
        <v>1111301.5486433846</v>
      </c>
      <c r="H44" s="252">
        <v>180000</v>
      </c>
      <c r="I44" s="252">
        <v>900000</v>
      </c>
      <c r="J44" s="253">
        <v>1080000</v>
      </c>
      <c r="K44" s="186">
        <f>222260.309728677-1000</f>
        <v>221260.30972867701</v>
      </c>
      <c r="L44" s="186">
        <v>889041.23891470768</v>
      </c>
      <c r="M44" s="187">
        <f t="shared" si="1"/>
        <v>1110301.5486433846</v>
      </c>
      <c r="N44" s="99">
        <f t="shared" si="2"/>
        <v>180000</v>
      </c>
      <c r="O44" s="73">
        <f t="shared" si="3"/>
        <v>889041.23891470768</v>
      </c>
      <c r="P44" s="73">
        <f t="shared" si="4"/>
        <v>1069041.2389147077</v>
      </c>
      <c r="Q44" s="301">
        <f t="shared" si="5"/>
        <v>167400</v>
      </c>
      <c r="R44" s="301">
        <f t="shared" si="6"/>
        <v>826808.35219067812</v>
      </c>
      <c r="S44" s="300">
        <f t="shared" si="7"/>
        <v>994208.35219067812</v>
      </c>
    </row>
    <row r="45" spans="1:19" ht="15" x14ac:dyDescent="0.25">
      <c r="A45" s="36">
        <v>41</v>
      </c>
      <c r="B45" s="48" t="s">
        <v>89</v>
      </c>
      <c r="C45" s="62" t="s">
        <v>153</v>
      </c>
      <c r="D45" s="111">
        <v>109030.70484041289</v>
      </c>
      <c r="E45" s="112">
        <v>31618.904403719731</v>
      </c>
      <c r="F45" s="112">
        <v>126475.61761487895</v>
      </c>
      <c r="G45" s="112">
        <f t="shared" si="0"/>
        <v>158094.52201859868</v>
      </c>
      <c r="H45" s="252">
        <v>25600</v>
      </c>
      <c r="I45" s="252">
        <v>128000</v>
      </c>
      <c r="J45" s="253">
        <v>153600</v>
      </c>
      <c r="K45" s="186">
        <f>31618.9044037197-1000</f>
        <v>30618.904403719702</v>
      </c>
      <c r="L45" s="186">
        <v>126475.61761487895</v>
      </c>
      <c r="M45" s="187">
        <f t="shared" si="1"/>
        <v>157094.52201859865</v>
      </c>
      <c r="N45" s="99">
        <f t="shared" si="2"/>
        <v>25600</v>
      </c>
      <c r="O45" s="73">
        <f t="shared" si="3"/>
        <v>126475.61761487895</v>
      </c>
      <c r="P45" s="73">
        <f t="shared" si="4"/>
        <v>152075.61761487895</v>
      </c>
      <c r="Q45" s="301">
        <f t="shared" si="5"/>
        <v>23808</v>
      </c>
      <c r="R45" s="301">
        <f t="shared" si="6"/>
        <v>117622.32438183742</v>
      </c>
      <c r="S45" s="300">
        <f t="shared" si="7"/>
        <v>141430.32438183742</v>
      </c>
    </row>
    <row r="46" spans="1:19" ht="15" x14ac:dyDescent="0.25">
      <c r="A46" s="36">
        <v>42</v>
      </c>
      <c r="B46" s="48" t="s">
        <v>282</v>
      </c>
      <c r="C46" s="62" t="s">
        <v>153</v>
      </c>
      <c r="D46" s="111">
        <v>180000</v>
      </c>
      <c r="E46" s="112">
        <v>52200</v>
      </c>
      <c r="F46" s="112">
        <v>208800</v>
      </c>
      <c r="G46" s="112">
        <f t="shared" si="0"/>
        <v>261000</v>
      </c>
      <c r="H46" s="252">
        <v>43000</v>
      </c>
      <c r="I46" s="252">
        <v>215000</v>
      </c>
      <c r="J46" s="253">
        <v>258000</v>
      </c>
      <c r="K46" s="186">
        <f>52200-1000</f>
        <v>51200</v>
      </c>
      <c r="L46" s="186">
        <v>208800</v>
      </c>
      <c r="M46" s="187">
        <f t="shared" si="1"/>
        <v>260000</v>
      </c>
      <c r="N46" s="99">
        <f t="shared" si="2"/>
        <v>43000</v>
      </c>
      <c r="O46" s="73">
        <f t="shared" si="3"/>
        <v>208800</v>
      </c>
      <c r="P46" s="73">
        <f t="shared" si="4"/>
        <v>251800</v>
      </c>
      <c r="Q46" s="301">
        <f t="shared" si="5"/>
        <v>39990</v>
      </c>
      <c r="R46" s="301">
        <f t="shared" si="6"/>
        <v>194184</v>
      </c>
      <c r="S46" s="300">
        <f t="shared" si="7"/>
        <v>234174</v>
      </c>
    </row>
    <row r="47" spans="1:19" ht="15" x14ac:dyDescent="0.25">
      <c r="A47" s="36">
        <v>43</v>
      </c>
      <c r="B47" s="46" t="s">
        <v>265</v>
      </c>
      <c r="C47" s="62" t="s">
        <v>153</v>
      </c>
      <c r="D47" s="111">
        <v>675347.4</v>
      </c>
      <c r="E47" s="112">
        <v>195850.74599999993</v>
      </c>
      <c r="F47" s="112">
        <v>783402.98400000005</v>
      </c>
      <c r="G47" s="112">
        <f t="shared" si="0"/>
        <v>979253.73</v>
      </c>
      <c r="H47" s="252">
        <v>165000</v>
      </c>
      <c r="I47" s="252">
        <v>825000</v>
      </c>
      <c r="J47" s="253">
        <v>990000</v>
      </c>
      <c r="K47" s="186">
        <f>195850.746-1000</f>
        <v>194850.74600000001</v>
      </c>
      <c r="L47" s="186">
        <v>783402.98400000005</v>
      </c>
      <c r="M47" s="187">
        <f t="shared" si="1"/>
        <v>978253.7300000001</v>
      </c>
      <c r="N47" s="99">
        <f t="shared" si="2"/>
        <v>165000</v>
      </c>
      <c r="O47" s="73">
        <f t="shared" si="3"/>
        <v>783402.98400000005</v>
      </c>
      <c r="P47" s="73">
        <f t="shared" si="4"/>
        <v>948402.98400000005</v>
      </c>
      <c r="Q47" s="301">
        <f t="shared" si="5"/>
        <v>153450</v>
      </c>
      <c r="R47" s="301">
        <f t="shared" si="6"/>
        <v>728564.77512000001</v>
      </c>
      <c r="S47" s="300">
        <f t="shared" si="7"/>
        <v>882014.77512000001</v>
      </c>
    </row>
    <row r="48" spans="1:19" ht="22.5" x14ac:dyDescent="0.25">
      <c r="A48" s="36"/>
      <c r="B48" s="30" t="s">
        <v>22</v>
      </c>
      <c r="C48" s="62" t="s">
        <v>153</v>
      </c>
      <c r="D48" s="111"/>
      <c r="E48" s="112"/>
      <c r="F48" s="112"/>
      <c r="G48" s="112"/>
      <c r="H48" s="252">
        <v>0</v>
      </c>
      <c r="I48" s="252"/>
      <c r="J48" s="253">
        <v>0</v>
      </c>
      <c r="K48" s="188"/>
      <c r="L48" s="189"/>
      <c r="M48" s="187">
        <f t="shared" si="1"/>
        <v>0</v>
      </c>
      <c r="N48" s="99">
        <f t="shared" si="2"/>
        <v>0</v>
      </c>
      <c r="O48" s="73">
        <f t="shared" si="3"/>
        <v>0</v>
      </c>
      <c r="P48" s="73">
        <f t="shared" si="4"/>
        <v>0</v>
      </c>
      <c r="Q48" s="301">
        <f t="shared" si="5"/>
        <v>0</v>
      </c>
      <c r="R48" s="301">
        <f t="shared" si="6"/>
        <v>0</v>
      </c>
      <c r="S48" s="300">
        <f t="shared" si="7"/>
        <v>0</v>
      </c>
    </row>
    <row r="49" spans="1:19" ht="15" x14ac:dyDescent="0.25">
      <c r="A49" s="36">
        <v>44</v>
      </c>
      <c r="B49" s="46" t="s">
        <v>23</v>
      </c>
      <c r="C49" s="62" t="s">
        <v>153</v>
      </c>
      <c r="D49" s="111">
        <v>722269.30052200018</v>
      </c>
      <c r="E49" s="112">
        <v>209458.09715138003</v>
      </c>
      <c r="F49" s="112">
        <v>837832.38860552025</v>
      </c>
      <c r="G49" s="112">
        <v>1047290.4857569003</v>
      </c>
      <c r="H49" s="252">
        <v>170000</v>
      </c>
      <c r="I49" s="252">
        <v>850000</v>
      </c>
      <c r="J49" s="253">
        <v>1020000</v>
      </c>
      <c r="K49" s="186">
        <f>209458.09715138-1000</f>
        <v>208458.09715138</v>
      </c>
      <c r="L49" s="186">
        <v>837832.38860552025</v>
      </c>
      <c r="M49" s="187">
        <f t="shared" si="1"/>
        <v>1046290.4857569003</v>
      </c>
      <c r="N49" s="99">
        <f t="shared" si="2"/>
        <v>170000</v>
      </c>
      <c r="O49" s="73">
        <f t="shared" si="3"/>
        <v>837832.38860552025</v>
      </c>
      <c r="P49" s="73">
        <f t="shared" si="4"/>
        <v>1007832.3886055202</v>
      </c>
      <c r="Q49" s="301">
        <f t="shared" si="5"/>
        <v>158100</v>
      </c>
      <c r="R49" s="301">
        <f t="shared" si="6"/>
        <v>779184.12140313385</v>
      </c>
      <c r="S49" s="300">
        <f t="shared" si="7"/>
        <v>937284.12140313385</v>
      </c>
    </row>
    <row r="50" spans="1:19" ht="15" x14ac:dyDescent="0.25">
      <c r="A50" s="36">
        <v>45</v>
      </c>
      <c r="B50" s="46" t="s">
        <v>167</v>
      </c>
      <c r="C50" s="62" t="s">
        <v>153</v>
      </c>
      <c r="D50" s="111">
        <v>160000</v>
      </c>
      <c r="E50" s="112">
        <v>46400</v>
      </c>
      <c r="F50" s="112">
        <v>185600</v>
      </c>
      <c r="G50" s="112">
        <v>232000</v>
      </c>
      <c r="H50" s="252">
        <v>36000</v>
      </c>
      <c r="I50" s="252">
        <v>180000</v>
      </c>
      <c r="J50" s="253">
        <v>216000</v>
      </c>
      <c r="K50" s="186">
        <f>46400-1000</f>
        <v>45400</v>
      </c>
      <c r="L50" s="186">
        <v>185600</v>
      </c>
      <c r="M50" s="187">
        <f t="shared" si="1"/>
        <v>231000</v>
      </c>
      <c r="N50" s="99">
        <f t="shared" si="2"/>
        <v>36000</v>
      </c>
      <c r="O50" s="73">
        <f t="shared" si="3"/>
        <v>180000</v>
      </c>
      <c r="P50" s="73">
        <f t="shared" si="4"/>
        <v>216000</v>
      </c>
      <c r="Q50" s="301">
        <f t="shared" si="5"/>
        <v>33480</v>
      </c>
      <c r="R50" s="301">
        <f t="shared" si="6"/>
        <v>167400</v>
      </c>
      <c r="S50" s="300">
        <f t="shared" si="7"/>
        <v>200880</v>
      </c>
    </row>
    <row r="51" spans="1:19" ht="15" x14ac:dyDescent="0.25">
      <c r="A51" s="36">
        <v>46</v>
      </c>
      <c r="B51" s="46" t="s">
        <v>24</v>
      </c>
      <c r="C51" s="62" t="s">
        <v>153</v>
      </c>
      <c r="D51" s="111">
        <v>137209.213625</v>
      </c>
      <c r="E51" s="112">
        <v>39790.671951249999</v>
      </c>
      <c r="F51" s="112">
        <v>159162.68780499999</v>
      </c>
      <c r="G51" s="112">
        <v>198953.35975624999</v>
      </c>
      <c r="H51" s="252">
        <v>32400</v>
      </c>
      <c r="I51" s="252">
        <v>162000</v>
      </c>
      <c r="J51" s="253">
        <v>194400</v>
      </c>
      <c r="K51" s="186">
        <f>39790.67195125-1000</f>
        <v>38790.671951249999</v>
      </c>
      <c r="L51" s="186">
        <v>159162.68780499999</v>
      </c>
      <c r="M51" s="187">
        <f t="shared" si="1"/>
        <v>197953.35975624999</v>
      </c>
      <c r="N51" s="99">
        <f t="shared" si="2"/>
        <v>32400</v>
      </c>
      <c r="O51" s="73">
        <f t="shared" si="3"/>
        <v>159162.68780499999</v>
      </c>
      <c r="P51" s="73">
        <f t="shared" si="4"/>
        <v>191562.68780499999</v>
      </c>
      <c r="Q51" s="301">
        <f t="shared" si="5"/>
        <v>30132</v>
      </c>
      <c r="R51" s="301">
        <f t="shared" si="6"/>
        <v>148021.29965865001</v>
      </c>
      <c r="S51" s="300">
        <f t="shared" si="7"/>
        <v>178153.29965865001</v>
      </c>
    </row>
    <row r="52" spans="1:19" ht="15" x14ac:dyDescent="0.25">
      <c r="A52" s="36">
        <v>47</v>
      </c>
      <c r="B52" s="46" t="s">
        <v>25</v>
      </c>
      <c r="C52" s="62" t="s">
        <v>153</v>
      </c>
      <c r="D52" s="111">
        <v>131720.84508000003</v>
      </c>
      <c r="E52" s="112">
        <v>38199.045073199988</v>
      </c>
      <c r="F52" s="112">
        <v>152796.18029280004</v>
      </c>
      <c r="G52" s="112">
        <v>190995.22536600003</v>
      </c>
      <c r="H52" s="252">
        <v>30000</v>
      </c>
      <c r="I52" s="252">
        <v>150000</v>
      </c>
      <c r="J52" s="253">
        <v>180000</v>
      </c>
      <c r="K52" s="186">
        <f>38199.0450732-1000</f>
        <v>37199.045073200003</v>
      </c>
      <c r="L52" s="186">
        <v>152796.18029280004</v>
      </c>
      <c r="M52" s="187">
        <f t="shared" si="1"/>
        <v>189995.22536600003</v>
      </c>
      <c r="N52" s="99">
        <f t="shared" si="2"/>
        <v>30000</v>
      </c>
      <c r="O52" s="73">
        <f t="shared" si="3"/>
        <v>150000</v>
      </c>
      <c r="P52" s="73">
        <f t="shared" si="4"/>
        <v>180000</v>
      </c>
      <c r="Q52" s="301">
        <f t="shared" si="5"/>
        <v>27900</v>
      </c>
      <c r="R52" s="301">
        <f t="shared" si="6"/>
        <v>139500</v>
      </c>
      <c r="S52" s="300">
        <f t="shared" si="7"/>
        <v>167400</v>
      </c>
    </row>
    <row r="53" spans="1:19" ht="15" x14ac:dyDescent="0.25">
      <c r="A53" s="36">
        <v>48</v>
      </c>
      <c r="B53" s="46" t="s">
        <v>266</v>
      </c>
      <c r="C53" s="62" t="s">
        <v>153</v>
      </c>
      <c r="D53" s="111">
        <v>2511970.154599064</v>
      </c>
      <c r="E53" s="112">
        <v>759619.77475075657</v>
      </c>
      <c r="F53" s="112">
        <v>3038479.0990030281</v>
      </c>
      <c r="G53" s="112">
        <v>3798098.8737537847</v>
      </c>
      <c r="H53" s="252">
        <v>580000</v>
      </c>
      <c r="I53" s="252">
        <v>2900000</v>
      </c>
      <c r="J53" s="253">
        <v>3480000</v>
      </c>
      <c r="K53" s="186">
        <f>759619.774750757-1000</f>
        <v>758619.77475075703</v>
      </c>
      <c r="L53" s="186">
        <v>6038479.09900303</v>
      </c>
      <c r="M53" s="187">
        <f t="shared" si="1"/>
        <v>6797098.873753787</v>
      </c>
      <c r="N53" s="99">
        <f t="shared" si="2"/>
        <v>580000</v>
      </c>
      <c r="O53" s="73">
        <f t="shared" si="3"/>
        <v>2900000</v>
      </c>
      <c r="P53" s="73">
        <f t="shared" si="4"/>
        <v>3480000</v>
      </c>
      <c r="Q53" s="301">
        <f t="shared" si="5"/>
        <v>539400</v>
      </c>
      <c r="R53" s="301">
        <f t="shared" si="6"/>
        <v>2697000</v>
      </c>
      <c r="S53" s="300">
        <f t="shared" si="7"/>
        <v>3236400</v>
      </c>
    </row>
    <row r="54" spans="1:19" ht="15" x14ac:dyDescent="0.25">
      <c r="A54" s="36">
        <v>49</v>
      </c>
      <c r="B54" s="46" t="s">
        <v>267</v>
      </c>
      <c r="C54" s="62" t="s">
        <v>153</v>
      </c>
      <c r="D54" s="111">
        <v>384185.79815000005</v>
      </c>
      <c r="E54" s="112">
        <v>111413.88146349997</v>
      </c>
      <c r="F54" s="112">
        <v>445655.52585400012</v>
      </c>
      <c r="G54" s="112">
        <v>557069.4073175001</v>
      </c>
      <c r="H54" s="252">
        <v>90800</v>
      </c>
      <c r="I54" s="252">
        <v>454000</v>
      </c>
      <c r="J54" s="253">
        <v>544800</v>
      </c>
      <c r="K54" s="186">
        <f>111413.8814635-1000</f>
        <v>110413.8814635</v>
      </c>
      <c r="L54" s="186">
        <v>445655.52585400012</v>
      </c>
      <c r="M54" s="187">
        <f t="shared" si="1"/>
        <v>556069.4073175001</v>
      </c>
      <c r="N54" s="99">
        <f t="shared" si="2"/>
        <v>90800</v>
      </c>
      <c r="O54" s="73">
        <f t="shared" si="3"/>
        <v>445655.52585400012</v>
      </c>
      <c r="P54" s="73">
        <f t="shared" si="4"/>
        <v>536455.52585400012</v>
      </c>
      <c r="Q54" s="301">
        <f t="shared" si="5"/>
        <v>84444</v>
      </c>
      <c r="R54" s="301">
        <f t="shared" si="6"/>
        <v>414459.63904422009</v>
      </c>
      <c r="S54" s="300">
        <f t="shared" si="7"/>
        <v>498903.63904422009</v>
      </c>
    </row>
    <row r="55" spans="1:19" ht="15" x14ac:dyDescent="0.25">
      <c r="A55" s="36">
        <v>50</v>
      </c>
      <c r="B55" s="46" t="s">
        <v>268</v>
      </c>
      <c r="C55" s="62" t="s">
        <v>153</v>
      </c>
      <c r="D55" s="111">
        <v>2131822.9295999999</v>
      </c>
      <c r="E55" s="112">
        <v>644663.25391103979</v>
      </c>
      <c r="F55" s="112">
        <v>2578653.0156441601</v>
      </c>
      <c r="G55" s="112">
        <v>3223316.2695551999</v>
      </c>
      <c r="H55" s="252">
        <v>500000</v>
      </c>
      <c r="I55" s="252">
        <v>2500000</v>
      </c>
      <c r="J55" s="253">
        <v>3000000</v>
      </c>
      <c r="K55" s="186">
        <f>644663.25391104-1000</f>
        <v>643663.25391104002</v>
      </c>
      <c r="L55" s="186">
        <v>2578653.0156441601</v>
      </c>
      <c r="M55" s="187">
        <f t="shared" si="1"/>
        <v>3222316.2695551999</v>
      </c>
      <c r="N55" s="99">
        <f t="shared" si="2"/>
        <v>500000</v>
      </c>
      <c r="O55" s="73">
        <f t="shared" si="3"/>
        <v>2500000</v>
      </c>
      <c r="P55" s="73">
        <f t="shared" si="4"/>
        <v>3000000</v>
      </c>
      <c r="Q55" s="301">
        <f t="shared" si="5"/>
        <v>465000</v>
      </c>
      <c r="R55" s="301">
        <f t="shared" si="6"/>
        <v>2325000</v>
      </c>
      <c r="S55" s="300">
        <f t="shared" si="7"/>
        <v>2790000</v>
      </c>
    </row>
    <row r="56" spans="1:19" ht="15" x14ac:dyDescent="0.25">
      <c r="A56" s="36">
        <v>51</v>
      </c>
      <c r="B56" s="46" t="s">
        <v>286</v>
      </c>
      <c r="C56" s="62" t="s">
        <v>153</v>
      </c>
      <c r="D56" s="111">
        <v>6937660.7912585</v>
      </c>
      <c r="E56" s="112">
        <v>2097948.6232765708</v>
      </c>
      <c r="F56" s="112">
        <v>8391794.4931062814</v>
      </c>
      <c r="G56" s="112">
        <v>10489743.116382852</v>
      </c>
      <c r="H56" s="252">
        <v>1520000</v>
      </c>
      <c r="I56" s="252">
        <v>7600000</v>
      </c>
      <c r="J56" s="253">
        <v>9120000</v>
      </c>
      <c r="K56" s="186">
        <f>2097948.62327657-1000</f>
        <v>2096948.6232765699</v>
      </c>
      <c r="L56" s="186">
        <v>8391794.4931062814</v>
      </c>
      <c r="M56" s="187">
        <f t="shared" si="1"/>
        <v>10488743.116382852</v>
      </c>
      <c r="N56" s="99">
        <f t="shared" si="2"/>
        <v>1520000</v>
      </c>
      <c r="O56" s="73">
        <f t="shared" si="3"/>
        <v>7600000</v>
      </c>
      <c r="P56" s="73">
        <f t="shared" si="4"/>
        <v>9120000</v>
      </c>
      <c r="Q56" s="301">
        <f t="shared" si="5"/>
        <v>1413600</v>
      </c>
      <c r="R56" s="301">
        <f t="shared" si="6"/>
        <v>7068000</v>
      </c>
      <c r="S56" s="300">
        <f t="shared" si="7"/>
        <v>8481600</v>
      </c>
    </row>
    <row r="57" spans="1:19" ht="15" x14ac:dyDescent="0.25">
      <c r="A57" s="36">
        <v>52</v>
      </c>
      <c r="B57" s="46" t="s">
        <v>274</v>
      </c>
      <c r="C57" s="62" t="s">
        <v>153</v>
      </c>
      <c r="D57" s="111">
        <v>3470307.5054142992</v>
      </c>
      <c r="E57" s="112">
        <v>1049420.9896372836</v>
      </c>
      <c r="F57" s="112">
        <v>4197683.9585491372</v>
      </c>
      <c r="G57" s="112">
        <v>5247104.9481864208</v>
      </c>
      <c r="H57" s="252">
        <v>840000</v>
      </c>
      <c r="I57" s="252">
        <v>4200000</v>
      </c>
      <c r="J57" s="253">
        <v>5040000</v>
      </c>
      <c r="K57" s="186">
        <f>1049420.98963728-1000</f>
        <v>1048420.9896372801</v>
      </c>
      <c r="L57" s="186">
        <v>4197683.9585491372</v>
      </c>
      <c r="M57" s="187">
        <f t="shared" si="1"/>
        <v>5246104.9481864171</v>
      </c>
      <c r="N57" s="99">
        <f t="shared" si="2"/>
        <v>840000</v>
      </c>
      <c r="O57" s="73">
        <f t="shared" si="3"/>
        <v>4197683.9585491372</v>
      </c>
      <c r="P57" s="73">
        <f t="shared" si="4"/>
        <v>5037683.9585491372</v>
      </c>
      <c r="Q57" s="301">
        <f t="shared" si="5"/>
        <v>781200</v>
      </c>
      <c r="R57" s="301">
        <f t="shared" si="6"/>
        <v>3903846.0814506975</v>
      </c>
      <c r="S57" s="300">
        <f t="shared" si="7"/>
        <v>4685046.081450697</v>
      </c>
    </row>
    <row r="58" spans="1:19" ht="15" x14ac:dyDescent="0.2">
      <c r="A58" s="36">
        <v>53</v>
      </c>
      <c r="B58" s="47" t="s">
        <v>168</v>
      </c>
      <c r="C58" s="62" t="s">
        <v>153</v>
      </c>
      <c r="D58" s="111">
        <v>459514.11306238797</v>
      </c>
      <c r="E58" s="112">
        <v>133259.09278809244</v>
      </c>
      <c r="F58" s="112">
        <v>533036.37115237012</v>
      </c>
      <c r="G58" s="112">
        <v>666295.46394046256</v>
      </c>
      <c r="H58" s="252">
        <v>116000</v>
      </c>
      <c r="I58" s="252">
        <v>580000</v>
      </c>
      <c r="J58" s="253">
        <v>696000</v>
      </c>
      <c r="K58" s="186">
        <f>133259.092788092-1000</f>
        <v>132259.09278809201</v>
      </c>
      <c r="L58" s="186">
        <v>533036.37115237012</v>
      </c>
      <c r="M58" s="187">
        <f t="shared" si="1"/>
        <v>665295.4639404621</v>
      </c>
      <c r="N58" s="99">
        <f t="shared" si="2"/>
        <v>116000</v>
      </c>
      <c r="O58" s="73">
        <f t="shared" si="3"/>
        <v>533036.37115237012</v>
      </c>
      <c r="P58" s="73">
        <f t="shared" si="4"/>
        <v>649036.37115237012</v>
      </c>
      <c r="Q58" s="301">
        <f t="shared" si="5"/>
        <v>107880</v>
      </c>
      <c r="R58" s="301">
        <f t="shared" si="6"/>
        <v>495723.82517170423</v>
      </c>
      <c r="S58" s="300">
        <f t="shared" si="7"/>
        <v>603603.82517170417</v>
      </c>
    </row>
    <row r="59" spans="1:19" ht="15" x14ac:dyDescent="0.2">
      <c r="A59" s="36">
        <v>54</v>
      </c>
      <c r="B59" s="47" t="s">
        <v>275</v>
      </c>
      <c r="C59" s="62" t="s">
        <v>153</v>
      </c>
      <c r="D59" s="111">
        <v>178552.37400000001</v>
      </c>
      <c r="E59" s="112">
        <v>51780.188459999976</v>
      </c>
      <c r="F59" s="112">
        <v>207120.75384000002</v>
      </c>
      <c r="G59" s="112">
        <v>258900.9423</v>
      </c>
      <c r="H59" s="252">
        <v>45400</v>
      </c>
      <c r="I59" s="252">
        <v>227000</v>
      </c>
      <c r="J59" s="253">
        <v>272400</v>
      </c>
      <c r="K59" s="186">
        <f>51780.18846-1000</f>
        <v>50780.188459999998</v>
      </c>
      <c r="L59" s="186">
        <v>207120.75384000002</v>
      </c>
      <c r="M59" s="187">
        <f t="shared" si="1"/>
        <v>257900.94230000002</v>
      </c>
      <c r="N59" s="99">
        <f t="shared" si="2"/>
        <v>45400</v>
      </c>
      <c r="O59" s="73">
        <f t="shared" si="3"/>
        <v>207120.75384000002</v>
      </c>
      <c r="P59" s="73">
        <f t="shared" si="4"/>
        <v>252520.75384000002</v>
      </c>
      <c r="Q59" s="301">
        <f t="shared" si="5"/>
        <v>42222</v>
      </c>
      <c r="R59" s="301">
        <f t="shared" si="6"/>
        <v>192622.30107120003</v>
      </c>
      <c r="S59" s="300">
        <f t="shared" si="7"/>
        <v>234844.30107120003</v>
      </c>
    </row>
    <row r="60" spans="1:19" ht="22.5" x14ac:dyDescent="0.25">
      <c r="A60" s="36"/>
      <c r="B60" s="30" t="s">
        <v>97</v>
      </c>
      <c r="C60" s="62" t="s">
        <v>153</v>
      </c>
      <c r="D60" s="111"/>
      <c r="E60" s="112"/>
      <c r="F60" s="112"/>
      <c r="G60" s="112"/>
      <c r="H60" s="252">
        <v>0</v>
      </c>
      <c r="I60" s="252"/>
      <c r="J60" s="253">
        <v>0</v>
      </c>
      <c r="K60" s="188"/>
      <c r="L60" s="189"/>
      <c r="M60" s="187">
        <f t="shared" si="1"/>
        <v>0</v>
      </c>
      <c r="N60" s="99">
        <f t="shared" si="2"/>
        <v>0</v>
      </c>
      <c r="O60" s="73">
        <f t="shared" si="3"/>
        <v>0</v>
      </c>
      <c r="P60" s="73">
        <f t="shared" si="4"/>
        <v>0</v>
      </c>
      <c r="Q60" s="301">
        <f t="shared" si="5"/>
        <v>0</v>
      </c>
      <c r="R60" s="301">
        <f t="shared" si="6"/>
        <v>0</v>
      </c>
      <c r="S60" s="300">
        <f t="shared" si="7"/>
        <v>0</v>
      </c>
    </row>
    <row r="61" spans="1:19" ht="15" x14ac:dyDescent="0.25">
      <c r="A61" s="36">
        <v>55</v>
      </c>
      <c r="B61" s="46" t="s">
        <v>169</v>
      </c>
      <c r="C61" s="62" t="s">
        <v>153</v>
      </c>
      <c r="D61" s="111">
        <v>1570591.32092115</v>
      </c>
      <c r="E61" s="112">
        <v>455471.48306713346</v>
      </c>
      <c r="F61" s="112">
        <v>1821885.9322685339</v>
      </c>
      <c r="G61" s="112">
        <v>2277357.4153356673</v>
      </c>
      <c r="H61" s="252">
        <v>380000</v>
      </c>
      <c r="I61" s="252">
        <v>1900000</v>
      </c>
      <c r="J61" s="253">
        <v>2280000</v>
      </c>
      <c r="K61" s="186">
        <f>455471.483067133-1000</f>
        <v>454471.483067133</v>
      </c>
      <c r="L61" s="186">
        <v>1821885.9322685339</v>
      </c>
      <c r="M61" s="187">
        <f t="shared" si="1"/>
        <v>2276357.4153356669</v>
      </c>
      <c r="N61" s="99">
        <f t="shared" si="2"/>
        <v>380000</v>
      </c>
      <c r="O61" s="73">
        <f t="shared" si="3"/>
        <v>1821885.9322685339</v>
      </c>
      <c r="P61" s="73">
        <f t="shared" si="4"/>
        <v>2201885.9322685339</v>
      </c>
      <c r="Q61" s="301">
        <f t="shared" si="5"/>
        <v>353400</v>
      </c>
      <c r="R61" s="301">
        <f t="shared" si="6"/>
        <v>1694353.9170097364</v>
      </c>
      <c r="S61" s="300">
        <f t="shared" si="7"/>
        <v>2047753.9170097364</v>
      </c>
    </row>
    <row r="62" spans="1:19" ht="15" x14ac:dyDescent="0.25">
      <c r="A62" s="36">
        <v>56</v>
      </c>
      <c r="B62" s="46" t="s">
        <v>170</v>
      </c>
      <c r="C62" s="62" t="s">
        <v>153</v>
      </c>
      <c r="D62" s="111">
        <v>730441.53</v>
      </c>
      <c r="E62" s="112">
        <v>211828.04369999992</v>
      </c>
      <c r="F62" s="112">
        <v>847312.17480000004</v>
      </c>
      <c r="G62" s="112">
        <v>1059140.2185</v>
      </c>
      <c r="H62" s="252">
        <v>185000</v>
      </c>
      <c r="I62" s="252">
        <v>925000</v>
      </c>
      <c r="J62" s="253">
        <v>1110000</v>
      </c>
      <c r="K62" s="186">
        <f>211828.0437-1000</f>
        <v>210828.04370000001</v>
      </c>
      <c r="L62" s="186">
        <v>847312.17480000004</v>
      </c>
      <c r="M62" s="187">
        <f t="shared" si="1"/>
        <v>1058140.2185</v>
      </c>
      <c r="N62" s="99">
        <f t="shared" si="2"/>
        <v>185000</v>
      </c>
      <c r="O62" s="73">
        <f t="shared" si="3"/>
        <v>847312.17480000004</v>
      </c>
      <c r="P62" s="73">
        <f t="shared" si="4"/>
        <v>1032312.1748</v>
      </c>
      <c r="Q62" s="301">
        <f t="shared" si="5"/>
        <v>172050</v>
      </c>
      <c r="R62" s="301">
        <f t="shared" si="6"/>
        <v>788000.32256400003</v>
      </c>
      <c r="S62" s="300">
        <f t="shared" si="7"/>
        <v>960050.32256400003</v>
      </c>
    </row>
    <row r="63" spans="1:19" ht="15" x14ac:dyDescent="0.25">
      <c r="A63" s="36">
        <v>57</v>
      </c>
      <c r="B63" s="46" t="s">
        <v>211</v>
      </c>
      <c r="C63" s="62" t="s">
        <v>153</v>
      </c>
      <c r="D63" s="111">
        <v>340872.71399999998</v>
      </c>
      <c r="E63" s="112">
        <v>98853.087059999991</v>
      </c>
      <c r="F63" s="112">
        <v>395412.34823999996</v>
      </c>
      <c r="G63" s="112">
        <v>494265.43529999995</v>
      </c>
      <c r="H63" s="252">
        <v>86000</v>
      </c>
      <c r="I63" s="252">
        <v>430000</v>
      </c>
      <c r="J63" s="253">
        <v>516000</v>
      </c>
      <c r="K63" s="186">
        <f>98853.08706-1000</f>
        <v>97853.087060000005</v>
      </c>
      <c r="L63" s="186">
        <v>395412.34823999996</v>
      </c>
      <c r="M63" s="187">
        <f t="shared" si="1"/>
        <v>493265.43529999995</v>
      </c>
      <c r="N63" s="99">
        <f t="shared" si="2"/>
        <v>86000</v>
      </c>
      <c r="O63" s="73">
        <f t="shared" si="3"/>
        <v>395412.34823999996</v>
      </c>
      <c r="P63" s="73">
        <f t="shared" si="4"/>
        <v>481412.34823999996</v>
      </c>
      <c r="Q63" s="301">
        <f t="shared" si="5"/>
        <v>79980</v>
      </c>
      <c r="R63" s="301">
        <f t="shared" si="6"/>
        <v>367733.48386319994</v>
      </c>
      <c r="S63" s="300">
        <f t="shared" si="7"/>
        <v>447713.48386319994</v>
      </c>
    </row>
    <row r="64" spans="1:19" ht="15" x14ac:dyDescent="0.25">
      <c r="A64" s="36">
        <v>58</v>
      </c>
      <c r="B64" s="46" t="s">
        <v>171</v>
      </c>
      <c r="C64" s="62" t="s">
        <v>153</v>
      </c>
      <c r="D64" s="111">
        <v>121740.255</v>
      </c>
      <c r="E64" s="112">
        <v>35304.673949999997</v>
      </c>
      <c r="F64" s="112">
        <v>141218.69580000002</v>
      </c>
      <c r="G64" s="112">
        <v>176523.36975000001</v>
      </c>
      <c r="H64" s="252">
        <v>30000</v>
      </c>
      <c r="I64" s="252">
        <v>150000</v>
      </c>
      <c r="J64" s="253">
        <v>180000</v>
      </c>
      <c r="K64" s="186">
        <f>35304.67395-1000</f>
        <v>34304.673949999997</v>
      </c>
      <c r="L64" s="186">
        <v>141218.69580000002</v>
      </c>
      <c r="M64" s="187">
        <f t="shared" si="1"/>
        <v>175523.36975000001</v>
      </c>
      <c r="N64" s="99">
        <f t="shared" si="2"/>
        <v>30000</v>
      </c>
      <c r="O64" s="73">
        <f t="shared" si="3"/>
        <v>141218.69580000002</v>
      </c>
      <c r="P64" s="73">
        <f t="shared" si="4"/>
        <v>171218.69580000002</v>
      </c>
      <c r="Q64" s="301">
        <f t="shared" si="5"/>
        <v>27900</v>
      </c>
      <c r="R64" s="301">
        <f t="shared" si="6"/>
        <v>131333.38709400001</v>
      </c>
      <c r="S64" s="300">
        <f t="shared" si="7"/>
        <v>159233.38709400001</v>
      </c>
    </row>
    <row r="65" spans="1:19" ht="15" x14ac:dyDescent="0.25">
      <c r="A65" s="36">
        <v>59</v>
      </c>
      <c r="B65" s="46" t="s">
        <v>17</v>
      </c>
      <c r="C65" s="62" t="s">
        <v>153</v>
      </c>
      <c r="D65" s="111">
        <v>248812.2</v>
      </c>
      <c r="E65" s="112">
        <v>72155.538</v>
      </c>
      <c r="F65" s="112">
        <v>288622.152</v>
      </c>
      <c r="G65" s="112">
        <v>360777.69</v>
      </c>
      <c r="H65" s="252">
        <v>63200</v>
      </c>
      <c r="I65" s="252">
        <v>316000</v>
      </c>
      <c r="J65" s="253">
        <v>379200</v>
      </c>
      <c r="K65" s="186">
        <f>72155.538-1000</f>
        <v>71155.538</v>
      </c>
      <c r="L65" s="186">
        <v>288622.152</v>
      </c>
      <c r="M65" s="187">
        <f t="shared" si="1"/>
        <v>359777.69</v>
      </c>
      <c r="N65" s="99">
        <f t="shared" si="2"/>
        <v>63200</v>
      </c>
      <c r="O65" s="73">
        <f t="shared" si="3"/>
        <v>288622.152</v>
      </c>
      <c r="P65" s="73">
        <f t="shared" si="4"/>
        <v>351822.152</v>
      </c>
      <c r="Q65" s="301">
        <f t="shared" si="5"/>
        <v>58776</v>
      </c>
      <c r="R65" s="301">
        <f t="shared" si="6"/>
        <v>268418.60135999997</v>
      </c>
      <c r="S65" s="300">
        <f t="shared" si="7"/>
        <v>327194.60135999997</v>
      </c>
    </row>
    <row r="66" spans="1:19" ht="15" x14ac:dyDescent="0.25">
      <c r="A66" s="36">
        <v>60</v>
      </c>
      <c r="B66" s="46" t="s">
        <v>16</v>
      </c>
      <c r="C66" s="62" t="s">
        <v>153</v>
      </c>
      <c r="D66" s="111">
        <v>486417.18762000004</v>
      </c>
      <c r="E66" s="112">
        <v>141060.98440980003</v>
      </c>
      <c r="F66" s="112">
        <v>564243.93763920001</v>
      </c>
      <c r="G66" s="112">
        <v>705304.92204900004</v>
      </c>
      <c r="H66" s="252">
        <v>123200</v>
      </c>
      <c r="I66" s="252">
        <v>616000</v>
      </c>
      <c r="J66" s="253">
        <v>739200</v>
      </c>
      <c r="K66" s="186">
        <f>141060.9844098-1000</f>
        <v>140060.9844098</v>
      </c>
      <c r="L66" s="186">
        <v>564243.93763920001</v>
      </c>
      <c r="M66" s="187">
        <f t="shared" si="1"/>
        <v>704304.92204900004</v>
      </c>
      <c r="N66" s="99">
        <f t="shared" si="2"/>
        <v>123200</v>
      </c>
      <c r="O66" s="73">
        <f t="shared" si="3"/>
        <v>564243.93763920001</v>
      </c>
      <c r="P66" s="73">
        <f t="shared" si="4"/>
        <v>687443.93763920001</v>
      </c>
      <c r="Q66" s="301">
        <f t="shared" si="5"/>
        <v>114576</v>
      </c>
      <c r="R66" s="301">
        <f t="shared" si="6"/>
        <v>524746.86200445599</v>
      </c>
      <c r="S66" s="300">
        <f t="shared" si="7"/>
        <v>639322.86200445599</v>
      </c>
    </row>
    <row r="67" spans="1:19" ht="15" x14ac:dyDescent="0.2">
      <c r="A67" s="36">
        <v>61</v>
      </c>
      <c r="B67" s="47" t="s">
        <v>75</v>
      </c>
      <c r="C67" s="62" t="s">
        <v>153</v>
      </c>
      <c r="D67" s="111">
        <v>360311.39497925004</v>
      </c>
      <c r="E67" s="112">
        <v>104490.30454398249</v>
      </c>
      <c r="F67" s="112">
        <v>417961.21817593003</v>
      </c>
      <c r="G67" s="112">
        <v>522451.52271991252</v>
      </c>
      <c r="H67" s="252">
        <v>85000</v>
      </c>
      <c r="I67" s="252">
        <v>425000</v>
      </c>
      <c r="J67" s="253">
        <v>510000</v>
      </c>
      <c r="K67" s="186">
        <f>104490.304543982-1000</f>
        <v>103490.304543982</v>
      </c>
      <c r="L67" s="186">
        <v>417961.21817593003</v>
      </c>
      <c r="M67" s="187">
        <f t="shared" si="1"/>
        <v>521451.522719912</v>
      </c>
      <c r="N67" s="99">
        <f t="shared" si="2"/>
        <v>85000</v>
      </c>
      <c r="O67" s="73">
        <f t="shared" si="3"/>
        <v>417961.21817593003</v>
      </c>
      <c r="P67" s="73">
        <f t="shared" si="4"/>
        <v>502961.21817593003</v>
      </c>
      <c r="Q67" s="301">
        <f t="shared" si="5"/>
        <v>79050</v>
      </c>
      <c r="R67" s="301">
        <f t="shared" si="6"/>
        <v>388703.93290361494</v>
      </c>
      <c r="S67" s="300">
        <f t="shared" si="7"/>
        <v>467753.93290361494</v>
      </c>
    </row>
    <row r="68" spans="1:19" ht="15" x14ac:dyDescent="0.2">
      <c r="A68" s="36">
        <v>62</v>
      </c>
      <c r="B68" s="47" t="s">
        <v>76</v>
      </c>
      <c r="C68" s="62" t="s">
        <v>153</v>
      </c>
      <c r="D68" s="111">
        <v>307103.15196716296</v>
      </c>
      <c r="E68" s="112">
        <v>89059.914070477244</v>
      </c>
      <c r="F68" s="112">
        <v>356239.65628190903</v>
      </c>
      <c r="G68" s="112">
        <v>445299.57035238628</v>
      </c>
      <c r="H68" s="252">
        <v>72400</v>
      </c>
      <c r="I68" s="252">
        <v>362000</v>
      </c>
      <c r="J68" s="253">
        <v>434400</v>
      </c>
      <c r="K68" s="186">
        <f>89059.9140704772-1000</f>
        <v>88059.9140704772</v>
      </c>
      <c r="L68" s="186">
        <v>356239.65628190903</v>
      </c>
      <c r="M68" s="187">
        <f t="shared" si="1"/>
        <v>444299.57035238622</v>
      </c>
      <c r="N68" s="99">
        <f t="shared" si="2"/>
        <v>72400</v>
      </c>
      <c r="O68" s="73">
        <f t="shared" si="3"/>
        <v>356239.65628190903</v>
      </c>
      <c r="P68" s="73">
        <f t="shared" si="4"/>
        <v>428639.65628190903</v>
      </c>
      <c r="Q68" s="301">
        <f t="shared" si="5"/>
        <v>67332</v>
      </c>
      <c r="R68" s="301">
        <f t="shared" si="6"/>
        <v>331302.88034217537</v>
      </c>
      <c r="S68" s="300">
        <f t="shared" si="7"/>
        <v>398634.88034217537</v>
      </c>
    </row>
    <row r="69" spans="1:19" ht="15" x14ac:dyDescent="0.25">
      <c r="A69" s="36">
        <v>63</v>
      </c>
      <c r="B69" s="46" t="s">
        <v>18</v>
      </c>
      <c r="C69" s="62" t="s">
        <v>153</v>
      </c>
      <c r="D69" s="111">
        <v>485776.2</v>
      </c>
      <c r="E69" s="112">
        <v>140875.098</v>
      </c>
      <c r="F69" s="112">
        <v>563500.39199999999</v>
      </c>
      <c r="G69" s="112">
        <v>704375.49</v>
      </c>
      <c r="H69" s="252">
        <v>115400</v>
      </c>
      <c r="I69" s="252">
        <v>577000</v>
      </c>
      <c r="J69" s="253">
        <v>692400</v>
      </c>
      <c r="K69" s="186">
        <f>140875.098-1000</f>
        <v>139875.098</v>
      </c>
      <c r="L69" s="186">
        <v>563500.39199999999</v>
      </c>
      <c r="M69" s="187">
        <f t="shared" si="1"/>
        <v>703375.49</v>
      </c>
      <c r="N69" s="99">
        <f t="shared" si="2"/>
        <v>115400</v>
      </c>
      <c r="O69" s="73">
        <f t="shared" si="3"/>
        <v>563500.39199999999</v>
      </c>
      <c r="P69" s="73">
        <f t="shared" si="4"/>
        <v>678900.39199999999</v>
      </c>
      <c r="Q69" s="301">
        <f t="shared" si="5"/>
        <v>107322</v>
      </c>
      <c r="R69" s="301">
        <f t="shared" si="6"/>
        <v>524055.36456000002</v>
      </c>
      <c r="S69" s="300">
        <f t="shared" si="7"/>
        <v>631377.36456000002</v>
      </c>
    </row>
    <row r="70" spans="1:19" ht="15" x14ac:dyDescent="0.25">
      <c r="A70" s="36">
        <v>64</v>
      </c>
      <c r="B70" s="46" t="s">
        <v>21</v>
      </c>
      <c r="C70" s="62" t="s">
        <v>153</v>
      </c>
      <c r="D70" s="111">
        <v>471176.43958825001</v>
      </c>
      <c r="E70" s="112">
        <v>136641.1674805925</v>
      </c>
      <c r="F70" s="112">
        <v>546564.66992237</v>
      </c>
      <c r="G70" s="112">
        <v>683205.8374029625</v>
      </c>
      <c r="H70" s="252">
        <v>111000</v>
      </c>
      <c r="I70" s="252">
        <v>555000</v>
      </c>
      <c r="J70" s="253">
        <v>666000</v>
      </c>
      <c r="K70" s="186">
        <f>136641.167480592-1000</f>
        <v>135641.167480592</v>
      </c>
      <c r="L70" s="186">
        <v>546564.66992237</v>
      </c>
      <c r="M70" s="187">
        <f t="shared" ref="M70:M133" si="8">K70+L70</f>
        <v>682205.83740296203</v>
      </c>
      <c r="N70" s="99">
        <f t="shared" ref="N70:N133" si="9">MIN(E70,H70,K70)</f>
        <v>111000</v>
      </c>
      <c r="O70" s="73">
        <f t="shared" ref="O70:O133" si="10">MIN(F70,I70,L70)</f>
        <v>546564.66992237</v>
      </c>
      <c r="P70" s="73">
        <f t="shared" ref="P70:P133" si="11">O70+N70</f>
        <v>657564.66992237</v>
      </c>
      <c r="Q70" s="301">
        <f t="shared" ref="Q70:Q133" si="12">N70-(N70*7%)</f>
        <v>103230</v>
      </c>
      <c r="R70" s="301">
        <f t="shared" ref="R70:R133" si="13">O70-(O70*7%)</f>
        <v>508305.14302780409</v>
      </c>
      <c r="S70" s="300">
        <f t="shared" ref="S70:S133" si="14">R70+Q70</f>
        <v>611535.14302780409</v>
      </c>
    </row>
    <row r="71" spans="1:19" ht="15" x14ac:dyDescent="0.25">
      <c r="A71" s="36">
        <v>65</v>
      </c>
      <c r="B71" s="46" t="s">
        <v>20</v>
      </c>
      <c r="C71" s="62" t="s">
        <v>153</v>
      </c>
      <c r="D71" s="111">
        <v>216186.83698755005</v>
      </c>
      <c r="E71" s="112">
        <v>62694.182726389496</v>
      </c>
      <c r="F71" s="112">
        <v>250776.73090555804</v>
      </c>
      <c r="G71" s="112">
        <v>313470.91363194754</v>
      </c>
      <c r="H71" s="252">
        <v>51000</v>
      </c>
      <c r="I71" s="252">
        <v>255000</v>
      </c>
      <c r="J71" s="253">
        <v>306000</v>
      </c>
      <c r="K71" s="186">
        <f>62694.1827263894-1000</f>
        <v>61694.182726389401</v>
      </c>
      <c r="L71" s="186">
        <v>250776.73090555804</v>
      </c>
      <c r="M71" s="187">
        <f t="shared" si="8"/>
        <v>312470.91363194742</v>
      </c>
      <c r="N71" s="99">
        <f t="shared" si="9"/>
        <v>51000</v>
      </c>
      <c r="O71" s="73">
        <f t="shared" si="10"/>
        <v>250776.73090555804</v>
      </c>
      <c r="P71" s="73">
        <f t="shared" si="11"/>
        <v>301776.73090555804</v>
      </c>
      <c r="Q71" s="301">
        <f t="shared" si="12"/>
        <v>47430</v>
      </c>
      <c r="R71" s="301">
        <f t="shared" si="13"/>
        <v>233222.35974216898</v>
      </c>
      <c r="S71" s="300">
        <f t="shared" si="14"/>
        <v>280652.35974216898</v>
      </c>
    </row>
    <row r="72" spans="1:19" ht="22.5" x14ac:dyDescent="0.25">
      <c r="A72" s="36">
        <v>66</v>
      </c>
      <c r="B72" s="32" t="s">
        <v>172</v>
      </c>
      <c r="C72" s="62" t="s">
        <v>153</v>
      </c>
      <c r="D72" s="111">
        <v>2790295.5403994559</v>
      </c>
      <c r="E72" s="112">
        <v>843785.37141679507</v>
      </c>
      <c r="F72" s="112">
        <v>3375141.4856671821</v>
      </c>
      <c r="G72" s="112">
        <v>4218926.8570839772</v>
      </c>
      <c r="H72" s="252">
        <v>626600</v>
      </c>
      <c r="I72" s="252">
        <v>3133000</v>
      </c>
      <c r="J72" s="253">
        <v>3759600</v>
      </c>
      <c r="K72" s="186">
        <f>843785.371416795-1000</f>
        <v>842785.37141679495</v>
      </c>
      <c r="L72" s="186">
        <v>3375141.4856671821</v>
      </c>
      <c r="M72" s="187">
        <f t="shared" si="8"/>
        <v>4217926.8570839772</v>
      </c>
      <c r="N72" s="99">
        <f t="shared" si="9"/>
        <v>626600</v>
      </c>
      <c r="O72" s="73">
        <f t="shared" si="10"/>
        <v>3133000</v>
      </c>
      <c r="P72" s="73">
        <f t="shared" si="11"/>
        <v>3759600</v>
      </c>
      <c r="Q72" s="301">
        <f t="shared" si="12"/>
        <v>582738</v>
      </c>
      <c r="R72" s="301">
        <f t="shared" si="13"/>
        <v>2913690</v>
      </c>
      <c r="S72" s="300">
        <f t="shared" si="14"/>
        <v>3496428</v>
      </c>
    </row>
    <row r="73" spans="1:19" ht="15" x14ac:dyDescent="0.25">
      <c r="A73" s="36">
        <v>67</v>
      </c>
      <c r="B73" s="46" t="s">
        <v>295</v>
      </c>
      <c r="C73" s="62" t="s">
        <v>153</v>
      </c>
      <c r="D73" s="111">
        <v>450300.31956000003</v>
      </c>
      <c r="E73" s="112">
        <v>130587.0926724</v>
      </c>
      <c r="F73" s="112">
        <v>522348.37068960007</v>
      </c>
      <c r="G73" s="112">
        <v>652935.46336200007</v>
      </c>
      <c r="H73" s="252">
        <v>114000</v>
      </c>
      <c r="I73" s="252">
        <v>570000</v>
      </c>
      <c r="J73" s="253">
        <v>684000</v>
      </c>
      <c r="K73" s="186">
        <f>130587.0926724-1000</f>
        <v>129587.0926724</v>
      </c>
      <c r="L73" s="186">
        <v>522348.37068960007</v>
      </c>
      <c r="M73" s="187">
        <f t="shared" si="8"/>
        <v>651935.46336200007</v>
      </c>
      <c r="N73" s="99">
        <f t="shared" si="9"/>
        <v>114000</v>
      </c>
      <c r="O73" s="73">
        <f t="shared" si="10"/>
        <v>522348.37068960007</v>
      </c>
      <c r="P73" s="73">
        <f t="shared" si="11"/>
        <v>636348.37068960001</v>
      </c>
      <c r="Q73" s="301">
        <f t="shared" si="12"/>
        <v>106020</v>
      </c>
      <c r="R73" s="301">
        <f t="shared" si="13"/>
        <v>485783.98474132805</v>
      </c>
      <c r="S73" s="300">
        <f t="shared" si="14"/>
        <v>591803.98474132805</v>
      </c>
    </row>
    <row r="74" spans="1:19" ht="15" x14ac:dyDescent="0.25">
      <c r="A74" s="36">
        <v>68</v>
      </c>
      <c r="B74" s="46" t="s">
        <v>173</v>
      </c>
      <c r="C74" s="62" t="s">
        <v>153</v>
      </c>
      <c r="D74" s="111">
        <v>228670.26</v>
      </c>
      <c r="E74" s="112">
        <v>66314.375399999961</v>
      </c>
      <c r="F74" s="112">
        <v>265257.50160000002</v>
      </c>
      <c r="G74" s="112">
        <v>331571.87699999998</v>
      </c>
      <c r="H74" s="252">
        <v>58000</v>
      </c>
      <c r="I74" s="252">
        <v>290000</v>
      </c>
      <c r="J74" s="253">
        <v>348000</v>
      </c>
      <c r="K74" s="186">
        <f>66314.3754-1000</f>
        <v>65314.375400000004</v>
      </c>
      <c r="L74" s="186">
        <v>265257.50160000002</v>
      </c>
      <c r="M74" s="187">
        <f t="shared" si="8"/>
        <v>330571.87700000004</v>
      </c>
      <c r="N74" s="99">
        <f t="shared" si="9"/>
        <v>58000</v>
      </c>
      <c r="O74" s="73">
        <f t="shared" si="10"/>
        <v>265257.50160000002</v>
      </c>
      <c r="P74" s="73">
        <f t="shared" si="11"/>
        <v>323257.50160000002</v>
      </c>
      <c r="Q74" s="301">
        <f t="shared" si="12"/>
        <v>53940</v>
      </c>
      <c r="R74" s="301">
        <f t="shared" si="13"/>
        <v>246689.47648800001</v>
      </c>
      <c r="S74" s="300">
        <f t="shared" si="14"/>
        <v>300629.47648800001</v>
      </c>
    </row>
    <row r="75" spans="1:19" ht="15" x14ac:dyDescent="0.2">
      <c r="A75" s="36">
        <v>69</v>
      </c>
      <c r="B75" s="47" t="s">
        <v>145</v>
      </c>
      <c r="C75" s="62" t="s">
        <v>153</v>
      </c>
      <c r="D75" s="111">
        <v>606331.86414029612</v>
      </c>
      <c r="E75" s="112">
        <v>175836.24060068582</v>
      </c>
      <c r="F75" s="112">
        <v>703344.96240274352</v>
      </c>
      <c r="G75" s="112">
        <v>879181.20300342934</v>
      </c>
      <c r="H75" s="252">
        <v>143200</v>
      </c>
      <c r="I75" s="252">
        <v>716000</v>
      </c>
      <c r="J75" s="253">
        <v>859200</v>
      </c>
      <c r="K75" s="186">
        <f>175836.240600686-1000</f>
        <v>174836.240600686</v>
      </c>
      <c r="L75" s="186">
        <v>703344.96240274352</v>
      </c>
      <c r="M75" s="187">
        <f t="shared" si="8"/>
        <v>878181.20300342957</v>
      </c>
      <c r="N75" s="99">
        <f t="shared" si="9"/>
        <v>143200</v>
      </c>
      <c r="O75" s="73">
        <f t="shared" si="10"/>
        <v>703344.96240274352</v>
      </c>
      <c r="P75" s="73">
        <f t="shared" si="11"/>
        <v>846544.96240274352</v>
      </c>
      <c r="Q75" s="301">
        <f t="shared" si="12"/>
        <v>133176</v>
      </c>
      <c r="R75" s="301">
        <f t="shared" si="13"/>
        <v>654110.81503455143</v>
      </c>
      <c r="S75" s="300">
        <f t="shared" si="14"/>
        <v>787286.81503455143</v>
      </c>
    </row>
    <row r="76" spans="1:19" ht="15" x14ac:dyDescent="0.25">
      <c r="A76" s="36">
        <v>70</v>
      </c>
      <c r="B76" s="46" t="s">
        <v>293</v>
      </c>
      <c r="C76" s="62" t="s">
        <v>153</v>
      </c>
      <c r="D76" s="111">
        <v>350469.75599999999</v>
      </c>
      <c r="E76" s="112">
        <v>101636.22923999996</v>
      </c>
      <c r="F76" s="112">
        <v>406544.91696</v>
      </c>
      <c r="G76" s="112">
        <v>508181.14619999996</v>
      </c>
      <c r="H76" s="252">
        <v>88600</v>
      </c>
      <c r="I76" s="252">
        <v>443000</v>
      </c>
      <c r="J76" s="253">
        <v>531600</v>
      </c>
      <c r="K76" s="186">
        <f>101636.22924-1000</f>
        <v>100636.22924</v>
      </c>
      <c r="L76" s="186">
        <v>406544.91696</v>
      </c>
      <c r="M76" s="187">
        <f t="shared" si="8"/>
        <v>507181.14620000002</v>
      </c>
      <c r="N76" s="99">
        <f t="shared" si="9"/>
        <v>88600</v>
      </c>
      <c r="O76" s="73">
        <f t="shared" si="10"/>
        <v>406544.91696</v>
      </c>
      <c r="P76" s="73">
        <f t="shared" si="11"/>
        <v>495144.91696</v>
      </c>
      <c r="Q76" s="301">
        <f t="shared" si="12"/>
        <v>82398</v>
      </c>
      <c r="R76" s="301">
        <f t="shared" si="13"/>
        <v>378086.7727728</v>
      </c>
      <c r="S76" s="300">
        <f t="shared" si="14"/>
        <v>460484.7727728</v>
      </c>
    </row>
    <row r="77" spans="1:19" ht="22.5" x14ac:dyDescent="0.25">
      <c r="A77" s="36"/>
      <c r="B77" s="30" t="s">
        <v>124</v>
      </c>
      <c r="C77" s="62" t="s">
        <v>153</v>
      </c>
      <c r="D77" s="111"/>
      <c r="E77" s="112"/>
      <c r="F77" s="112"/>
      <c r="G77" s="112"/>
      <c r="H77" s="252">
        <v>0</v>
      </c>
      <c r="I77" s="252"/>
      <c r="J77" s="253">
        <v>0</v>
      </c>
      <c r="K77" s="188"/>
      <c r="L77" s="189"/>
      <c r="M77" s="187">
        <f t="shared" si="8"/>
        <v>0</v>
      </c>
      <c r="N77" s="99">
        <f t="shared" si="9"/>
        <v>0</v>
      </c>
      <c r="O77" s="73">
        <f t="shared" si="10"/>
        <v>0</v>
      </c>
      <c r="P77" s="73">
        <f t="shared" si="11"/>
        <v>0</v>
      </c>
      <c r="Q77" s="301">
        <f t="shared" si="12"/>
        <v>0</v>
      </c>
      <c r="R77" s="301">
        <f t="shared" si="13"/>
        <v>0</v>
      </c>
      <c r="S77" s="300">
        <f t="shared" si="14"/>
        <v>0</v>
      </c>
    </row>
    <row r="78" spans="1:19" ht="15" x14ac:dyDescent="0.25">
      <c r="A78" s="36">
        <v>71</v>
      </c>
      <c r="B78" s="46" t="s">
        <v>174</v>
      </c>
      <c r="C78" s="62" t="s">
        <v>153</v>
      </c>
      <c r="D78" s="111">
        <v>2455771.6031339592</v>
      </c>
      <c r="E78" s="112">
        <v>742625.33278770931</v>
      </c>
      <c r="F78" s="112">
        <v>2970501.3311508372</v>
      </c>
      <c r="G78" s="112">
        <v>3713126.6639385466</v>
      </c>
      <c r="H78" s="252">
        <v>580000</v>
      </c>
      <c r="I78" s="252">
        <v>2900000</v>
      </c>
      <c r="J78" s="253">
        <v>3480000</v>
      </c>
      <c r="K78" s="186">
        <f>742625.332787709-1000</f>
        <v>741625.33278770896</v>
      </c>
      <c r="L78" s="186">
        <v>2970501.3311508372</v>
      </c>
      <c r="M78" s="187">
        <f t="shared" si="8"/>
        <v>3712126.6639385461</v>
      </c>
      <c r="N78" s="99">
        <f t="shared" si="9"/>
        <v>580000</v>
      </c>
      <c r="O78" s="73">
        <f t="shared" si="10"/>
        <v>2900000</v>
      </c>
      <c r="P78" s="73">
        <f t="shared" si="11"/>
        <v>3480000</v>
      </c>
      <c r="Q78" s="301">
        <f t="shared" si="12"/>
        <v>539400</v>
      </c>
      <c r="R78" s="301">
        <f t="shared" si="13"/>
        <v>2697000</v>
      </c>
      <c r="S78" s="300">
        <f t="shared" si="14"/>
        <v>3236400</v>
      </c>
    </row>
    <row r="79" spans="1:19" ht="15" x14ac:dyDescent="0.25">
      <c r="A79" s="36">
        <v>72</v>
      </c>
      <c r="B79" s="46" t="s">
        <v>125</v>
      </c>
      <c r="C79" s="62" t="s">
        <v>153</v>
      </c>
      <c r="D79" s="111">
        <v>2383598.4590934999</v>
      </c>
      <c r="E79" s="112">
        <v>720800.17402987415</v>
      </c>
      <c r="F79" s="112">
        <v>2883200.696119498</v>
      </c>
      <c r="G79" s="112">
        <v>3604000.8701493721</v>
      </c>
      <c r="H79" s="252">
        <v>560000</v>
      </c>
      <c r="I79" s="252">
        <v>2800000</v>
      </c>
      <c r="J79" s="253">
        <v>3360000</v>
      </c>
      <c r="K79" s="186">
        <f>720800.174029874-1000</f>
        <v>719800.17402987403</v>
      </c>
      <c r="L79" s="186">
        <v>2883200.696119498</v>
      </c>
      <c r="M79" s="187">
        <f t="shared" si="8"/>
        <v>3603000.8701493721</v>
      </c>
      <c r="N79" s="99">
        <f t="shared" si="9"/>
        <v>560000</v>
      </c>
      <c r="O79" s="73">
        <f t="shared" si="10"/>
        <v>2800000</v>
      </c>
      <c r="P79" s="73">
        <f t="shared" si="11"/>
        <v>3360000</v>
      </c>
      <c r="Q79" s="301">
        <f t="shared" si="12"/>
        <v>520800</v>
      </c>
      <c r="R79" s="301">
        <f t="shared" si="13"/>
        <v>2604000</v>
      </c>
      <c r="S79" s="300">
        <f t="shared" si="14"/>
        <v>3124800</v>
      </c>
    </row>
    <row r="80" spans="1:19" ht="15" x14ac:dyDescent="0.2">
      <c r="A80" s="36">
        <v>73</v>
      </c>
      <c r="B80" s="47" t="s">
        <v>126</v>
      </c>
      <c r="C80" s="62" t="s">
        <v>153</v>
      </c>
      <c r="D80" s="111">
        <v>293792.36821385002</v>
      </c>
      <c r="E80" s="112">
        <v>85199.786782016454</v>
      </c>
      <c r="F80" s="112">
        <v>340799.14712806605</v>
      </c>
      <c r="G80" s="112">
        <v>425998.9339100825</v>
      </c>
      <c r="H80" s="252">
        <v>69200</v>
      </c>
      <c r="I80" s="252">
        <v>346000</v>
      </c>
      <c r="J80" s="253">
        <v>415200</v>
      </c>
      <c r="K80" s="186">
        <f>85199.7867820165-1000</f>
        <v>84199.786782016497</v>
      </c>
      <c r="L80" s="186">
        <v>340799.14712806605</v>
      </c>
      <c r="M80" s="187">
        <f t="shared" si="8"/>
        <v>424998.93391008256</v>
      </c>
      <c r="N80" s="99">
        <f t="shared" si="9"/>
        <v>69200</v>
      </c>
      <c r="O80" s="73">
        <f t="shared" si="10"/>
        <v>340799.14712806605</v>
      </c>
      <c r="P80" s="73">
        <f t="shared" si="11"/>
        <v>409999.14712806605</v>
      </c>
      <c r="Q80" s="301">
        <f t="shared" si="12"/>
        <v>64356</v>
      </c>
      <c r="R80" s="301">
        <f t="shared" si="13"/>
        <v>316943.20682910143</v>
      </c>
      <c r="S80" s="300">
        <f t="shared" si="14"/>
        <v>381299.20682910143</v>
      </c>
    </row>
    <row r="81" spans="1:19" ht="15" x14ac:dyDescent="0.25">
      <c r="A81" s="36">
        <v>74</v>
      </c>
      <c r="B81" s="46" t="s">
        <v>127</v>
      </c>
      <c r="C81" s="62" t="s">
        <v>153</v>
      </c>
      <c r="D81" s="111">
        <v>98669.889702010027</v>
      </c>
      <c r="E81" s="112">
        <v>29600.966910603005</v>
      </c>
      <c r="F81" s="112">
        <v>118403.86764241203</v>
      </c>
      <c r="G81" s="112">
        <v>148004.83455301504</v>
      </c>
      <c r="H81" s="252">
        <v>23400</v>
      </c>
      <c r="I81" s="252">
        <v>117000</v>
      </c>
      <c r="J81" s="253">
        <v>140400</v>
      </c>
      <c r="K81" s="186">
        <f>29600.966910603-1000</f>
        <v>28600.966910603001</v>
      </c>
      <c r="L81" s="186">
        <v>118403.86764241203</v>
      </c>
      <c r="M81" s="187">
        <f t="shared" si="8"/>
        <v>147004.83455301504</v>
      </c>
      <c r="N81" s="99">
        <f t="shared" si="9"/>
        <v>23400</v>
      </c>
      <c r="O81" s="73">
        <f t="shared" si="10"/>
        <v>117000</v>
      </c>
      <c r="P81" s="73">
        <f t="shared" si="11"/>
        <v>140400</v>
      </c>
      <c r="Q81" s="301">
        <f t="shared" si="12"/>
        <v>21762</v>
      </c>
      <c r="R81" s="301">
        <f t="shared" si="13"/>
        <v>108810</v>
      </c>
      <c r="S81" s="300">
        <f t="shared" si="14"/>
        <v>130572</v>
      </c>
    </row>
    <row r="82" spans="1:19" ht="15" x14ac:dyDescent="0.2">
      <c r="A82" s="36">
        <v>75</v>
      </c>
      <c r="B82" s="47" t="s">
        <v>128</v>
      </c>
      <c r="C82" s="62" t="s">
        <v>153</v>
      </c>
      <c r="D82" s="111">
        <v>1053217.9237855</v>
      </c>
      <c r="E82" s="112">
        <v>305433.19789779489</v>
      </c>
      <c r="F82" s="112">
        <v>1221732.79159118</v>
      </c>
      <c r="G82" s="112">
        <v>1527165.9894889749</v>
      </c>
      <c r="H82" s="252">
        <v>248400</v>
      </c>
      <c r="I82" s="252">
        <v>1242000</v>
      </c>
      <c r="J82" s="253">
        <v>1490400</v>
      </c>
      <c r="K82" s="186">
        <f>305433.197897795-1000</f>
        <v>304433.19789779501</v>
      </c>
      <c r="L82" s="186">
        <v>1221732.79159118</v>
      </c>
      <c r="M82" s="187">
        <f t="shared" si="8"/>
        <v>1526165.9894889751</v>
      </c>
      <c r="N82" s="99">
        <f t="shared" si="9"/>
        <v>248400</v>
      </c>
      <c r="O82" s="73">
        <f t="shared" si="10"/>
        <v>1221732.79159118</v>
      </c>
      <c r="P82" s="73">
        <f t="shared" si="11"/>
        <v>1470132.79159118</v>
      </c>
      <c r="Q82" s="301">
        <f t="shared" si="12"/>
        <v>231012</v>
      </c>
      <c r="R82" s="301">
        <f t="shared" si="13"/>
        <v>1136211.4961797975</v>
      </c>
      <c r="S82" s="300">
        <f t="shared" si="14"/>
        <v>1367223.4961797975</v>
      </c>
    </row>
    <row r="83" spans="1:19" ht="15" x14ac:dyDescent="0.25">
      <c r="A83" s="36">
        <v>76</v>
      </c>
      <c r="B83" s="46" t="s">
        <v>326</v>
      </c>
      <c r="C83" s="62" t="s">
        <v>153</v>
      </c>
      <c r="D83" s="111">
        <v>582041.4841972501</v>
      </c>
      <c r="E83" s="112">
        <v>168792.03041720251</v>
      </c>
      <c r="F83" s="112">
        <v>675168.12166881014</v>
      </c>
      <c r="G83" s="112">
        <v>843960.15208601265</v>
      </c>
      <c r="H83" s="252">
        <v>136000</v>
      </c>
      <c r="I83" s="252">
        <v>680000</v>
      </c>
      <c r="J83" s="253">
        <v>816000</v>
      </c>
      <c r="K83" s="186">
        <f>168792.030417203-1000</f>
        <v>167792.030417203</v>
      </c>
      <c r="L83" s="186">
        <v>675168.12166881014</v>
      </c>
      <c r="M83" s="187">
        <f t="shared" si="8"/>
        <v>842960.15208601311</v>
      </c>
      <c r="N83" s="99">
        <f t="shared" si="9"/>
        <v>136000</v>
      </c>
      <c r="O83" s="73">
        <f t="shared" si="10"/>
        <v>675168.12166881014</v>
      </c>
      <c r="P83" s="73">
        <f t="shared" si="11"/>
        <v>811168.12166881014</v>
      </c>
      <c r="Q83" s="301">
        <f t="shared" si="12"/>
        <v>126480</v>
      </c>
      <c r="R83" s="301">
        <f t="shared" si="13"/>
        <v>627906.35315199348</v>
      </c>
      <c r="S83" s="300">
        <f t="shared" si="14"/>
        <v>754386.35315199348</v>
      </c>
    </row>
    <row r="84" spans="1:19" ht="15" x14ac:dyDescent="0.25">
      <c r="A84" s="36">
        <v>77</v>
      </c>
      <c r="B84" s="46" t="s">
        <v>123</v>
      </c>
      <c r="C84" s="62" t="s">
        <v>153</v>
      </c>
      <c r="D84" s="111">
        <v>296900.48934000003</v>
      </c>
      <c r="E84" s="112">
        <v>86101.141908599995</v>
      </c>
      <c r="F84" s="112">
        <v>344404.56763440004</v>
      </c>
      <c r="G84" s="112">
        <v>430505.70954300003</v>
      </c>
      <c r="H84" s="252">
        <v>75000</v>
      </c>
      <c r="I84" s="252">
        <v>375000</v>
      </c>
      <c r="J84" s="253">
        <v>450000</v>
      </c>
      <c r="K84" s="186">
        <f>86101.1419086-1000</f>
        <v>85101.141908599995</v>
      </c>
      <c r="L84" s="186">
        <v>344404.56763440004</v>
      </c>
      <c r="M84" s="187">
        <f t="shared" si="8"/>
        <v>429505.70954300003</v>
      </c>
      <c r="N84" s="99">
        <f t="shared" si="9"/>
        <v>75000</v>
      </c>
      <c r="O84" s="73">
        <f t="shared" si="10"/>
        <v>344404.56763440004</v>
      </c>
      <c r="P84" s="73">
        <f t="shared" si="11"/>
        <v>419404.56763440004</v>
      </c>
      <c r="Q84" s="301">
        <f t="shared" si="12"/>
        <v>69750</v>
      </c>
      <c r="R84" s="301">
        <f t="shared" si="13"/>
        <v>320296.24789999204</v>
      </c>
      <c r="S84" s="300">
        <f t="shared" si="14"/>
        <v>390046.24789999204</v>
      </c>
    </row>
    <row r="85" spans="1:19" ht="15" x14ac:dyDescent="0.25">
      <c r="A85" s="36">
        <v>78</v>
      </c>
      <c r="B85" s="46" t="s">
        <v>176</v>
      </c>
      <c r="C85" s="62" t="s">
        <v>153</v>
      </c>
      <c r="D85" s="111">
        <v>198653.47801085093</v>
      </c>
      <c r="E85" s="112">
        <v>57609.508623146743</v>
      </c>
      <c r="F85" s="112">
        <v>230438.03449258709</v>
      </c>
      <c r="G85" s="112">
        <v>288047.54311573383</v>
      </c>
      <c r="H85" s="252">
        <v>47000</v>
      </c>
      <c r="I85" s="252">
        <v>235000</v>
      </c>
      <c r="J85" s="253">
        <v>282000</v>
      </c>
      <c r="K85" s="186">
        <f>57609.5086231467-1000</f>
        <v>56609.508623146699</v>
      </c>
      <c r="L85" s="186">
        <v>230438.03449258709</v>
      </c>
      <c r="M85" s="187">
        <f t="shared" si="8"/>
        <v>287047.54311573377</v>
      </c>
      <c r="N85" s="99">
        <f t="shared" si="9"/>
        <v>47000</v>
      </c>
      <c r="O85" s="73">
        <f t="shared" si="10"/>
        <v>230438.03449258709</v>
      </c>
      <c r="P85" s="73">
        <f t="shared" si="11"/>
        <v>277438.03449258709</v>
      </c>
      <c r="Q85" s="301">
        <f t="shared" si="12"/>
        <v>43710</v>
      </c>
      <c r="R85" s="301">
        <f t="shared" si="13"/>
        <v>214307.37207810598</v>
      </c>
      <c r="S85" s="300">
        <f t="shared" si="14"/>
        <v>258017.37207810598</v>
      </c>
    </row>
    <row r="86" spans="1:19" ht="15" x14ac:dyDescent="0.25">
      <c r="A86" s="36">
        <v>79</v>
      </c>
      <c r="B86" s="46" t="s">
        <v>177</v>
      </c>
      <c r="C86" s="62" t="s">
        <v>153</v>
      </c>
      <c r="D86" s="111">
        <v>480000</v>
      </c>
      <c r="E86" s="112">
        <v>139200</v>
      </c>
      <c r="F86" s="112">
        <v>556800</v>
      </c>
      <c r="G86" s="112">
        <v>696000</v>
      </c>
      <c r="H86" s="252">
        <v>113200</v>
      </c>
      <c r="I86" s="252">
        <v>566000</v>
      </c>
      <c r="J86" s="253">
        <v>679200</v>
      </c>
      <c r="K86" s="186">
        <f>139200-1000</f>
        <v>138200</v>
      </c>
      <c r="L86" s="186">
        <v>556800</v>
      </c>
      <c r="M86" s="187">
        <f t="shared" si="8"/>
        <v>695000</v>
      </c>
      <c r="N86" s="99">
        <f t="shared" si="9"/>
        <v>113200</v>
      </c>
      <c r="O86" s="73">
        <f t="shared" si="10"/>
        <v>556800</v>
      </c>
      <c r="P86" s="73">
        <f t="shared" si="11"/>
        <v>670000</v>
      </c>
      <c r="Q86" s="301">
        <f t="shared" si="12"/>
        <v>105276</v>
      </c>
      <c r="R86" s="301">
        <f t="shared" si="13"/>
        <v>517824</v>
      </c>
      <c r="S86" s="300">
        <f t="shared" si="14"/>
        <v>623100</v>
      </c>
    </row>
    <row r="87" spans="1:19" ht="15" x14ac:dyDescent="0.25">
      <c r="A87" s="36">
        <v>80</v>
      </c>
      <c r="B87" s="35" t="s">
        <v>102</v>
      </c>
      <c r="C87" s="62" t="s">
        <v>153</v>
      </c>
      <c r="D87" s="111">
        <v>1539978.0579760121</v>
      </c>
      <c r="E87" s="112">
        <v>446593.63681304338</v>
      </c>
      <c r="F87" s="112">
        <v>1786374.5472521742</v>
      </c>
      <c r="G87" s="112">
        <v>2232968.1840652176</v>
      </c>
      <c r="H87" s="252">
        <v>396000</v>
      </c>
      <c r="I87" s="252">
        <v>1980000</v>
      </c>
      <c r="J87" s="253">
        <v>2376000</v>
      </c>
      <c r="K87" s="186">
        <f>446593.636813043-1000</f>
        <v>445593.63681304298</v>
      </c>
      <c r="L87" s="186">
        <v>1786374.5472521742</v>
      </c>
      <c r="M87" s="187">
        <f t="shared" si="8"/>
        <v>2231968.1840652172</v>
      </c>
      <c r="N87" s="99">
        <f t="shared" si="9"/>
        <v>396000</v>
      </c>
      <c r="O87" s="73">
        <f t="shared" si="10"/>
        <v>1786374.5472521742</v>
      </c>
      <c r="P87" s="73">
        <f t="shared" si="11"/>
        <v>2182374.5472521745</v>
      </c>
      <c r="Q87" s="301">
        <f t="shared" si="12"/>
        <v>368280</v>
      </c>
      <c r="R87" s="301">
        <f t="shared" si="13"/>
        <v>1661328.328944522</v>
      </c>
      <c r="S87" s="300">
        <f t="shared" si="14"/>
        <v>2029608.328944522</v>
      </c>
    </row>
    <row r="88" spans="1:19" ht="15" x14ac:dyDescent="0.2">
      <c r="A88" s="36">
        <v>81</v>
      </c>
      <c r="B88" s="47" t="s">
        <v>112</v>
      </c>
      <c r="C88" s="62" t="s">
        <v>153</v>
      </c>
      <c r="D88" s="111">
        <v>404657.41282285005</v>
      </c>
      <c r="E88" s="112">
        <v>117350.64971862652</v>
      </c>
      <c r="F88" s="112">
        <v>469402.59887450607</v>
      </c>
      <c r="G88" s="112">
        <v>586753.24859313259</v>
      </c>
      <c r="H88" s="252">
        <v>95400</v>
      </c>
      <c r="I88" s="252">
        <v>477000</v>
      </c>
      <c r="J88" s="253">
        <v>572400</v>
      </c>
      <c r="K88" s="186">
        <f>117350.649718627-1000</f>
        <v>116350.649718627</v>
      </c>
      <c r="L88" s="186">
        <v>469402.59887450607</v>
      </c>
      <c r="M88" s="187">
        <f t="shared" si="8"/>
        <v>585753.24859313306</v>
      </c>
      <c r="N88" s="99">
        <f t="shared" si="9"/>
        <v>95400</v>
      </c>
      <c r="O88" s="73">
        <f t="shared" si="10"/>
        <v>469402.59887450607</v>
      </c>
      <c r="P88" s="73">
        <f t="shared" si="11"/>
        <v>564802.59887450607</v>
      </c>
      <c r="Q88" s="301">
        <f t="shared" si="12"/>
        <v>88722</v>
      </c>
      <c r="R88" s="301">
        <f t="shared" si="13"/>
        <v>436544.41695329064</v>
      </c>
      <c r="S88" s="300">
        <f t="shared" si="14"/>
        <v>525266.41695329058</v>
      </c>
    </row>
    <row r="89" spans="1:19" ht="15" x14ac:dyDescent="0.2">
      <c r="A89" s="36">
        <v>82</v>
      </c>
      <c r="B89" s="47" t="s">
        <v>78</v>
      </c>
      <c r="C89" s="62" t="s">
        <v>153</v>
      </c>
      <c r="D89" s="111">
        <v>360311.39497925004</v>
      </c>
      <c r="E89" s="112">
        <v>104490.30454398249</v>
      </c>
      <c r="F89" s="112">
        <v>417961.21817593003</v>
      </c>
      <c r="G89" s="112">
        <v>522451.52271991252</v>
      </c>
      <c r="H89" s="252">
        <v>85000</v>
      </c>
      <c r="I89" s="252">
        <v>425000</v>
      </c>
      <c r="J89" s="253">
        <v>510000</v>
      </c>
      <c r="K89" s="186">
        <f>104490.304543982-1000</f>
        <v>103490.304543982</v>
      </c>
      <c r="L89" s="186">
        <v>417961.21817593003</v>
      </c>
      <c r="M89" s="187">
        <f t="shared" si="8"/>
        <v>521451.522719912</v>
      </c>
      <c r="N89" s="99">
        <f t="shared" si="9"/>
        <v>85000</v>
      </c>
      <c r="O89" s="73">
        <f t="shared" si="10"/>
        <v>417961.21817593003</v>
      </c>
      <c r="P89" s="73">
        <f t="shared" si="11"/>
        <v>502961.21817593003</v>
      </c>
      <c r="Q89" s="301">
        <f t="shared" si="12"/>
        <v>79050</v>
      </c>
      <c r="R89" s="301">
        <f t="shared" si="13"/>
        <v>388703.93290361494</v>
      </c>
      <c r="S89" s="300">
        <f t="shared" si="14"/>
        <v>467753.93290361494</v>
      </c>
    </row>
    <row r="90" spans="1:19" ht="15" x14ac:dyDescent="0.25">
      <c r="A90" s="36">
        <v>83</v>
      </c>
      <c r="B90" s="46" t="s">
        <v>175</v>
      </c>
      <c r="C90" s="62" t="s">
        <v>153</v>
      </c>
      <c r="D90" s="111">
        <v>2362051.2230000002</v>
      </c>
      <c r="E90" s="112">
        <v>714284.28983519971</v>
      </c>
      <c r="F90" s="112">
        <v>2857137.1593408007</v>
      </c>
      <c r="G90" s="112">
        <v>3571421.4491760004</v>
      </c>
      <c r="H90" s="252">
        <v>578000</v>
      </c>
      <c r="I90" s="252">
        <v>2890000</v>
      </c>
      <c r="J90" s="253">
        <v>3468000</v>
      </c>
      <c r="K90" s="186">
        <f>714284.2898352-1000</f>
        <v>713284.28983519995</v>
      </c>
      <c r="L90" s="186">
        <v>2857137.1593408007</v>
      </c>
      <c r="M90" s="187">
        <f t="shared" si="8"/>
        <v>3570421.4491760004</v>
      </c>
      <c r="N90" s="99">
        <f t="shared" si="9"/>
        <v>578000</v>
      </c>
      <c r="O90" s="73">
        <f t="shared" si="10"/>
        <v>2857137.1593408007</v>
      </c>
      <c r="P90" s="73">
        <f t="shared" si="11"/>
        <v>3435137.1593408007</v>
      </c>
      <c r="Q90" s="301">
        <f t="shared" si="12"/>
        <v>537540</v>
      </c>
      <c r="R90" s="301">
        <f t="shared" si="13"/>
        <v>2657137.5581869446</v>
      </c>
      <c r="S90" s="300">
        <f t="shared" si="14"/>
        <v>3194677.5581869446</v>
      </c>
    </row>
    <row r="91" spans="1:19" ht="15" x14ac:dyDescent="0.2">
      <c r="A91" s="36">
        <v>84</v>
      </c>
      <c r="B91" s="47" t="s">
        <v>111</v>
      </c>
      <c r="C91" s="62" t="s">
        <v>153</v>
      </c>
      <c r="D91" s="111">
        <v>277162.61152250005</v>
      </c>
      <c r="E91" s="112">
        <v>80377.157341525017</v>
      </c>
      <c r="F91" s="112">
        <v>321508.62936610007</v>
      </c>
      <c r="G91" s="112">
        <v>401885.78670762508</v>
      </c>
      <c r="H91" s="252">
        <v>65600</v>
      </c>
      <c r="I91" s="252">
        <v>328000</v>
      </c>
      <c r="J91" s="253">
        <v>393600</v>
      </c>
      <c r="K91" s="186">
        <f>80377.157341525-1000</f>
        <v>79377.157341525002</v>
      </c>
      <c r="L91" s="186">
        <v>321508.62936610007</v>
      </c>
      <c r="M91" s="187">
        <f t="shared" si="8"/>
        <v>400885.78670762508</v>
      </c>
      <c r="N91" s="99">
        <f t="shared" si="9"/>
        <v>65600</v>
      </c>
      <c r="O91" s="73">
        <f t="shared" si="10"/>
        <v>321508.62936610007</v>
      </c>
      <c r="P91" s="73">
        <f t="shared" si="11"/>
        <v>387108.62936610007</v>
      </c>
      <c r="Q91" s="301">
        <f t="shared" si="12"/>
        <v>61008</v>
      </c>
      <c r="R91" s="301">
        <f t="shared" si="13"/>
        <v>299003.02531047305</v>
      </c>
      <c r="S91" s="300">
        <f t="shared" si="14"/>
        <v>360011.02531047305</v>
      </c>
    </row>
    <row r="92" spans="1:19" ht="15" x14ac:dyDescent="0.25">
      <c r="A92" s="36">
        <v>85</v>
      </c>
      <c r="B92" s="46" t="s">
        <v>270</v>
      </c>
      <c r="C92" s="62" t="s">
        <v>153</v>
      </c>
      <c r="D92" s="111">
        <v>1060413.8999999999</v>
      </c>
      <c r="E92" s="112">
        <v>307520.03099999996</v>
      </c>
      <c r="F92" s="112">
        <v>1230080.1239999998</v>
      </c>
      <c r="G92" s="112">
        <v>1537600.1549999998</v>
      </c>
      <c r="H92" s="252">
        <v>268600</v>
      </c>
      <c r="I92" s="252">
        <v>1343000</v>
      </c>
      <c r="J92" s="253">
        <v>1611600</v>
      </c>
      <c r="K92" s="188"/>
      <c r="L92" s="189"/>
      <c r="M92" s="187">
        <f t="shared" si="8"/>
        <v>0</v>
      </c>
      <c r="N92" s="99">
        <f t="shared" si="9"/>
        <v>268600</v>
      </c>
      <c r="O92" s="73">
        <f t="shared" si="10"/>
        <v>1230080.1239999998</v>
      </c>
      <c r="P92" s="73">
        <f t="shared" si="11"/>
        <v>1498680.1239999998</v>
      </c>
      <c r="Q92" s="301">
        <f t="shared" si="12"/>
        <v>249798</v>
      </c>
      <c r="R92" s="301">
        <f t="shared" si="13"/>
        <v>1143974.5153199998</v>
      </c>
      <c r="S92" s="300">
        <f t="shared" si="14"/>
        <v>1393772.5153199998</v>
      </c>
    </row>
    <row r="93" spans="1:19" ht="22.5" x14ac:dyDescent="0.25">
      <c r="A93" s="36"/>
      <c r="B93" s="30" t="s">
        <v>31</v>
      </c>
      <c r="C93" s="62" t="s">
        <v>153</v>
      </c>
      <c r="D93" s="111"/>
      <c r="E93" s="112"/>
      <c r="F93" s="112"/>
      <c r="G93" s="112"/>
      <c r="H93" s="252">
        <v>0</v>
      </c>
      <c r="I93" s="252"/>
      <c r="J93" s="253">
        <v>0</v>
      </c>
      <c r="K93" s="186">
        <f>307520.031-1000</f>
        <v>306520.03100000002</v>
      </c>
      <c r="L93" s="186">
        <v>1230080.1239999998</v>
      </c>
      <c r="M93" s="187">
        <f t="shared" si="8"/>
        <v>1536600.1549999998</v>
      </c>
      <c r="N93" s="99">
        <f t="shared" si="9"/>
        <v>0</v>
      </c>
      <c r="O93" s="73">
        <f t="shared" si="10"/>
        <v>1230080.1239999998</v>
      </c>
      <c r="P93" s="73">
        <f t="shared" si="11"/>
        <v>1230080.1239999998</v>
      </c>
      <c r="Q93" s="301">
        <f t="shared" si="12"/>
        <v>0</v>
      </c>
      <c r="R93" s="301">
        <f t="shared" si="13"/>
        <v>1143974.5153199998</v>
      </c>
      <c r="S93" s="300">
        <f t="shared" si="14"/>
        <v>1143974.5153199998</v>
      </c>
    </row>
    <row r="94" spans="1:19" ht="15" x14ac:dyDescent="0.25">
      <c r="A94" s="36">
        <v>86</v>
      </c>
      <c r="B94" s="46" t="s">
        <v>323</v>
      </c>
      <c r="C94" s="62" t="s">
        <v>153</v>
      </c>
      <c r="D94" s="111">
        <v>2383598.4590934999</v>
      </c>
      <c r="E94" s="112">
        <v>720800.17402987415</v>
      </c>
      <c r="F94" s="112">
        <v>2883200.696119498</v>
      </c>
      <c r="G94" s="112">
        <v>3604000.8701493721</v>
      </c>
      <c r="H94" s="252">
        <v>556000</v>
      </c>
      <c r="I94" s="252">
        <v>2780000</v>
      </c>
      <c r="J94" s="253">
        <v>3336000</v>
      </c>
      <c r="K94" s="186">
        <f>720800.174029874-1000</f>
        <v>719800.17402987403</v>
      </c>
      <c r="L94" s="186">
        <v>2883200.696119498</v>
      </c>
      <c r="M94" s="187">
        <f t="shared" si="8"/>
        <v>3603000.8701493721</v>
      </c>
      <c r="N94" s="99">
        <f t="shared" si="9"/>
        <v>556000</v>
      </c>
      <c r="O94" s="73">
        <f t="shared" si="10"/>
        <v>2780000</v>
      </c>
      <c r="P94" s="73">
        <f t="shared" si="11"/>
        <v>3336000</v>
      </c>
      <c r="Q94" s="301">
        <f t="shared" si="12"/>
        <v>517080</v>
      </c>
      <c r="R94" s="301">
        <f t="shared" si="13"/>
        <v>2585400</v>
      </c>
      <c r="S94" s="300">
        <f t="shared" si="14"/>
        <v>3102480</v>
      </c>
    </row>
    <row r="95" spans="1:19" ht="15" x14ac:dyDescent="0.25">
      <c r="A95" s="36">
        <v>87</v>
      </c>
      <c r="B95" s="46" t="s">
        <v>178</v>
      </c>
      <c r="C95" s="62" t="s">
        <v>153</v>
      </c>
      <c r="D95" s="111">
        <v>1177935.5557183947</v>
      </c>
      <c r="E95" s="112">
        <v>341601.31115833437</v>
      </c>
      <c r="F95" s="112">
        <v>1366405.2446333379</v>
      </c>
      <c r="G95" s="112">
        <v>1708006.5557916723</v>
      </c>
      <c r="H95" s="252">
        <v>277800</v>
      </c>
      <c r="I95" s="252">
        <v>1389000</v>
      </c>
      <c r="J95" s="253">
        <v>1666800</v>
      </c>
      <c r="K95" s="186">
        <f>341601.311158334-1000</f>
        <v>340601.31115833402</v>
      </c>
      <c r="L95" s="186">
        <v>1366405.2446333379</v>
      </c>
      <c r="M95" s="187">
        <f t="shared" si="8"/>
        <v>1707006.5557916719</v>
      </c>
      <c r="N95" s="99">
        <f t="shared" si="9"/>
        <v>277800</v>
      </c>
      <c r="O95" s="73">
        <f t="shared" si="10"/>
        <v>1366405.2446333379</v>
      </c>
      <c r="P95" s="73">
        <f t="shared" si="11"/>
        <v>1644205.2446333379</v>
      </c>
      <c r="Q95" s="301">
        <f t="shared" si="12"/>
        <v>258354</v>
      </c>
      <c r="R95" s="301">
        <f t="shared" si="13"/>
        <v>1270756.8775090042</v>
      </c>
      <c r="S95" s="300">
        <f t="shared" si="14"/>
        <v>1529110.8775090042</v>
      </c>
    </row>
    <row r="96" spans="1:19" ht="15" x14ac:dyDescent="0.25">
      <c r="A96" s="36">
        <v>88</v>
      </c>
      <c r="B96" s="46" t="s">
        <v>180</v>
      </c>
      <c r="C96" s="62" t="s">
        <v>153</v>
      </c>
      <c r="D96" s="111">
        <v>1469376.476336088</v>
      </c>
      <c r="E96" s="112">
        <v>426119.17813746538</v>
      </c>
      <c r="F96" s="112">
        <v>1704476.712549862</v>
      </c>
      <c r="G96" s="112">
        <v>2130595.8906873274</v>
      </c>
      <c r="H96" s="252">
        <v>337800</v>
      </c>
      <c r="I96" s="252">
        <v>1689000</v>
      </c>
      <c r="J96" s="253">
        <v>2026800</v>
      </c>
      <c r="K96" s="186">
        <f>426119.178137465-1000</f>
        <v>425119.17813746497</v>
      </c>
      <c r="L96" s="186">
        <v>1704476.712549862</v>
      </c>
      <c r="M96" s="187">
        <f t="shared" si="8"/>
        <v>2129595.8906873269</v>
      </c>
      <c r="N96" s="99">
        <f t="shared" si="9"/>
        <v>337800</v>
      </c>
      <c r="O96" s="73">
        <f t="shared" si="10"/>
        <v>1689000</v>
      </c>
      <c r="P96" s="73">
        <f t="shared" si="11"/>
        <v>2026800</v>
      </c>
      <c r="Q96" s="301">
        <f t="shared" si="12"/>
        <v>314154</v>
      </c>
      <c r="R96" s="301">
        <f t="shared" si="13"/>
        <v>1570770</v>
      </c>
      <c r="S96" s="300">
        <f t="shared" si="14"/>
        <v>1884924</v>
      </c>
    </row>
    <row r="97" spans="1:19" ht="15" x14ac:dyDescent="0.2">
      <c r="A97" s="36">
        <v>89</v>
      </c>
      <c r="B97" s="47" t="s">
        <v>79</v>
      </c>
      <c r="C97" s="62" t="s">
        <v>153</v>
      </c>
      <c r="D97" s="111">
        <v>171840.81914395004</v>
      </c>
      <c r="E97" s="112">
        <v>49833.837551745499</v>
      </c>
      <c r="F97" s="112">
        <v>199335.35020698205</v>
      </c>
      <c r="G97" s="112">
        <v>249169.18775872755</v>
      </c>
      <c r="H97" s="252">
        <v>41000</v>
      </c>
      <c r="I97" s="252">
        <v>205000</v>
      </c>
      <c r="J97" s="253">
        <v>246000</v>
      </c>
      <c r="K97" s="186">
        <f>49833.8375517455-1000</f>
        <v>48833.837551745499</v>
      </c>
      <c r="L97" s="186">
        <v>199335.35020698205</v>
      </c>
      <c r="M97" s="187">
        <f t="shared" si="8"/>
        <v>248169.18775872755</v>
      </c>
      <c r="N97" s="99">
        <f t="shared" si="9"/>
        <v>41000</v>
      </c>
      <c r="O97" s="73">
        <f t="shared" si="10"/>
        <v>199335.35020698205</v>
      </c>
      <c r="P97" s="73">
        <f t="shared" si="11"/>
        <v>240335.35020698205</v>
      </c>
      <c r="Q97" s="301">
        <f t="shared" si="12"/>
        <v>38130</v>
      </c>
      <c r="R97" s="301">
        <f t="shared" si="13"/>
        <v>185381.87569249331</v>
      </c>
      <c r="S97" s="300">
        <f t="shared" si="14"/>
        <v>223511.87569249331</v>
      </c>
    </row>
    <row r="98" spans="1:19" ht="15" x14ac:dyDescent="0.25">
      <c r="A98" s="36">
        <v>90</v>
      </c>
      <c r="B98" s="46" t="s">
        <v>179</v>
      </c>
      <c r="C98" s="62" t="s">
        <v>153</v>
      </c>
      <c r="D98" s="111">
        <v>194013.82806574999</v>
      </c>
      <c r="E98" s="112">
        <v>56264.010139067483</v>
      </c>
      <c r="F98" s="112">
        <v>225056.04055626999</v>
      </c>
      <c r="G98" s="112">
        <v>281320.05069533747</v>
      </c>
      <c r="H98" s="252">
        <v>46000</v>
      </c>
      <c r="I98" s="252">
        <v>230000</v>
      </c>
      <c r="J98" s="253">
        <v>276000</v>
      </c>
      <c r="K98" s="186">
        <f>56264.0101390675-1000</f>
        <v>55264.010139067497</v>
      </c>
      <c r="L98" s="186">
        <v>225056.04055626999</v>
      </c>
      <c r="M98" s="187">
        <f t="shared" si="8"/>
        <v>280320.05069533747</v>
      </c>
      <c r="N98" s="99">
        <f t="shared" si="9"/>
        <v>46000</v>
      </c>
      <c r="O98" s="73">
        <f t="shared" si="10"/>
        <v>225056.04055626999</v>
      </c>
      <c r="P98" s="73">
        <f t="shared" si="11"/>
        <v>271056.04055626999</v>
      </c>
      <c r="Q98" s="301">
        <f t="shared" si="12"/>
        <v>42780</v>
      </c>
      <c r="R98" s="301">
        <f t="shared" si="13"/>
        <v>209302.1177173311</v>
      </c>
      <c r="S98" s="300">
        <f t="shared" si="14"/>
        <v>252082.1177173311</v>
      </c>
    </row>
    <row r="99" spans="1:19" ht="15" x14ac:dyDescent="0.2">
      <c r="A99" s="36">
        <v>91</v>
      </c>
      <c r="B99" s="47" t="s">
        <v>77</v>
      </c>
      <c r="C99" s="62" t="s">
        <v>153</v>
      </c>
      <c r="D99" s="111">
        <v>437916.92620555003</v>
      </c>
      <c r="E99" s="112">
        <v>126995.90859960951</v>
      </c>
      <c r="F99" s="112">
        <v>507983.63439843804</v>
      </c>
      <c r="G99" s="112">
        <v>634979.54299804755</v>
      </c>
      <c r="H99" s="252">
        <v>103000</v>
      </c>
      <c r="I99" s="252">
        <v>515000</v>
      </c>
      <c r="J99" s="253">
        <v>618000</v>
      </c>
      <c r="K99" s="186">
        <f>126995.90859961-1000</f>
        <v>125995.90859961</v>
      </c>
      <c r="L99" s="186">
        <v>507983.63439843804</v>
      </c>
      <c r="M99" s="187">
        <f t="shared" si="8"/>
        <v>633979.54299804801</v>
      </c>
      <c r="N99" s="99">
        <f t="shared" si="9"/>
        <v>103000</v>
      </c>
      <c r="O99" s="73">
        <f t="shared" si="10"/>
        <v>507983.63439843804</v>
      </c>
      <c r="P99" s="73">
        <f t="shared" si="11"/>
        <v>610983.63439843804</v>
      </c>
      <c r="Q99" s="301">
        <f t="shared" si="12"/>
        <v>95790</v>
      </c>
      <c r="R99" s="301">
        <f t="shared" si="13"/>
        <v>472424.77999054739</v>
      </c>
      <c r="S99" s="300">
        <f t="shared" si="14"/>
        <v>568214.77999054734</v>
      </c>
    </row>
    <row r="100" spans="1:19" ht="22.5" x14ac:dyDescent="0.25">
      <c r="A100" s="36"/>
      <c r="B100" s="30" t="s">
        <v>90</v>
      </c>
      <c r="C100" s="62" t="s">
        <v>153</v>
      </c>
      <c r="D100" s="111"/>
      <c r="E100" s="112"/>
      <c r="F100" s="112"/>
      <c r="G100" s="112"/>
      <c r="H100" s="252">
        <v>0</v>
      </c>
      <c r="I100" s="252"/>
      <c r="J100" s="253">
        <v>0</v>
      </c>
      <c r="K100" s="188"/>
      <c r="L100" s="189"/>
      <c r="M100" s="187">
        <f t="shared" si="8"/>
        <v>0</v>
      </c>
      <c r="N100" s="99">
        <f t="shared" si="9"/>
        <v>0</v>
      </c>
      <c r="O100" s="73">
        <f t="shared" si="10"/>
        <v>0</v>
      </c>
      <c r="P100" s="73">
        <f t="shared" si="11"/>
        <v>0</v>
      </c>
      <c r="Q100" s="301">
        <f t="shared" si="12"/>
        <v>0</v>
      </c>
      <c r="R100" s="301">
        <f t="shared" si="13"/>
        <v>0</v>
      </c>
      <c r="S100" s="300">
        <f t="shared" si="14"/>
        <v>0</v>
      </c>
    </row>
    <row r="101" spans="1:19" ht="15" x14ac:dyDescent="0.25">
      <c r="A101" s="36">
        <v>92</v>
      </c>
      <c r="B101" s="46" t="s">
        <v>481</v>
      </c>
      <c r="C101" s="62" t="s">
        <v>153</v>
      </c>
      <c r="D101" s="111">
        <v>104788.35657097456</v>
      </c>
      <c r="E101" s="112">
        <v>30388.623405582621</v>
      </c>
      <c r="F101" s="112">
        <v>121554.49362233048</v>
      </c>
      <c r="G101" s="112">
        <v>151943.1170279131</v>
      </c>
      <c r="H101" s="252">
        <v>25000</v>
      </c>
      <c r="I101" s="252">
        <v>125000</v>
      </c>
      <c r="J101" s="253">
        <v>150000</v>
      </c>
      <c r="K101" s="186">
        <f>30388.6234055826-1000</f>
        <v>29388.623405582599</v>
      </c>
      <c r="L101" s="186">
        <v>121554.49362233048</v>
      </c>
      <c r="M101" s="187">
        <f t="shared" si="8"/>
        <v>150943.11702791307</v>
      </c>
      <c r="N101" s="99">
        <f t="shared" si="9"/>
        <v>25000</v>
      </c>
      <c r="O101" s="73">
        <f t="shared" si="10"/>
        <v>121554.49362233048</v>
      </c>
      <c r="P101" s="73">
        <f t="shared" si="11"/>
        <v>146554.49362233048</v>
      </c>
      <c r="Q101" s="301">
        <f t="shared" si="12"/>
        <v>23250</v>
      </c>
      <c r="R101" s="301">
        <f t="shared" si="13"/>
        <v>113045.67906876735</v>
      </c>
      <c r="S101" s="300">
        <f t="shared" si="14"/>
        <v>136295.67906876735</v>
      </c>
    </row>
    <row r="102" spans="1:19" ht="15" x14ac:dyDescent="0.25">
      <c r="A102" s="36">
        <v>93</v>
      </c>
      <c r="B102" s="46" t="s">
        <v>181</v>
      </c>
      <c r="C102" s="62" t="s">
        <v>153</v>
      </c>
      <c r="D102" s="111">
        <v>486192.91050978663</v>
      </c>
      <c r="E102" s="112">
        <v>140995.9440478381</v>
      </c>
      <c r="F102" s="112">
        <v>563983.77619135252</v>
      </c>
      <c r="G102" s="112">
        <v>704979.72023919062</v>
      </c>
      <c r="H102" s="252">
        <v>114000</v>
      </c>
      <c r="I102" s="252">
        <v>570000</v>
      </c>
      <c r="J102" s="253">
        <v>684000</v>
      </c>
      <c r="K102" s="186">
        <f>140995.944047838-1000</f>
        <v>139995.94404783801</v>
      </c>
      <c r="L102" s="186">
        <v>563983.77619135252</v>
      </c>
      <c r="M102" s="187">
        <f t="shared" si="8"/>
        <v>703979.7202391905</v>
      </c>
      <c r="N102" s="99">
        <f t="shared" si="9"/>
        <v>114000</v>
      </c>
      <c r="O102" s="73">
        <f t="shared" si="10"/>
        <v>563983.77619135252</v>
      </c>
      <c r="P102" s="73">
        <f t="shared" si="11"/>
        <v>677983.77619135252</v>
      </c>
      <c r="Q102" s="301">
        <f t="shared" si="12"/>
        <v>106020</v>
      </c>
      <c r="R102" s="301">
        <f t="shared" si="13"/>
        <v>524504.91185795784</v>
      </c>
      <c r="S102" s="300">
        <f t="shared" si="14"/>
        <v>630524.91185795784</v>
      </c>
    </row>
    <row r="103" spans="1:19" ht="15" x14ac:dyDescent="0.2">
      <c r="A103" s="36">
        <v>94</v>
      </c>
      <c r="B103" s="47" t="s">
        <v>182</v>
      </c>
      <c r="C103" s="62" t="s">
        <v>153</v>
      </c>
      <c r="D103" s="111">
        <v>1078080.9133690733</v>
      </c>
      <c r="E103" s="112">
        <v>312643.46487703128</v>
      </c>
      <c r="F103" s="112">
        <v>1250573.8595081249</v>
      </c>
      <c r="G103" s="112">
        <v>1563217.3243851562</v>
      </c>
      <c r="H103" s="252">
        <v>240000</v>
      </c>
      <c r="I103" s="252">
        <v>1200000</v>
      </c>
      <c r="J103" s="253">
        <v>1440000</v>
      </c>
      <c r="K103" s="186">
        <f>312643.464877031-1000</f>
        <v>311643.46487703099</v>
      </c>
      <c r="L103" s="186">
        <v>1250573.8595081249</v>
      </c>
      <c r="M103" s="187">
        <f t="shared" si="8"/>
        <v>1562217.3243851559</v>
      </c>
      <c r="N103" s="99">
        <f t="shared" si="9"/>
        <v>240000</v>
      </c>
      <c r="O103" s="73">
        <f t="shared" si="10"/>
        <v>1200000</v>
      </c>
      <c r="P103" s="73">
        <f t="shared" si="11"/>
        <v>1440000</v>
      </c>
      <c r="Q103" s="301">
        <f t="shared" si="12"/>
        <v>223200</v>
      </c>
      <c r="R103" s="301">
        <f t="shared" si="13"/>
        <v>1116000</v>
      </c>
      <c r="S103" s="300">
        <f t="shared" si="14"/>
        <v>1339200</v>
      </c>
    </row>
    <row r="104" spans="1:19" ht="15" x14ac:dyDescent="0.2">
      <c r="A104" s="36">
        <v>95</v>
      </c>
      <c r="B104" s="47" t="s">
        <v>183</v>
      </c>
      <c r="C104" s="62" t="s">
        <v>153</v>
      </c>
      <c r="D104" s="111">
        <v>517529.37600000005</v>
      </c>
      <c r="E104" s="112">
        <v>150083.51904000004</v>
      </c>
      <c r="F104" s="112">
        <v>600334.07616000006</v>
      </c>
      <c r="G104" s="112">
        <v>750417.5952000001</v>
      </c>
      <c r="H104" s="252">
        <v>128000</v>
      </c>
      <c r="I104" s="252">
        <v>640000</v>
      </c>
      <c r="J104" s="253">
        <v>768000</v>
      </c>
      <c r="K104" s="186">
        <f>150083.51904-1000</f>
        <v>149083.51904000001</v>
      </c>
      <c r="L104" s="186">
        <v>600334.07616000006</v>
      </c>
      <c r="M104" s="187">
        <f t="shared" si="8"/>
        <v>749417.5952000001</v>
      </c>
      <c r="N104" s="99">
        <f t="shared" si="9"/>
        <v>128000</v>
      </c>
      <c r="O104" s="73">
        <f t="shared" si="10"/>
        <v>600334.07616000006</v>
      </c>
      <c r="P104" s="73">
        <f t="shared" si="11"/>
        <v>728334.07616000006</v>
      </c>
      <c r="Q104" s="301">
        <f t="shared" si="12"/>
        <v>119040</v>
      </c>
      <c r="R104" s="301">
        <f t="shared" si="13"/>
        <v>558310.69082880009</v>
      </c>
      <c r="S104" s="300">
        <f t="shared" si="14"/>
        <v>677350.69082880009</v>
      </c>
    </row>
    <row r="105" spans="1:19" ht="15" x14ac:dyDescent="0.2">
      <c r="A105" s="36">
        <v>96</v>
      </c>
      <c r="B105" s="47" t="s">
        <v>80</v>
      </c>
      <c r="C105" s="62" t="s">
        <v>153</v>
      </c>
      <c r="D105" s="111">
        <v>548781.97081455006</v>
      </c>
      <c r="E105" s="112">
        <v>159146.77153621952</v>
      </c>
      <c r="F105" s="112">
        <v>636587.08614487806</v>
      </c>
      <c r="G105" s="112">
        <v>795733.85768109758</v>
      </c>
      <c r="H105" s="252">
        <v>122600</v>
      </c>
      <c r="I105" s="252">
        <v>613000</v>
      </c>
      <c r="J105" s="253">
        <v>735600</v>
      </c>
      <c r="K105" s="186">
        <f>159146.77153622-1000</f>
        <v>158146.77153622001</v>
      </c>
      <c r="L105" s="186">
        <v>636587.08614487806</v>
      </c>
      <c r="M105" s="187">
        <f t="shared" si="8"/>
        <v>794733.85768109804</v>
      </c>
      <c r="N105" s="99">
        <f t="shared" si="9"/>
        <v>122600</v>
      </c>
      <c r="O105" s="73">
        <f t="shared" si="10"/>
        <v>613000</v>
      </c>
      <c r="P105" s="73">
        <f t="shared" si="11"/>
        <v>735600</v>
      </c>
      <c r="Q105" s="301">
        <f t="shared" si="12"/>
        <v>114018</v>
      </c>
      <c r="R105" s="301">
        <f t="shared" si="13"/>
        <v>570090</v>
      </c>
      <c r="S105" s="300">
        <f t="shared" si="14"/>
        <v>684108</v>
      </c>
    </row>
    <row r="106" spans="1:19" ht="15" x14ac:dyDescent="0.2">
      <c r="A106" s="36">
        <v>97</v>
      </c>
      <c r="B106" s="47" t="s">
        <v>184</v>
      </c>
      <c r="C106" s="62" t="s">
        <v>153</v>
      </c>
      <c r="D106" s="111">
        <v>379749.02784</v>
      </c>
      <c r="E106" s="112">
        <v>110127.21807359997</v>
      </c>
      <c r="F106" s="112">
        <v>440508.8722944</v>
      </c>
      <c r="G106" s="112">
        <v>550636.09036799998</v>
      </c>
      <c r="H106" s="252">
        <v>96000</v>
      </c>
      <c r="I106" s="252">
        <v>480000</v>
      </c>
      <c r="J106" s="253">
        <v>576000</v>
      </c>
      <c r="K106" s="186">
        <f>110127.2180736-1000</f>
        <v>109127.2180736</v>
      </c>
      <c r="L106" s="186">
        <v>440508.8722944</v>
      </c>
      <c r="M106" s="187">
        <f t="shared" si="8"/>
        <v>549636.09036799998</v>
      </c>
      <c r="N106" s="99">
        <f t="shared" si="9"/>
        <v>96000</v>
      </c>
      <c r="O106" s="73">
        <f t="shared" si="10"/>
        <v>440508.8722944</v>
      </c>
      <c r="P106" s="73">
        <f t="shared" si="11"/>
        <v>536508.8722944</v>
      </c>
      <c r="Q106" s="301">
        <f t="shared" si="12"/>
        <v>89280</v>
      </c>
      <c r="R106" s="301">
        <f t="shared" si="13"/>
        <v>409673.25123379199</v>
      </c>
      <c r="S106" s="300">
        <f t="shared" si="14"/>
        <v>498953.25123379199</v>
      </c>
    </row>
    <row r="107" spans="1:19" ht="15" x14ac:dyDescent="0.25">
      <c r="A107" s="36">
        <v>98</v>
      </c>
      <c r="B107" s="35" t="s">
        <v>185</v>
      </c>
      <c r="C107" s="62" t="s">
        <v>153</v>
      </c>
      <c r="D107" s="111">
        <v>374023.97760000004</v>
      </c>
      <c r="E107" s="112">
        <v>108466.95350399998</v>
      </c>
      <c r="F107" s="112">
        <v>433867.81401600002</v>
      </c>
      <c r="G107" s="112">
        <v>542334.76751999999</v>
      </c>
      <c r="H107" s="252">
        <v>94600</v>
      </c>
      <c r="I107" s="252">
        <v>473000</v>
      </c>
      <c r="J107" s="253">
        <v>567600</v>
      </c>
      <c r="K107" s="186">
        <f>108466.953504-1000</f>
        <v>107466.953504</v>
      </c>
      <c r="L107" s="186">
        <v>433867.81401600002</v>
      </c>
      <c r="M107" s="187">
        <f t="shared" si="8"/>
        <v>541334.76751999999</v>
      </c>
      <c r="N107" s="99">
        <f t="shared" si="9"/>
        <v>94600</v>
      </c>
      <c r="O107" s="73">
        <f t="shared" si="10"/>
        <v>433867.81401600002</v>
      </c>
      <c r="P107" s="73">
        <f t="shared" si="11"/>
        <v>528467.81401600002</v>
      </c>
      <c r="Q107" s="301">
        <f t="shared" si="12"/>
        <v>87978</v>
      </c>
      <c r="R107" s="301">
        <f t="shared" si="13"/>
        <v>403497.06703487999</v>
      </c>
      <c r="S107" s="300">
        <f t="shared" si="14"/>
        <v>491475.06703487999</v>
      </c>
    </row>
    <row r="108" spans="1:19" ht="15" x14ac:dyDescent="0.2">
      <c r="A108" s="36">
        <v>99</v>
      </c>
      <c r="B108" s="47" t="s">
        <v>99</v>
      </c>
      <c r="C108" s="62" t="s">
        <v>153</v>
      </c>
      <c r="D108" s="111">
        <v>260532.85483115001</v>
      </c>
      <c r="E108" s="112">
        <v>75554.527901033463</v>
      </c>
      <c r="F108" s="112">
        <v>302218.11160413403</v>
      </c>
      <c r="G108" s="112">
        <v>377772.63950516749</v>
      </c>
      <c r="H108" s="252">
        <v>61400</v>
      </c>
      <c r="I108" s="252">
        <v>307000</v>
      </c>
      <c r="J108" s="253">
        <v>368400</v>
      </c>
      <c r="K108" s="186">
        <f>75554.5279010335-1000</f>
        <v>74554.527901033507</v>
      </c>
      <c r="L108" s="186">
        <v>302218.11160413403</v>
      </c>
      <c r="M108" s="187">
        <f t="shared" si="8"/>
        <v>376772.63950516755</v>
      </c>
      <c r="N108" s="99">
        <f t="shared" si="9"/>
        <v>61400</v>
      </c>
      <c r="O108" s="73">
        <f t="shared" si="10"/>
        <v>302218.11160413403</v>
      </c>
      <c r="P108" s="73">
        <f t="shared" si="11"/>
        <v>363618.11160413403</v>
      </c>
      <c r="Q108" s="301">
        <f t="shared" si="12"/>
        <v>57102</v>
      </c>
      <c r="R108" s="301">
        <f t="shared" si="13"/>
        <v>281062.84379184467</v>
      </c>
      <c r="S108" s="300">
        <f t="shared" si="14"/>
        <v>338164.84379184467</v>
      </c>
    </row>
    <row r="109" spans="1:19" ht="15" x14ac:dyDescent="0.2">
      <c r="A109" s="36">
        <v>100</v>
      </c>
      <c r="B109" s="47" t="s">
        <v>325</v>
      </c>
      <c r="C109" s="62" t="s">
        <v>153</v>
      </c>
      <c r="D109" s="111">
        <v>422465.14165538311</v>
      </c>
      <c r="E109" s="112">
        <v>122514.89108006109</v>
      </c>
      <c r="F109" s="112">
        <v>490059.56432024436</v>
      </c>
      <c r="G109" s="112">
        <v>612574.45540030545</v>
      </c>
      <c r="H109" s="252">
        <v>100000</v>
      </c>
      <c r="I109" s="252">
        <v>500000</v>
      </c>
      <c r="J109" s="253">
        <v>600000</v>
      </c>
      <c r="K109" s="186">
        <f>122514.891080061-1000</f>
        <v>121514.891080061</v>
      </c>
      <c r="L109" s="186">
        <v>490059.56432024436</v>
      </c>
      <c r="M109" s="187">
        <f t="shared" si="8"/>
        <v>611574.45540030533</v>
      </c>
      <c r="N109" s="99">
        <f t="shared" si="9"/>
        <v>100000</v>
      </c>
      <c r="O109" s="73">
        <f t="shared" si="10"/>
        <v>490059.56432024436</v>
      </c>
      <c r="P109" s="73">
        <f t="shared" si="11"/>
        <v>590059.56432024436</v>
      </c>
      <c r="Q109" s="301">
        <f t="shared" si="12"/>
        <v>93000</v>
      </c>
      <c r="R109" s="301">
        <f t="shared" si="13"/>
        <v>455755.39481782727</v>
      </c>
      <c r="S109" s="300">
        <f t="shared" si="14"/>
        <v>548755.39481782727</v>
      </c>
    </row>
    <row r="110" spans="1:19" ht="15" x14ac:dyDescent="0.2">
      <c r="A110" s="36">
        <v>101</v>
      </c>
      <c r="B110" s="47" t="s">
        <v>186</v>
      </c>
      <c r="C110" s="62" t="s">
        <v>153</v>
      </c>
      <c r="D110" s="111">
        <v>253368.6846948879</v>
      </c>
      <c r="E110" s="112">
        <v>73476.918561517494</v>
      </c>
      <c r="F110" s="112">
        <v>293907.67424606992</v>
      </c>
      <c r="G110" s="112">
        <v>367384.59280758741</v>
      </c>
      <c r="H110" s="252">
        <v>60000</v>
      </c>
      <c r="I110" s="252">
        <v>300000</v>
      </c>
      <c r="J110" s="253">
        <v>360000</v>
      </c>
      <c r="K110" s="186">
        <f>73476.9185615175-1000</f>
        <v>72476.918561517494</v>
      </c>
      <c r="L110" s="186">
        <v>293907.67424606992</v>
      </c>
      <c r="M110" s="187">
        <f t="shared" si="8"/>
        <v>366384.59280758741</v>
      </c>
      <c r="N110" s="99">
        <f t="shared" si="9"/>
        <v>60000</v>
      </c>
      <c r="O110" s="73">
        <f t="shared" si="10"/>
        <v>293907.67424606992</v>
      </c>
      <c r="P110" s="73">
        <f t="shared" si="11"/>
        <v>353907.67424606992</v>
      </c>
      <c r="Q110" s="301">
        <f t="shared" si="12"/>
        <v>55800</v>
      </c>
      <c r="R110" s="301">
        <f t="shared" si="13"/>
        <v>273334.137048845</v>
      </c>
      <c r="S110" s="300">
        <f t="shared" si="14"/>
        <v>329134.137048845</v>
      </c>
    </row>
    <row r="111" spans="1:19" ht="15" x14ac:dyDescent="0.2">
      <c r="A111" s="36">
        <v>102</v>
      </c>
      <c r="B111" s="47" t="s">
        <v>306</v>
      </c>
      <c r="C111" s="62" t="s">
        <v>153</v>
      </c>
      <c r="D111" s="111">
        <v>662972.9667618199</v>
      </c>
      <c r="E111" s="112">
        <v>192262.16036092769</v>
      </c>
      <c r="F111" s="112">
        <v>769048.64144371112</v>
      </c>
      <c r="G111" s="112">
        <v>961310.80180463882</v>
      </c>
      <c r="H111" s="252">
        <v>157000</v>
      </c>
      <c r="I111" s="252">
        <v>785000</v>
      </c>
      <c r="J111" s="253">
        <v>942000</v>
      </c>
      <c r="K111" s="186">
        <f>192262.160360928-1000</f>
        <v>191262.16036092801</v>
      </c>
      <c r="L111" s="186">
        <v>769048.64144371112</v>
      </c>
      <c r="M111" s="187">
        <f t="shared" si="8"/>
        <v>960310.80180463917</v>
      </c>
      <c r="N111" s="99">
        <f t="shared" si="9"/>
        <v>157000</v>
      </c>
      <c r="O111" s="73">
        <f t="shared" si="10"/>
        <v>769048.64144371112</v>
      </c>
      <c r="P111" s="73">
        <f t="shared" si="11"/>
        <v>926048.64144371112</v>
      </c>
      <c r="Q111" s="301">
        <f t="shared" si="12"/>
        <v>146010</v>
      </c>
      <c r="R111" s="301">
        <f t="shared" si="13"/>
        <v>715215.23654265131</v>
      </c>
      <c r="S111" s="300">
        <f t="shared" si="14"/>
        <v>861225.23654265131</v>
      </c>
    </row>
    <row r="112" spans="1:19" ht="15" x14ac:dyDescent="0.2">
      <c r="A112" s="36">
        <v>103</v>
      </c>
      <c r="B112" s="47" t="s">
        <v>103</v>
      </c>
      <c r="C112" s="62" t="s">
        <v>153</v>
      </c>
      <c r="D112" s="111">
        <v>142454.46306000001</v>
      </c>
      <c r="E112" s="112">
        <v>41311.7942874</v>
      </c>
      <c r="F112" s="112">
        <v>165247.1771496</v>
      </c>
      <c r="G112" s="112">
        <v>206558.971437</v>
      </c>
      <c r="H112" s="252">
        <v>34400</v>
      </c>
      <c r="I112" s="252">
        <v>172000</v>
      </c>
      <c r="J112" s="253">
        <v>206400</v>
      </c>
      <c r="K112" s="186">
        <f>41311.7942874-1000</f>
        <v>40311.7942874</v>
      </c>
      <c r="L112" s="186">
        <v>165247.1771496</v>
      </c>
      <c r="M112" s="187">
        <f t="shared" si="8"/>
        <v>205558.971437</v>
      </c>
      <c r="N112" s="99">
        <f t="shared" si="9"/>
        <v>34400</v>
      </c>
      <c r="O112" s="73">
        <f t="shared" si="10"/>
        <v>165247.1771496</v>
      </c>
      <c r="P112" s="73">
        <f t="shared" si="11"/>
        <v>199647.1771496</v>
      </c>
      <c r="Q112" s="301">
        <f t="shared" si="12"/>
        <v>31992</v>
      </c>
      <c r="R112" s="301">
        <f t="shared" si="13"/>
        <v>153679.87474912801</v>
      </c>
      <c r="S112" s="300">
        <f t="shared" si="14"/>
        <v>185671.87474912801</v>
      </c>
    </row>
    <row r="113" spans="1:19" ht="15" x14ac:dyDescent="0.25">
      <c r="A113" s="36">
        <v>104</v>
      </c>
      <c r="B113" s="46" t="s">
        <v>187</v>
      </c>
      <c r="C113" s="62" t="s">
        <v>153</v>
      </c>
      <c r="D113" s="111">
        <v>596315.05683961301</v>
      </c>
      <c r="E113" s="112">
        <v>172931.36648348777</v>
      </c>
      <c r="F113" s="112">
        <v>691725.46593395108</v>
      </c>
      <c r="G113" s="112">
        <v>864656.83241743885</v>
      </c>
      <c r="H113" s="252">
        <v>132000</v>
      </c>
      <c r="I113" s="252">
        <v>660000</v>
      </c>
      <c r="J113" s="253">
        <v>792000</v>
      </c>
      <c r="K113" s="186">
        <f>172931.366483488-1000</f>
        <v>171931.366483488</v>
      </c>
      <c r="L113" s="186">
        <v>691725.46593395108</v>
      </c>
      <c r="M113" s="187">
        <f t="shared" si="8"/>
        <v>863656.83241743909</v>
      </c>
      <c r="N113" s="99">
        <f t="shared" si="9"/>
        <v>132000</v>
      </c>
      <c r="O113" s="73">
        <f t="shared" si="10"/>
        <v>660000</v>
      </c>
      <c r="P113" s="73">
        <f t="shared" si="11"/>
        <v>792000</v>
      </c>
      <c r="Q113" s="301">
        <f t="shared" si="12"/>
        <v>122760</v>
      </c>
      <c r="R113" s="301">
        <f t="shared" si="13"/>
        <v>613800</v>
      </c>
      <c r="S113" s="300">
        <f t="shared" si="14"/>
        <v>736560</v>
      </c>
    </row>
    <row r="114" spans="1:19" ht="15" x14ac:dyDescent="0.25">
      <c r="A114" s="36">
        <v>105</v>
      </c>
      <c r="B114" s="46" t="s">
        <v>188</v>
      </c>
      <c r="C114" s="62" t="s">
        <v>153</v>
      </c>
      <c r="D114" s="111">
        <v>207018.55943989099</v>
      </c>
      <c r="E114" s="112">
        <v>60035.382237568381</v>
      </c>
      <c r="F114" s="112">
        <v>240141.52895027352</v>
      </c>
      <c r="G114" s="112">
        <v>300176.91118784191</v>
      </c>
      <c r="H114" s="252">
        <v>50000</v>
      </c>
      <c r="I114" s="252">
        <v>250000</v>
      </c>
      <c r="J114" s="253">
        <v>300000</v>
      </c>
      <c r="K114" s="186">
        <f>60035.3822375684-1000</f>
        <v>59035.382237568403</v>
      </c>
      <c r="L114" s="186">
        <v>240141.52895027352</v>
      </c>
      <c r="M114" s="187">
        <f t="shared" si="8"/>
        <v>299176.91118784191</v>
      </c>
      <c r="N114" s="99">
        <f t="shared" si="9"/>
        <v>50000</v>
      </c>
      <c r="O114" s="73">
        <f t="shared" si="10"/>
        <v>240141.52895027352</v>
      </c>
      <c r="P114" s="73">
        <f t="shared" si="11"/>
        <v>290141.52895027352</v>
      </c>
      <c r="Q114" s="301">
        <f t="shared" si="12"/>
        <v>46500</v>
      </c>
      <c r="R114" s="301">
        <f t="shared" si="13"/>
        <v>223331.62192375437</v>
      </c>
      <c r="S114" s="300">
        <f t="shared" si="14"/>
        <v>269831.62192375434</v>
      </c>
    </row>
    <row r="115" spans="1:19" ht="15" x14ac:dyDescent="0.25">
      <c r="A115" s="36">
        <v>106</v>
      </c>
      <c r="B115" s="46" t="s">
        <v>189</v>
      </c>
      <c r="C115" s="62" t="s">
        <v>153</v>
      </c>
      <c r="D115" s="111">
        <v>942352.87917650002</v>
      </c>
      <c r="E115" s="112">
        <v>273282.334961185</v>
      </c>
      <c r="F115" s="112">
        <v>1093129.33984474</v>
      </c>
      <c r="G115" s="112">
        <v>1366411.674805925</v>
      </c>
      <c r="H115" s="252">
        <v>192000</v>
      </c>
      <c r="I115" s="252">
        <v>960000</v>
      </c>
      <c r="J115" s="253">
        <v>1152000</v>
      </c>
      <c r="K115" s="186">
        <f>273282.334961185-1000</f>
        <v>272282.334961185</v>
      </c>
      <c r="L115" s="186">
        <v>1093129.33984474</v>
      </c>
      <c r="M115" s="187">
        <f t="shared" si="8"/>
        <v>1365411.674805925</v>
      </c>
      <c r="N115" s="99">
        <f t="shared" si="9"/>
        <v>192000</v>
      </c>
      <c r="O115" s="73">
        <f t="shared" si="10"/>
        <v>960000</v>
      </c>
      <c r="P115" s="73">
        <f t="shared" si="11"/>
        <v>1152000</v>
      </c>
      <c r="Q115" s="301">
        <f t="shared" si="12"/>
        <v>178560</v>
      </c>
      <c r="R115" s="301">
        <f t="shared" si="13"/>
        <v>892800</v>
      </c>
      <c r="S115" s="300">
        <f t="shared" si="14"/>
        <v>1071360</v>
      </c>
    </row>
    <row r="116" spans="1:19" ht="15" x14ac:dyDescent="0.25">
      <c r="A116" s="36">
        <v>107</v>
      </c>
      <c r="B116" s="46" t="s">
        <v>310</v>
      </c>
      <c r="C116" s="62" t="s">
        <v>153</v>
      </c>
      <c r="D116" s="111">
        <v>216186.83698755005</v>
      </c>
      <c r="E116" s="112">
        <v>62694.182726389496</v>
      </c>
      <c r="F116" s="112">
        <v>250776.73090555804</v>
      </c>
      <c r="G116" s="112">
        <v>313470.91363194754</v>
      </c>
      <c r="H116" s="252">
        <v>52000</v>
      </c>
      <c r="I116" s="252">
        <v>260000</v>
      </c>
      <c r="J116" s="253">
        <v>312000</v>
      </c>
      <c r="K116" s="186">
        <f>62694.1827263894-1000</f>
        <v>61694.182726389401</v>
      </c>
      <c r="L116" s="186">
        <v>250776.73090555804</v>
      </c>
      <c r="M116" s="187">
        <f t="shared" si="8"/>
        <v>312470.91363194742</v>
      </c>
      <c r="N116" s="99">
        <f t="shared" si="9"/>
        <v>52000</v>
      </c>
      <c r="O116" s="73">
        <f t="shared" si="10"/>
        <v>250776.73090555804</v>
      </c>
      <c r="P116" s="73">
        <f t="shared" si="11"/>
        <v>302776.73090555804</v>
      </c>
      <c r="Q116" s="301">
        <f t="shared" si="12"/>
        <v>48360</v>
      </c>
      <c r="R116" s="301">
        <f t="shared" si="13"/>
        <v>233222.35974216898</v>
      </c>
      <c r="S116" s="300">
        <f t="shared" si="14"/>
        <v>281582.35974216898</v>
      </c>
    </row>
    <row r="117" spans="1:19" ht="15" x14ac:dyDescent="0.25">
      <c r="A117" s="36">
        <v>108</v>
      </c>
      <c r="B117" s="35" t="s">
        <v>190</v>
      </c>
      <c r="C117" s="62" t="s">
        <v>153</v>
      </c>
      <c r="D117" s="111">
        <v>120000</v>
      </c>
      <c r="E117" s="112">
        <v>34800</v>
      </c>
      <c r="F117" s="112">
        <v>139200</v>
      </c>
      <c r="G117" s="112">
        <v>174000</v>
      </c>
      <c r="H117" s="252">
        <v>28400</v>
      </c>
      <c r="I117" s="252">
        <v>142000</v>
      </c>
      <c r="J117" s="253">
        <v>170400</v>
      </c>
      <c r="K117" s="186">
        <f>34800-1000</f>
        <v>33800</v>
      </c>
      <c r="L117" s="186">
        <v>139200</v>
      </c>
      <c r="M117" s="187">
        <f t="shared" si="8"/>
        <v>173000</v>
      </c>
      <c r="N117" s="99">
        <f t="shared" si="9"/>
        <v>28400</v>
      </c>
      <c r="O117" s="73">
        <f t="shared" si="10"/>
        <v>139200</v>
      </c>
      <c r="P117" s="73">
        <f t="shared" si="11"/>
        <v>167600</v>
      </c>
      <c r="Q117" s="301">
        <f t="shared" si="12"/>
        <v>26412</v>
      </c>
      <c r="R117" s="301">
        <f t="shared" si="13"/>
        <v>129456</v>
      </c>
      <c r="S117" s="300">
        <f t="shared" si="14"/>
        <v>155868</v>
      </c>
    </row>
    <row r="118" spans="1:19" ht="22.5" x14ac:dyDescent="0.25">
      <c r="A118" s="36"/>
      <c r="B118" s="30" t="s">
        <v>28</v>
      </c>
      <c r="C118" s="62" t="s">
        <v>153</v>
      </c>
      <c r="D118" s="111"/>
      <c r="E118" s="112"/>
      <c r="F118" s="112"/>
      <c r="G118" s="112"/>
      <c r="H118" s="252">
        <v>0</v>
      </c>
      <c r="I118" s="252"/>
      <c r="J118" s="253">
        <v>0</v>
      </c>
      <c r="K118" s="188"/>
      <c r="L118" s="189"/>
      <c r="M118" s="187">
        <f t="shared" si="8"/>
        <v>0</v>
      </c>
      <c r="N118" s="99">
        <f t="shared" si="9"/>
        <v>0</v>
      </c>
      <c r="O118" s="73">
        <f t="shared" si="10"/>
        <v>0</v>
      </c>
      <c r="P118" s="73">
        <f t="shared" si="11"/>
        <v>0</v>
      </c>
      <c r="Q118" s="301">
        <f t="shared" si="12"/>
        <v>0</v>
      </c>
      <c r="R118" s="301">
        <f t="shared" si="13"/>
        <v>0</v>
      </c>
      <c r="S118" s="300">
        <f t="shared" si="14"/>
        <v>0</v>
      </c>
    </row>
    <row r="119" spans="1:19" ht="15" x14ac:dyDescent="0.25">
      <c r="A119" s="36">
        <v>109</v>
      </c>
      <c r="B119" s="46" t="s">
        <v>114</v>
      </c>
      <c r="C119" s="62" t="s">
        <v>153</v>
      </c>
      <c r="D119" s="111">
        <v>470718.91911356832</v>
      </c>
      <c r="E119" s="112">
        <v>136508.48654293478</v>
      </c>
      <c r="F119" s="112">
        <v>546033.94617173926</v>
      </c>
      <c r="G119" s="112">
        <v>682542.43271467404</v>
      </c>
      <c r="H119" s="252">
        <v>111000</v>
      </c>
      <c r="I119" s="252">
        <v>555000</v>
      </c>
      <c r="J119" s="253">
        <v>666000</v>
      </c>
      <c r="K119" s="186">
        <f>136508.486542935-1000</f>
        <v>135508.48654293499</v>
      </c>
      <c r="L119" s="186">
        <v>546033.94617173926</v>
      </c>
      <c r="M119" s="187">
        <f t="shared" si="8"/>
        <v>681542.43271467427</v>
      </c>
      <c r="N119" s="99">
        <f t="shared" si="9"/>
        <v>111000</v>
      </c>
      <c r="O119" s="73">
        <f t="shared" si="10"/>
        <v>546033.94617173926</v>
      </c>
      <c r="P119" s="73">
        <f t="shared" si="11"/>
        <v>657033.94617173926</v>
      </c>
      <c r="Q119" s="301">
        <f t="shared" si="12"/>
        <v>103230</v>
      </c>
      <c r="R119" s="301">
        <f t="shared" si="13"/>
        <v>507811.56993971753</v>
      </c>
      <c r="S119" s="300">
        <f t="shared" si="14"/>
        <v>611041.56993971753</v>
      </c>
    </row>
    <row r="120" spans="1:19" ht="15" x14ac:dyDescent="0.25">
      <c r="A120" s="63">
        <v>110</v>
      </c>
      <c r="B120" s="35" t="s">
        <v>191</v>
      </c>
      <c r="C120" s="62" t="s">
        <v>153</v>
      </c>
      <c r="D120" s="111">
        <v>120000</v>
      </c>
      <c r="E120" s="112">
        <v>34800</v>
      </c>
      <c r="F120" s="112">
        <v>139200</v>
      </c>
      <c r="G120" s="112">
        <v>174000</v>
      </c>
      <c r="H120" s="252">
        <v>28400</v>
      </c>
      <c r="I120" s="252">
        <v>142000</v>
      </c>
      <c r="J120" s="253">
        <v>170400</v>
      </c>
      <c r="K120" s="186">
        <f>34800-1000</f>
        <v>33800</v>
      </c>
      <c r="L120" s="186">
        <v>139200</v>
      </c>
      <c r="M120" s="187">
        <f t="shared" si="8"/>
        <v>173000</v>
      </c>
      <c r="N120" s="99">
        <f t="shared" si="9"/>
        <v>28400</v>
      </c>
      <c r="O120" s="73">
        <f t="shared" si="10"/>
        <v>139200</v>
      </c>
      <c r="P120" s="73">
        <f t="shared" si="11"/>
        <v>167600</v>
      </c>
      <c r="Q120" s="301">
        <f t="shared" si="12"/>
        <v>26412</v>
      </c>
      <c r="R120" s="301">
        <f t="shared" si="13"/>
        <v>129456</v>
      </c>
      <c r="S120" s="300">
        <f t="shared" si="14"/>
        <v>155868</v>
      </c>
    </row>
    <row r="121" spans="1:19" ht="15" x14ac:dyDescent="0.25">
      <c r="A121" s="36">
        <v>111</v>
      </c>
      <c r="B121" s="35" t="s">
        <v>115</v>
      </c>
      <c r="C121" s="62" t="s">
        <v>153</v>
      </c>
      <c r="D121" s="111">
        <v>269783.08199377154</v>
      </c>
      <c r="E121" s="112">
        <v>78237.093778193754</v>
      </c>
      <c r="F121" s="112">
        <v>312948.37511277496</v>
      </c>
      <c r="G121" s="112">
        <v>391185.46889096871</v>
      </c>
      <c r="H121" s="252">
        <v>63600</v>
      </c>
      <c r="I121" s="252">
        <v>318000</v>
      </c>
      <c r="J121" s="253">
        <v>381600</v>
      </c>
      <c r="K121" s="186">
        <f>78237.0937781938-1000</f>
        <v>77237.093778193797</v>
      </c>
      <c r="L121" s="186">
        <v>312948.37511277496</v>
      </c>
      <c r="M121" s="187">
        <f t="shared" si="8"/>
        <v>390185.46889096877</v>
      </c>
      <c r="N121" s="99">
        <f t="shared" si="9"/>
        <v>63600</v>
      </c>
      <c r="O121" s="73">
        <f t="shared" si="10"/>
        <v>312948.37511277496</v>
      </c>
      <c r="P121" s="73">
        <f t="shared" si="11"/>
        <v>376548.37511277496</v>
      </c>
      <c r="Q121" s="301">
        <f t="shared" si="12"/>
        <v>59148</v>
      </c>
      <c r="R121" s="301">
        <f t="shared" si="13"/>
        <v>291041.98885488068</v>
      </c>
      <c r="S121" s="300">
        <f t="shared" si="14"/>
        <v>350189.98885488068</v>
      </c>
    </row>
    <row r="122" spans="1:19" ht="15" x14ac:dyDescent="0.25">
      <c r="A122" s="63">
        <v>112</v>
      </c>
      <c r="B122" s="35" t="s">
        <v>116</v>
      </c>
      <c r="C122" s="62" t="s">
        <v>153</v>
      </c>
      <c r="D122" s="111">
        <v>234656.93664990683</v>
      </c>
      <c r="E122" s="112">
        <v>68050.511628472945</v>
      </c>
      <c r="F122" s="112">
        <v>272202.04651389195</v>
      </c>
      <c r="G122" s="112">
        <v>340252.5581423649</v>
      </c>
      <c r="H122" s="252">
        <v>55000</v>
      </c>
      <c r="I122" s="252">
        <v>275000</v>
      </c>
      <c r="J122" s="253">
        <v>330000</v>
      </c>
      <c r="K122" s="186">
        <f>68050.5116284729-1000</f>
        <v>67050.511628472901</v>
      </c>
      <c r="L122" s="186">
        <v>272202.04651389195</v>
      </c>
      <c r="M122" s="187">
        <f t="shared" si="8"/>
        <v>339252.55814236484</v>
      </c>
      <c r="N122" s="99">
        <f t="shared" si="9"/>
        <v>55000</v>
      </c>
      <c r="O122" s="73">
        <f t="shared" si="10"/>
        <v>272202.04651389195</v>
      </c>
      <c r="P122" s="73">
        <f t="shared" si="11"/>
        <v>327202.04651389195</v>
      </c>
      <c r="Q122" s="301">
        <f t="shared" si="12"/>
        <v>51150</v>
      </c>
      <c r="R122" s="301">
        <f t="shared" si="13"/>
        <v>253147.9032579195</v>
      </c>
      <c r="S122" s="300">
        <f t="shared" si="14"/>
        <v>304297.90325791948</v>
      </c>
    </row>
    <row r="123" spans="1:19" ht="15" x14ac:dyDescent="0.25">
      <c r="A123" s="36">
        <v>113</v>
      </c>
      <c r="B123" s="35" t="s">
        <v>192</v>
      </c>
      <c r="C123" s="62" t="s">
        <v>153</v>
      </c>
      <c r="D123" s="111">
        <v>251241.85541800529</v>
      </c>
      <c r="E123" s="112">
        <v>72860.138071221532</v>
      </c>
      <c r="F123" s="112">
        <v>291440.55228488613</v>
      </c>
      <c r="G123" s="112">
        <v>364300.69035610766</v>
      </c>
      <c r="H123" s="252">
        <v>59600</v>
      </c>
      <c r="I123" s="252">
        <v>298000</v>
      </c>
      <c r="J123" s="253">
        <v>357600</v>
      </c>
      <c r="K123" s="186">
        <f>72860.1380712215-1000</f>
        <v>71860.138071221503</v>
      </c>
      <c r="L123" s="186">
        <v>291440.55228488613</v>
      </c>
      <c r="M123" s="187">
        <f t="shared" si="8"/>
        <v>363300.69035610766</v>
      </c>
      <c r="N123" s="99">
        <f t="shared" si="9"/>
        <v>59600</v>
      </c>
      <c r="O123" s="73">
        <f t="shared" si="10"/>
        <v>291440.55228488613</v>
      </c>
      <c r="P123" s="73">
        <f t="shared" si="11"/>
        <v>351040.55228488613</v>
      </c>
      <c r="Q123" s="301">
        <f t="shared" si="12"/>
        <v>55428</v>
      </c>
      <c r="R123" s="301">
        <f t="shared" si="13"/>
        <v>271039.7136249441</v>
      </c>
      <c r="S123" s="300">
        <f t="shared" si="14"/>
        <v>326467.7136249441</v>
      </c>
    </row>
    <row r="124" spans="1:19" ht="15" x14ac:dyDescent="0.25">
      <c r="A124" s="63">
        <v>114</v>
      </c>
      <c r="B124" s="35" t="s">
        <v>195</v>
      </c>
      <c r="C124" s="62" t="s">
        <v>153</v>
      </c>
      <c r="D124" s="111">
        <v>38802.765613149997</v>
      </c>
      <c r="E124" s="112">
        <v>11640.829683944998</v>
      </c>
      <c r="F124" s="112">
        <v>46563.318735779998</v>
      </c>
      <c r="G124" s="112">
        <v>58204.148419724996</v>
      </c>
      <c r="H124" s="252">
        <v>10000</v>
      </c>
      <c r="I124" s="252">
        <v>50000</v>
      </c>
      <c r="J124" s="253">
        <v>60000</v>
      </c>
      <c r="K124" s="186">
        <f>11640.829683945-1000</f>
        <v>10640.829683944999</v>
      </c>
      <c r="L124" s="186">
        <v>46563.318735779998</v>
      </c>
      <c r="M124" s="187">
        <f t="shared" si="8"/>
        <v>57204.148419724996</v>
      </c>
      <c r="N124" s="99">
        <f t="shared" si="9"/>
        <v>10000</v>
      </c>
      <c r="O124" s="73">
        <f t="shared" si="10"/>
        <v>46563.318735779998</v>
      </c>
      <c r="P124" s="73">
        <f t="shared" si="11"/>
        <v>56563.318735779998</v>
      </c>
      <c r="Q124" s="301">
        <f t="shared" si="12"/>
        <v>9300</v>
      </c>
      <c r="R124" s="301">
        <f t="shared" si="13"/>
        <v>43303.886424275399</v>
      </c>
      <c r="S124" s="300">
        <f t="shared" si="14"/>
        <v>52603.886424275399</v>
      </c>
    </row>
    <row r="125" spans="1:19" ht="15" x14ac:dyDescent="0.25">
      <c r="A125" s="36">
        <v>115</v>
      </c>
      <c r="B125" s="35" t="s">
        <v>193</v>
      </c>
      <c r="C125" s="62" t="s">
        <v>153</v>
      </c>
      <c r="D125" s="111">
        <v>111954.92439190694</v>
      </c>
      <c r="E125" s="112">
        <v>32466.928073653005</v>
      </c>
      <c r="F125" s="112">
        <v>129867.71229461207</v>
      </c>
      <c r="G125" s="112">
        <v>162334.64036826507</v>
      </c>
      <c r="H125" s="252">
        <v>27000</v>
      </c>
      <c r="I125" s="252">
        <v>135000</v>
      </c>
      <c r="J125" s="253">
        <v>162000</v>
      </c>
      <c r="K125" s="186">
        <f>32466.928073653-1000</f>
        <v>31466.928073653002</v>
      </c>
      <c r="L125" s="186">
        <v>129867.71229461207</v>
      </c>
      <c r="M125" s="187">
        <f t="shared" si="8"/>
        <v>161334.64036826507</v>
      </c>
      <c r="N125" s="99">
        <f t="shared" si="9"/>
        <v>27000</v>
      </c>
      <c r="O125" s="73">
        <f t="shared" si="10"/>
        <v>129867.71229461207</v>
      </c>
      <c r="P125" s="73">
        <f t="shared" si="11"/>
        <v>156867.71229461208</v>
      </c>
      <c r="Q125" s="301">
        <f t="shared" si="12"/>
        <v>25110</v>
      </c>
      <c r="R125" s="301">
        <f t="shared" si="13"/>
        <v>120776.97243398923</v>
      </c>
      <c r="S125" s="300">
        <f t="shared" si="14"/>
        <v>145886.97243398923</v>
      </c>
    </row>
    <row r="126" spans="1:19" ht="15" x14ac:dyDescent="0.25">
      <c r="A126" s="63">
        <v>116</v>
      </c>
      <c r="B126" s="35" t="s">
        <v>194</v>
      </c>
      <c r="C126" s="62" t="s">
        <v>153</v>
      </c>
      <c r="D126" s="111">
        <v>106913.73429817865</v>
      </c>
      <c r="E126" s="112">
        <v>31004.982946471806</v>
      </c>
      <c r="F126" s="112">
        <v>124019.93178588722</v>
      </c>
      <c r="G126" s="112">
        <v>155024.91473235903</v>
      </c>
      <c r="H126" s="252">
        <v>25200</v>
      </c>
      <c r="I126" s="252">
        <v>126000</v>
      </c>
      <c r="J126" s="253">
        <v>151200</v>
      </c>
      <c r="K126" s="186">
        <f>31004.9829464718-1000</f>
        <v>30004.982946471799</v>
      </c>
      <c r="L126" s="186">
        <v>124019.93178588722</v>
      </c>
      <c r="M126" s="187">
        <f t="shared" si="8"/>
        <v>154024.91473235903</v>
      </c>
      <c r="N126" s="99">
        <f t="shared" si="9"/>
        <v>25200</v>
      </c>
      <c r="O126" s="73">
        <f t="shared" si="10"/>
        <v>124019.93178588722</v>
      </c>
      <c r="P126" s="73">
        <f t="shared" si="11"/>
        <v>149219.93178588722</v>
      </c>
      <c r="Q126" s="301">
        <f t="shared" si="12"/>
        <v>23436</v>
      </c>
      <c r="R126" s="301">
        <f t="shared" si="13"/>
        <v>115338.53656087512</v>
      </c>
      <c r="S126" s="300">
        <f t="shared" si="14"/>
        <v>138774.53656087513</v>
      </c>
    </row>
    <row r="127" spans="1:19" ht="15" x14ac:dyDescent="0.25">
      <c r="A127" s="36">
        <v>117</v>
      </c>
      <c r="B127" s="32" t="s">
        <v>196</v>
      </c>
      <c r="C127" s="62" t="s">
        <v>153</v>
      </c>
      <c r="D127" s="111">
        <v>60692.600988403843</v>
      </c>
      <c r="E127" s="112">
        <v>18207.780296521145</v>
      </c>
      <c r="F127" s="112">
        <v>72831.121186084623</v>
      </c>
      <c r="G127" s="112">
        <v>91038.901482605768</v>
      </c>
      <c r="H127" s="252">
        <v>15000</v>
      </c>
      <c r="I127" s="252">
        <v>75000</v>
      </c>
      <c r="J127" s="253">
        <v>90000</v>
      </c>
      <c r="K127" s="186">
        <f>18207.7802965211-1000</f>
        <v>17207.780296521101</v>
      </c>
      <c r="L127" s="186">
        <v>72831.121186084623</v>
      </c>
      <c r="M127" s="187">
        <f t="shared" si="8"/>
        <v>90038.901482605725</v>
      </c>
      <c r="N127" s="99">
        <f t="shared" si="9"/>
        <v>15000</v>
      </c>
      <c r="O127" s="73">
        <f t="shared" si="10"/>
        <v>72831.121186084623</v>
      </c>
      <c r="P127" s="73">
        <f t="shared" si="11"/>
        <v>87831.121186084623</v>
      </c>
      <c r="Q127" s="301">
        <f t="shared" si="12"/>
        <v>13950</v>
      </c>
      <c r="R127" s="301">
        <f t="shared" si="13"/>
        <v>67732.942703058696</v>
      </c>
      <c r="S127" s="300">
        <f t="shared" si="14"/>
        <v>81682.942703058696</v>
      </c>
    </row>
    <row r="128" spans="1:19" ht="15" x14ac:dyDescent="0.25">
      <c r="A128" s="63">
        <v>118</v>
      </c>
      <c r="B128" s="46" t="s">
        <v>197</v>
      </c>
      <c r="C128" s="62" t="s">
        <v>153</v>
      </c>
      <c r="D128" s="111">
        <v>616722.50639999995</v>
      </c>
      <c r="E128" s="112">
        <v>178849.52685599995</v>
      </c>
      <c r="F128" s="112">
        <v>715398.10742399993</v>
      </c>
      <c r="G128" s="112">
        <v>894247.63427999988</v>
      </c>
      <c r="H128" s="252">
        <v>158000</v>
      </c>
      <c r="I128" s="252">
        <v>790000</v>
      </c>
      <c r="J128" s="253">
        <v>948000</v>
      </c>
      <c r="K128" s="186">
        <f>178849.526856-1000</f>
        <v>177849.52685600001</v>
      </c>
      <c r="L128" s="186">
        <v>715398.10742399993</v>
      </c>
      <c r="M128" s="187">
        <f t="shared" si="8"/>
        <v>893247.63427999988</v>
      </c>
      <c r="N128" s="99">
        <f t="shared" si="9"/>
        <v>158000</v>
      </c>
      <c r="O128" s="73">
        <f t="shared" si="10"/>
        <v>715398.10742399993</v>
      </c>
      <c r="P128" s="73">
        <f t="shared" si="11"/>
        <v>873398.10742399993</v>
      </c>
      <c r="Q128" s="301">
        <f t="shared" si="12"/>
        <v>146940</v>
      </c>
      <c r="R128" s="301">
        <f t="shared" si="13"/>
        <v>665320.23990431987</v>
      </c>
      <c r="S128" s="300">
        <f t="shared" si="14"/>
        <v>812260.23990431987</v>
      </c>
    </row>
    <row r="129" spans="1:19" ht="15" x14ac:dyDescent="0.25">
      <c r="A129" s="36">
        <v>119</v>
      </c>
      <c r="B129" s="46" t="s">
        <v>198</v>
      </c>
      <c r="C129" s="62" t="s">
        <v>153</v>
      </c>
      <c r="D129" s="111">
        <v>215378.58203173077</v>
      </c>
      <c r="E129" s="112">
        <v>62459.788789201906</v>
      </c>
      <c r="F129" s="112">
        <v>249839.15515680771</v>
      </c>
      <c r="G129" s="112">
        <v>312298.94394600962</v>
      </c>
      <c r="H129" s="252">
        <v>48000</v>
      </c>
      <c r="I129" s="252">
        <v>240000</v>
      </c>
      <c r="J129" s="253">
        <v>288000</v>
      </c>
      <c r="K129" s="186">
        <f>62459.7887892019-1000</f>
        <v>61459.788789201899</v>
      </c>
      <c r="L129" s="186">
        <v>249839.15515680771</v>
      </c>
      <c r="M129" s="187">
        <f t="shared" si="8"/>
        <v>311298.94394600962</v>
      </c>
      <c r="N129" s="99">
        <f t="shared" si="9"/>
        <v>48000</v>
      </c>
      <c r="O129" s="73">
        <f t="shared" si="10"/>
        <v>240000</v>
      </c>
      <c r="P129" s="73">
        <f t="shared" si="11"/>
        <v>288000</v>
      </c>
      <c r="Q129" s="301">
        <f t="shared" si="12"/>
        <v>44640</v>
      </c>
      <c r="R129" s="301">
        <f t="shared" si="13"/>
        <v>223200</v>
      </c>
      <c r="S129" s="300">
        <f t="shared" si="14"/>
        <v>267840</v>
      </c>
    </row>
    <row r="130" spans="1:19" ht="22.5" x14ac:dyDescent="0.25">
      <c r="A130" s="36"/>
      <c r="B130" s="30" t="s">
        <v>35</v>
      </c>
      <c r="C130" s="62" t="s">
        <v>153</v>
      </c>
      <c r="D130" s="111"/>
      <c r="E130" s="112"/>
      <c r="F130" s="112"/>
      <c r="G130" s="112"/>
      <c r="H130" s="252">
        <v>0</v>
      </c>
      <c r="I130" s="252"/>
      <c r="J130" s="253">
        <v>0</v>
      </c>
      <c r="K130" s="188"/>
      <c r="L130" s="189"/>
      <c r="M130" s="187">
        <f t="shared" si="8"/>
        <v>0</v>
      </c>
      <c r="N130" s="99">
        <f t="shared" si="9"/>
        <v>0</v>
      </c>
      <c r="O130" s="73">
        <f t="shared" si="10"/>
        <v>0</v>
      </c>
      <c r="P130" s="73">
        <f t="shared" si="11"/>
        <v>0</v>
      </c>
      <c r="Q130" s="301">
        <f t="shared" si="12"/>
        <v>0</v>
      </c>
      <c r="R130" s="301">
        <f t="shared" si="13"/>
        <v>0</v>
      </c>
      <c r="S130" s="300">
        <f t="shared" si="14"/>
        <v>0</v>
      </c>
    </row>
    <row r="131" spans="1:19" ht="15" x14ac:dyDescent="0.25">
      <c r="A131" s="36">
        <v>120</v>
      </c>
      <c r="B131" s="51" t="s">
        <v>30</v>
      </c>
      <c r="C131" s="62" t="s">
        <v>153</v>
      </c>
      <c r="D131" s="111">
        <v>49395.316905000007</v>
      </c>
      <c r="E131" s="112">
        <v>14818.5950715</v>
      </c>
      <c r="F131" s="112">
        <v>59274.380286000007</v>
      </c>
      <c r="G131" s="112">
        <v>74092.975357500007</v>
      </c>
      <c r="H131" s="252">
        <v>12000</v>
      </c>
      <c r="I131" s="252">
        <v>60000</v>
      </c>
      <c r="J131" s="253">
        <v>72000</v>
      </c>
      <c r="K131" s="186">
        <f>14818.5950715-1000</f>
        <v>13818.5950715</v>
      </c>
      <c r="L131" s="186">
        <v>59274.380286000007</v>
      </c>
      <c r="M131" s="187">
        <f t="shared" si="8"/>
        <v>73092.975357500007</v>
      </c>
      <c r="N131" s="99">
        <f t="shared" si="9"/>
        <v>12000</v>
      </c>
      <c r="O131" s="73">
        <f t="shared" si="10"/>
        <v>59274.380286000007</v>
      </c>
      <c r="P131" s="73">
        <f t="shared" si="11"/>
        <v>71274.380286</v>
      </c>
      <c r="Q131" s="301">
        <f t="shared" si="12"/>
        <v>11160</v>
      </c>
      <c r="R131" s="301">
        <f t="shared" si="13"/>
        <v>55125.173665980008</v>
      </c>
      <c r="S131" s="300">
        <f t="shared" si="14"/>
        <v>66285.173665980008</v>
      </c>
    </row>
    <row r="132" spans="1:19" ht="15" x14ac:dyDescent="0.2">
      <c r="A132" s="36">
        <v>121</v>
      </c>
      <c r="B132" s="52" t="s">
        <v>81</v>
      </c>
      <c r="C132" s="62" t="s">
        <v>153</v>
      </c>
      <c r="D132" s="111">
        <v>343848.82836500451</v>
      </c>
      <c r="E132" s="112">
        <v>99716.160225851287</v>
      </c>
      <c r="F132" s="112">
        <v>398864.6409034052</v>
      </c>
      <c r="G132" s="112">
        <v>498580.80112925649</v>
      </c>
      <c r="H132" s="252">
        <v>80000</v>
      </c>
      <c r="I132" s="252">
        <v>400000</v>
      </c>
      <c r="J132" s="253">
        <v>480000</v>
      </c>
      <c r="K132" s="186">
        <f>99716.1602258513-1000</f>
        <v>98716.160225851301</v>
      </c>
      <c r="L132" s="186">
        <v>398864.6409034052</v>
      </c>
      <c r="M132" s="187">
        <f t="shared" si="8"/>
        <v>497580.80112925649</v>
      </c>
      <c r="N132" s="99">
        <f t="shared" si="9"/>
        <v>80000</v>
      </c>
      <c r="O132" s="73">
        <f t="shared" si="10"/>
        <v>398864.6409034052</v>
      </c>
      <c r="P132" s="73">
        <f t="shared" si="11"/>
        <v>478864.6409034052</v>
      </c>
      <c r="Q132" s="301">
        <f t="shared" si="12"/>
        <v>74400</v>
      </c>
      <c r="R132" s="301">
        <f t="shared" si="13"/>
        <v>370944.11604016682</v>
      </c>
      <c r="S132" s="300">
        <f t="shared" si="14"/>
        <v>445344.11604016682</v>
      </c>
    </row>
    <row r="133" spans="1:19" ht="15" x14ac:dyDescent="0.2">
      <c r="A133" s="36">
        <v>122</v>
      </c>
      <c r="B133" s="52" t="s">
        <v>82</v>
      </c>
      <c r="C133" s="62" t="s">
        <v>153</v>
      </c>
      <c r="D133" s="111">
        <v>204474.50214474931</v>
      </c>
      <c r="E133" s="112">
        <v>59297.605621977302</v>
      </c>
      <c r="F133" s="112">
        <v>237190.42248790921</v>
      </c>
      <c r="G133" s="112">
        <v>296488.02810988651</v>
      </c>
      <c r="H133" s="252">
        <v>48000</v>
      </c>
      <c r="I133" s="252">
        <v>240000</v>
      </c>
      <c r="J133" s="253">
        <v>288000</v>
      </c>
      <c r="K133" s="186">
        <f>59297.6056219773-1000</f>
        <v>58297.605621977302</v>
      </c>
      <c r="L133" s="186">
        <v>237190.42248790921</v>
      </c>
      <c r="M133" s="187">
        <f t="shared" si="8"/>
        <v>295488.02810988651</v>
      </c>
      <c r="N133" s="99">
        <f t="shared" si="9"/>
        <v>48000</v>
      </c>
      <c r="O133" s="73">
        <f t="shared" si="10"/>
        <v>237190.42248790921</v>
      </c>
      <c r="P133" s="73">
        <f t="shared" si="11"/>
        <v>285190.42248790921</v>
      </c>
      <c r="Q133" s="301">
        <f t="shared" si="12"/>
        <v>44640</v>
      </c>
      <c r="R133" s="301">
        <f t="shared" si="13"/>
        <v>220587.09291375556</v>
      </c>
      <c r="S133" s="300">
        <f t="shared" si="14"/>
        <v>265227.09291375556</v>
      </c>
    </row>
    <row r="134" spans="1:19" ht="15" x14ac:dyDescent="0.2">
      <c r="A134" s="36">
        <v>123</v>
      </c>
      <c r="B134" s="52" t="s">
        <v>328</v>
      </c>
      <c r="C134" s="62" t="s">
        <v>153</v>
      </c>
      <c r="D134" s="111">
        <v>258160.36150929803</v>
      </c>
      <c r="E134" s="112">
        <v>74866.504837696441</v>
      </c>
      <c r="F134" s="112">
        <v>299466.0193507857</v>
      </c>
      <c r="G134" s="112">
        <v>374332.52418848214</v>
      </c>
      <c r="H134" s="252">
        <v>60800</v>
      </c>
      <c r="I134" s="252">
        <v>304000</v>
      </c>
      <c r="J134" s="253">
        <v>364800</v>
      </c>
      <c r="K134" s="186">
        <f>74866.5048376964-1000</f>
        <v>73866.504837696397</v>
      </c>
      <c r="L134" s="186">
        <v>299466.0193507857</v>
      </c>
      <c r="M134" s="187">
        <f t="shared" ref="M134:M197" si="15">K134+L134</f>
        <v>373332.52418848209</v>
      </c>
      <c r="N134" s="99">
        <f t="shared" ref="N134:N197" si="16">MIN(E134,H134,K134)</f>
        <v>60800</v>
      </c>
      <c r="O134" s="73">
        <f t="shared" ref="O134:O197" si="17">MIN(F134,I134,L134)</f>
        <v>299466.0193507857</v>
      </c>
      <c r="P134" s="73">
        <f t="shared" ref="P134:P197" si="18">O134+N134</f>
        <v>360266.0193507857</v>
      </c>
      <c r="Q134" s="301">
        <f t="shared" ref="Q134:Q197" si="19">N134-(N134*7%)</f>
        <v>56544</v>
      </c>
      <c r="R134" s="301">
        <f t="shared" ref="R134:R197" si="20">O134-(O134*7%)</f>
        <v>278503.39799623069</v>
      </c>
      <c r="S134" s="300">
        <f t="shared" ref="S134:S197" si="21">R134+Q134</f>
        <v>335047.39799623069</v>
      </c>
    </row>
    <row r="135" spans="1:19" ht="15" x14ac:dyDescent="0.25">
      <c r="A135" s="36">
        <v>124</v>
      </c>
      <c r="B135" s="37" t="s">
        <v>199</v>
      </c>
      <c r="C135" s="62" t="s">
        <v>153</v>
      </c>
      <c r="D135" s="111">
        <v>98205.365165098308</v>
      </c>
      <c r="E135" s="112">
        <v>29461.609549529487</v>
      </c>
      <c r="F135" s="112">
        <v>117846.43819811796</v>
      </c>
      <c r="G135" s="112">
        <v>147308.04774764745</v>
      </c>
      <c r="H135" s="252">
        <v>23372.800000000003</v>
      </c>
      <c r="I135" s="252">
        <v>116864</v>
      </c>
      <c r="J135" s="253">
        <v>140236.79999999999</v>
      </c>
      <c r="K135" s="186">
        <f>29461.6095495295-1000</f>
        <v>28461.609549529501</v>
      </c>
      <c r="L135" s="186">
        <v>117846.43819811796</v>
      </c>
      <c r="M135" s="187">
        <f t="shared" si="15"/>
        <v>146308.04774764745</v>
      </c>
      <c r="N135" s="99">
        <f t="shared" si="16"/>
        <v>23372.800000000003</v>
      </c>
      <c r="O135" s="73">
        <f t="shared" si="17"/>
        <v>116864</v>
      </c>
      <c r="P135" s="73">
        <f t="shared" si="18"/>
        <v>140236.79999999999</v>
      </c>
      <c r="Q135" s="301">
        <f t="shared" si="19"/>
        <v>21736.704000000002</v>
      </c>
      <c r="R135" s="301">
        <f t="shared" si="20"/>
        <v>108683.52</v>
      </c>
      <c r="S135" s="300">
        <f t="shared" si="21"/>
        <v>130420.224</v>
      </c>
    </row>
    <row r="136" spans="1:19" ht="15" x14ac:dyDescent="0.25">
      <c r="A136" s="36">
        <v>125</v>
      </c>
      <c r="B136" s="46" t="s">
        <v>327</v>
      </c>
      <c r="C136" s="62" t="s">
        <v>153</v>
      </c>
      <c r="D136" s="111">
        <v>322579.87172883807</v>
      </c>
      <c r="E136" s="112">
        <v>93548.16280136304</v>
      </c>
      <c r="F136" s="112">
        <v>374192.65120545216</v>
      </c>
      <c r="G136" s="112">
        <v>467740.8140068152</v>
      </c>
      <c r="H136" s="252">
        <v>76000</v>
      </c>
      <c r="I136" s="252">
        <v>380000</v>
      </c>
      <c r="J136" s="253">
        <v>456000</v>
      </c>
      <c r="K136" s="186">
        <f>93548.162801363-1000</f>
        <v>92548.162801362996</v>
      </c>
      <c r="L136" s="186">
        <v>374192.65120545216</v>
      </c>
      <c r="M136" s="187">
        <f t="shared" si="15"/>
        <v>466740.81400681514</v>
      </c>
      <c r="N136" s="99">
        <f t="shared" si="16"/>
        <v>76000</v>
      </c>
      <c r="O136" s="73">
        <f t="shared" si="17"/>
        <v>374192.65120545216</v>
      </c>
      <c r="P136" s="73">
        <f t="shared" si="18"/>
        <v>450192.65120545216</v>
      </c>
      <c r="Q136" s="301">
        <f t="shared" si="19"/>
        <v>70680</v>
      </c>
      <c r="R136" s="301">
        <f t="shared" si="20"/>
        <v>347999.16562107048</v>
      </c>
      <c r="S136" s="300">
        <f t="shared" si="21"/>
        <v>418679.16562107048</v>
      </c>
    </row>
    <row r="137" spans="1:19" ht="15" x14ac:dyDescent="0.25">
      <c r="A137" s="36">
        <v>126</v>
      </c>
      <c r="B137" s="37" t="s">
        <v>200</v>
      </c>
      <c r="C137" s="62" t="s">
        <v>153</v>
      </c>
      <c r="D137" s="111">
        <v>98205.365165098308</v>
      </c>
      <c r="E137" s="112">
        <v>29461.609549529487</v>
      </c>
      <c r="F137" s="112">
        <v>117846.43819811796</v>
      </c>
      <c r="G137" s="112">
        <v>147308.04774764745</v>
      </c>
      <c r="H137" s="252">
        <v>24000</v>
      </c>
      <c r="I137" s="252">
        <v>120000</v>
      </c>
      <c r="J137" s="253">
        <v>144000</v>
      </c>
      <c r="K137" s="186">
        <f>29461.6095495295-1000</f>
        <v>28461.609549529501</v>
      </c>
      <c r="L137" s="186">
        <v>117846.43819811796</v>
      </c>
      <c r="M137" s="187">
        <f t="shared" si="15"/>
        <v>146308.04774764745</v>
      </c>
      <c r="N137" s="99">
        <f t="shared" si="16"/>
        <v>24000</v>
      </c>
      <c r="O137" s="73">
        <f t="shared" si="17"/>
        <v>117846.43819811796</v>
      </c>
      <c r="P137" s="73">
        <f t="shared" si="18"/>
        <v>141846.43819811795</v>
      </c>
      <c r="Q137" s="301">
        <f t="shared" si="19"/>
        <v>22320</v>
      </c>
      <c r="R137" s="301">
        <f t="shared" si="20"/>
        <v>109597.1875242497</v>
      </c>
      <c r="S137" s="300">
        <f t="shared" si="21"/>
        <v>131917.18752424972</v>
      </c>
    </row>
    <row r="138" spans="1:19" ht="15" x14ac:dyDescent="0.25">
      <c r="A138" s="36">
        <v>127</v>
      </c>
      <c r="B138" s="46" t="s">
        <v>36</v>
      </c>
      <c r="C138" s="62" t="s">
        <v>153</v>
      </c>
      <c r="D138" s="111">
        <v>789954.13474509842</v>
      </c>
      <c r="E138" s="112">
        <v>229086.69907607848</v>
      </c>
      <c r="F138" s="112">
        <v>916346.79630431428</v>
      </c>
      <c r="G138" s="112">
        <v>1145433.4953803928</v>
      </c>
      <c r="H138" s="252">
        <v>176000</v>
      </c>
      <c r="I138" s="252">
        <v>880000</v>
      </c>
      <c r="J138" s="253">
        <v>1056000</v>
      </c>
      <c r="K138" s="186">
        <f>229086.699076078-1000</f>
        <v>228086.69907607799</v>
      </c>
      <c r="L138" s="186">
        <v>916346.79630431428</v>
      </c>
      <c r="M138" s="187">
        <f t="shared" si="15"/>
        <v>1144433.4953803923</v>
      </c>
      <c r="N138" s="99">
        <f t="shared" si="16"/>
        <v>176000</v>
      </c>
      <c r="O138" s="73">
        <f t="shared" si="17"/>
        <v>880000</v>
      </c>
      <c r="P138" s="73">
        <f t="shared" si="18"/>
        <v>1056000</v>
      </c>
      <c r="Q138" s="301">
        <f t="shared" si="19"/>
        <v>163680</v>
      </c>
      <c r="R138" s="301">
        <f t="shared" si="20"/>
        <v>818400</v>
      </c>
      <c r="S138" s="300">
        <f t="shared" si="21"/>
        <v>982080</v>
      </c>
    </row>
    <row r="139" spans="1:19" ht="15" x14ac:dyDescent="0.25">
      <c r="A139" s="36">
        <v>128</v>
      </c>
      <c r="B139" s="35" t="s">
        <v>201</v>
      </c>
      <c r="C139" s="62" t="s">
        <v>153</v>
      </c>
      <c r="D139" s="111">
        <v>372221.62672159483</v>
      </c>
      <c r="E139" s="112">
        <v>107944.27174926247</v>
      </c>
      <c r="F139" s="112">
        <v>431777.08699704998</v>
      </c>
      <c r="G139" s="112">
        <v>539721.35874631244</v>
      </c>
      <c r="H139" s="252">
        <v>85000</v>
      </c>
      <c r="I139" s="252">
        <v>425000</v>
      </c>
      <c r="J139" s="253">
        <v>510000</v>
      </c>
      <c r="K139" s="186">
        <f>107944.271749262-1000</f>
        <v>106944.271749262</v>
      </c>
      <c r="L139" s="186">
        <v>431777.08699704998</v>
      </c>
      <c r="M139" s="187">
        <f t="shared" si="15"/>
        <v>538721.35874631198</v>
      </c>
      <c r="N139" s="99">
        <f t="shared" si="16"/>
        <v>85000</v>
      </c>
      <c r="O139" s="73">
        <f t="shared" si="17"/>
        <v>425000</v>
      </c>
      <c r="P139" s="73">
        <f t="shared" si="18"/>
        <v>510000</v>
      </c>
      <c r="Q139" s="301">
        <f t="shared" si="19"/>
        <v>79050</v>
      </c>
      <c r="R139" s="301">
        <f t="shared" si="20"/>
        <v>395250</v>
      </c>
      <c r="S139" s="300">
        <f t="shared" si="21"/>
        <v>474300</v>
      </c>
    </row>
    <row r="140" spans="1:19" ht="15" x14ac:dyDescent="0.25">
      <c r="A140" s="36">
        <v>129</v>
      </c>
      <c r="B140" s="46" t="s">
        <v>316</v>
      </c>
      <c r="C140" s="62" t="s">
        <v>153</v>
      </c>
      <c r="D140" s="111">
        <v>178301.48183584042</v>
      </c>
      <c r="E140" s="112">
        <v>51707.429732393706</v>
      </c>
      <c r="F140" s="112">
        <v>206829.71892957488</v>
      </c>
      <c r="G140" s="112">
        <v>258537.14866196859</v>
      </c>
      <c r="H140" s="252">
        <v>40000</v>
      </c>
      <c r="I140" s="252">
        <v>200000</v>
      </c>
      <c r="J140" s="253">
        <v>240000</v>
      </c>
      <c r="K140" s="186">
        <f>51707.4297323937-1000</f>
        <v>50707.429732393699</v>
      </c>
      <c r="L140" s="186">
        <v>206829.71892957488</v>
      </c>
      <c r="M140" s="187">
        <f t="shared" si="15"/>
        <v>257537.14866196859</v>
      </c>
      <c r="N140" s="99">
        <f t="shared" si="16"/>
        <v>40000</v>
      </c>
      <c r="O140" s="73">
        <f t="shared" si="17"/>
        <v>200000</v>
      </c>
      <c r="P140" s="73">
        <f t="shared" si="18"/>
        <v>240000</v>
      </c>
      <c r="Q140" s="301">
        <f t="shared" si="19"/>
        <v>37200</v>
      </c>
      <c r="R140" s="301">
        <f t="shared" si="20"/>
        <v>186000</v>
      </c>
      <c r="S140" s="300">
        <f t="shared" si="21"/>
        <v>223200</v>
      </c>
    </row>
    <row r="141" spans="1:19" ht="15" x14ac:dyDescent="0.25">
      <c r="A141" s="36">
        <v>130</v>
      </c>
      <c r="B141" s="37" t="s">
        <v>202</v>
      </c>
      <c r="C141" s="62" t="s">
        <v>153</v>
      </c>
      <c r="D141" s="111">
        <v>166881.897</v>
      </c>
      <c r="E141" s="112">
        <v>48395.75013</v>
      </c>
      <c r="F141" s="112">
        <v>193583.00052</v>
      </c>
      <c r="G141" s="112">
        <v>241978.75065</v>
      </c>
      <c r="H141" s="252">
        <v>36000</v>
      </c>
      <c r="I141" s="252">
        <v>180000</v>
      </c>
      <c r="J141" s="253">
        <v>216000</v>
      </c>
      <c r="K141" s="186">
        <f>48395.75013-1000</f>
        <v>47395.75013</v>
      </c>
      <c r="L141" s="186">
        <v>193583.00052</v>
      </c>
      <c r="M141" s="187">
        <f t="shared" si="15"/>
        <v>240978.75065</v>
      </c>
      <c r="N141" s="99">
        <f t="shared" si="16"/>
        <v>36000</v>
      </c>
      <c r="O141" s="73">
        <f t="shared" si="17"/>
        <v>180000</v>
      </c>
      <c r="P141" s="73">
        <f t="shared" si="18"/>
        <v>216000</v>
      </c>
      <c r="Q141" s="301">
        <f t="shared" si="19"/>
        <v>33480</v>
      </c>
      <c r="R141" s="301">
        <f t="shared" si="20"/>
        <v>167400</v>
      </c>
      <c r="S141" s="300">
        <f t="shared" si="21"/>
        <v>200880</v>
      </c>
    </row>
    <row r="142" spans="1:19" ht="15" x14ac:dyDescent="0.25">
      <c r="A142" s="36">
        <v>131</v>
      </c>
      <c r="B142" s="37" t="s">
        <v>271</v>
      </c>
      <c r="C142" s="62" t="s">
        <v>153</v>
      </c>
      <c r="D142" s="111">
        <v>273015.70296000002</v>
      </c>
      <c r="E142" s="112">
        <v>79174.553858399973</v>
      </c>
      <c r="F142" s="112">
        <v>316698.21543360007</v>
      </c>
      <c r="G142" s="112">
        <v>395872.76929200004</v>
      </c>
      <c r="H142" s="252">
        <v>50000</v>
      </c>
      <c r="I142" s="252">
        <v>250000</v>
      </c>
      <c r="J142" s="253">
        <v>300000</v>
      </c>
      <c r="K142" s="186">
        <f>79174.5538584-1000</f>
        <v>78174.553858400002</v>
      </c>
      <c r="L142" s="186">
        <v>316698.21543360007</v>
      </c>
      <c r="M142" s="187">
        <f t="shared" si="15"/>
        <v>394872.7692920001</v>
      </c>
      <c r="N142" s="99">
        <f t="shared" si="16"/>
        <v>50000</v>
      </c>
      <c r="O142" s="73">
        <f t="shared" si="17"/>
        <v>250000</v>
      </c>
      <c r="P142" s="73">
        <f t="shared" si="18"/>
        <v>300000</v>
      </c>
      <c r="Q142" s="301">
        <f t="shared" si="19"/>
        <v>46500</v>
      </c>
      <c r="R142" s="301">
        <f t="shared" si="20"/>
        <v>232500</v>
      </c>
      <c r="S142" s="300">
        <f t="shared" si="21"/>
        <v>279000</v>
      </c>
    </row>
    <row r="143" spans="1:19" ht="15" x14ac:dyDescent="0.25">
      <c r="A143" s="36">
        <v>132</v>
      </c>
      <c r="B143" s="37" t="s">
        <v>203</v>
      </c>
      <c r="C143" s="62" t="s">
        <v>153</v>
      </c>
      <c r="D143" s="111">
        <v>154642.70640000002</v>
      </c>
      <c r="E143" s="112">
        <v>44846.38485599999</v>
      </c>
      <c r="F143" s="112">
        <v>179385.53942400005</v>
      </c>
      <c r="G143" s="112">
        <v>224231.92428000004</v>
      </c>
      <c r="H143" s="252">
        <v>38000</v>
      </c>
      <c r="I143" s="252">
        <v>190000</v>
      </c>
      <c r="J143" s="253">
        <v>228000</v>
      </c>
      <c r="K143" s="186">
        <f>44846.384856-1000</f>
        <v>43846.384855999997</v>
      </c>
      <c r="L143" s="186">
        <v>179385.53942400005</v>
      </c>
      <c r="M143" s="187">
        <f t="shared" si="15"/>
        <v>223231.92428000004</v>
      </c>
      <c r="N143" s="99">
        <f t="shared" si="16"/>
        <v>38000</v>
      </c>
      <c r="O143" s="73">
        <f t="shared" si="17"/>
        <v>179385.53942400005</v>
      </c>
      <c r="P143" s="73">
        <f t="shared" si="18"/>
        <v>217385.53942400005</v>
      </c>
      <c r="Q143" s="301">
        <f t="shared" si="19"/>
        <v>35340</v>
      </c>
      <c r="R143" s="301">
        <f t="shared" si="20"/>
        <v>166828.55166432005</v>
      </c>
      <c r="S143" s="300">
        <f t="shared" si="21"/>
        <v>202168.55166432005</v>
      </c>
    </row>
    <row r="144" spans="1:19" ht="15" x14ac:dyDescent="0.25">
      <c r="A144" s="36">
        <v>133</v>
      </c>
      <c r="B144" s="35" t="s">
        <v>204</v>
      </c>
      <c r="C144" s="62" t="s">
        <v>153</v>
      </c>
      <c r="D144" s="111">
        <v>178732.46664</v>
      </c>
      <c r="E144" s="112">
        <v>51832.415325599984</v>
      </c>
      <c r="F144" s="112">
        <v>207329.6613024</v>
      </c>
      <c r="G144" s="112">
        <v>259162.07662799998</v>
      </c>
      <c r="H144" s="252">
        <v>44000</v>
      </c>
      <c r="I144" s="252">
        <v>220000</v>
      </c>
      <c r="J144" s="253">
        <v>264000</v>
      </c>
      <c r="K144" s="186">
        <f>51832.4153256-1000</f>
        <v>50832.415325599999</v>
      </c>
      <c r="L144" s="186">
        <v>207329.6613024</v>
      </c>
      <c r="M144" s="187">
        <f t="shared" si="15"/>
        <v>258162.07662800001</v>
      </c>
      <c r="N144" s="99">
        <f t="shared" si="16"/>
        <v>44000</v>
      </c>
      <c r="O144" s="73">
        <f t="shared" si="17"/>
        <v>207329.6613024</v>
      </c>
      <c r="P144" s="73">
        <f t="shared" si="18"/>
        <v>251329.6613024</v>
      </c>
      <c r="Q144" s="301">
        <f t="shared" si="19"/>
        <v>40920</v>
      </c>
      <c r="R144" s="301">
        <f t="shared" si="20"/>
        <v>192816.585011232</v>
      </c>
      <c r="S144" s="300">
        <f t="shared" si="21"/>
        <v>233736.585011232</v>
      </c>
    </row>
    <row r="145" spans="1:19" ht="15" x14ac:dyDescent="0.25">
      <c r="A145" s="36">
        <v>134</v>
      </c>
      <c r="B145" s="35" t="s">
        <v>206</v>
      </c>
      <c r="C145" s="62" t="s">
        <v>153</v>
      </c>
      <c r="D145" s="111">
        <v>142711.56900000002</v>
      </c>
      <c r="E145" s="112">
        <v>41386.355009999999</v>
      </c>
      <c r="F145" s="112">
        <v>165545.42004000003</v>
      </c>
      <c r="G145" s="112">
        <v>206931.77505000003</v>
      </c>
      <c r="H145" s="252">
        <v>36000</v>
      </c>
      <c r="I145" s="252">
        <v>180000</v>
      </c>
      <c r="J145" s="253">
        <v>216000</v>
      </c>
      <c r="K145" s="186">
        <f>41386.35501-1000</f>
        <v>40386.355009999999</v>
      </c>
      <c r="L145" s="186">
        <v>165545.42004000003</v>
      </c>
      <c r="M145" s="187">
        <f t="shared" si="15"/>
        <v>205931.77505000003</v>
      </c>
      <c r="N145" s="99">
        <f t="shared" si="16"/>
        <v>36000</v>
      </c>
      <c r="O145" s="73">
        <f t="shared" si="17"/>
        <v>165545.42004000003</v>
      </c>
      <c r="P145" s="73">
        <f t="shared" si="18"/>
        <v>201545.42004000003</v>
      </c>
      <c r="Q145" s="301">
        <f t="shared" si="19"/>
        <v>33480</v>
      </c>
      <c r="R145" s="301">
        <f t="shared" si="20"/>
        <v>153957.24063720001</v>
      </c>
      <c r="S145" s="300">
        <f t="shared" si="21"/>
        <v>187437.24063720001</v>
      </c>
    </row>
    <row r="146" spans="1:19" ht="15" x14ac:dyDescent="0.25">
      <c r="A146" s="36">
        <v>135</v>
      </c>
      <c r="B146" s="35" t="s">
        <v>205</v>
      </c>
      <c r="C146" s="62" t="s">
        <v>153</v>
      </c>
      <c r="D146" s="111">
        <v>150000</v>
      </c>
      <c r="E146" s="112">
        <v>43500</v>
      </c>
      <c r="F146" s="112">
        <v>174000</v>
      </c>
      <c r="G146" s="112">
        <v>217500</v>
      </c>
      <c r="H146" s="252">
        <v>34000</v>
      </c>
      <c r="I146" s="252">
        <v>170000</v>
      </c>
      <c r="J146" s="253">
        <v>204000</v>
      </c>
      <c r="K146" s="186">
        <f>43500-1000</f>
        <v>42500</v>
      </c>
      <c r="L146" s="186">
        <v>174000</v>
      </c>
      <c r="M146" s="187">
        <f t="shared" si="15"/>
        <v>216500</v>
      </c>
      <c r="N146" s="99">
        <f t="shared" si="16"/>
        <v>34000</v>
      </c>
      <c r="O146" s="73">
        <f t="shared" si="17"/>
        <v>170000</v>
      </c>
      <c r="P146" s="73">
        <f t="shared" si="18"/>
        <v>204000</v>
      </c>
      <c r="Q146" s="301">
        <f t="shared" si="19"/>
        <v>31620</v>
      </c>
      <c r="R146" s="301">
        <f t="shared" si="20"/>
        <v>158100</v>
      </c>
      <c r="S146" s="300">
        <f t="shared" si="21"/>
        <v>189720</v>
      </c>
    </row>
    <row r="147" spans="1:19" ht="15" x14ac:dyDescent="0.25">
      <c r="A147" s="36">
        <v>136</v>
      </c>
      <c r="B147" s="46" t="s">
        <v>37</v>
      </c>
      <c r="C147" s="62" t="s">
        <v>153</v>
      </c>
      <c r="D147" s="111">
        <v>149667.81022215003</v>
      </c>
      <c r="E147" s="112">
        <v>43403.664964423486</v>
      </c>
      <c r="F147" s="112">
        <v>173614.65985769406</v>
      </c>
      <c r="G147" s="112">
        <v>217018.32482211755</v>
      </c>
      <c r="H147" s="252">
        <v>34000</v>
      </c>
      <c r="I147" s="252">
        <v>170000</v>
      </c>
      <c r="J147" s="253">
        <v>204000</v>
      </c>
      <c r="K147" s="186">
        <f>43403.6649644235-1000</f>
        <v>42403.6649644235</v>
      </c>
      <c r="L147" s="186">
        <v>173614.65985769406</v>
      </c>
      <c r="M147" s="187">
        <f t="shared" si="15"/>
        <v>216018.32482211757</v>
      </c>
      <c r="N147" s="99">
        <f t="shared" si="16"/>
        <v>34000</v>
      </c>
      <c r="O147" s="73">
        <f t="shared" si="17"/>
        <v>170000</v>
      </c>
      <c r="P147" s="73">
        <f t="shared" si="18"/>
        <v>204000</v>
      </c>
      <c r="Q147" s="301">
        <f t="shared" si="19"/>
        <v>31620</v>
      </c>
      <c r="R147" s="301">
        <f t="shared" si="20"/>
        <v>158100</v>
      </c>
      <c r="S147" s="300">
        <f t="shared" si="21"/>
        <v>189720</v>
      </c>
    </row>
    <row r="148" spans="1:19" ht="15" x14ac:dyDescent="0.25">
      <c r="A148" s="36">
        <v>137</v>
      </c>
      <c r="B148" s="46" t="s">
        <v>337</v>
      </c>
      <c r="C148" s="62" t="s">
        <v>153</v>
      </c>
      <c r="D148" s="111">
        <v>294388.82215384644</v>
      </c>
      <c r="E148" s="112">
        <v>85372.758424615429</v>
      </c>
      <c r="F148" s="112">
        <v>341491.03369846189</v>
      </c>
      <c r="G148" s="112">
        <v>426863.79212307732</v>
      </c>
      <c r="H148" s="252">
        <v>69000</v>
      </c>
      <c r="I148" s="252">
        <v>345000</v>
      </c>
      <c r="J148" s="253">
        <v>414000</v>
      </c>
      <c r="K148" s="186">
        <f>85372.7584246154-1000</f>
        <v>84372.7584246154</v>
      </c>
      <c r="L148" s="186">
        <v>341491.03369846189</v>
      </c>
      <c r="M148" s="187">
        <f t="shared" si="15"/>
        <v>425863.79212307732</v>
      </c>
      <c r="N148" s="99">
        <f t="shared" si="16"/>
        <v>69000</v>
      </c>
      <c r="O148" s="73">
        <f t="shared" si="17"/>
        <v>341491.03369846189</v>
      </c>
      <c r="P148" s="73">
        <f t="shared" si="18"/>
        <v>410491.03369846189</v>
      </c>
      <c r="Q148" s="301">
        <f t="shared" si="19"/>
        <v>64170</v>
      </c>
      <c r="R148" s="301">
        <f t="shared" si="20"/>
        <v>317586.66133956955</v>
      </c>
      <c r="S148" s="300">
        <f t="shared" si="21"/>
        <v>381756.66133956955</v>
      </c>
    </row>
    <row r="149" spans="1:19" ht="15" x14ac:dyDescent="0.25">
      <c r="A149" s="36">
        <v>138</v>
      </c>
      <c r="B149" s="38" t="s">
        <v>207</v>
      </c>
      <c r="C149" s="62" t="s">
        <v>153</v>
      </c>
      <c r="D149" s="111">
        <v>70345.190098441351</v>
      </c>
      <c r="E149" s="112">
        <v>21103.5570295324</v>
      </c>
      <c r="F149" s="112">
        <v>84414.228118129628</v>
      </c>
      <c r="G149" s="112">
        <v>105517.78514766203</v>
      </c>
      <c r="H149" s="252">
        <v>14000</v>
      </c>
      <c r="I149" s="252">
        <v>70000</v>
      </c>
      <c r="J149" s="253">
        <v>84000</v>
      </c>
      <c r="K149" s="186">
        <f>21103.5570295324-1000</f>
        <v>20103.5570295324</v>
      </c>
      <c r="L149" s="186">
        <v>84414.228118129628</v>
      </c>
      <c r="M149" s="187">
        <f t="shared" si="15"/>
        <v>104517.78514766203</v>
      </c>
      <c r="N149" s="99">
        <f t="shared" si="16"/>
        <v>14000</v>
      </c>
      <c r="O149" s="73">
        <f t="shared" si="17"/>
        <v>70000</v>
      </c>
      <c r="P149" s="73">
        <f t="shared" si="18"/>
        <v>84000</v>
      </c>
      <c r="Q149" s="301">
        <f t="shared" si="19"/>
        <v>13020</v>
      </c>
      <c r="R149" s="301">
        <f t="shared" si="20"/>
        <v>65100</v>
      </c>
      <c r="S149" s="300">
        <f t="shared" si="21"/>
        <v>78120</v>
      </c>
    </row>
    <row r="150" spans="1:19" ht="15" x14ac:dyDescent="0.25">
      <c r="A150" s="36">
        <v>139</v>
      </c>
      <c r="B150" s="38" t="s">
        <v>329</v>
      </c>
      <c r="C150" s="62" t="s">
        <v>153</v>
      </c>
      <c r="D150" s="111">
        <v>1161123.6000000001</v>
      </c>
      <c r="E150" s="112">
        <v>336725.84399999981</v>
      </c>
      <c r="F150" s="112">
        <v>1346903.3760000002</v>
      </c>
      <c r="G150" s="112">
        <v>1683629.22</v>
      </c>
      <c r="H150" s="252">
        <v>290000</v>
      </c>
      <c r="I150" s="252">
        <v>1450000</v>
      </c>
      <c r="J150" s="253">
        <v>1740000</v>
      </c>
      <c r="K150" s="186">
        <f>336725.844-1000</f>
        <v>335725.84399999998</v>
      </c>
      <c r="L150" s="186">
        <v>1346903.3760000002</v>
      </c>
      <c r="M150" s="187">
        <f t="shared" si="15"/>
        <v>1682629.2200000002</v>
      </c>
      <c r="N150" s="99">
        <f t="shared" si="16"/>
        <v>290000</v>
      </c>
      <c r="O150" s="73">
        <f t="shared" si="17"/>
        <v>1346903.3760000002</v>
      </c>
      <c r="P150" s="73">
        <f t="shared" si="18"/>
        <v>1636903.3760000002</v>
      </c>
      <c r="Q150" s="301">
        <f t="shared" si="19"/>
        <v>269700</v>
      </c>
      <c r="R150" s="301">
        <f t="shared" si="20"/>
        <v>1252620.13968</v>
      </c>
      <c r="S150" s="300">
        <f t="shared" si="21"/>
        <v>1522320.13968</v>
      </c>
    </row>
    <row r="151" spans="1:19" ht="22.5" x14ac:dyDescent="0.25">
      <c r="A151" s="36"/>
      <c r="B151" s="30" t="s">
        <v>39</v>
      </c>
      <c r="C151" s="62" t="s">
        <v>153</v>
      </c>
      <c r="D151" s="111"/>
      <c r="E151" s="112"/>
      <c r="F151" s="112"/>
      <c r="G151" s="112"/>
      <c r="H151" s="252">
        <v>0</v>
      </c>
      <c r="I151" s="252"/>
      <c r="J151" s="253">
        <v>0</v>
      </c>
      <c r="K151" s="188"/>
      <c r="L151" s="189"/>
      <c r="M151" s="187">
        <f t="shared" si="15"/>
        <v>0</v>
      </c>
      <c r="N151" s="99">
        <f t="shared" si="16"/>
        <v>0</v>
      </c>
      <c r="O151" s="73">
        <f t="shared" si="17"/>
        <v>0</v>
      </c>
      <c r="P151" s="73">
        <f t="shared" si="18"/>
        <v>0</v>
      </c>
      <c r="Q151" s="301">
        <f t="shared" si="19"/>
        <v>0</v>
      </c>
      <c r="R151" s="301">
        <f t="shared" si="20"/>
        <v>0</v>
      </c>
      <c r="S151" s="300">
        <f t="shared" si="21"/>
        <v>0</v>
      </c>
    </row>
    <row r="152" spans="1:19" ht="15" x14ac:dyDescent="0.25">
      <c r="A152" s="36">
        <v>140</v>
      </c>
      <c r="B152" s="46" t="s">
        <v>40</v>
      </c>
      <c r="C152" s="62" t="s">
        <v>153</v>
      </c>
      <c r="D152" s="111">
        <v>1527360.0033170409</v>
      </c>
      <c r="E152" s="112">
        <v>442934.40096194181</v>
      </c>
      <c r="F152" s="112">
        <v>1771737.6038477675</v>
      </c>
      <c r="G152" s="112">
        <v>2214672.0048097093</v>
      </c>
      <c r="H152" s="252">
        <v>320000</v>
      </c>
      <c r="I152" s="252">
        <v>1600000</v>
      </c>
      <c r="J152" s="253">
        <v>1920000</v>
      </c>
      <c r="K152" s="186">
        <f>442934.400961942-1000</f>
        <v>441934.40096194198</v>
      </c>
      <c r="L152" s="186">
        <v>1771737.6038477675</v>
      </c>
      <c r="M152" s="187">
        <f t="shared" si="15"/>
        <v>2213672.0048097093</v>
      </c>
      <c r="N152" s="99">
        <f t="shared" si="16"/>
        <v>320000</v>
      </c>
      <c r="O152" s="73">
        <f t="shared" si="17"/>
        <v>1600000</v>
      </c>
      <c r="P152" s="73">
        <f t="shared" si="18"/>
        <v>1920000</v>
      </c>
      <c r="Q152" s="301">
        <f t="shared" si="19"/>
        <v>297600</v>
      </c>
      <c r="R152" s="301">
        <f t="shared" si="20"/>
        <v>1488000</v>
      </c>
      <c r="S152" s="300">
        <f t="shared" si="21"/>
        <v>1785600</v>
      </c>
    </row>
    <row r="153" spans="1:19" ht="22.5" x14ac:dyDescent="0.25">
      <c r="A153" s="36">
        <v>141</v>
      </c>
      <c r="B153" s="46" t="s">
        <v>209</v>
      </c>
      <c r="C153" s="62" t="s">
        <v>153</v>
      </c>
      <c r="D153" s="111">
        <v>646482.90002667741</v>
      </c>
      <c r="E153" s="112">
        <v>187480.04100773635</v>
      </c>
      <c r="F153" s="112">
        <v>749920.16403094586</v>
      </c>
      <c r="G153" s="112">
        <v>937400.20503868221</v>
      </c>
      <c r="H153" s="252">
        <v>150000</v>
      </c>
      <c r="I153" s="252">
        <v>750000</v>
      </c>
      <c r="J153" s="253">
        <v>900000</v>
      </c>
      <c r="K153" s="186">
        <f>187480.041007736-1000</f>
        <v>186480.041007736</v>
      </c>
      <c r="L153" s="186">
        <v>749920.16403094586</v>
      </c>
      <c r="M153" s="187">
        <f t="shared" si="15"/>
        <v>936400.20503868186</v>
      </c>
      <c r="N153" s="99">
        <f t="shared" si="16"/>
        <v>150000</v>
      </c>
      <c r="O153" s="73">
        <f t="shared" si="17"/>
        <v>749920.16403094586</v>
      </c>
      <c r="P153" s="73">
        <f t="shared" si="18"/>
        <v>899920.16403094586</v>
      </c>
      <c r="Q153" s="301">
        <f t="shared" si="19"/>
        <v>139500</v>
      </c>
      <c r="R153" s="301">
        <f t="shared" si="20"/>
        <v>697425.75254877959</v>
      </c>
      <c r="S153" s="300">
        <f t="shared" si="21"/>
        <v>836925.75254877959</v>
      </c>
    </row>
    <row r="154" spans="1:19" ht="15" x14ac:dyDescent="0.25">
      <c r="A154" s="36">
        <v>142</v>
      </c>
      <c r="B154" s="32" t="s">
        <v>208</v>
      </c>
      <c r="C154" s="62" t="s">
        <v>153</v>
      </c>
      <c r="D154" s="111">
        <v>243480.51</v>
      </c>
      <c r="E154" s="112">
        <v>70609.347899999993</v>
      </c>
      <c r="F154" s="112">
        <v>282437.39160000003</v>
      </c>
      <c r="G154" s="112">
        <v>353046.73950000003</v>
      </c>
      <c r="H154" s="252">
        <v>61600</v>
      </c>
      <c r="I154" s="252">
        <v>308000</v>
      </c>
      <c r="J154" s="253">
        <v>369600</v>
      </c>
      <c r="K154" s="186">
        <f>70609.3479-1000</f>
        <v>69609.347899999993</v>
      </c>
      <c r="L154" s="186">
        <v>282437.39160000003</v>
      </c>
      <c r="M154" s="187">
        <f t="shared" si="15"/>
        <v>352046.73950000003</v>
      </c>
      <c r="N154" s="99">
        <f t="shared" si="16"/>
        <v>61600</v>
      </c>
      <c r="O154" s="73">
        <f t="shared" si="17"/>
        <v>282437.39160000003</v>
      </c>
      <c r="P154" s="73">
        <f t="shared" si="18"/>
        <v>344037.39160000003</v>
      </c>
      <c r="Q154" s="301">
        <f t="shared" si="19"/>
        <v>57288</v>
      </c>
      <c r="R154" s="301">
        <f t="shared" si="20"/>
        <v>262666.77418800001</v>
      </c>
      <c r="S154" s="300">
        <f t="shared" si="21"/>
        <v>319954.77418800001</v>
      </c>
    </row>
    <row r="155" spans="1:19" ht="15" x14ac:dyDescent="0.25">
      <c r="A155" s="36">
        <v>143</v>
      </c>
      <c r="B155" s="46" t="s">
        <v>41</v>
      </c>
      <c r="C155" s="62" t="s">
        <v>153</v>
      </c>
      <c r="D155" s="111">
        <v>1529366.660624464</v>
      </c>
      <c r="E155" s="112">
        <v>443516.33158109454</v>
      </c>
      <c r="F155" s="112">
        <v>1774065.3263243784</v>
      </c>
      <c r="G155" s="112">
        <v>2217581.6579054729</v>
      </c>
      <c r="H155" s="252">
        <v>322000</v>
      </c>
      <c r="I155" s="252">
        <v>1610000</v>
      </c>
      <c r="J155" s="253">
        <v>1932000</v>
      </c>
      <c r="K155" s="186">
        <f>443516.331581095-1000</f>
        <v>442516.331581095</v>
      </c>
      <c r="L155" s="186">
        <v>1774065.3263243784</v>
      </c>
      <c r="M155" s="187">
        <f t="shared" si="15"/>
        <v>2216581.6579054734</v>
      </c>
      <c r="N155" s="99">
        <f t="shared" si="16"/>
        <v>322000</v>
      </c>
      <c r="O155" s="73">
        <f t="shared" si="17"/>
        <v>1610000</v>
      </c>
      <c r="P155" s="73">
        <f t="shared" si="18"/>
        <v>1932000</v>
      </c>
      <c r="Q155" s="301">
        <f t="shared" si="19"/>
        <v>299460</v>
      </c>
      <c r="R155" s="301">
        <f t="shared" si="20"/>
        <v>1497300</v>
      </c>
      <c r="S155" s="300">
        <f t="shared" si="21"/>
        <v>1796760</v>
      </c>
    </row>
    <row r="156" spans="1:19" ht="15" x14ac:dyDescent="0.25">
      <c r="A156" s="36">
        <v>144</v>
      </c>
      <c r="B156" s="46" t="s">
        <v>210</v>
      </c>
      <c r="C156" s="62" t="s">
        <v>153</v>
      </c>
      <c r="D156" s="111">
        <v>646482.90002667741</v>
      </c>
      <c r="E156" s="112">
        <v>187480.04100773635</v>
      </c>
      <c r="F156" s="112">
        <v>749920.16403094586</v>
      </c>
      <c r="G156" s="112">
        <v>937400.20503868221</v>
      </c>
      <c r="H156" s="252">
        <v>152000</v>
      </c>
      <c r="I156" s="252">
        <v>760000</v>
      </c>
      <c r="J156" s="253">
        <v>912000</v>
      </c>
      <c r="K156" s="186">
        <f>187480.041007736-1000</f>
        <v>186480.041007736</v>
      </c>
      <c r="L156" s="186">
        <v>749920.16403094586</v>
      </c>
      <c r="M156" s="187">
        <f t="shared" si="15"/>
        <v>936400.20503868186</v>
      </c>
      <c r="N156" s="99">
        <f t="shared" si="16"/>
        <v>152000</v>
      </c>
      <c r="O156" s="73">
        <f t="shared" si="17"/>
        <v>749920.16403094586</v>
      </c>
      <c r="P156" s="73">
        <f t="shared" si="18"/>
        <v>901920.16403094586</v>
      </c>
      <c r="Q156" s="301">
        <f t="shared" si="19"/>
        <v>141360</v>
      </c>
      <c r="R156" s="301">
        <f t="shared" si="20"/>
        <v>697425.75254877959</v>
      </c>
      <c r="S156" s="300">
        <f t="shared" si="21"/>
        <v>838785.75254877959</v>
      </c>
    </row>
    <row r="157" spans="1:19" ht="15" x14ac:dyDescent="0.25">
      <c r="A157" s="36">
        <v>145</v>
      </c>
      <c r="B157" s="32" t="s">
        <v>212</v>
      </c>
      <c r="C157" s="62" t="s">
        <v>153</v>
      </c>
      <c r="D157" s="111">
        <v>120000</v>
      </c>
      <c r="E157" s="112">
        <v>34800</v>
      </c>
      <c r="F157" s="112">
        <v>139200</v>
      </c>
      <c r="G157" s="112">
        <v>174000</v>
      </c>
      <c r="H157" s="252">
        <v>28000</v>
      </c>
      <c r="I157" s="252">
        <v>140000</v>
      </c>
      <c r="J157" s="253">
        <v>168000</v>
      </c>
      <c r="K157" s="186">
        <f>34800-1000</f>
        <v>33800</v>
      </c>
      <c r="L157" s="186">
        <v>139200</v>
      </c>
      <c r="M157" s="187">
        <f t="shared" si="15"/>
        <v>173000</v>
      </c>
      <c r="N157" s="99">
        <f t="shared" si="16"/>
        <v>28000</v>
      </c>
      <c r="O157" s="73">
        <f t="shared" si="17"/>
        <v>139200</v>
      </c>
      <c r="P157" s="73">
        <f t="shared" si="18"/>
        <v>167200</v>
      </c>
      <c r="Q157" s="301">
        <f t="shared" si="19"/>
        <v>26040</v>
      </c>
      <c r="R157" s="301">
        <f t="shared" si="20"/>
        <v>129456</v>
      </c>
      <c r="S157" s="300">
        <f t="shared" si="21"/>
        <v>155496</v>
      </c>
    </row>
    <row r="158" spans="1:19" ht="22.5" x14ac:dyDescent="0.25">
      <c r="A158" s="36">
        <v>146</v>
      </c>
      <c r="B158" s="32" t="s">
        <v>213</v>
      </c>
      <c r="C158" s="62" t="s">
        <v>153</v>
      </c>
      <c r="D158" s="111">
        <v>184756.59684089854</v>
      </c>
      <c r="E158" s="112">
        <v>53579.413083860563</v>
      </c>
      <c r="F158" s="112">
        <v>214317.65233544228</v>
      </c>
      <c r="G158" s="112">
        <v>267897.06541930285</v>
      </c>
      <c r="H158" s="252">
        <v>44000</v>
      </c>
      <c r="I158" s="252">
        <v>220000</v>
      </c>
      <c r="J158" s="253">
        <v>264000</v>
      </c>
      <c r="K158" s="186">
        <f>53579.4130838606-1000</f>
        <v>52579.4130838606</v>
      </c>
      <c r="L158" s="186">
        <v>214317.65233544228</v>
      </c>
      <c r="M158" s="187">
        <f t="shared" si="15"/>
        <v>266897.0654193029</v>
      </c>
      <c r="N158" s="99">
        <f t="shared" si="16"/>
        <v>44000</v>
      </c>
      <c r="O158" s="73">
        <f t="shared" si="17"/>
        <v>214317.65233544228</v>
      </c>
      <c r="P158" s="73">
        <f t="shared" si="18"/>
        <v>258317.65233544228</v>
      </c>
      <c r="Q158" s="301">
        <f t="shared" si="19"/>
        <v>40920</v>
      </c>
      <c r="R158" s="301">
        <f t="shared" si="20"/>
        <v>199315.41667196131</v>
      </c>
      <c r="S158" s="300">
        <f t="shared" si="21"/>
        <v>240235.41667196131</v>
      </c>
    </row>
    <row r="159" spans="1:19" ht="15" x14ac:dyDescent="0.25">
      <c r="A159" s="36">
        <v>147</v>
      </c>
      <c r="B159" s="46" t="s">
        <v>214</v>
      </c>
      <c r="C159" s="62" t="s">
        <v>153</v>
      </c>
      <c r="D159" s="111">
        <v>591621.76684570196</v>
      </c>
      <c r="E159" s="112">
        <v>171570.31238525349</v>
      </c>
      <c r="F159" s="112">
        <v>686281.24954101432</v>
      </c>
      <c r="G159" s="112">
        <v>857851.56192626781</v>
      </c>
      <c r="H159" s="252">
        <v>131600</v>
      </c>
      <c r="I159" s="252">
        <v>658000</v>
      </c>
      <c r="J159" s="253">
        <v>789600</v>
      </c>
      <c r="K159" s="186">
        <f>171570.312385253-1000</f>
        <v>170570.312385253</v>
      </c>
      <c r="L159" s="186">
        <v>686281.24954101432</v>
      </c>
      <c r="M159" s="187">
        <f t="shared" si="15"/>
        <v>856851.56192626734</v>
      </c>
      <c r="N159" s="99">
        <f t="shared" si="16"/>
        <v>131600</v>
      </c>
      <c r="O159" s="73">
        <f t="shared" si="17"/>
        <v>658000</v>
      </c>
      <c r="P159" s="73">
        <f t="shared" si="18"/>
        <v>789600</v>
      </c>
      <c r="Q159" s="301">
        <f t="shared" si="19"/>
        <v>122388</v>
      </c>
      <c r="R159" s="301">
        <f t="shared" si="20"/>
        <v>611940</v>
      </c>
      <c r="S159" s="300">
        <f t="shared" si="21"/>
        <v>734328</v>
      </c>
    </row>
    <row r="160" spans="1:19" ht="15" x14ac:dyDescent="0.25">
      <c r="A160" s="36">
        <v>148</v>
      </c>
      <c r="B160" s="46" t="s">
        <v>355</v>
      </c>
      <c r="C160" s="62" t="s">
        <v>153</v>
      </c>
      <c r="D160" s="111">
        <v>378737.1653932659</v>
      </c>
      <c r="E160" s="112">
        <v>109833.7779640471</v>
      </c>
      <c r="F160" s="112">
        <v>439335.11185618845</v>
      </c>
      <c r="G160" s="112">
        <v>549168.88982023555</v>
      </c>
      <c r="H160" s="252">
        <v>88000</v>
      </c>
      <c r="I160" s="252">
        <v>440000</v>
      </c>
      <c r="J160" s="253">
        <v>528000</v>
      </c>
      <c r="K160" s="186">
        <f>109833.777964047-1000</f>
        <v>108833.777964047</v>
      </c>
      <c r="L160" s="186">
        <v>439335.11185618845</v>
      </c>
      <c r="M160" s="187">
        <f t="shared" si="15"/>
        <v>548168.88982023543</v>
      </c>
      <c r="N160" s="99">
        <f t="shared" si="16"/>
        <v>88000</v>
      </c>
      <c r="O160" s="73">
        <f t="shared" si="17"/>
        <v>439335.11185618845</v>
      </c>
      <c r="P160" s="73">
        <f t="shared" si="18"/>
        <v>527335.11185618839</v>
      </c>
      <c r="Q160" s="301">
        <f t="shared" si="19"/>
        <v>81840</v>
      </c>
      <c r="R160" s="301">
        <f t="shared" si="20"/>
        <v>408581.65402625524</v>
      </c>
      <c r="S160" s="300">
        <f t="shared" si="21"/>
        <v>490421.65402625524</v>
      </c>
    </row>
    <row r="161" spans="1:19" ht="15" x14ac:dyDescent="0.25">
      <c r="A161" s="36">
        <v>149</v>
      </c>
      <c r="B161" s="46" t="s">
        <v>215</v>
      </c>
      <c r="C161" s="62" t="s">
        <v>153</v>
      </c>
      <c r="D161" s="111">
        <v>31899</v>
      </c>
      <c r="E161" s="112">
        <v>9569.6999999999971</v>
      </c>
      <c r="F161" s="112">
        <v>38278.800000000003</v>
      </c>
      <c r="G161" s="112">
        <v>47848.5</v>
      </c>
      <c r="H161" s="252">
        <v>8000</v>
      </c>
      <c r="I161" s="252">
        <v>40000</v>
      </c>
      <c r="J161" s="253">
        <v>48000</v>
      </c>
      <c r="K161" s="186">
        <f>9569.7-500</f>
        <v>9069.7000000000007</v>
      </c>
      <c r="L161" s="186">
        <v>38278.800000000003</v>
      </c>
      <c r="M161" s="187">
        <f t="shared" si="15"/>
        <v>47348.5</v>
      </c>
      <c r="N161" s="99">
        <f t="shared" si="16"/>
        <v>8000</v>
      </c>
      <c r="O161" s="73">
        <f t="shared" si="17"/>
        <v>38278.800000000003</v>
      </c>
      <c r="P161" s="73">
        <f t="shared" si="18"/>
        <v>46278.8</v>
      </c>
      <c r="Q161" s="301">
        <f t="shared" si="19"/>
        <v>7440</v>
      </c>
      <c r="R161" s="301">
        <f t="shared" si="20"/>
        <v>35599.284</v>
      </c>
      <c r="S161" s="300">
        <f t="shared" si="21"/>
        <v>43039.284</v>
      </c>
    </row>
    <row r="162" spans="1:19" ht="15" x14ac:dyDescent="0.25">
      <c r="A162" s="36">
        <v>150</v>
      </c>
      <c r="B162" s="32" t="s">
        <v>216</v>
      </c>
      <c r="C162" s="62" t="s">
        <v>153</v>
      </c>
      <c r="D162" s="111">
        <v>5175.576</v>
      </c>
      <c r="E162" s="112">
        <v>1552.6727999999994</v>
      </c>
      <c r="F162" s="112">
        <v>6210.6912000000002</v>
      </c>
      <c r="G162" s="112">
        <v>7763.3639999999996</v>
      </c>
      <c r="H162" s="252">
        <v>1200</v>
      </c>
      <c r="I162" s="252">
        <v>6000</v>
      </c>
      <c r="J162" s="253">
        <v>7200</v>
      </c>
      <c r="K162" s="186">
        <f>1552.6728-500</f>
        <v>1052.6728000000001</v>
      </c>
      <c r="L162" s="186">
        <v>6210.6912000000002</v>
      </c>
      <c r="M162" s="187">
        <f t="shared" si="15"/>
        <v>7263.3640000000005</v>
      </c>
      <c r="N162" s="99">
        <f t="shared" si="16"/>
        <v>1052.6728000000001</v>
      </c>
      <c r="O162" s="73">
        <f t="shared" si="17"/>
        <v>6000</v>
      </c>
      <c r="P162" s="73">
        <f t="shared" si="18"/>
        <v>7052.6728000000003</v>
      </c>
      <c r="Q162" s="301">
        <f t="shared" si="19"/>
        <v>978.98570400000006</v>
      </c>
      <c r="R162" s="301">
        <f t="shared" si="20"/>
        <v>5580</v>
      </c>
      <c r="S162" s="300">
        <f t="shared" si="21"/>
        <v>6558.9857039999997</v>
      </c>
    </row>
    <row r="163" spans="1:19" ht="15" x14ac:dyDescent="0.25">
      <c r="A163" s="36">
        <v>151</v>
      </c>
      <c r="B163" s="32" t="s">
        <v>221</v>
      </c>
      <c r="C163" s="62" t="s">
        <v>153</v>
      </c>
      <c r="D163" s="111">
        <v>5175.576</v>
      </c>
      <c r="E163" s="112">
        <v>1552.6727999999994</v>
      </c>
      <c r="F163" s="112">
        <v>6210.6912000000002</v>
      </c>
      <c r="G163" s="112">
        <v>7763.3639999999996</v>
      </c>
      <c r="H163" s="252">
        <v>1200</v>
      </c>
      <c r="I163" s="252">
        <v>6000</v>
      </c>
      <c r="J163" s="253">
        <v>7200</v>
      </c>
      <c r="K163" s="186">
        <f>1552.6728-500</f>
        <v>1052.6728000000001</v>
      </c>
      <c r="L163" s="186">
        <v>6210.6912000000002</v>
      </c>
      <c r="M163" s="187">
        <f t="shared" si="15"/>
        <v>7263.3640000000005</v>
      </c>
      <c r="N163" s="99">
        <f t="shared" si="16"/>
        <v>1052.6728000000001</v>
      </c>
      <c r="O163" s="73">
        <f t="shared" si="17"/>
        <v>6000</v>
      </c>
      <c r="P163" s="73">
        <f t="shared" si="18"/>
        <v>7052.6728000000003</v>
      </c>
      <c r="Q163" s="301">
        <f t="shared" si="19"/>
        <v>978.98570400000006</v>
      </c>
      <c r="R163" s="301">
        <f t="shared" si="20"/>
        <v>5580</v>
      </c>
      <c r="S163" s="300">
        <f t="shared" si="21"/>
        <v>6558.9857039999997</v>
      </c>
    </row>
    <row r="164" spans="1:19" ht="15" x14ac:dyDescent="0.25">
      <c r="A164" s="36">
        <v>152</v>
      </c>
      <c r="B164" s="32" t="s">
        <v>217</v>
      </c>
      <c r="C164" s="62" t="s">
        <v>153</v>
      </c>
      <c r="D164" s="111">
        <v>5175.576</v>
      </c>
      <c r="E164" s="112">
        <v>1552.6727999999994</v>
      </c>
      <c r="F164" s="112">
        <v>6210.6912000000002</v>
      </c>
      <c r="G164" s="112">
        <v>7763.3639999999996</v>
      </c>
      <c r="H164" s="252">
        <v>1200</v>
      </c>
      <c r="I164" s="252">
        <v>6000</v>
      </c>
      <c r="J164" s="253">
        <v>7200</v>
      </c>
      <c r="K164" s="186">
        <f>1552.6728-500</f>
        <v>1052.6728000000001</v>
      </c>
      <c r="L164" s="186">
        <v>6210.6912000000002</v>
      </c>
      <c r="M164" s="187">
        <f t="shared" si="15"/>
        <v>7263.3640000000005</v>
      </c>
      <c r="N164" s="99">
        <f t="shared" si="16"/>
        <v>1052.6728000000001</v>
      </c>
      <c r="O164" s="73">
        <f t="shared" si="17"/>
        <v>6000</v>
      </c>
      <c r="P164" s="73">
        <f t="shared" si="18"/>
        <v>7052.6728000000003</v>
      </c>
      <c r="Q164" s="301">
        <f t="shared" si="19"/>
        <v>978.98570400000006</v>
      </c>
      <c r="R164" s="301">
        <f t="shared" si="20"/>
        <v>5580</v>
      </c>
      <c r="S164" s="300">
        <f t="shared" si="21"/>
        <v>6558.9857039999997</v>
      </c>
    </row>
    <row r="165" spans="1:19" ht="15" x14ac:dyDescent="0.25">
      <c r="A165" s="36">
        <v>153</v>
      </c>
      <c r="B165" s="32" t="s">
        <v>218</v>
      </c>
      <c r="C165" s="62" t="s">
        <v>153</v>
      </c>
      <c r="D165" s="111">
        <v>3528.49</v>
      </c>
      <c r="E165" s="112">
        <v>1058.5469999999996</v>
      </c>
      <c r="F165" s="112">
        <v>4234.1880000000001</v>
      </c>
      <c r="G165" s="112">
        <v>5292.7349999999997</v>
      </c>
      <c r="H165" s="252">
        <v>1000</v>
      </c>
      <c r="I165" s="252">
        <v>5000</v>
      </c>
      <c r="J165" s="253">
        <v>6000</v>
      </c>
      <c r="K165" s="186">
        <f>1058.547-500</f>
        <v>558.54700000000003</v>
      </c>
      <c r="L165" s="186">
        <v>4234.1880000000001</v>
      </c>
      <c r="M165" s="187">
        <f t="shared" si="15"/>
        <v>4792.7350000000006</v>
      </c>
      <c r="N165" s="99">
        <f t="shared" si="16"/>
        <v>558.54700000000003</v>
      </c>
      <c r="O165" s="73">
        <f t="shared" si="17"/>
        <v>4234.1880000000001</v>
      </c>
      <c r="P165" s="73">
        <f t="shared" si="18"/>
        <v>4792.7350000000006</v>
      </c>
      <c r="Q165" s="301">
        <f t="shared" si="19"/>
        <v>519.44871000000001</v>
      </c>
      <c r="R165" s="301">
        <f t="shared" si="20"/>
        <v>3937.79484</v>
      </c>
      <c r="S165" s="300">
        <f t="shared" si="21"/>
        <v>4457.2435500000001</v>
      </c>
    </row>
    <row r="166" spans="1:19" ht="15" x14ac:dyDescent="0.25">
      <c r="A166" s="36">
        <v>154</v>
      </c>
      <c r="B166" s="32" t="s">
        <v>219</v>
      </c>
      <c r="C166" s="62" t="s">
        <v>153</v>
      </c>
      <c r="D166" s="111">
        <v>31899</v>
      </c>
      <c r="E166" s="112">
        <v>9569.6999999999971</v>
      </c>
      <c r="F166" s="112">
        <v>38278.800000000003</v>
      </c>
      <c r="G166" s="112">
        <v>47848.5</v>
      </c>
      <c r="H166" s="252">
        <v>6000</v>
      </c>
      <c r="I166" s="252">
        <v>30000</v>
      </c>
      <c r="J166" s="253">
        <v>36000</v>
      </c>
      <c r="K166" s="186">
        <f>9569.5</f>
        <v>9569.5</v>
      </c>
      <c r="L166" s="186">
        <v>38278.800000000003</v>
      </c>
      <c r="M166" s="187">
        <f t="shared" si="15"/>
        <v>47848.3</v>
      </c>
      <c r="N166" s="99">
        <f t="shared" si="16"/>
        <v>6000</v>
      </c>
      <c r="O166" s="73">
        <f t="shared" si="17"/>
        <v>30000</v>
      </c>
      <c r="P166" s="73">
        <f t="shared" si="18"/>
        <v>36000</v>
      </c>
      <c r="Q166" s="301">
        <f t="shared" si="19"/>
        <v>5580</v>
      </c>
      <c r="R166" s="301">
        <f t="shared" si="20"/>
        <v>27900</v>
      </c>
      <c r="S166" s="300">
        <f t="shared" si="21"/>
        <v>33480</v>
      </c>
    </row>
    <row r="167" spans="1:19" ht="15" x14ac:dyDescent="0.25">
      <c r="A167" s="36">
        <v>155</v>
      </c>
      <c r="B167" s="32" t="s">
        <v>220</v>
      </c>
      <c r="C167" s="62" t="s">
        <v>153</v>
      </c>
      <c r="D167" s="111">
        <v>6174.5291999999999</v>
      </c>
      <c r="E167" s="112">
        <v>1852.3587599999992</v>
      </c>
      <c r="F167" s="112">
        <v>7409.4350400000003</v>
      </c>
      <c r="G167" s="112">
        <v>9261.7937999999995</v>
      </c>
      <c r="H167" s="252">
        <v>1400</v>
      </c>
      <c r="I167" s="252">
        <v>7000</v>
      </c>
      <c r="J167" s="253">
        <v>8400</v>
      </c>
      <c r="K167" s="186">
        <f>1852.35876-200</f>
        <v>1652.3587600000001</v>
      </c>
      <c r="L167" s="186">
        <v>7409.4350400000003</v>
      </c>
      <c r="M167" s="187">
        <f t="shared" si="15"/>
        <v>9061.7937999999995</v>
      </c>
      <c r="N167" s="99">
        <f t="shared" si="16"/>
        <v>1400</v>
      </c>
      <c r="O167" s="73">
        <f t="shared" si="17"/>
        <v>7000</v>
      </c>
      <c r="P167" s="73">
        <f t="shared" si="18"/>
        <v>8400</v>
      </c>
      <c r="Q167" s="301">
        <f t="shared" si="19"/>
        <v>1302</v>
      </c>
      <c r="R167" s="301">
        <f t="shared" si="20"/>
        <v>6510</v>
      </c>
      <c r="S167" s="300">
        <f t="shared" si="21"/>
        <v>7812</v>
      </c>
    </row>
    <row r="168" spans="1:19" ht="15" x14ac:dyDescent="0.25">
      <c r="A168" s="36">
        <v>156</v>
      </c>
      <c r="B168" s="50" t="s">
        <v>223</v>
      </c>
      <c r="C168" s="62" t="s">
        <v>153</v>
      </c>
      <c r="D168" s="111">
        <v>577718.7645680001</v>
      </c>
      <c r="E168" s="112">
        <v>167538.44172471995</v>
      </c>
      <c r="F168" s="112">
        <v>670153.76689888013</v>
      </c>
      <c r="G168" s="112">
        <v>837692.20862360008</v>
      </c>
      <c r="H168" s="252">
        <v>136000</v>
      </c>
      <c r="I168" s="252">
        <v>680000</v>
      </c>
      <c r="J168" s="253">
        <v>816000</v>
      </c>
      <c r="K168" s="186">
        <f>167538.44172472-1000</f>
        <v>166538.44172472</v>
      </c>
      <c r="L168" s="186">
        <v>670153.76689888013</v>
      </c>
      <c r="M168" s="187">
        <f t="shared" si="15"/>
        <v>836692.20862360019</v>
      </c>
      <c r="N168" s="99">
        <f t="shared" si="16"/>
        <v>136000</v>
      </c>
      <c r="O168" s="73">
        <f t="shared" si="17"/>
        <v>670153.76689888013</v>
      </c>
      <c r="P168" s="73">
        <f t="shared" si="18"/>
        <v>806153.76689888013</v>
      </c>
      <c r="Q168" s="301">
        <f t="shared" si="19"/>
        <v>126480</v>
      </c>
      <c r="R168" s="301">
        <f t="shared" si="20"/>
        <v>623243.00321595848</v>
      </c>
      <c r="S168" s="300">
        <f t="shared" si="21"/>
        <v>749723.00321595848</v>
      </c>
    </row>
    <row r="169" spans="1:19" ht="15" x14ac:dyDescent="0.25">
      <c r="A169" s="36">
        <v>157</v>
      </c>
      <c r="B169" s="38" t="s">
        <v>222</v>
      </c>
      <c r="C169" s="62" t="s">
        <v>153</v>
      </c>
      <c r="D169" s="111">
        <v>494855.17480000004</v>
      </c>
      <c r="E169" s="112">
        <v>143508.00069200003</v>
      </c>
      <c r="F169" s="112">
        <v>574032.00276800001</v>
      </c>
      <c r="G169" s="112">
        <v>717540.00346000004</v>
      </c>
      <c r="H169" s="252">
        <v>124000</v>
      </c>
      <c r="I169" s="252">
        <v>620000</v>
      </c>
      <c r="J169" s="253">
        <v>744000</v>
      </c>
      <c r="K169" s="186">
        <f>143508.000692-1000</f>
        <v>142508.000692</v>
      </c>
      <c r="L169" s="186">
        <v>574032.00276800001</v>
      </c>
      <c r="M169" s="187">
        <f t="shared" si="15"/>
        <v>716540.00346000004</v>
      </c>
      <c r="N169" s="99">
        <f t="shared" si="16"/>
        <v>124000</v>
      </c>
      <c r="O169" s="73">
        <f t="shared" si="17"/>
        <v>574032.00276800001</v>
      </c>
      <c r="P169" s="73">
        <f t="shared" si="18"/>
        <v>698032.00276800001</v>
      </c>
      <c r="Q169" s="301">
        <f t="shared" si="19"/>
        <v>115320</v>
      </c>
      <c r="R169" s="301">
        <f t="shared" si="20"/>
        <v>533849.76257423998</v>
      </c>
      <c r="S169" s="300">
        <f t="shared" si="21"/>
        <v>649169.76257423998</v>
      </c>
    </row>
    <row r="170" spans="1:19" ht="15" x14ac:dyDescent="0.25">
      <c r="A170" s="36">
        <v>158</v>
      </c>
      <c r="B170" s="38" t="s">
        <v>224</v>
      </c>
      <c r="C170" s="62" t="s">
        <v>153</v>
      </c>
      <c r="D170" s="111">
        <v>608049.13400000008</v>
      </c>
      <c r="E170" s="112">
        <v>176334.24885999993</v>
      </c>
      <c r="F170" s="112">
        <v>705336.9954400002</v>
      </c>
      <c r="G170" s="112">
        <v>881671.24430000014</v>
      </c>
      <c r="H170" s="252">
        <v>154000</v>
      </c>
      <c r="I170" s="252">
        <v>770000</v>
      </c>
      <c r="J170" s="253">
        <v>924000</v>
      </c>
      <c r="K170" s="186">
        <f>176334.24886-1000</f>
        <v>175334.24885999999</v>
      </c>
      <c r="L170" s="186">
        <v>705336.9954400002</v>
      </c>
      <c r="M170" s="187">
        <f t="shared" si="15"/>
        <v>880671.24430000014</v>
      </c>
      <c r="N170" s="99">
        <f t="shared" si="16"/>
        <v>154000</v>
      </c>
      <c r="O170" s="73">
        <f t="shared" si="17"/>
        <v>705336.9954400002</v>
      </c>
      <c r="P170" s="73">
        <f t="shared" si="18"/>
        <v>859336.9954400002</v>
      </c>
      <c r="Q170" s="301">
        <f t="shared" si="19"/>
        <v>143220</v>
      </c>
      <c r="R170" s="301">
        <f t="shared" si="20"/>
        <v>655963.40575920022</v>
      </c>
      <c r="S170" s="300">
        <f t="shared" si="21"/>
        <v>799183.40575920022</v>
      </c>
    </row>
    <row r="171" spans="1:19" ht="15" x14ac:dyDescent="0.25">
      <c r="A171" s="36">
        <v>159</v>
      </c>
      <c r="B171" s="32" t="s">
        <v>225</v>
      </c>
      <c r="C171" s="62" t="s">
        <v>153</v>
      </c>
      <c r="D171" s="111">
        <v>426919.78928105405</v>
      </c>
      <c r="E171" s="112">
        <v>123806.73889150564</v>
      </c>
      <c r="F171" s="112">
        <v>495226.95556602266</v>
      </c>
      <c r="G171" s="112">
        <v>619033.6944575283</v>
      </c>
      <c r="H171" s="252">
        <v>100600</v>
      </c>
      <c r="I171" s="252">
        <v>503000</v>
      </c>
      <c r="J171" s="253">
        <v>603600</v>
      </c>
      <c r="K171" s="186">
        <f>123806.738891506-1000</f>
        <v>122806.738891506</v>
      </c>
      <c r="L171" s="186">
        <v>495226.95556602266</v>
      </c>
      <c r="M171" s="187">
        <f t="shared" si="15"/>
        <v>618033.69445752865</v>
      </c>
      <c r="N171" s="99">
        <f t="shared" si="16"/>
        <v>100600</v>
      </c>
      <c r="O171" s="73">
        <f t="shared" si="17"/>
        <v>495226.95556602266</v>
      </c>
      <c r="P171" s="73">
        <f t="shared" si="18"/>
        <v>595826.95556602266</v>
      </c>
      <c r="Q171" s="301">
        <f t="shared" si="19"/>
        <v>93558</v>
      </c>
      <c r="R171" s="301">
        <f t="shared" si="20"/>
        <v>460561.06867640105</v>
      </c>
      <c r="S171" s="300">
        <f t="shared" si="21"/>
        <v>554119.06867640105</v>
      </c>
    </row>
    <row r="172" spans="1:19" ht="22.5" x14ac:dyDescent="0.25">
      <c r="A172" s="36">
        <v>160</v>
      </c>
      <c r="B172" s="32" t="s">
        <v>226</v>
      </c>
      <c r="C172" s="62" t="s">
        <v>153</v>
      </c>
      <c r="D172" s="111">
        <v>718596.78670079284</v>
      </c>
      <c r="E172" s="112">
        <v>208393.06814322982</v>
      </c>
      <c r="F172" s="112">
        <v>833572.27257291973</v>
      </c>
      <c r="G172" s="112">
        <v>1041965.3407161495</v>
      </c>
      <c r="H172" s="252">
        <v>168000</v>
      </c>
      <c r="I172" s="252">
        <v>840000</v>
      </c>
      <c r="J172" s="253">
        <v>1008000</v>
      </c>
      <c r="K172" s="186">
        <f>208393.06814323-1000</f>
        <v>207393.06814322999</v>
      </c>
      <c r="L172" s="186">
        <v>833572.27257291973</v>
      </c>
      <c r="M172" s="187">
        <f t="shared" si="15"/>
        <v>1040965.3407161497</v>
      </c>
      <c r="N172" s="99">
        <f t="shared" si="16"/>
        <v>168000</v>
      </c>
      <c r="O172" s="73">
        <f t="shared" si="17"/>
        <v>833572.27257291973</v>
      </c>
      <c r="P172" s="73">
        <f t="shared" si="18"/>
        <v>1001572.2725729197</v>
      </c>
      <c r="Q172" s="301">
        <f t="shared" si="19"/>
        <v>156240</v>
      </c>
      <c r="R172" s="301">
        <f t="shared" si="20"/>
        <v>775222.21349281538</v>
      </c>
      <c r="S172" s="300">
        <f t="shared" si="21"/>
        <v>931462.21349281538</v>
      </c>
    </row>
    <row r="173" spans="1:19" ht="15" x14ac:dyDescent="0.25">
      <c r="A173" s="36">
        <v>161</v>
      </c>
      <c r="B173" s="32" t="s">
        <v>227</v>
      </c>
      <c r="C173" s="62" t="s">
        <v>153</v>
      </c>
      <c r="D173" s="111">
        <v>1137427.2</v>
      </c>
      <c r="E173" s="112">
        <v>329853.8879999998</v>
      </c>
      <c r="F173" s="112">
        <v>1319415.5520000001</v>
      </c>
      <c r="G173" s="112">
        <v>1649269.44</v>
      </c>
      <c r="H173" s="252">
        <v>288000</v>
      </c>
      <c r="I173" s="252">
        <v>1440000</v>
      </c>
      <c r="J173" s="253">
        <v>1728000</v>
      </c>
      <c r="K173" s="186">
        <f>329853.888-1000</f>
        <v>328853.88799999998</v>
      </c>
      <c r="L173" s="186">
        <v>1319415.5520000001</v>
      </c>
      <c r="M173" s="187">
        <f t="shared" si="15"/>
        <v>1648269.4400000002</v>
      </c>
      <c r="N173" s="99">
        <f t="shared" si="16"/>
        <v>288000</v>
      </c>
      <c r="O173" s="73">
        <f t="shared" si="17"/>
        <v>1319415.5520000001</v>
      </c>
      <c r="P173" s="73">
        <f t="shared" si="18"/>
        <v>1607415.5520000001</v>
      </c>
      <c r="Q173" s="301">
        <f t="shared" si="19"/>
        <v>267840</v>
      </c>
      <c r="R173" s="301">
        <f t="shared" si="20"/>
        <v>1227056.4633600002</v>
      </c>
      <c r="S173" s="300">
        <f t="shared" si="21"/>
        <v>1494896.4633600002</v>
      </c>
    </row>
    <row r="174" spans="1:19" ht="15" x14ac:dyDescent="0.25">
      <c r="A174" s="36">
        <v>162</v>
      </c>
      <c r="B174" s="46" t="s">
        <v>42</v>
      </c>
      <c r="C174" s="62" t="s">
        <v>153</v>
      </c>
      <c r="D174" s="111">
        <v>109734.22115398821</v>
      </c>
      <c r="E174" s="112">
        <v>31822.924134656583</v>
      </c>
      <c r="F174" s="112">
        <v>127291.69653862633</v>
      </c>
      <c r="G174" s="112">
        <v>159114.62067328292</v>
      </c>
      <c r="H174" s="252">
        <v>24000</v>
      </c>
      <c r="I174" s="252">
        <v>120000</v>
      </c>
      <c r="J174" s="253">
        <v>144000</v>
      </c>
      <c r="K174" s="186">
        <f>31822.9241346566-1000</f>
        <v>30822.924134656601</v>
      </c>
      <c r="L174" s="186">
        <v>127291.69653862633</v>
      </c>
      <c r="M174" s="187">
        <f t="shared" si="15"/>
        <v>158114.62067328295</v>
      </c>
      <c r="N174" s="99">
        <f t="shared" si="16"/>
        <v>24000</v>
      </c>
      <c r="O174" s="73">
        <f t="shared" si="17"/>
        <v>120000</v>
      </c>
      <c r="P174" s="73">
        <f t="shared" si="18"/>
        <v>144000</v>
      </c>
      <c r="Q174" s="301">
        <f t="shared" si="19"/>
        <v>22320</v>
      </c>
      <c r="R174" s="301">
        <f t="shared" si="20"/>
        <v>111600</v>
      </c>
      <c r="S174" s="300">
        <f t="shared" si="21"/>
        <v>133920</v>
      </c>
    </row>
    <row r="175" spans="1:19" ht="15" x14ac:dyDescent="0.25">
      <c r="A175" s="36">
        <v>163</v>
      </c>
      <c r="B175" s="46" t="s">
        <v>93</v>
      </c>
      <c r="C175" s="62" t="s">
        <v>153</v>
      </c>
      <c r="D175" s="111">
        <v>544192.15796773741</v>
      </c>
      <c r="E175" s="112">
        <v>157815.72581064375</v>
      </c>
      <c r="F175" s="112">
        <v>631262.90324257547</v>
      </c>
      <c r="G175" s="112">
        <v>789078.62905321922</v>
      </c>
      <c r="H175" s="252">
        <v>130000</v>
      </c>
      <c r="I175" s="252">
        <v>650000</v>
      </c>
      <c r="J175" s="253">
        <v>780000</v>
      </c>
      <c r="K175" s="186">
        <f>157815.725810644-1000</f>
        <v>156815.72581064401</v>
      </c>
      <c r="L175" s="186">
        <v>631262.90324257547</v>
      </c>
      <c r="M175" s="187">
        <f t="shared" si="15"/>
        <v>788078.62905321945</v>
      </c>
      <c r="N175" s="99">
        <f t="shared" si="16"/>
        <v>130000</v>
      </c>
      <c r="O175" s="73">
        <f t="shared" si="17"/>
        <v>631262.90324257547</v>
      </c>
      <c r="P175" s="73">
        <f t="shared" si="18"/>
        <v>761262.90324257547</v>
      </c>
      <c r="Q175" s="301">
        <f t="shared" si="19"/>
        <v>120900</v>
      </c>
      <c r="R175" s="301">
        <f t="shared" si="20"/>
        <v>587074.50001559523</v>
      </c>
      <c r="S175" s="300">
        <f t="shared" si="21"/>
        <v>707974.50001559523</v>
      </c>
    </row>
    <row r="176" spans="1:19" ht="15" x14ac:dyDescent="0.2">
      <c r="A176" s="36">
        <v>164</v>
      </c>
      <c r="B176" s="53" t="s">
        <v>95</v>
      </c>
      <c r="C176" s="62" t="s">
        <v>153</v>
      </c>
      <c r="D176" s="111">
        <v>884703.05597981997</v>
      </c>
      <c r="E176" s="112">
        <v>256563.88623414771</v>
      </c>
      <c r="F176" s="112">
        <v>1026255.5449365913</v>
      </c>
      <c r="G176" s="112">
        <v>1282819.431170739</v>
      </c>
      <c r="H176" s="252">
        <v>200000</v>
      </c>
      <c r="I176" s="252">
        <v>1000000</v>
      </c>
      <c r="J176" s="253">
        <v>1200000</v>
      </c>
      <c r="K176" s="186">
        <f>256563.886234148-1000</f>
        <v>255563.886234148</v>
      </c>
      <c r="L176" s="186">
        <v>1026255.5449365913</v>
      </c>
      <c r="M176" s="187">
        <f t="shared" si="15"/>
        <v>1281819.4311707392</v>
      </c>
      <c r="N176" s="99">
        <f t="shared" si="16"/>
        <v>200000</v>
      </c>
      <c r="O176" s="73">
        <f t="shared" si="17"/>
        <v>1000000</v>
      </c>
      <c r="P176" s="73">
        <f t="shared" si="18"/>
        <v>1200000</v>
      </c>
      <c r="Q176" s="301">
        <f t="shared" si="19"/>
        <v>186000</v>
      </c>
      <c r="R176" s="301">
        <f t="shared" si="20"/>
        <v>930000</v>
      </c>
      <c r="S176" s="300">
        <f t="shared" si="21"/>
        <v>1116000</v>
      </c>
    </row>
    <row r="177" spans="1:19" ht="15" x14ac:dyDescent="0.2">
      <c r="A177" s="36">
        <v>165</v>
      </c>
      <c r="B177" s="53" t="s">
        <v>228</v>
      </c>
      <c r="C177" s="62" t="s">
        <v>153</v>
      </c>
      <c r="D177" s="111">
        <v>2309.7250000000004</v>
      </c>
      <c r="E177" s="112">
        <v>692.91750000000002</v>
      </c>
      <c r="F177" s="112">
        <v>2771.6700000000005</v>
      </c>
      <c r="G177" s="112">
        <v>3464.5875000000005</v>
      </c>
      <c r="H177" s="252">
        <v>400</v>
      </c>
      <c r="I177" s="252">
        <v>2000</v>
      </c>
      <c r="J177" s="253">
        <v>2400</v>
      </c>
      <c r="K177" s="186">
        <f>692.9175-200</f>
        <v>492.91750000000002</v>
      </c>
      <c r="L177" s="186">
        <v>2771.6700000000005</v>
      </c>
      <c r="M177" s="187">
        <f t="shared" si="15"/>
        <v>3264.5875000000005</v>
      </c>
      <c r="N177" s="99">
        <f t="shared" si="16"/>
        <v>400</v>
      </c>
      <c r="O177" s="73">
        <f t="shared" si="17"/>
        <v>2000</v>
      </c>
      <c r="P177" s="73">
        <f t="shared" si="18"/>
        <v>2400</v>
      </c>
      <c r="Q177" s="301">
        <f t="shared" si="19"/>
        <v>372</v>
      </c>
      <c r="R177" s="301">
        <f t="shared" si="20"/>
        <v>1860</v>
      </c>
      <c r="S177" s="300">
        <f t="shared" si="21"/>
        <v>2232</v>
      </c>
    </row>
    <row r="178" spans="1:19" ht="15" x14ac:dyDescent="0.2">
      <c r="A178" s="36">
        <v>166</v>
      </c>
      <c r="B178" s="53" t="s">
        <v>229</v>
      </c>
      <c r="C178" s="62" t="s">
        <v>153</v>
      </c>
      <c r="D178" s="111">
        <v>92389.000000000015</v>
      </c>
      <c r="E178" s="112">
        <v>27716.699999999997</v>
      </c>
      <c r="F178" s="112">
        <v>110866.80000000003</v>
      </c>
      <c r="G178" s="112">
        <v>138583.50000000003</v>
      </c>
      <c r="H178" s="252">
        <v>20000</v>
      </c>
      <c r="I178" s="252">
        <v>100000</v>
      </c>
      <c r="J178" s="253">
        <v>120000</v>
      </c>
      <c r="K178" s="186">
        <f>27716.7-1000</f>
        <v>26716.7</v>
      </c>
      <c r="L178" s="186">
        <v>110866.80000000003</v>
      </c>
      <c r="M178" s="187">
        <f t="shared" si="15"/>
        <v>137583.50000000003</v>
      </c>
      <c r="N178" s="99">
        <f t="shared" si="16"/>
        <v>20000</v>
      </c>
      <c r="O178" s="73">
        <f t="shared" si="17"/>
        <v>100000</v>
      </c>
      <c r="P178" s="73">
        <f t="shared" si="18"/>
        <v>120000</v>
      </c>
      <c r="Q178" s="301">
        <f t="shared" si="19"/>
        <v>18600</v>
      </c>
      <c r="R178" s="301">
        <f t="shared" si="20"/>
        <v>93000</v>
      </c>
      <c r="S178" s="300">
        <f t="shared" si="21"/>
        <v>111600</v>
      </c>
    </row>
    <row r="179" spans="1:19" ht="15" x14ac:dyDescent="0.2">
      <c r="A179" s="36">
        <v>167</v>
      </c>
      <c r="B179" s="53" t="s">
        <v>241</v>
      </c>
      <c r="C179" s="62" t="s">
        <v>153</v>
      </c>
      <c r="D179" s="111">
        <v>105321.79237855</v>
      </c>
      <c r="E179" s="112">
        <v>30543.319789779489</v>
      </c>
      <c r="F179" s="112">
        <v>122173.27915911801</v>
      </c>
      <c r="G179" s="112">
        <v>152716.5989488975</v>
      </c>
      <c r="H179" s="252">
        <v>24000</v>
      </c>
      <c r="I179" s="252">
        <v>120000</v>
      </c>
      <c r="J179" s="253">
        <v>144000</v>
      </c>
      <c r="K179" s="186">
        <f>30543.3197897795-1000</f>
        <v>29543.3197897795</v>
      </c>
      <c r="L179" s="186">
        <v>122173.27915911801</v>
      </c>
      <c r="M179" s="187">
        <f t="shared" si="15"/>
        <v>151716.5989488975</v>
      </c>
      <c r="N179" s="99">
        <f t="shared" si="16"/>
        <v>24000</v>
      </c>
      <c r="O179" s="73">
        <f t="shared" si="17"/>
        <v>120000</v>
      </c>
      <c r="P179" s="73">
        <f t="shared" si="18"/>
        <v>144000</v>
      </c>
      <c r="Q179" s="301">
        <f t="shared" si="19"/>
        <v>22320</v>
      </c>
      <c r="R179" s="301">
        <f t="shared" si="20"/>
        <v>111600</v>
      </c>
      <c r="S179" s="300">
        <f t="shared" si="21"/>
        <v>133920</v>
      </c>
    </row>
    <row r="180" spans="1:19" ht="15" x14ac:dyDescent="0.2">
      <c r="A180" s="36">
        <v>168</v>
      </c>
      <c r="B180" s="47" t="s">
        <v>85</v>
      </c>
      <c r="C180" s="62" t="s">
        <v>153</v>
      </c>
      <c r="D180" s="111">
        <v>89262.990666936355</v>
      </c>
      <c r="E180" s="112">
        <v>26778.897200080901</v>
      </c>
      <c r="F180" s="112">
        <v>107115.58880032362</v>
      </c>
      <c r="G180" s="112">
        <v>133894.48600040452</v>
      </c>
      <c r="H180" s="252">
        <v>21200</v>
      </c>
      <c r="I180" s="252">
        <v>106000</v>
      </c>
      <c r="J180" s="253">
        <v>127200</v>
      </c>
      <c r="K180" s="186">
        <f>26778.8972000809-1000</f>
        <v>25778.897200080901</v>
      </c>
      <c r="L180" s="186">
        <v>107115.58880032362</v>
      </c>
      <c r="M180" s="187">
        <f t="shared" si="15"/>
        <v>132894.48600040452</v>
      </c>
      <c r="N180" s="99">
        <f t="shared" si="16"/>
        <v>21200</v>
      </c>
      <c r="O180" s="73">
        <f t="shared" si="17"/>
        <v>106000</v>
      </c>
      <c r="P180" s="73">
        <f t="shared" si="18"/>
        <v>127200</v>
      </c>
      <c r="Q180" s="301">
        <f t="shared" si="19"/>
        <v>19716</v>
      </c>
      <c r="R180" s="301">
        <f t="shared" si="20"/>
        <v>98580</v>
      </c>
      <c r="S180" s="300">
        <f t="shared" si="21"/>
        <v>118296</v>
      </c>
    </row>
    <row r="181" spans="1:19" ht="15" x14ac:dyDescent="0.2">
      <c r="A181" s="36">
        <v>169</v>
      </c>
      <c r="B181" s="47" t="s">
        <v>232</v>
      </c>
      <c r="C181" s="62" t="s">
        <v>153</v>
      </c>
      <c r="D181" s="111">
        <v>508870.55475531006</v>
      </c>
      <c r="E181" s="112">
        <v>147572.46087903983</v>
      </c>
      <c r="F181" s="112">
        <v>590289.84351615969</v>
      </c>
      <c r="G181" s="112">
        <v>737862.30439519952</v>
      </c>
      <c r="H181" s="252">
        <v>120000</v>
      </c>
      <c r="I181" s="252">
        <v>600000</v>
      </c>
      <c r="J181" s="253">
        <v>720000</v>
      </c>
      <c r="K181" s="186">
        <f>147572.46087904-1000</f>
        <v>146572.46087904001</v>
      </c>
      <c r="L181" s="186">
        <v>590289.84351615969</v>
      </c>
      <c r="M181" s="187">
        <f t="shared" si="15"/>
        <v>736862.30439519975</v>
      </c>
      <c r="N181" s="99">
        <f t="shared" si="16"/>
        <v>120000</v>
      </c>
      <c r="O181" s="73">
        <f t="shared" si="17"/>
        <v>590289.84351615969</v>
      </c>
      <c r="P181" s="73">
        <f t="shared" si="18"/>
        <v>710289.84351615969</v>
      </c>
      <c r="Q181" s="301">
        <f t="shared" si="19"/>
        <v>111600</v>
      </c>
      <c r="R181" s="301">
        <f t="shared" si="20"/>
        <v>548969.5544700285</v>
      </c>
      <c r="S181" s="300">
        <f t="shared" si="21"/>
        <v>660569.5544700285</v>
      </c>
    </row>
    <row r="182" spans="1:19" ht="15" x14ac:dyDescent="0.2">
      <c r="A182" s="36">
        <v>170</v>
      </c>
      <c r="B182" s="47" t="s">
        <v>67</v>
      </c>
      <c r="C182" s="62" t="s">
        <v>153</v>
      </c>
      <c r="D182" s="111">
        <v>815945.36900171917</v>
      </c>
      <c r="E182" s="112">
        <v>236624.15701049846</v>
      </c>
      <c r="F182" s="112">
        <v>946496.62804199429</v>
      </c>
      <c r="G182" s="112">
        <v>1183120.7850524927</v>
      </c>
      <c r="H182" s="252">
        <v>170000</v>
      </c>
      <c r="I182" s="252">
        <v>850000</v>
      </c>
      <c r="J182" s="253">
        <v>1020000</v>
      </c>
      <c r="K182" s="186">
        <f>236624.157010498-1000</f>
        <v>235624.15701049799</v>
      </c>
      <c r="L182" s="186">
        <v>946496.62804199429</v>
      </c>
      <c r="M182" s="187">
        <f t="shared" si="15"/>
        <v>1182120.7850524923</v>
      </c>
      <c r="N182" s="99">
        <f t="shared" si="16"/>
        <v>170000</v>
      </c>
      <c r="O182" s="73">
        <f t="shared" si="17"/>
        <v>850000</v>
      </c>
      <c r="P182" s="73">
        <f t="shared" si="18"/>
        <v>1020000</v>
      </c>
      <c r="Q182" s="301">
        <f t="shared" si="19"/>
        <v>158100</v>
      </c>
      <c r="R182" s="301">
        <f t="shared" si="20"/>
        <v>790500</v>
      </c>
      <c r="S182" s="300">
        <f t="shared" si="21"/>
        <v>948600</v>
      </c>
    </row>
    <row r="183" spans="1:19" ht="15" x14ac:dyDescent="0.25">
      <c r="A183" s="36">
        <v>171</v>
      </c>
      <c r="B183" s="38" t="s">
        <v>237</v>
      </c>
      <c r="C183" s="62" t="s">
        <v>153</v>
      </c>
      <c r="D183" s="111">
        <v>646547.74720856978</v>
      </c>
      <c r="E183" s="112">
        <v>187498.84669048514</v>
      </c>
      <c r="F183" s="112">
        <v>749995.38676194102</v>
      </c>
      <c r="G183" s="112">
        <v>937494.23345242615</v>
      </c>
      <c r="H183" s="252">
        <v>152000</v>
      </c>
      <c r="I183" s="252">
        <v>760000</v>
      </c>
      <c r="J183" s="253">
        <v>912000</v>
      </c>
      <c r="K183" s="186">
        <f>187498.846690485-1000</f>
        <v>186498.84669048499</v>
      </c>
      <c r="L183" s="186">
        <v>749995.38676194102</v>
      </c>
      <c r="M183" s="187">
        <f t="shared" si="15"/>
        <v>936494.23345242604</v>
      </c>
      <c r="N183" s="99">
        <f t="shared" si="16"/>
        <v>152000</v>
      </c>
      <c r="O183" s="73">
        <f t="shared" si="17"/>
        <v>749995.38676194102</v>
      </c>
      <c r="P183" s="73">
        <f t="shared" si="18"/>
        <v>901995.38676194102</v>
      </c>
      <c r="Q183" s="301">
        <f t="shared" si="19"/>
        <v>141360</v>
      </c>
      <c r="R183" s="301">
        <f t="shared" si="20"/>
        <v>697495.70968860516</v>
      </c>
      <c r="S183" s="300">
        <f t="shared" si="21"/>
        <v>838855.70968860516</v>
      </c>
    </row>
    <row r="184" spans="1:19" ht="15" x14ac:dyDescent="0.25">
      <c r="A184" s="36">
        <v>172</v>
      </c>
      <c r="B184" s="38" t="s">
        <v>238</v>
      </c>
      <c r="C184" s="62" t="s">
        <v>153</v>
      </c>
      <c r="D184" s="111">
        <v>470918.27259347081</v>
      </c>
      <c r="E184" s="112">
        <v>136566.29905210657</v>
      </c>
      <c r="F184" s="112">
        <v>546265.19620842615</v>
      </c>
      <c r="G184" s="112">
        <v>682831.49526053271</v>
      </c>
      <c r="H184" s="252">
        <v>108000</v>
      </c>
      <c r="I184" s="252">
        <v>540000</v>
      </c>
      <c r="J184" s="253">
        <v>648000</v>
      </c>
      <c r="K184" s="186">
        <f>136566.299052107-1000</f>
        <v>135566.299052107</v>
      </c>
      <c r="L184" s="186">
        <v>546265.19620842615</v>
      </c>
      <c r="M184" s="187">
        <f t="shared" si="15"/>
        <v>681831.49526053318</v>
      </c>
      <c r="N184" s="99">
        <f t="shared" si="16"/>
        <v>108000</v>
      </c>
      <c r="O184" s="73">
        <f t="shared" si="17"/>
        <v>540000</v>
      </c>
      <c r="P184" s="73">
        <f t="shared" si="18"/>
        <v>648000</v>
      </c>
      <c r="Q184" s="301">
        <f t="shared" si="19"/>
        <v>100440</v>
      </c>
      <c r="R184" s="301">
        <f t="shared" si="20"/>
        <v>502200</v>
      </c>
      <c r="S184" s="300">
        <f t="shared" si="21"/>
        <v>602640</v>
      </c>
    </row>
    <row r="185" spans="1:19" ht="15" x14ac:dyDescent="0.25">
      <c r="A185" s="36">
        <v>173</v>
      </c>
      <c r="B185" s="38" t="s">
        <v>233</v>
      </c>
      <c r="C185" s="62" t="s">
        <v>153</v>
      </c>
      <c r="D185" s="111">
        <v>623633.61433276255</v>
      </c>
      <c r="E185" s="112">
        <v>180853.7481565011</v>
      </c>
      <c r="F185" s="112">
        <v>723414.99262600462</v>
      </c>
      <c r="G185" s="112">
        <v>904268.74078250572</v>
      </c>
      <c r="H185" s="252">
        <v>146000</v>
      </c>
      <c r="I185" s="252">
        <v>730000</v>
      </c>
      <c r="J185" s="253">
        <v>876000</v>
      </c>
      <c r="K185" s="186">
        <f>180853.748156501-1000</f>
        <v>179853.74815650101</v>
      </c>
      <c r="L185" s="186">
        <v>723414.99262600462</v>
      </c>
      <c r="M185" s="187">
        <f t="shared" si="15"/>
        <v>903268.7407825056</v>
      </c>
      <c r="N185" s="99">
        <f t="shared" si="16"/>
        <v>146000</v>
      </c>
      <c r="O185" s="73">
        <f t="shared" si="17"/>
        <v>723414.99262600462</v>
      </c>
      <c r="P185" s="73">
        <f t="shared" si="18"/>
        <v>869414.99262600462</v>
      </c>
      <c r="Q185" s="301">
        <f t="shared" si="19"/>
        <v>135780</v>
      </c>
      <c r="R185" s="301">
        <f t="shared" si="20"/>
        <v>672775.94314218429</v>
      </c>
      <c r="S185" s="300">
        <f t="shared" si="21"/>
        <v>808555.94314218429</v>
      </c>
    </row>
    <row r="186" spans="1:19" ht="15" x14ac:dyDescent="0.25">
      <c r="A186" s="36">
        <v>174</v>
      </c>
      <c r="B186" s="38" t="s">
        <v>234</v>
      </c>
      <c r="C186" s="62" t="s">
        <v>153</v>
      </c>
      <c r="D186" s="111">
        <v>615244.4564071995</v>
      </c>
      <c r="E186" s="112">
        <v>178420.89235808782</v>
      </c>
      <c r="F186" s="112">
        <v>713683.56943235139</v>
      </c>
      <c r="G186" s="112">
        <v>892104.46179043921</v>
      </c>
      <c r="H186" s="252">
        <v>144000</v>
      </c>
      <c r="I186" s="252">
        <v>720000</v>
      </c>
      <c r="J186" s="253">
        <v>864000</v>
      </c>
      <c r="K186" s="186">
        <f>178420.892358088-1000</f>
        <v>177420.89235808799</v>
      </c>
      <c r="L186" s="186">
        <v>713683.56943235139</v>
      </c>
      <c r="M186" s="187">
        <f t="shared" si="15"/>
        <v>891104.46179043944</v>
      </c>
      <c r="N186" s="99">
        <f t="shared" si="16"/>
        <v>144000</v>
      </c>
      <c r="O186" s="73">
        <f t="shared" si="17"/>
        <v>713683.56943235139</v>
      </c>
      <c r="P186" s="73">
        <f t="shared" si="18"/>
        <v>857683.56943235139</v>
      </c>
      <c r="Q186" s="301">
        <f t="shared" si="19"/>
        <v>133920</v>
      </c>
      <c r="R186" s="301">
        <f t="shared" si="20"/>
        <v>663725.71957208682</v>
      </c>
      <c r="S186" s="300">
        <f t="shared" si="21"/>
        <v>797645.71957208682</v>
      </c>
    </row>
    <row r="187" spans="1:19" ht="15" x14ac:dyDescent="0.25">
      <c r="A187" s="36">
        <v>175</v>
      </c>
      <c r="B187" s="38" t="s">
        <v>235</v>
      </c>
      <c r="C187" s="62" t="s">
        <v>153</v>
      </c>
      <c r="D187" s="111">
        <v>900840.90820439451</v>
      </c>
      <c r="E187" s="112">
        <v>261243.86337927438</v>
      </c>
      <c r="F187" s="112">
        <v>1044975.4535170976</v>
      </c>
      <c r="G187" s="112">
        <v>1306219.316896372</v>
      </c>
      <c r="H187" s="252">
        <v>212000</v>
      </c>
      <c r="I187" s="252">
        <v>1060000</v>
      </c>
      <c r="J187" s="253">
        <v>1272000</v>
      </c>
      <c r="K187" s="186">
        <f>261243.863379274-1000</f>
        <v>260243.863379274</v>
      </c>
      <c r="L187" s="186">
        <v>1044975.4535170976</v>
      </c>
      <c r="M187" s="187">
        <f t="shared" si="15"/>
        <v>1305219.3168963715</v>
      </c>
      <c r="N187" s="99">
        <f t="shared" si="16"/>
        <v>212000</v>
      </c>
      <c r="O187" s="73">
        <f t="shared" si="17"/>
        <v>1044975.4535170976</v>
      </c>
      <c r="P187" s="73">
        <f t="shared" si="18"/>
        <v>1256975.4535170975</v>
      </c>
      <c r="Q187" s="301">
        <f t="shared" si="19"/>
        <v>197160</v>
      </c>
      <c r="R187" s="301">
        <f t="shared" si="20"/>
        <v>971827.17177090084</v>
      </c>
      <c r="S187" s="300">
        <f t="shared" si="21"/>
        <v>1168987.171770901</v>
      </c>
    </row>
    <row r="188" spans="1:19" ht="15" x14ac:dyDescent="0.2">
      <c r="A188" s="36">
        <v>176</v>
      </c>
      <c r="B188" s="47" t="s">
        <v>84</v>
      </c>
      <c r="C188" s="62" t="s">
        <v>153</v>
      </c>
      <c r="D188" s="111">
        <v>879816.71819210623</v>
      </c>
      <c r="E188" s="112">
        <v>255146.84827571071</v>
      </c>
      <c r="F188" s="112">
        <v>1020587.3931028432</v>
      </c>
      <c r="G188" s="112">
        <v>1275734.2413785539</v>
      </c>
      <c r="H188" s="252">
        <v>212000</v>
      </c>
      <c r="I188" s="252">
        <v>1060000</v>
      </c>
      <c r="J188" s="253">
        <v>1272000</v>
      </c>
      <c r="K188" s="186">
        <f>255146.848275711-1000</f>
        <v>254146.848275711</v>
      </c>
      <c r="L188" s="186">
        <v>1020587.3931028432</v>
      </c>
      <c r="M188" s="187">
        <f t="shared" si="15"/>
        <v>1274734.2413785541</v>
      </c>
      <c r="N188" s="99">
        <f t="shared" si="16"/>
        <v>212000</v>
      </c>
      <c r="O188" s="73">
        <f t="shared" si="17"/>
        <v>1020587.3931028432</v>
      </c>
      <c r="P188" s="73">
        <f t="shared" si="18"/>
        <v>1232587.3931028433</v>
      </c>
      <c r="Q188" s="301">
        <f t="shared" si="19"/>
        <v>197160</v>
      </c>
      <c r="R188" s="301">
        <f t="shared" si="20"/>
        <v>949146.27558564418</v>
      </c>
      <c r="S188" s="300">
        <f t="shared" si="21"/>
        <v>1146306.2755856442</v>
      </c>
    </row>
    <row r="189" spans="1:19" ht="15" x14ac:dyDescent="0.2">
      <c r="A189" s="36">
        <v>177</v>
      </c>
      <c r="B189" s="47" t="s">
        <v>236</v>
      </c>
      <c r="C189" s="62" t="s">
        <v>153</v>
      </c>
      <c r="D189" s="111">
        <v>271619.35929205001</v>
      </c>
      <c r="E189" s="112">
        <v>78769.614194694499</v>
      </c>
      <c r="F189" s="112">
        <v>315078.456778778</v>
      </c>
      <c r="G189" s="112">
        <v>393848.0709734725</v>
      </c>
      <c r="H189" s="252">
        <v>64000</v>
      </c>
      <c r="I189" s="252">
        <v>320000</v>
      </c>
      <c r="J189" s="253">
        <v>384000</v>
      </c>
      <c r="K189" s="186">
        <f>78769.6141946945-1000</f>
        <v>77769.614194694499</v>
      </c>
      <c r="L189" s="186">
        <v>315078.456778778</v>
      </c>
      <c r="M189" s="187">
        <f t="shared" si="15"/>
        <v>392848.0709734725</v>
      </c>
      <c r="N189" s="99">
        <f t="shared" si="16"/>
        <v>64000</v>
      </c>
      <c r="O189" s="73">
        <f t="shared" si="17"/>
        <v>315078.456778778</v>
      </c>
      <c r="P189" s="73">
        <f t="shared" si="18"/>
        <v>379078.456778778</v>
      </c>
      <c r="Q189" s="301">
        <f t="shared" si="19"/>
        <v>59520</v>
      </c>
      <c r="R189" s="301">
        <f t="shared" si="20"/>
        <v>293022.96480426355</v>
      </c>
      <c r="S189" s="300">
        <f t="shared" si="21"/>
        <v>352542.96480426355</v>
      </c>
    </row>
    <row r="190" spans="1:19" ht="15" x14ac:dyDescent="0.2">
      <c r="A190" s="36">
        <v>178</v>
      </c>
      <c r="B190" s="53" t="s">
        <v>239</v>
      </c>
      <c r="C190" s="62" t="s">
        <v>153</v>
      </c>
      <c r="D190" s="111">
        <v>293792.36821385002</v>
      </c>
      <c r="E190" s="112">
        <v>85199.786782016454</v>
      </c>
      <c r="F190" s="112">
        <v>340799.14712806605</v>
      </c>
      <c r="G190" s="112">
        <v>425998.9339100825</v>
      </c>
      <c r="H190" s="252">
        <v>68000</v>
      </c>
      <c r="I190" s="252">
        <v>340000</v>
      </c>
      <c r="J190" s="253">
        <v>408000</v>
      </c>
      <c r="K190" s="186">
        <f>85199.7867820165-1000</f>
        <v>84199.786782016497</v>
      </c>
      <c r="L190" s="186">
        <v>340799.14712806605</v>
      </c>
      <c r="M190" s="187">
        <f t="shared" si="15"/>
        <v>424998.93391008256</v>
      </c>
      <c r="N190" s="99">
        <f t="shared" si="16"/>
        <v>68000</v>
      </c>
      <c r="O190" s="73">
        <f t="shared" si="17"/>
        <v>340000</v>
      </c>
      <c r="P190" s="73">
        <f t="shared" si="18"/>
        <v>408000</v>
      </c>
      <c r="Q190" s="301">
        <f t="shared" si="19"/>
        <v>63240</v>
      </c>
      <c r="R190" s="301">
        <f t="shared" si="20"/>
        <v>316200</v>
      </c>
      <c r="S190" s="300">
        <f t="shared" si="21"/>
        <v>379440</v>
      </c>
    </row>
    <row r="191" spans="1:19" ht="15" x14ac:dyDescent="0.2">
      <c r="A191" s="36">
        <v>179</v>
      </c>
      <c r="B191" s="53" t="s">
        <v>240</v>
      </c>
      <c r="C191" s="62" t="s">
        <v>153</v>
      </c>
      <c r="D191" s="111">
        <v>194013.82806574999</v>
      </c>
      <c r="E191" s="112">
        <v>56264.010139067483</v>
      </c>
      <c r="F191" s="112">
        <v>225056.04055626999</v>
      </c>
      <c r="G191" s="112">
        <v>281320.05069533747</v>
      </c>
      <c r="H191" s="252">
        <v>45600</v>
      </c>
      <c r="I191" s="252">
        <v>228000</v>
      </c>
      <c r="J191" s="253">
        <v>273600</v>
      </c>
      <c r="K191" s="186">
        <f>56264.0101390675-1000</f>
        <v>55264.010139067497</v>
      </c>
      <c r="L191" s="186">
        <v>225056.04055626999</v>
      </c>
      <c r="M191" s="187">
        <f t="shared" si="15"/>
        <v>280320.05069533747</v>
      </c>
      <c r="N191" s="99">
        <f t="shared" si="16"/>
        <v>45600</v>
      </c>
      <c r="O191" s="73">
        <f t="shared" si="17"/>
        <v>225056.04055626999</v>
      </c>
      <c r="P191" s="73">
        <f t="shared" si="18"/>
        <v>270656.04055626999</v>
      </c>
      <c r="Q191" s="301">
        <f t="shared" si="19"/>
        <v>42408</v>
      </c>
      <c r="R191" s="301">
        <f t="shared" si="20"/>
        <v>209302.1177173311</v>
      </c>
      <c r="S191" s="300">
        <f t="shared" si="21"/>
        <v>251710.1177173311</v>
      </c>
    </row>
    <row r="192" spans="1:19" ht="15" x14ac:dyDescent="0.2">
      <c r="A192" s="36">
        <v>180</v>
      </c>
      <c r="B192" s="53" t="s">
        <v>269</v>
      </c>
      <c r="C192" s="62" t="s">
        <v>153</v>
      </c>
      <c r="D192" s="111">
        <v>121740.255</v>
      </c>
      <c r="E192" s="112">
        <v>35304.673949999997</v>
      </c>
      <c r="F192" s="112">
        <v>141218.69580000002</v>
      </c>
      <c r="G192" s="112">
        <v>176523.36975000001</v>
      </c>
      <c r="H192" s="252">
        <v>31000</v>
      </c>
      <c r="I192" s="252">
        <v>155000</v>
      </c>
      <c r="J192" s="253">
        <v>186000</v>
      </c>
      <c r="K192" s="186">
        <f>35304.67395-1000</f>
        <v>34304.673949999997</v>
      </c>
      <c r="L192" s="186">
        <v>141218.69580000002</v>
      </c>
      <c r="M192" s="187">
        <f t="shared" si="15"/>
        <v>175523.36975000001</v>
      </c>
      <c r="N192" s="99">
        <f t="shared" si="16"/>
        <v>31000</v>
      </c>
      <c r="O192" s="73">
        <f t="shared" si="17"/>
        <v>141218.69580000002</v>
      </c>
      <c r="P192" s="73">
        <f t="shared" si="18"/>
        <v>172218.69580000002</v>
      </c>
      <c r="Q192" s="301">
        <f t="shared" si="19"/>
        <v>28830</v>
      </c>
      <c r="R192" s="301">
        <f t="shared" si="20"/>
        <v>131333.38709400001</v>
      </c>
      <c r="S192" s="300">
        <f t="shared" si="21"/>
        <v>160163.38709400001</v>
      </c>
    </row>
    <row r="193" spans="1:19" ht="15" x14ac:dyDescent="0.2">
      <c r="A193" s="36">
        <v>181</v>
      </c>
      <c r="B193" s="53" t="s">
        <v>272</v>
      </c>
      <c r="C193" s="62" t="s">
        <v>153</v>
      </c>
      <c r="D193" s="111">
        <v>680000</v>
      </c>
      <c r="E193" s="112">
        <v>197200</v>
      </c>
      <c r="F193" s="112">
        <v>788800</v>
      </c>
      <c r="G193" s="112">
        <v>986000</v>
      </c>
      <c r="H193" s="252">
        <v>160000</v>
      </c>
      <c r="I193" s="252">
        <v>800000</v>
      </c>
      <c r="J193" s="253">
        <v>960000</v>
      </c>
      <c r="K193" s="186">
        <f>197200-1000</f>
        <v>196200</v>
      </c>
      <c r="L193" s="186">
        <v>788800</v>
      </c>
      <c r="M193" s="187">
        <f t="shared" si="15"/>
        <v>985000</v>
      </c>
      <c r="N193" s="99">
        <f t="shared" si="16"/>
        <v>160000</v>
      </c>
      <c r="O193" s="73">
        <f t="shared" si="17"/>
        <v>788800</v>
      </c>
      <c r="P193" s="73">
        <f t="shared" si="18"/>
        <v>948800</v>
      </c>
      <c r="Q193" s="301">
        <f t="shared" si="19"/>
        <v>148800</v>
      </c>
      <c r="R193" s="301">
        <f t="shared" si="20"/>
        <v>733584</v>
      </c>
      <c r="S193" s="300">
        <f t="shared" si="21"/>
        <v>882384</v>
      </c>
    </row>
    <row r="194" spans="1:19" ht="15" x14ac:dyDescent="0.2">
      <c r="A194" s="36">
        <v>182</v>
      </c>
      <c r="B194" s="53" t="s">
        <v>273</v>
      </c>
      <c r="C194" s="62" t="s">
        <v>153</v>
      </c>
      <c r="D194" s="111">
        <v>602125.52400000009</v>
      </c>
      <c r="E194" s="112">
        <v>174616.40195999993</v>
      </c>
      <c r="F194" s="112">
        <v>698465.60784000019</v>
      </c>
      <c r="G194" s="112">
        <v>873082.00980000012</v>
      </c>
      <c r="H194" s="252">
        <v>152000</v>
      </c>
      <c r="I194" s="252">
        <v>760000</v>
      </c>
      <c r="J194" s="253">
        <v>912000</v>
      </c>
      <c r="K194" s="186">
        <v>174616.40195999993</v>
      </c>
      <c r="L194" s="186">
        <v>698465.60784000019</v>
      </c>
      <c r="M194" s="187">
        <f t="shared" si="15"/>
        <v>873082.00980000012</v>
      </c>
      <c r="N194" s="99">
        <f t="shared" si="16"/>
        <v>152000</v>
      </c>
      <c r="O194" s="73">
        <f t="shared" si="17"/>
        <v>698465.60784000019</v>
      </c>
      <c r="P194" s="73">
        <f t="shared" si="18"/>
        <v>850465.60784000019</v>
      </c>
      <c r="Q194" s="301">
        <f t="shared" si="19"/>
        <v>141360</v>
      </c>
      <c r="R194" s="301">
        <f t="shared" si="20"/>
        <v>649573.01529120014</v>
      </c>
      <c r="S194" s="300">
        <f t="shared" si="21"/>
        <v>790933.01529120014</v>
      </c>
    </row>
    <row r="195" spans="1:19" ht="15" x14ac:dyDescent="0.2">
      <c r="A195" s="36">
        <v>183</v>
      </c>
      <c r="B195" s="53" t="s">
        <v>94</v>
      </c>
      <c r="C195" s="62" t="s">
        <v>153</v>
      </c>
      <c r="D195" s="111">
        <v>330377.83293481998</v>
      </c>
      <c r="E195" s="112">
        <v>95809.57155109779</v>
      </c>
      <c r="F195" s="112">
        <v>383238.28620439116</v>
      </c>
      <c r="G195" s="112">
        <v>479047.85775548895</v>
      </c>
      <c r="H195" s="252">
        <v>78000</v>
      </c>
      <c r="I195" s="252">
        <v>390000</v>
      </c>
      <c r="J195" s="253">
        <v>468000</v>
      </c>
      <c r="K195" s="186">
        <f>95809.5715510978-1000</f>
        <v>94809.571551097804</v>
      </c>
      <c r="L195" s="186">
        <v>383238.28620439116</v>
      </c>
      <c r="M195" s="187">
        <f t="shared" si="15"/>
        <v>478047.85775548895</v>
      </c>
      <c r="N195" s="99">
        <f t="shared" si="16"/>
        <v>78000</v>
      </c>
      <c r="O195" s="73">
        <f t="shared" si="17"/>
        <v>383238.28620439116</v>
      </c>
      <c r="P195" s="73">
        <f t="shared" si="18"/>
        <v>461238.28620439116</v>
      </c>
      <c r="Q195" s="301">
        <f t="shared" si="19"/>
        <v>72540</v>
      </c>
      <c r="R195" s="301">
        <f t="shared" si="20"/>
        <v>356411.60617008375</v>
      </c>
      <c r="S195" s="300">
        <f t="shared" si="21"/>
        <v>428951.60617008375</v>
      </c>
    </row>
    <row r="196" spans="1:19" ht="15" x14ac:dyDescent="0.2">
      <c r="A196" s="36">
        <v>184</v>
      </c>
      <c r="B196" s="53" t="s">
        <v>250</v>
      </c>
      <c r="C196" s="62" t="s">
        <v>153</v>
      </c>
      <c r="D196" s="111">
        <v>151656.95999999999</v>
      </c>
      <c r="E196" s="112">
        <v>43980.518399999972</v>
      </c>
      <c r="F196" s="112">
        <v>175922.0736</v>
      </c>
      <c r="G196" s="112">
        <v>219902.59199999998</v>
      </c>
      <c r="H196" s="252">
        <v>38000</v>
      </c>
      <c r="I196" s="252">
        <v>190000</v>
      </c>
      <c r="J196" s="253">
        <v>228000</v>
      </c>
      <c r="K196" s="186">
        <f>43980.5184-1000</f>
        <v>42980.518400000001</v>
      </c>
      <c r="L196" s="186">
        <v>175922.0736</v>
      </c>
      <c r="M196" s="187">
        <f t="shared" si="15"/>
        <v>218902.592</v>
      </c>
      <c r="N196" s="99">
        <f t="shared" si="16"/>
        <v>38000</v>
      </c>
      <c r="O196" s="73">
        <f t="shared" si="17"/>
        <v>175922.0736</v>
      </c>
      <c r="P196" s="73">
        <f t="shared" si="18"/>
        <v>213922.0736</v>
      </c>
      <c r="Q196" s="301">
        <f t="shared" si="19"/>
        <v>35340</v>
      </c>
      <c r="R196" s="301">
        <f t="shared" si="20"/>
        <v>163607.528448</v>
      </c>
      <c r="S196" s="300">
        <f t="shared" si="21"/>
        <v>198947.528448</v>
      </c>
    </row>
    <row r="197" spans="1:19" ht="15" x14ac:dyDescent="0.2">
      <c r="A197" s="36">
        <v>185</v>
      </c>
      <c r="B197" s="47" t="s">
        <v>120</v>
      </c>
      <c r="C197" s="62" t="s">
        <v>153</v>
      </c>
      <c r="D197" s="111">
        <v>5455888.2881925907</v>
      </c>
      <c r="E197" s="112">
        <v>1649860.6183494395</v>
      </c>
      <c r="F197" s="112">
        <v>6599442.4733977579</v>
      </c>
      <c r="G197" s="112">
        <v>8249303.0917471973</v>
      </c>
      <c r="H197" s="252">
        <v>1194000</v>
      </c>
      <c r="I197" s="252">
        <v>5970000</v>
      </c>
      <c r="J197" s="253">
        <v>7164000</v>
      </c>
      <c r="K197" s="186">
        <v>1649860.6183494395</v>
      </c>
      <c r="L197" s="186">
        <v>6599442.4733977579</v>
      </c>
      <c r="M197" s="187">
        <f t="shared" si="15"/>
        <v>8249303.0917471973</v>
      </c>
      <c r="N197" s="99">
        <f t="shared" si="16"/>
        <v>1194000</v>
      </c>
      <c r="O197" s="73">
        <f t="shared" si="17"/>
        <v>5970000</v>
      </c>
      <c r="P197" s="73">
        <f t="shared" si="18"/>
        <v>7164000</v>
      </c>
      <c r="Q197" s="301">
        <f t="shared" si="19"/>
        <v>1110420</v>
      </c>
      <c r="R197" s="301">
        <f t="shared" si="20"/>
        <v>5552100</v>
      </c>
      <c r="S197" s="300">
        <f t="shared" si="21"/>
        <v>6662520</v>
      </c>
    </row>
    <row r="198" spans="1:19" ht="15" x14ac:dyDescent="0.2">
      <c r="A198" s="36">
        <v>186</v>
      </c>
      <c r="B198" s="47" t="s">
        <v>242</v>
      </c>
      <c r="C198" s="62" t="s">
        <v>153</v>
      </c>
      <c r="D198" s="111">
        <v>115462.61800893523</v>
      </c>
      <c r="E198" s="112">
        <v>33484.159222591203</v>
      </c>
      <c r="F198" s="112">
        <v>133936.63689036487</v>
      </c>
      <c r="G198" s="112">
        <v>167420.79611295607</v>
      </c>
      <c r="H198" s="252">
        <v>27200</v>
      </c>
      <c r="I198" s="252">
        <v>136000</v>
      </c>
      <c r="J198" s="253">
        <v>163200</v>
      </c>
      <c r="K198" s="186">
        <f>33484.1592225912-1000</f>
        <v>32484.159222591203</v>
      </c>
      <c r="L198" s="186">
        <v>133936.63689036487</v>
      </c>
      <c r="M198" s="187">
        <f t="shared" ref="M198:M256" si="22">K198+L198</f>
        <v>166420.79611295607</v>
      </c>
      <c r="N198" s="99">
        <f t="shared" ref="N198:N260" si="23">MIN(E198,H198,K198)</f>
        <v>27200</v>
      </c>
      <c r="O198" s="73">
        <f t="shared" ref="O198:O260" si="24">MIN(F198,I198,L198)</f>
        <v>133936.63689036487</v>
      </c>
      <c r="P198" s="73">
        <f t="shared" ref="P198:P260" si="25">O198+N198</f>
        <v>161136.63689036487</v>
      </c>
      <c r="Q198" s="301">
        <f t="shared" ref="Q198:Q261" si="26">N198-(N198*7%)</f>
        <v>25296</v>
      </c>
      <c r="R198" s="301">
        <f t="shared" ref="R198:R261" si="27">O198-(O198*7%)</f>
        <v>124561.07230803932</v>
      </c>
      <c r="S198" s="300">
        <f t="shared" ref="S198:S261" si="28">R198+Q198</f>
        <v>149857.07230803932</v>
      </c>
    </row>
    <row r="199" spans="1:19" ht="15" x14ac:dyDescent="0.25">
      <c r="A199" s="36">
        <v>187</v>
      </c>
      <c r="B199" s="50" t="s">
        <v>230</v>
      </c>
      <c r="C199" s="62" t="s">
        <v>153</v>
      </c>
      <c r="D199" s="111">
        <v>628245.20000000007</v>
      </c>
      <c r="E199" s="112">
        <v>182191.10800000001</v>
      </c>
      <c r="F199" s="112">
        <v>728764.43200000003</v>
      </c>
      <c r="G199" s="112">
        <v>910955.54</v>
      </c>
      <c r="H199" s="252">
        <v>126800</v>
      </c>
      <c r="I199" s="252">
        <v>634000</v>
      </c>
      <c r="J199" s="253">
        <v>760800</v>
      </c>
      <c r="K199" s="186">
        <f>182191.108-1000</f>
        <v>181191.10800000001</v>
      </c>
      <c r="L199" s="186">
        <v>728764.43200000003</v>
      </c>
      <c r="M199" s="187">
        <f t="shared" si="22"/>
        <v>909955.54</v>
      </c>
      <c r="N199" s="99">
        <f t="shared" si="23"/>
        <v>126800</v>
      </c>
      <c r="O199" s="73">
        <f t="shared" si="24"/>
        <v>634000</v>
      </c>
      <c r="P199" s="73">
        <f t="shared" si="25"/>
        <v>760800</v>
      </c>
      <c r="Q199" s="301">
        <f t="shared" si="26"/>
        <v>117924</v>
      </c>
      <c r="R199" s="301">
        <f t="shared" si="27"/>
        <v>589620</v>
      </c>
      <c r="S199" s="300">
        <f t="shared" si="28"/>
        <v>707544</v>
      </c>
    </row>
    <row r="200" spans="1:19" ht="15" x14ac:dyDescent="0.25">
      <c r="A200" s="36">
        <v>188</v>
      </c>
      <c r="B200" s="50" t="s">
        <v>231</v>
      </c>
      <c r="C200" s="62" t="s">
        <v>153</v>
      </c>
      <c r="D200" s="111">
        <v>18477.800000000003</v>
      </c>
      <c r="E200" s="112">
        <v>5543.34</v>
      </c>
      <c r="F200" s="112">
        <v>22173.360000000004</v>
      </c>
      <c r="G200" s="112">
        <v>27716.700000000004</v>
      </c>
      <c r="H200" s="252">
        <v>4000</v>
      </c>
      <c r="I200" s="252">
        <v>20000</v>
      </c>
      <c r="J200" s="253">
        <v>24000</v>
      </c>
      <c r="K200" s="186">
        <f>5543.34-1000</f>
        <v>4543.34</v>
      </c>
      <c r="L200" s="186">
        <v>22173.360000000004</v>
      </c>
      <c r="M200" s="187">
        <f t="shared" si="22"/>
        <v>26716.700000000004</v>
      </c>
      <c r="N200" s="99">
        <f t="shared" si="23"/>
        <v>4000</v>
      </c>
      <c r="O200" s="73">
        <f t="shared" si="24"/>
        <v>20000</v>
      </c>
      <c r="P200" s="73">
        <f t="shared" si="25"/>
        <v>24000</v>
      </c>
      <c r="Q200" s="301">
        <f t="shared" si="26"/>
        <v>3720</v>
      </c>
      <c r="R200" s="301">
        <f t="shared" si="27"/>
        <v>18600</v>
      </c>
      <c r="S200" s="300">
        <f t="shared" si="28"/>
        <v>22320</v>
      </c>
    </row>
    <row r="201" spans="1:19" ht="22.5" x14ac:dyDescent="0.25">
      <c r="A201" s="36"/>
      <c r="B201" s="29" t="s">
        <v>44</v>
      </c>
      <c r="C201" s="62" t="s">
        <v>153</v>
      </c>
      <c r="D201" s="111"/>
      <c r="E201" s="112"/>
      <c r="F201" s="112"/>
      <c r="G201" s="112"/>
      <c r="H201" s="252">
        <v>0</v>
      </c>
      <c r="I201" s="252"/>
      <c r="J201" s="253">
        <v>0</v>
      </c>
      <c r="K201" s="188"/>
      <c r="L201" s="189"/>
      <c r="M201" s="187">
        <f t="shared" si="22"/>
        <v>0</v>
      </c>
      <c r="N201" s="99">
        <f t="shared" si="23"/>
        <v>0</v>
      </c>
      <c r="O201" s="73">
        <f t="shared" si="24"/>
        <v>0</v>
      </c>
      <c r="P201" s="73">
        <f t="shared" si="25"/>
        <v>0</v>
      </c>
      <c r="Q201" s="301">
        <f t="shared" si="26"/>
        <v>0</v>
      </c>
      <c r="R201" s="301">
        <f t="shared" si="27"/>
        <v>0</v>
      </c>
      <c r="S201" s="300">
        <f t="shared" si="28"/>
        <v>0</v>
      </c>
    </row>
    <row r="202" spans="1:19" ht="15" x14ac:dyDescent="0.2">
      <c r="A202" s="36">
        <v>189</v>
      </c>
      <c r="B202" s="47" t="s">
        <v>86</v>
      </c>
      <c r="C202" s="62" t="s">
        <v>153</v>
      </c>
      <c r="D202" s="111">
        <v>94235.287917649999</v>
      </c>
      <c r="E202" s="112">
        <v>28270.586375294995</v>
      </c>
      <c r="F202" s="112">
        <v>113082.34550118</v>
      </c>
      <c r="G202" s="112">
        <v>141352.93187647499</v>
      </c>
      <c r="H202" s="252">
        <v>22000</v>
      </c>
      <c r="I202" s="252">
        <v>110000</v>
      </c>
      <c r="J202" s="253">
        <v>132000</v>
      </c>
      <c r="K202" s="186">
        <f>28270.586375295-1000</f>
        <v>27270.586375294999</v>
      </c>
      <c r="L202" s="186">
        <v>113082.34550118</v>
      </c>
      <c r="M202" s="187">
        <f t="shared" si="22"/>
        <v>140352.93187647499</v>
      </c>
      <c r="N202" s="99">
        <f t="shared" si="23"/>
        <v>22000</v>
      </c>
      <c r="O202" s="73">
        <f t="shared" si="24"/>
        <v>110000</v>
      </c>
      <c r="P202" s="73">
        <f t="shared" si="25"/>
        <v>132000</v>
      </c>
      <c r="Q202" s="301">
        <f t="shared" si="26"/>
        <v>20460</v>
      </c>
      <c r="R202" s="301">
        <f t="shared" si="27"/>
        <v>102300</v>
      </c>
      <c r="S202" s="300">
        <f t="shared" si="28"/>
        <v>122760</v>
      </c>
    </row>
    <row r="203" spans="1:19" ht="15" x14ac:dyDescent="0.25">
      <c r="A203" s="36">
        <v>190</v>
      </c>
      <c r="B203" s="50" t="s">
        <v>45</v>
      </c>
      <c r="C203" s="62" t="s">
        <v>153</v>
      </c>
      <c r="D203" s="111">
        <v>629029.41605388257</v>
      </c>
      <c r="E203" s="112">
        <v>182418.53065562586</v>
      </c>
      <c r="F203" s="112">
        <v>729674.12262250378</v>
      </c>
      <c r="G203" s="112">
        <v>912092.65327812964</v>
      </c>
      <c r="H203" s="252">
        <v>148000</v>
      </c>
      <c r="I203" s="252">
        <v>740000</v>
      </c>
      <c r="J203" s="253">
        <v>888000</v>
      </c>
      <c r="K203" s="186">
        <f>182418.530655626-1000</f>
        <v>181418.530655626</v>
      </c>
      <c r="L203" s="186">
        <v>729674.12262250378</v>
      </c>
      <c r="M203" s="187">
        <f t="shared" si="22"/>
        <v>911092.65327812976</v>
      </c>
      <c r="N203" s="99">
        <f t="shared" si="23"/>
        <v>148000</v>
      </c>
      <c r="O203" s="73">
        <f t="shared" si="24"/>
        <v>729674.12262250378</v>
      </c>
      <c r="P203" s="73">
        <f t="shared" si="25"/>
        <v>877674.12262250378</v>
      </c>
      <c r="Q203" s="301">
        <f t="shared" si="26"/>
        <v>137640</v>
      </c>
      <c r="R203" s="301">
        <f t="shared" si="27"/>
        <v>678596.93403892848</v>
      </c>
      <c r="S203" s="300">
        <f t="shared" si="28"/>
        <v>816236.93403892848</v>
      </c>
    </row>
    <row r="204" spans="1:19" ht="15" x14ac:dyDescent="0.25">
      <c r="A204" s="36">
        <v>191</v>
      </c>
      <c r="B204" s="40" t="s">
        <v>243</v>
      </c>
      <c r="C204" s="62" t="s">
        <v>153</v>
      </c>
      <c r="D204" s="111">
        <v>436126.45573511469</v>
      </c>
      <c r="E204" s="112">
        <v>126476.67216318322</v>
      </c>
      <c r="F204" s="112">
        <v>505906.68865273311</v>
      </c>
      <c r="G204" s="112">
        <v>632383.36081591633</v>
      </c>
      <c r="H204" s="252">
        <v>102000</v>
      </c>
      <c r="I204" s="252">
        <v>510000</v>
      </c>
      <c r="J204" s="253">
        <v>612000</v>
      </c>
      <c r="K204" s="186">
        <f>126476.672163183-1000</f>
        <v>125476.672163183</v>
      </c>
      <c r="L204" s="186">
        <v>505906.68865273311</v>
      </c>
      <c r="M204" s="187">
        <f t="shared" si="22"/>
        <v>631383.36081591609</v>
      </c>
      <c r="N204" s="99">
        <f t="shared" si="23"/>
        <v>102000</v>
      </c>
      <c r="O204" s="73">
        <f t="shared" si="24"/>
        <v>505906.68865273311</v>
      </c>
      <c r="P204" s="73">
        <f t="shared" si="25"/>
        <v>607906.68865273311</v>
      </c>
      <c r="Q204" s="301">
        <f t="shared" si="26"/>
        <v>94860</v>
      </c>
      <c r="R204" s="301">
        <f t="shared" si="27"/>
        <v>470493.22044704179</v>
      </c>
      <c r="S204" s="300">
        <f t="shared" si="28"/>
        <v>565353.22044704179</v>
      </c>
    </row>
    <row r="205" spans="1:19" ht="15" x14ac:dyDescent="0.25">
      <c r="A205" s="36">
        <v>192</v>
      </c>
      <c r="B205" s="50" t="s">
        <v>46</v>
      </c>
      <c r="C205" s="62" t="s">
        <v>153</v>
      </c>
      <c r="D205" s="111">
        <v>83148.783456749996</v>
      </c>
      <c r="E205" s="112">
        <v>24944.635037025</v>
      </c>
      <c r="F205" s="112">
        <v>99778.540148100001</v>
      </c>
      <c r="G205" s="112">
        <v>124723.175185125</v>
      </c>
      <c r="H205" s="252">
        <v>20000</v>
      </c>
      <c r="I205" s="252">
        <v>100000</v>
      </c>
      <c r="J205" s="253">
        <v>120000</v>
      </c>
      <c r="K205" s="186">
        <f>24944.635037025-1000</f>
        <v>23944.635037025</v>
      </c>
      <c r="L205" s="186">
        <v>99778.540148100001</v>
      </c>
      <c r="M205" s="187">
        <f t="shared" si="22"/>
        <v>123723.175185125</v>
      </c>
      <c r="N205" s="99">
        <f t="shared" si="23"/>
        <v>20000</v>
      </c>
      <c r="O205" s="73">
        <f t="shared" si="24"/>
        <v>99778.540148100001</v>
      </c>
      <c r="P205" s="73">
        <f t="shared" si="25"/>
        <v>119778.5401481</v>
      </c>
      <c r="Q205" s="301">
        <f t="shared" si="26"/>
        <v>18600</v>
      </c>
      <c r="R205" s="301">
        <f t="shared" si="27"/>
        <v>92794.042337733001</v>
      </c>
      <c r="S205" s="300">
        <f t="shared" si="28"/>
        <v>111394.042337733</v>
      </c>
    </row>
    <row r="206" spans="1:19" ht="15" x14ac:dyDescent="0.2">
      <c r="A206" s="36">
        <v>193</v>
      </c>
      <c r="B206" s="47" t="s">
        <v>87</v>
      </c>
      <c r="C206" s="62" t="s">
        <v>153</v>
      </c>
      <c r="D206" s="111">
        <v>88692.035687199997</v>
      </c>
      <c r="E206" s="112">
        <v>26607.610706159991</v>
      </c>
      <c r="F206" s="112">
        <v>106430.44282463999</v>
      </c>
      <c r="G206" s="112">
        <v>133038.05353079998</v>
      </c>
      <c r="H206" s="252">
        <v>20000</v>
      </c>
      <c r="I206" s="252">
        <v>100000</v>
      </c>
      <c r="J206" s="253">
        <v>120000</v>
      </c>
      <c r="K206" s="186">
        <f>26607.61070616-1000</f>
        <v>25607.610706160001</v>
      </c>
      <c r="L206" s="186">
        <v>106430.44282463999</v>
      </c>
      <c r="M206" s="187">
        <f t="shared" si="22"/>
        <v>132038.05353079998</v>
      </c>
      <c r="N206" s="99">
        <f t="shared" si="23"/>
        <v>20000</v>
      </c>
      <c r="O206" s="73">
        <f t="shared" si="24"/>
        <v>100000</v>
      </c>
      <c r="P206" s="73">
        <f t="shared" si="25"/>
        <v>120000</v>
      </c>
      <c r="Q206" s="301">
        <f t="shared" si="26"/>
        <v>18600</v>
      </c>
      <c r="R206" s="301">
        <f t="shared" si="27"/>
        <v>93000</v>
      </c>
      <c r="S206" s="300">
        <f t="shared" si="28"/>
        <v>111600</v>
      </c>
    </row>
    <row r="207" spans="1:19" ht="15" x14ac:dyDescent="0.25">
      <c r="A207" s="36">
        <v>194</v>
      </c>
      <c r="B207" s="46" t="s">
        <v>129</v>
      </c>
      <c r="C207" s="62" t="s">
        <v>153</v>
      </c>
      <c r="D207" s="111">
        <v>217335.95317492227</v>
      </c>
      <c r="E207" s="112">
        <v>63027.426420727454</v>
      </c>
      <c r="F207" s="112">
        <v>252109.70568290981</v>
      </c>
      <c r="G207" s="112">
        <v>315137.13210363727</v>
      </c>
      <c r="H207" s="252">
        <v>50000</v>
      </c>
      <c r="I207" s="252">
        <v>250000</v>
      </c>
      <c r="J207" s="253">
        <v>300000</v>
      </c>
      <c r="K207" s="186">
        <f>63027.4264207275-1000</f>
        <v>62027.426420727497</v>
      </c>
      <c r="L207" s="186">
        <v>252109.70568290981</v>
      </c>
      <c r="M207" s="187">
        <f t="shared" si="22"/>
        <v>314137.13210363733</v>
      </c>
      <c r="N207" s="99">
        <f t="shared" si="23"/>
        <v>50000</v>
      </c>
      <c r="O207" s="73">
        <f t="shared" si="24"/>
        <v>250000</v>
      </c>
      <c r="P207" s="73">
        <f t="shared" si="25"/>
        <v>300000</v>
      </c>
      <c r="Q207" s="301">
        <f t="shared" si="26"/>
        <v>46500</v>
      </c>
      <c r="R207" s="301">
        <f t="shared" si="27"/>
        <v>232500</v>
      </c>
      <c r="S207" s="300">
        <f t="shared" si="28"/>
        <v>279000</v>
      </c>
    </row>
    <row r="208" spans="1:19" ht="22.5" x14ac:dyDescent="0.25">
      <c r="A208" s="36"/>
      <c r="B208" s="29" t="s">
        <v>59</v>
      </c>
      <c r="C208" s="62" t="s">
        <v>153</v>
      </c>
      <c r="D208" s="111"/>
      <c r="E208" s="112"/>
      <c r="F208" s="112"/>
      <c r="G208" s="112"/>
      <c r="H208" s="252">
        <v>0</v>
      </c>
      <c r="I208" s="252"/>
      <c r="J208" s="253">
        <v>0</v>
      </c>
      <c r="K208" s="188"/>
      <c r="L208" s="189"/>
      <c r="M208" s="187">
        <f t="shared" si="22"/>
        <v>0</v>
      </c>
      <c r="N208" s="99">
        <f t="shared" si="23"/>
        <v>0</v>
      </c>
      <c r="O208" s="73">
        <f t="shared" si="24"/>
        <v>0</v>
      </c>
      <c r="P208" s="73">
        <f t="shared" si="25"/>
        <v>0</v>
      </c>
      <c r="Q208" s="301">
        <f t="shared" si="26"/>
        <v>0</v>
      </c>
      <c r="R208" s="301">
        <f t="shared" si="27"/>
        <v>0</v>
      </c>
      <c r="S208" s="300">
        <f t="shared" si="28"/>
        <v>0</v>
      </c>
    </row>
    <row r="209" spans="1:19" ht="15" x14ac:dyDescent="0.25">
      <c r="A209" s="36">
        <v>195</v>
      </c>
      <c r="B209" s="50" t="s">
        <v>460</v>
      </c>
      <c r="C209" s="62" t="s">
        <v>153</v>
      </c>
      <c r="D209" s="111">
        <v>187549.67000000004</v>
      </c>
      <c r="E209" s="112">
        <v>58000</v>
      </c>
      <c r="F209" s="112">
        <v>232000</v>
      </c>
      <c r="G209" s="112">
        <v>290000</v>
      </c>
      <c r="H209" s="252">
        <v>42000</v>
      </c>
      <c r="I209" s="252">
        <v>210000</v>
      </c>
      <c r="J209" s="253">
        <v>252000</v>
      </c>
      <c r="K209" s="186">
        <f>58000-1000</f>
        <v>57000</v>
      </c>
      <c r="L209" s="186">
        <v>232000</v>
      </c>
      <c r="M209" s="187">
        <f t="shared" si="22"/>
        <v>289000</v>
      </c>
      <c r="N209" s="99">
        <f t="shared" si="23"/>
        <v>42000</v>
      </c>
      <c r="O209" s="73">
        <f t="shared" si="24"/>
        <v>210000</v>
      </c>
      <c r="P209" s="73">
        <f t="shared" si="25"/>
        <v>252000</v>
      </c>
      <c r="Q209" s="301">
        <f t="shared" si="26"/>
        <v>39060</v>
      </c>
      <c r="R209" s="301">
        <f t="shared" si="27"/>
        <v>195300</v>
      </c>
      <c r="S209" s="300">
        <f t="shared" si="28"/>
        <v>234360</v>
      </c>
    </row>
    <row r="210" spans="1:19" ht="15" x14ac:dyDescent="0.25">
      <c r="A210" s="36">
        <v>196</v>
      </c>
      <c r="B210" s="50" t="s">
        <v>131</v>
      </c>
      <c r="C210" s="62" t="s">
        <v>153</v>
      </c>
      <c r="D210" s="111">
        <v>35598.867535000005</v>
      </c>
      <c r="E210" s="112">
        <v>13000</v>
      </c>
      <c r="F210" s="112">
        <v>52000</v>
      </c>
      <c r="G210" s="112">
        <v>65000</v>
      </c>
      <c r="H210" s="252">
        <v>8800</v>
      </c>
      <c r="I210" s="252">
        <v>44000</v>
      </c>
      <c r="J210" s="253">
        <v>52800</v>
      </c>
      <c r="K210" s="186">
        <f>13000-1000</f>
        <v>12000</v>
      </c>
      <c r="L210" s="186">
        <v>52000</v>
      </c>
      <c r="M210" s="187">
        <f t="shared" si="22"/>
        <v>64000</v>
      </c>
      <c r="N210" s="99">
        <f t="shared" si="23"/>
        <v>8800</v>
      </c>
      <c r="O210" s="73">
        <f t="shared" si="24"/>
        <v>44000</v>
      </c>
      <c r="P210" s="73">
        <f t="shared" si="25"/>
        <v>52800</v>
      </c>
      <c r="Q210" s="301">
        <f t="shared" si="26"/>
        <v>8184</v>
      </c>
      <c r="R210" s="301">
        <f t="shared" si="27"/>
        <v>40920</v>
      </c>
      <c r="S210" s="300">
        <f t="shared" si="28"/>
        <v>49104</v>
      </c>
    </row>
    <row r="211" spans="1:19" ht="15" x14ac:dyDescent="0.25">
      <c r="A211" s="36">
        <v>197</v>
      </c>
      <c r="B211" s="50" t="s">
        <v>244</v>
      </c>
      <c r="C211" s="62" t="s">
        <v>153</v>
      </c>
      <c r="D211" s="111">
        <v>54442.478999999999</v>
      </c>
      <c r="E211" s="112">
        <v>16332.743699999999</v>
      </c>
      <c r="F211" s="112">
        <v>65330.974800000004</v>
      </c>
      <c r="G211" s="112">
        <v>81663.718500000003</v>
      </c>
      <c r="H211" s="252">
        <v>14000</v>
      </c>
      <c r="I211" s="252">
        <v>70000</v>
      </c>
      <c r="J211" s="253">
        <v>84000</v>
      </c>
      <c r="K211" s="186">
        <f>16332.7437-1000</f>
        <v>15332.743700000001</v>
      </c>
      <c r="L211" s="186">
        <v>65330.974800000004</v>
      </c>
      <c r="M211" s="187">
        <f t="shared" si="22"/>
        <v>80663.718500000003</v>
      </c>
      <c r="N211" s="99">
        <f t="shared" si="23"/>
        <v>14000</v>
      </c>
      <c r="O211" s="73">
        <f t="shared" si="24"/>
        <v>65330.974800000004</v>
      </c>
      <c r="P211" s="73">
        <f t="shared" si="25"/>
        <v>79330.974799999996</v>
      </c>
      <c r="Q211" s="301">
        <f t="shared" si="26"/>
        <v>13020</v>
      </c>
      <c r="R211" s="301">
        <f t="shared" si="27"/>
        <v>60757.806564000006</v>
      </c>
      <c r="S211" s="300">
        <f t="shared" si="28"/>
        <v>73777.806563999999</v>
      </c>
    </row>
    <row r="212" spans="1:19" ht="15" x14ac:dyDescent="0.25">
      <c r="A212" s="36">
        <v>198</v>
      </c>
      <c r="B212" s="50" t="s">
        <v>245</v>
      </c>
      <c r="C212" s="62" t="s">
        <v>153</v>
      </c>
      <c r="D212" s="111">
        <v>75000</v>
      </c>
      <c r="E212" s="112">
        <v>22500</v>
      </c>
      <c r="F212" s="112">
        <v>90000</v>
      </c>
      <c r="G212" s="112">
        <v>112500</v>
      </c>
      <c r="H212" s="252">
        <v>15000</v>
      </c>
      <c r="I212" s="252">
        <v>75000</v>
      </c>
      <c r="J212" s="253">
        <v>90000</v>
      </c>
      <c r="K212" s="186">
        <f>22500-1000</f>
        <v>21500</v>
      </c>
      <c r="L212" s="186">
        <v>90000</v>
      </c>
      <c r="M212" s="187">
        <f t="shared" si="22"/>
        <v>111500</v>
      </c>
      <c r="N212" s="99">
        <f t="shared" si="23"/>
        <v>15000</v>
      </c>
      <c r="O212" s="73">
        <f t="shared" si="24"/>
        <v>75000</v>
      </c>
      <c r="P212" s="73">
        <f t="shared" si="25"/>
        <v>90000</v>
      </c>
      <c r="Q212" s="301">
        <f t="shared" si="26"/>
        <v>13950</v>
      </c>
      <c r="R212" s="301">
        <f t="shared" si="27"/>
        <v>69750</v>
      </c>
      <c r="S212" s="300">
        <f t="shared" si="28"/>
        <v>83700</v>
      </c>
    </row>
    <row r="213" spans="1:19" ht="15" x14ac:dyDescent="0.25">
      <c r="A213" s="36">
        <v>199</v>
      </c>
      <c r="B213" s="50" t="s">
        <v>61</v>
      </c>
      <c r="C213" s="62" t="s">
        <v>153</v>
      </c>
      <c r="D213" s="111">
        <v>51737.840000000004</v>
      </c>
      <c r="E213" s="112">
        <v>15521.351999999999</v>
      </c>
      <c r="F213" s="112">
        <v>62085.40800000001</v>
      </c>
      <c r="G213" s="112">
        <v>77606.760000000009</v>
      </c>
      <c r="H213" s="252">
        <v>13200</v>
      </c>
      <c r="I213" s="252">
        <v>66000</v>
      </c>
      <c r="J213" s="253">
        <v>79200</v>
      </c>
      <c r="K213" s="186">
        <f>15521.352-1000</f>
        <v>14521.352000000001</v>
      </c>
      <c r="L213" s="186">
        <v>62085.40800000001</v>
      </c>
      <c r="M213" s="187">
        <f t="shared" si="22"/>
        <v>76606.760000000009</v>
      </c>
      <c r="N213" s="99">
        <f t="shared" si="23"/>
        <v>13200</v>
      </c>
      <c r="O213" s="73">
        <f t="shared" si="24"/>
        <v>62085.40800000001</v>
      </c>
      <c r="P213" s="73">
        <f t="shared" si="25"/>
        <v>75285.40800000001</v>
      </c>
      <c r="Q213" s="301">
        <f t="shared" si="26"/>
        <v>12276</v>
      </c>
      <c r="R213" s="301">
        <f t="shared" si="27"/>
        <v>57739.429440000007</v>
      </c>
      <c r="S213" s="300">
        <f t="shared" si="28"/>
        <v>70015.429440000007</v>
      </c>
    </row>
    <row r="214" spans="1:19" ht="15" x14ac:dyDescent="0.25">
      <c r="A214" s="36">
        <v>200</v>
      </c>
      <c r="B214" s="50" t="s">
        <v>118</v>
      </c>
      <c r="C214" s="62" t="s">
        <v>153</v>
      </c>
      <c r="D214" s="111">
        <v>178730.09700000001</v>
      </c>
      <c r="E214" s="112">
        <v>51831.728130000003</v>
      </c>
      <c r="F214" s="112">
        <v>207326.91252000001</v>
      </c>
      <c r="G214" s="112">
        <v>259158.64065000002</v>
      </c>
      <c r="H214" s="252">
        <v>39200</v>
      </c>
      <c r="I214" s="252">
        <v>196000</v>
      </c>
      <c r="J214" s="253">
        <v>235200</v>
      </c>
      <c r="K214" s="186">
        <f>51831.72813-1000</f>
        <v>50831.728130000003</v>
      </c>
      <c r="L214" s="186">
        <v>207326.91252000001</v>
      </c>
      <c r="M214" s="187">
        <f t="shared" si="22"/>
        <v>258158.64065000002</v>
      </c>
      <c r="N214" s="99">
        <f t="shared" si="23"/>
        <v>39200</v>
      </c>
      <c r="O214" s="73">
        <f t="shared" si="24"/>
        <v>196000</v>
      </c>
      <c r="P214" s="73">
        <f t="shared" si="25"/>
        <v>235200</v>
      </c>
      <c r="Q214" s="301">
        <f t="shared" si="26"/>
        <v>36456</v>
      </c>
      <c r="R214" s="301">
        <f t="shared" si="27"/>
        <v>182280</v>
      </c>
      <c r="S214" s="300">
        <f t="shared" si="28"/>
        <v>218736</v>
      </c>
    </row>
    <row r="215" spans="1:19" ht="15" x14ac:dyDescent="0.25">
      <c r="A215" s="36">
        <v>201</v>
      </c>
      <c r="B215" s="50" t="s">
        <v>246</v>
      </c>
      <c r="C215" s="62" t="s">
        <v>153</v>
      </c>
      <c r="D215" s="111">
        <v>125407.27290000001</v>
      </c>
      <c r="E215" s="112">
        <v>36368.109140999994</v>
      </c>
      <c r="F215" s="112">
        <v>145472.436564</v>
      </c>
      <c r="G215" s="112">
        <v>181840.545705</v>
      </c>
      <c r="H215" s="252">
        <v>31600</v>
      </c>
      <c r="I215" s="252">
        <v>158000</v>
      </c>
      <c r="J215" s="253">
        <v>189600</v>
      </c>
      <c r="K215" s="186">
        <f>36368.109141-1000</f>
        <v>35368.109141000001</v>
      </c>
      <c r="L215" s="186">
        <v>145472.436564</v>
      </c>
      <c r="M215" s="187">
        <f t="shared" si="22"/>
        <v>180840.545705</v>
      </c>
      <c r="N215" s="99">
        <f t="shared" si="23"/>
        <v>31600</v>
      </c>
      <c r="O215" s="73">
        <f t="shared" si="24"/>
        <v>145472.436564</v>
      </c>
      <c r="P215" s="73">
        <f t="shared" si="25"/>
        <v>177072.436564</v>
      </c>
      <c r="Q215" s="301">
        <f t="shared" si="26"/>
        <v>29388</v>
      </c>
      <c r="R215" s="301">
        <f t="shared" si="27"/>
        <v>135289.36600452001</v>
      </c>
      <c r="S215" s="300">
        <f t="shared" si="28"/>
        <v>164677.36600452001</v>
      </c>
    </row>
    <row r="216" spans="1:19" ht="15" x14ac:dyDescent="0.25">
      <c r="A216" s="36">
        <v>202</v>
      </c>
      <c r="B216" s="50" t="s">
        <v>104</v>
      </c>
      <c r="C216" s="62" t="s">
        <v>153</v>
      </c>
      <c r="D216" s="111">
        <v>125407.27290000001</v>
      </c>
      <c r="E216" s="112">
        <v>36368.109140999994</v>
      </c>
      <c r="F216" s="112">
        <v>145472.436564</v>
      </c>
      <c r="G216" s="112">
        <v>181840.545705</v>
      </c>
      <c r="H216" s="252">
        <v>31600</v>
      </c>
      <c r="I216" s="252">
        <v>158000</v>
      </c>
      <c r="J216" s="253">
        <v>189600</v>
      </c>
      <c r="K216" s="186">
        <f>36368.109141-1000</f>
        <v>35368.109141000001</v>
      </c>
      <c r="L216" s="186">
        <v>145472.436564</v>
      </c>
      <c r="M216" s="187">
        <f t="shared" si="22"/>
        <v>180840.545705</v>
      </c>
      <c r="N216" s="99">
        <f t="shared" si="23"/>
        <v>31600</v>
      </c>
      <c r="O216" s="73">
        <f t="shared" si="24"/>
        <v>145472.436564</v>
      </c>
      <c r="P216" s="73">
        <f t="shared" si="25"/>
        <v>177072.436564</v>
      </c>
      <c r="Q216" s="301">
        <f t="shared" si="26"/>
        <v>29388</v>
      </c>
      <c r="R216" s="301">
        <f t="shared" si="27"/>
        <v>135289.36600452001</v>
      </c>
      <c r="S216" s="300">
        <f t="shared" si="28"/>
        <v>164677.36600452001</v>
      </c>
    </row>
    <row r="217" spans="1:19" ht="15" x14ac:dyDescent="0.25">
      <c r="A217" s="36">
        <v>203</v>
      </c>
      <c r="B217" s="50" t="s">
        <v>247</v>
      </c>
      <c r="C217" s="62" t="s">
        <v>153</v>
      </c>
      <c r="D217" s="111">
        <v>15000</v>
      </c>
      <c r="E217" s="112">
        <v>4500</v>
      </c>
      <c r="F217" s="112">
        <v>18000</v>
      </c>
      <c r="G217" s="112">
        <v>22500</v>
      </c>
      <c r="H217" s="252">
        <v>3400</v>
      </c>
      <c r="I217" s="252">
        <v>17000</v>
      </c>
      <c r="J217" s="253">
        <v>20400</v>
      </c>
      <c r="K217" s="186">
        <f>4500-1000</f>
        <v>3500</v>
      </c>
      <c r="L217" s="186">
        <v>18000</v>
      </c>
      <c r="M217" s="187">
        <f t="shared" si="22"/>
        <v>21500</v>
      </c>
      <c r="N217" s="99">
        <f t="shared" si="23"/>
        <v>3400</v>
      </c>
      <c r="O217" s="73">
        <f t="shared" si="24"/>
        <v>17000</v>
      </c>
      <c r="P217" s="73">
        <f t="shared" si="25"/>
        <v>20400</v>
      </c>
      <c r="Q217" s="301">
        <f t="shared" si="26"/>
        <v>3162</v>
      </c>
      <c r="R217" s="301">
        <f t="shared" si="27"/>
        <v>15810</v>
      </c>
      <c r="S217" s="300">
        <f t="shared" si="28"/>
        <v>18972</v>
      </c>
    </row>
    <row r="218" spans="1:19" ht="15" x14ac:dyDescent="0.25">
      <c r="A218" s="36">
        <v>204</v>
      </c>
      <c r="B218" s="50" t="s">
        <v>248</v>
      </c>
      <c r="C218" s="62" t="s">
        <v>153</v>
      </c>
      <c r="D218" s="111">
        <v>29494.789702487076</v>
      </c>
      <c r="E218" s="112">
        <v>8848.4369107461243</v>
      </c>
      <c r="F218" s="112">
        <v>35393.74764298449</v>
      </c>
      <c r="G218" s="112">
        <v>44242.184553730614</v>
      </c>
      <c r="H218" s="252">
        <v>7000</v>
      </c>
      <c r="I218" s="252">
        <v>35000</v>
      </c>
      <c r="J218" s="253">
        <v>42000</v>
      </c>
      <c r="K218" s="186">
        <f>8848.43691074612-1000</f>
        <v>7848.4369107461207</v>
      </c>
      <c r="L218" s="186">
        <v>35393.74764298449</v>
      </c>
      <c r="M218" s="187">
        <f t="shared" si="22"/>
        <v>43242.184553730607</v>
      </c>
      <c r="N218" s="99">
        <f t="shared" si="23"/>
        <v>7000</v>
      </c>
      <c r="O218" s="73">
        <f t="shared" si="24"/>
        <v>35000</v>
      </c>
      <c r="P218" s="73">
        <f t="shared" si="25"/>
        <v>42000</v>
      </c>
      <c r="Q218" s="301">
        <f t="shared" si="26"/>
        <v>6510</v>
      </c>
      <c r="R218" s="301">
        <f t="shared" si="27"/>
        <v>32550</v>
      </c>
      <c r="S218" s="300">
        <f t="shared" si="28"/>
        <v>39060</v>
      </c>
    </row>
    <row r="219" spans="1:19" ht="15" x14ac:dyDescent="0.25">
      <c r="A219" s="36">
        <v>205</v>
      </c>
      <c r="B219" s="50" t="s">
        <v>249</v>
      </c>
      <c r="C219" s="62" t="s">
        <v>153</v>
      </c>
      <c r="D219" s="111">
        <v>24445.600200000001</v>
      </c>
      <c r="E219" s="112">
        <v>7333.6800599999988</v>
      </c>
      <c r="F219" s="112">
        <v>29334.720240000002</v>
      </c>
      <c r="G219" s="112">
        <v>36668.400300000001</v>
      </c>
      <c r="H219" s="252">
        <v>6200</v>
      </c>
      <c r="I219" s="252">
        <v>31000</v>
      </c>
      <c r="J219" s="253">
        <v>37200</v>
      </c>
      <c r="K219" s="186">
        <f>7333.68006-1000</f>
        <v>6333.6800599999997</v>
      </c>
      <c r="L219" s="186">
        <v>29334.720240000002</v>
      </c>
      <c r="M219" s="187">
        <f t="shared" si="22"/>
        <v>35668.400300000001</v>
      </c>
      <c r="N219" s="99">
        <f t="shared" si="23"/>
        <v>6200</v>
      </c>
      <c r="O219" s="73">
        <f t="shared" si="24"/>
        <v>29334.720240000002</v>
      </c>
      <c r="P219" s="73">
        <f t="shared" si="25"/>
        <v>35534.720240000002</v>
      </c>
      <c r="Q219" s="301">
        <f t="shared" si="26"/>
        <v>5766</v>
      </c>
      <c r="R219" s="301">
        <f t="shared" si="27"/>
        <v>27281.289823200001</v>
      </c>
      <c r="S219" s="300">
        <f t="shared" si="28"/>
        <v>33047.289823200001</v>
      </c>
    </row>
    <row r="220" spans="1:19" ht="22.5" x14ac:dyDescent="0.25">
      <c r="A220" s="36"/>
      <c r="B220" s="41" t="s">
        <v>47</v>
      </c>
      <c r="C220" s="62" t="s">
        <v>153</v>
      </c>
      <c r="D220" s="111"/>
      <c r="E220" s="112"/>
      <c r="F220" s="112"/>
      <c r="G220" s="112"/>
      <c r="H220" s="252">
        <v>0</v>
      </c>
      <c r="I220" s="252"/>
      <c r="J220" s="253">
        <v>0</v>
      </c>
      <c r="K220" s="188"/>
      <c r="L220" s="189"/>
      <c r="M220" s="187">
        <f t="shared" si="22"/>
        <v>0</v>
      </c>
      <c r="N220" s="99">
        <f t="shared" si="23"/>
        <v>0</v>
      </c>
      <c r="O220" s="73">
        <f t="shared" si="24"/>
        <v>0</v>
      </c>
      <c r="P220" s="73">
        <f t="shared" si="25"/>
        <v>0</v>
      </c>
      <c r="Q220" s="301">
        <f t="shared" si="26"/>
        <v>0</v>
      </c>
      <c r="R220" s="301">
        <f t="shared" si="27"/>
        <v>0</v>
      </c>
      <c r="S220" s="300">
        <f t="shared" si="28"/>
        <v>0</v>
      </c>
    </row>
    <row r="221" spans="1:19" ht="15" x14ac:dyDescent="0.25">
      <c r="A221" s="36">
        <v>206</v>
      </c>
      <c r="B221" s="50" t="s">
        <v>48</v>
      </c>
      <c r="C221" s="62" t="s">
        <v>153</v>
      </c>
      <c r="D221" s="111">
        <v>647649.05529669102</v>
      </c>
      <c r="E221" s="112">
        <v>187818.22603604035</v>
      </c>
      <c r="F221" s="112">
        <v>751272.90414416161</v>
      </c>
      <c r="G221" s="112">
        <v>939091.13018020196</v>
      </c>
      <c r="H221" s="252">
        <v>152000</v>
      </c>
      <c r="I221" s="252">
        <v>760000</v>
      </c>
      <c r="J221" s="253">
        <v>912000</v>
      </c>
      <c r="K221" s="186">
        <f>187818.22603604-1000</f>
        <v>186818.22603604</v>
      </c>
      <c r="L221" s="186">
        <v>751272.90414416161</v>
      </c>
      <c r="M221" s="187">
        <f t="shared" si="22"/>
        <v>938091.13018020161</v>
      </c>
      <c r="N221" s="99">
        <f t="shared" si="23"/>
        <v>152000</v>
      </c>
      <c r="O221" s="73">
        <f t="shared" si="24"/>
        <v>751272.90414416161</v>
      </c>
      <c r="P221" s="73">
        <f t="shared" si="25"/>
        <v>903272.90414416161</v>
      </c>
      <c r="Q221" s="301">
        <f t="shared" si="26"/>
        <v>141360</v>
      </c>
      <c r="R221" s="301">
        <f t="shared" si="27"/>
        <v>698683.80085407034</v>
      </c>
      <c r="S221" s="300">
        <f t="shared" si="28"/>
        <v>840043.80085407034</v>
      </c>
    </row>
    <row r="222" spans="1:19" ht="15" x14ac:dyDescent="0.25">
      <c r="A222" s="36">
        <v>207</v>
      </c>
      <c r="B222" s="50" t="s">
        <v>49</v>
      </c>
      <c r="C222" s="62" t="s">
        <v>153</v>
      </c>
      <c r="D222" s="111">
        <v>462871.05529669102</v>
      </c>
      <c r="E222" s="112">
        <v>134232.60603604035</v>
      </c>
      <c r="F222" s="112">
        <v>536930.42414416163</v>
      </c>
      <c r="G222" s="112">
        <v>671163.03018020198</v>
      </c>
      <c r="H222" s="252">
        <v>108000</v>
      </c>
      <c r="I222" s="252">
        <v>540000</v>
      </c>
      <c r="J222" s="253">
        <v>648000</v>
      </c>
      <c r="K222" s="186">
        <f>134232.60603604-1000</f>
        <v>133232.60603604</v>
      </c>
      <c r="L222" s="186">
        <v>536930.42414416163</v>
      </c>
      <c r="M222" s="187">
        <f t="shared" si="22"/>
        <v>670163.03018020163</v>
      </c>
      <c r="N222" s="99">
        <f t="shared" si="23"/>
        <v>108000</v>
      </c>
      <c r="O222" s="73">
        <f t="shared" si="24"/>
        <v>536930.42414416163</v>
      </c>
      <c r="P222" s="73">
        <f t="shared" si="25"/>
        <v>644930.42414416163</v>
      </c>
      <c r="Q222" s="301">
        <f t="shared" si="26"/>
        <v>100440</v>
      </c>
      <c r="R222" s="301">
        <f t="shared" si="27"/>
        <v>499345.29445407033</v>
      </c>
      <c r="S222" s="300">
        <f t="shared" si="28"/>
        <v>599785.29445407027</v>
      </c>
    </row>
    <row r="223" spans="1:19" ht="15" x14ac:dyDescent="0.25">
      <c r="A223" s="36">
        <v>208</v>
      </c>
      <c r="B223" s="50" t="s">
        <v>322</v>
      </c>
      <c r="C223" s="62" t="s">
        <v>153</v>
      </c>
      <c r="D223" s="111">
        <v>46679.812469901524</v>
      </c>
      <c r="E223" s="112">
        <v>14003.943740970455</v>
      </c>
      <c r="F223" s="112">
        <v>56015.774963881835</v>
      </c>
      <c r="G223" s="112">
        <v>70019.71870485229</v>
      </c>
      <c r="H223" s="252">
        <v>11000</v>
      </c>
      <c r="I223" s="252">
        <v>55000</v>
      </c>
      <c r="J223" s="253">
        <v>66000</v>
      </c>
      <c r="K223" s="186">
        <f>14003.9437409704-1000</f>
        <v>13003.943740970401</v>
      </c>
      <c r="L223" s="186">
        <v>56015.774963881835</v>
      </c>
      <c r="M223" s="187">
        <f t="shared" si="22"/>
        <v>69019.718704852232</v>
      </c>
      <c r="N223" s="99">
        <f t="shared" si="23"/>
        <v>11000</v>
      </c>
      <c r="O223" s="73">
        <f t="shared" si="24"/>
        <v>55000</v>
      </c>
      <c r="P223" s="73">
        <f t="shared" si="25"/>
        <v>66000</v>
      </c>
      <c r="Q223" s="301">
        <f t="shared" si="26"/>
        <v>10230</v>
      </c>
      <c r="R223" s="301">
        <f t="shared" si="27"/>
        <v>51150</v>
      </c>
      <c r="S223" s="300">
        <f t="shared" si="28"/>
        <v>61380</v>
      </c>
    </row>
    <row r="224" spans="1:19" ht="15" x14ac:dyDescent="0.25">
      <c r="A224" s="36">
        <v>209</v>
      </c>
      <c r="B224" s="50" t="s">
        <v>50</v>
      </c>
      <c r="C224" s="62" t="s">
        <v>153</v>
      </c>
      <c r="D224" s="111">
        <v>220968.89514323682</v>
      </c>
      <c r="E224" s="112">
        <v>64080.979591538664</v>
      </c>
      <c r="F224" s="112">
        <v>256323.91836615471</v>
      </c>
      <c r="G224" s="112">
        <v>320404.89795769338</v>
      </c>
      <c r="H224" s="252">
        <v>52000</v>
      </c>
      <c r="I224" s="252">
        <v>260000</v>
      </c>
      <c r="J224" s="253">
        <v>312000</v>
      </c>
      <c r="K224" s="186">
        <f>64080.9795915386-1000</f>
        <v>63080.979591538598</v>
      </c>
      <c r="L224" s="186">
        <v>256323.91836615471</v>
      </c>
      <c r="M224" s="187">
        <f t="shared" si="22"/>
        <v>319404.89795769332</v>
      </c>
      <c r="N224" s="99">
        <f t="shared" si="23"/>
        <v>52000</v>
      </c>
      <c r="O224" s="73">
        <f t="shared" si="24"/>
        <v>256323.91836615471</v>
      </c>
      <c r="P224" s="73">
        <f t="shared" si="25"/>
        <v>308323.91836615471</v>
      </c>
      <c r="Q224" s="301">
        <f t="shared" si="26"/>
        <v>48360</v>
      </c>
      <c r="R224" s="301">
        <f t="shared" si="27"/>
        <v>238381.24408052387</v>
      </c>
      <c r="S224" s="300">
        <f t="shared" si="28"/>
        <v>286741.24408052384</v>
      </c>
    </row>
    <row r="225" spans="1:19" ht="15" x14ac:dyDescent="0.25">
      <c r="A225" s="36">
        <v>210</v>
      </c>
      <c r="B225" s="50" t="s">
        <v>51</v>
      </c>
      <c r="C225" s="62" t="s">
        <v>153</v>
      </c>
      <c r="D225" s="111">
        <v>327092.1145212386</v>
      </c>
      <c r="E225" s="112">
        <v>94856.713211159164</v>
      </c>
      <c r="F225" s="112">
        <v>379426.85284463677</v>
      </c>
      <c r="G225" s="112">
        <v>474283.56605579593</v>
      </c>
      <c r="H225" s="252">
        <v>76000</v>
      </c>
      <c r="I225" s="252">
        <v>380000</v>
      </c>
      <c r="J225" s="253">
        <v>456000</v>
      </c>
      <c r="K225" s="186">
        <f>94856.7132111592-1000</f>
        <v>93856.713211159193</v>
      </c>
      <c r="L225" s="186">
        <v>379426.85284463677</v>
      </c>
      <c r="M225" s="187">
        <f t="shared" si="22"/>
        <v>473283.56605579599</v>
      </c>
      <c r="N225" s="99">
        <f t="shared" si="23"/>
        <v>76000</v>
      </c>
      <c r="O225" s="73">
        <f t="shared" si="24"/>
        <v>379426.85284463677</v>
      </c>
      <c r="P225" s="73">
        <f t="shared" si="25"/>
        <v>455426.85284463677</v>
      </c>
      <c r="Q225" s="301">
        <f t="shared" si="26"/>
        <v>70680</v>
      </c>
      <c r="R225" s="301">
        <f t="shared" si="27"/>
        <v>352866.97314551217</v>
      </c>
      <c r="S225" s="300">
        <f t="shared" si="28"/>
        <v>423546.97314551217</v>
      </c>
    </row>
    <row r="226" spans="1:19" ht="15" x14ac:dyDescent="0.25">
      <c r="A226" s="36">
        <v>211</v>
      </c>
      <c r="B226" s="50" t="s">
        <v>52</v>
      </c>
      <c r="C226" s="62" t="s">
        <v>153</v>
      </c>
      <c r="D226" s="111">
        <v>296205</v>
      </c>
      <c r="E226" s="112">
        <v>85899.449999999953</v>
      </c>
      <c r="F226" s="112">
        <v>343597.80000000005</v>
      </c>
      <c r="G226" s="112">
        <v>429497.25</v>
      </c>
      <c r="H226" s="252">
        <v>74000</v>
      </c>
      <c r="I226" s="252">
        <v>370000</v>
      </c>
      <c r="J226" s="253">
        <v>444000</v>
      </c>
      <c r="K226" s="186">
        <f>85899.45-1000</f>
        <v>84899.45</v>
      </c>
      <c r="L226" s="186">
        <v>343597.80000000005</v>
      </c>
      <c r="M226" s="187">
        <f t="shared" si="22"/>
        <v>428497.25000000006</v>
      </c>
      <c r="N226" s="99">
        <f t="shared" si="23"/>
        <v>74000</v>
      </c>
      <c r="O226" s="73">
        <f t="shared" si="24"/>
        <v>343597.80000000005</v>
      </c>
      <c r="P226" s="73">
        <f t="shared" si="25"/>
        <v>417597.80000000005</v>
      </c>
      <c r="Q226" s="301">
        <f t="shared" si="26"/>
        <v>68820</v>
      </c>
      <c r="R226" s="301">
        <f t="shared" si="27"/>
        <v>319545.95400000003</v>
      </c>
      <c r="S226" s="300">
        <f t="shared" si="28"/>
        <v>388365.95400000003</v>
      </c>
    </row>
    <row r="227" spans="1:19" ht="15" x14ac:dyDescent="0.25">
      <c r="A227" s="36">
        <v>212</v>
      </c>
      <c r="B227" s="50" t="s">
        <v>53</v>
      </c>
      <c r="C227" s="62" t="s">
        <v>153</v>
      </c>
      <c r="D227" s="111">
        <v>414316.67839356902</v>
      </c>
      <c r="E227" s="112">
        <v>120151.83673413499</v>
      </c>
      <c r="F227" s="112">
        <v>480607.34693654004</v>
      </c>
      <c r="G227" s="112">
        <v>600759.18367067503</v>
      </c>
      <c r="H227" s="252">
        <v>96000</v>
      </c>
      <c r="I227" s="252">
        <v>480000</v>
      </c>
      <c r="J227" s="253">
        <v>576000</v>
      </c>
      <c r="K227" s="186">
        <f>120151.836734135-1000</f>
        <v>119151.83673413499</v>
      </c>
      <c r="L227" s="186">
        <v>480607.34693654004</v>
      </c>
      <c r="M227" s="187">
        <f t="shared" si="22"/>
        <v>599759.18367067503</v>
      </c>
      <c r="N227" s="99">
        <f t="shared" si="23"/>
        <v>96000</v>
      </c>
      <c r="O227" s="73">
        <f t="shared" si="24"/>
        <v>480000</v>
      </c>
      <c r="P227" s="73">
        <f t="shared" si="25"/>
        <v>576000</v>
      </c>
      <c r="Q227" s="301">
        <f t="shared" si="26"/>
        <v>89280</v>
      </c>
      <c r="R227" s="301">
        <f t="shared" si="27"/>
        <v>446400</v>
      </c>
      <c r="S227" s="300">
        <f t="shared" si="28"/>
        <v>535680</v>
      </c>
    </row>
    <row r="228" spans="1:19" ht="15" x14ac:dyDescent="0.25">
      <c r="A228" s="36">
        <v>213</v>
      </c>
      <c r="B228" s="50" t="s">
        <v>54</v>
      </c>
      <c r="C228" s="62" t="s">
        <v>153</v>
      </c>
      <c r="D228" s="111">
        <v>530616.09689000924</v>
      </c>
      <c r="E228" s="112">
        <v>153878.66809810267</v>
      </c>
      <c r="F228" s="112">
        <v>615514.67239241069</v>
      </c>
      <c r="G228" s="112">
        <v>769393.34049051336</v>
      </c>
      <c r="H228" s="252">
        <v>118000</v>
      </c>
      <c r="I228" s="252">
        <v>590000</v>
      </c>
      <c r="J228" s="253">
        <v>708000</v>
      </c>
      <c r="K228" s="186">
        <f>153878.668098103-1000</f>
        <v>152878.66809810299</v>
      </c>
      <c r="L228" s="186">
        <v>615514.67239241069</v>
      </c>
      <c r="M228" s="187">
        <f t="shared" si="22"/>
        <v>768393.34049051371</v>
      </c>
      <c r="N228" s="99">
        <f t="shared" si="23"/>
        <v>118000</v>
      </c>
      <c r="O228" s="73">
        <f t="shared" si="24"/>
        <v>590000</v>
      </c>
      <c r="P228" s="73">
        <f t="shared" si="25"/>
        <v>708000</v>
      </c>
      <c r="Q228" s="301">
        <f t="shared" si="26"/>
        <v>109740</v>
      </c>
      <c r="R228" s="301">
        <f t="shared" si="27"/>
        <v>548700</v>
      </c>
      <c r="S228" s="300">
        <f t="shared" si="28"/>
        <v>658440</v>
      </c>
    </row>
    <row r="229" spans="1:19" ht="15" x14ac:dyDescent="0.25">
      <c r="A229" s="36">
        <v>214</v>
      </c>
      <c r="B229" s="50" t="s">
        <v>251</v>
      </c>
      <c r="C229" s="62" t="s">
        <v>153</v>
      </c>
      <c r="D229" s="111">
        <v>590426.6619834454</v>
      </c>
      <c r="E229" s="112">
        <v>171223.73197519907</v>
      </c>
      <c r="F229" s="112">
        <v>684894.92790079676</v>
      </c>
      <c r="G229" s="112">
        <v>856118.65987599583</v>
      </c>
      <c r="H229" s="252">
        <v>138000</v>
      </c>
      <c r="I229" s="252">
        <v>690000</v>
      </c>
      <c r="J229" s="253">
        <v>828000</v>
      </c>
      <c r="K229" s="186">
        <f>171223.731975199-1000</f>
        <v>170223.73197519901</v>
      </c>
      <c r="L229" s="186">
        <v>684894.92790079676</v>
      </c>
      <c r="M229" s="187">
        <f t="shared" si="22"/>
        <v>855118.65987599571</v>
      </c>
      <c r="N229" s="99">
        <f t="shared" si="23"/>
        <v>138000</v>
      </c>
      <c r="O229" s="73">
        <f t="shared" si="24"/>
        <v>684894.92790079676</v>
      </c>
      <c r="P229" s="73">
        <f t="shared" si="25"/>
        <v>822894.92790079676</v>
      </c>
      <c r="Q229" s="301">
        <f t="shared" si="26"/>
        <v>128340</v>
      </c>
      <c r="R229" s="301">
        <f t="shared" si="27"/>
        <v>636952.28294774098</v>
      </c>
      <c r="S229" s="300">
        <f t="shared" si="28"/>
        <v>765292.28294774098</v>
      </c>
    </row>
    <row r="230" spans="1:19" ht="15" x14ac:dyDescent="0.25">
      <c r="A230" s="36">
        <v>215</v>
      </c>
      <c r="B230" s="50" t="s">
        <v>252</v>
      </c>
      <c r="C230" s="62" t="s">
        <v>153</v>
      </c>
      <c r="D230" s="111">
        <v>750000</v>
      </c>
      <c r="E230" s="112">
        <v>217500</v>
      </c>
      <c r="F230" s="112">
        <v>870000</v>
      </c>
      <c r="G230" s="112">
        <v>1087500</v>
      </c>
      <c r="H230" s="252">
        <v>177000</v>
      </c>
      <c r="I230" s="252">
        <v>885000</v>
      </c>
      <c r="J230" s="253">
        <v>1062000</v>
      </c>
      <c r="K230" s="186">
        <f>217500-1000</f>
        <v>216500</v>
      </c>
      <c r="L230" s="186">
        <v>870000</v>
      </c>
      <c r="M230" s="187">
        <f t="shared" si="22"/>
        <v>1086500</v>
      </c>
      <c r="N230" s="99">
        <f t="shared" si="23"/>
        <v>177000</v>
      </c>
      <c r="O230" s="73">
        <f t="shared" si="24"/>
        <v>870000</v>
      </c>
      <c r="P230" s="73">
        <f t="shared" si="25"/>
        <v>1047000</v>
      </c>
      <c r="Q230" s="301">
        <f t="shared" si="26"/>
        <v>164610</v>
      </c>
      <c r="R230" s="301">
        <f t="shared" si="27"/>
        <v>809100</v>
      </c>
      <c r="S230" s="300">
        <f t="shared" si="28"/>
        <v>973710</v>
      </c>
    </row>
    <row r="231" spans="1:19" ht="15" x14ac:dyDescent="0.25">
      <c r="A231" s="36">
        <v>216</v>
      </c>
      <c r="B231" s="48" t="s">
        <v>58</v>
      </c>
      <c r="C231" s="62" t="s">
        <v>153</v>
      </c>
      <c r="D231" s="111">
        <v>339823.46440899995</v>
      </c>
      <c r="E231" s="112">
        <v>98548.804678609944</v>
      </c>
      <c r="F231" s="112">
        <v>394195.21871443995</v>
      </c>
      <c r="G231" s="112">
        <v>492744.02339304989</v>
      </c>
      <c r="H231" s="252">
        <v>80000</v>
      </c>
      <c r="I231" s="252">
        <v>400000</v>
      </c>
      <c r="J231" s="253">
        <v>480000</v>
      </c>
      <c r="K231" s="186">
        <f>98548.8046786099-1000</f>
        <v>97548.8046786099</v>
      </c>
      <c r="L231" s="186">
        <v>394195.21871443995</v>
      </c>
      <c r="M231" s="187">
        <f t="shared" si="22"/>
        <v>491744.02339304984</v>
      </c>
      <c r="N231" s="99">
        <f t="shared" si="23"/>
        <v>80000</v>
      </c>
      <c r="O231" s="73">
        <f t="shared" si="24"/>
        <v>394195.21871443995</v>
      </c>
      <c r="P231" s="73">
        <f t="shared" si="25"/>
        <v>474195.21871443995</v>
      </c>
      <c r="Q231" s="301">
        <f t="shared" si="26"/>
        <v>74400</v>
      </c>
      <c r="R231" s="301">
        <f t="shared" si="27"/>
        <v>366601.55340442917</v>
      </c>
      <c r="S231" s="300">
        <f t="shared" si="28"/>
        <v>441001.55340442917</v>
      </c>
    </row>
    <row r="232" spans="1:19" ht="15" x14ac:dyDescent="0.25">
      <c r="A232" s="36">
        <v>217</v>
      </c>
      <c r="B232" s="48" t="s">
        <v>136</v>
      </c>
      <c r="C232" s="62" t="s">
        <v>153</v>
      </c>
      <c r="D232" s="111">
        <v>4620798</v>
      </c>
      <c r="E232" s="112">
        <v>1397329.3152000001</v>
      </c>
      <c r="F232" s="112">
        <v>5589317.2608000003</v>
      </c>
      <c r="G232" s="112">
        <v>6986646.5760000004</v>
      </c>
      <c r="H232" s="252">
        <v>1020000</v>
      </c>
      <c r="I232" s="252">
        <v>5100000</v>
      </c>
      <c r="J232" s="253">
        <v>6120000</v>
      </c>
      <c r="K232" s="186">
        <f>1397329.3152-1000</f>
        <v>1396329.3152000001</v>
      </c>
      <c r="L232" s="186">
        <v>5589317.2608000003</v>
      </c>
      <c r="M232" s="187">
        <f t="shared" si="22"/>
        <v>6985646.5760000004</v>
      </c>
      <c r="N232" s="99">
        <f t="shared" si="23"/>
        <v>1020000</v>
      </c>
      <c r="O232" s="73">
        <f t="shared" si="24"/>
        <v>5100000</v>
      </c>
      <c r="P232" s="73">
        <f t="shared" si="25"/>
        <v>6120000</v>
      </c>
      <c r="Q232" s="301">
        <f t="shared" si="26"/>
        <v>948600</v>
      </c>
      <c r="R232" s="301">
        <f t="shared" si="27"/>
        <v>4743000</v>
      </c>
      <c r="S232" s="300">
        <f t="shared" si="28"/>
        <v>5691600</v>
      </c>
    </row>
    <row r="233" spans="1:19" ht="15" x14ac:dyDescent="0.2">
      <c r="A233" s="36">
        <v>218</v>
      </c>
      <c r="B233" s="47" t="s">
        <v>64</v>
      </c>
      <c r="C233" s="62" t="s">
        <v>153</v>
      </c>
      <c r="D233" s="111">
        <v>218061.40968082577</v>
      </c>
      <c r="E233" s="112">
        <v>63237.808807439462</v>
      </c>
      <c r="F233" s="112">
        <v>252951.23522975791</v>
      </c>
      <c r="G233" s="112">
        <v>316189.04403719737</v>
      </c>
      <c r="H233" s="252">
        <v>50000</v>
      </c>
      <c r="I233" s="252">
        <v>250000</v>
      </c>
      <c r="J233" s="253">
        <v>300000</v>
      </c>
      <c r="K233" s="186">
        <f>63237.8088074395-1000</f>
        <v>62237.808807439498</v>
      </c>
      <c r="L233" s="186">
        <v>252951.23522975791</v>
      </c>
      <c r="M233" s="187">
        <f t="shared" si="22"/>
        <v>315189.04403719743</v>
      </c>
      <c r="N233" s="99">
        <f t="shared" si="23"/>
        <v>50000</v>
      </c>
      <c r="O233" s="73">
        <f t="shared" si="24"/>
        <v>250000</v>
      </c>
      <c r="P233" s="73">
        <f t="shared" si="25"/>
        <v>300000</v>
      </c>
      <c r="Q233" s="301">
        <f t="shared" si="26"/>
        <v>46500</v>
      </c>
      <c r="R233" s="301">
        <f t="shared" si="27"/>
        <v>232500</v>
      </c>
      <c r="S233" s="300">
        <f t="shared" si="28"/>
        <v>279000</v>
      </c>
    </row>
    <row r="234" spans="1:19" ht="15" x14ac:dyDescent="0.2">
      <c r="A234" s="36">
        <v>219</v>
      </c>
      <c r="B234" s="47" t="s">
        <v>88</v>
      </c>
      <c r="C234" s="62" t="s">
        <v>153</v>
      </c>
      <c r="D234" s="111">
        <v>286563.88748251111</v>
      </c>
      <c r="E234" s="112">
        <v>83103.527369928197</v>
      </c>
      <c r="F234" s="112">
        <v>332414.1094797129</v>
      </c>
      <c r="G234" s="112">
        <v>415517.6368496411</v>
      </c>
      <c r="H234" s="252">
        <v>66000</v>
      </c>
      <c r="I234" s="252">
        <v>330000</v>
      </c>
      <c r="J234" s="253">
        <v>396000</v>
      </c>
      <c r="K234" s="186">
        <f>83103.5273699282-1000</f>
        <v>82103.527369928197</v>
      </c>
      <c r="L234" s="186">
        <v>332414.1094797129</v>
      </c>
      <c r="M234" s="187">
        <f t="shared" si="22"/>
        <v>414517.6368496411</v>
      </c>
      <c r="N234" s="99">
        <f t="shared" si="23"/>
        <v>66000</v>
      </c>
      <c r="O234" s="73">
        <f t="shared" si="24"/>
        <v>330000</v>
      </c>
      <c r="P234" s="73">
        <f t="shared" si="25"/>
        <v>396000</v>
      </c>
      <c r="Q234" s="301">
        <f t="shared" si="26"/>
        <v>61380</v>
      </c>
      <c r="R234" s="301">
        <f t="shared" si="27"/>
        <v>306900</v>
      </c>
      <c r="S234" s="300">
        <f t="shared" si="28"/>
        <v>368280</v>
      </c>
    </row>
    <row r="235" spans="1:19" ht="15" x14ac:dyDescent="0.2">
      <c r="A235" s="36">
        <v>220</v>
      </c>
      <c r="B235" s="47" t="s">
        <v>330</v>
      </c>
      <c r="C235" s="62" t="s">
        <v>153</v>
      </c>
      <c r="D235" s="111">
        <v>40580.084999999999</v>
      </c>
      <c r="E235" s="112">
        <v>12174.025499999996</v>
      </c>
      <c r="F235" s="112">
        <v>48696.102000000006</v>
      </c>
      <c r="G235" s="112">
        <v>60870.127500000002</v>
      </c>
      <c r="H235" s="252">
        <v>10200</v>
      </c>
      <c r="I235" s="252">
        <v>51000</v>
      </c>
      <c r="J235" s="253">
        <v>61200</v>
      </c>
      <c r="K235" s="186">
        <f>12174.0255-500</f>
        <v>11674.0255</v>
      </c>
      <c r="L235" s="186">
        <v>48696.102000000006</v>
      </c>
      <c r="M235" s="187">
        <f t="shared" si="22"/>
        <v>60370.127500000002</v>
      </c>
      <c r="N235" s="99">
        <f t="shared" si="23"/>
        <v>10200</v>
      </c>
      <c r="O235" s="73">
        <f t="shared" si="24"/>
        <v>48696.102000000006</v>
      </c>
      <c r="P235" s="73">
        <f t="shared" si="25"/>
        <v>58896.102000000006</v>
      </c>
      <c r="Q235" s="301">
        <f t="shared" si="26"/>
        <v>9486</v>
      </c>
      <c r="R235" s="301">
        <f t="shared" si="27"/>
        <v>45287.374860000004</v>
      </c>
      <c r="S235" s="300">
        <f t="shared" si="28"/>
        <v>54773.374860000004</v>
      </c>
    </row>
    <row r="236" spans="1:19" ht="15" x14ac:dyDescent="0.2">
      <c r="A236" s="36">
        <v>221</v>
      </c>
      <c r="B236" s="47" t="s">
        <v>331</v>
      </c>
      <c r="C236" s="62" t="s">
        <v>153</v>
      </c>
      <c r="D236" s="111">
        <v>40580.084999999999</v>
      </c>
      <c r="E236" s="112">
        <v>12174.025499999996</v>
      </c>
      <c r="F236" s="112">
        <v>48696.102000000006</v>
      </c>
      <c r="G236" s="112">
        <v>60870.127500000002</v>
      </c>
      <c r="H236" s="252">
        <v>10200</v>
      </c>
      <c r="I236" s="252">
        <v>51000</v>
      </c>
      <c r="J236" s="253">
        <v>61200</v>
      </c>
      <c r="K236" s="186">
        <f>12174.0255-500</f>
        <v>11674.0255</v>
      </c>
      <c r="L236" s="186">
        <v>48696.102000000006</v>
      </c>
      <c r="M236" s="187">
        <f t="shared" si="22"/>
        <v>60370.127500000002</v>
      </c>
      <c r="N236" s="99">
        <f t="shared" si="23"/>
        <v>10200</v>
      </c>
      <c r="O236" s="73">
        <f t="shared" si="24"/>
        <v>48696.102000000006</v>
      </c>
      <c r="P236" s="73">
        <f t="shared" si="25"/>
        <v>58896.102000000006</v>
      </c>
      <c r="Q236" s="301">
        <f t="shared" si="26"/>
        <v>9486</v>
      </c>
      <c r="R236" s="301">
        <f t="shared" si="27"/>
        <v>45287.374860000004</v>
      </c>
      <c r="S236" s="300">
        <f t="shared" si="28"/>
        <v>54773.374860000004</v>
      </c>
    </row>
    <row r="237" spans="1:19" ht="22.5" x14ac:dyDescent="0.25">
      <c r="A237" s="36"/>
      <c r="B237" s="29" t="s">
        <v>98</v>
      </c>
      <c r="C237" s="62" t="s">
        <v>153</v>
      </c>
      <c r="D237" s="111"/>
      <c r="E237" s="112"/>
      <c r="F237" s="112"/>
      <c r="G237" s="112"/>
      <c r="H237" s="252">
        <v>0</v>
      </c>
      <c r="I237" s="252"/>
      <c r="J237" s="253">
        <v>0</v>
      </c>
      <c r="K237" s="188"/>
      <c r="L237" s="189"/>
      <c r="M237" s="187">
        <f t="shared" si="22"/>
        <v>0</v>
      </c>
      <c r="N237" s="99">
        <f t="shared" si="23"/>
        <v>0</v>
      </c>
      <c r="O237" s="73">
        <f t="shared" si="24"/>
        <v>0</v>
      </c>
      <c r="P237" s="73">
        <f t="shared" si="25"/>
        <v>0</v>
      </c>
      <c r="Q237" s="301">
        <f t="shared" si="26"/>
        <v>0</v>
      </c>
      <c r="R237" s="301">
        <f t="shared" si="27"/>
        <v>0</v>
      </c>
      <c r="S237" s="300">
        <f t="shared" si="28"/>
        <v>0</v>
      </c>
    </row>
    <row r="238" spans="1:19" ht="15" x14ac:dyDescent="0.25">
      <c r="A238" s="36">
        <v>222</v>
      </c>
      <c r="B238" s="50" t="s">
        <v>253</v>
      </c>
      <c r="C238" s="62" t="s">
        <v>153</v>
      </c>
      <c r="D238" s="111">
        <v>250474.06933377543</v>
      </c>
      <c r="E238" s="112">
        <v>72637.480106794857</v>
      </c>
      <c r="F238" s="112">
        <v>290549.92042717949</v>
      </c>
      <c r="G238" s="112">
        <v>363187.40053397435</v>
      </c>
      <c r="H238" s="252">
        <v>58000</v>
      </c>
      <c r="I238" s="252">
        <v>290000</v>
      </c>
      <c r="J238" s="253">
        <v>348000</v>
      </c>
      <c r="K238" s="186">
        <f>72637.4801067949-1000</f>
        <v>71637.480106794901</v>
      </c>
      <c r="L238" s="186">
        <v>290549.92042717949</v>
      </c>
      <c r="M238" s="187">
        <f t="shared" si="22"/>
        <v>362187.4005339744</v>
      </c>
      <c r="N238" s="99">
        <f t="shared" si="23"/>
        <v>58000</v>
      </c>
      <c r="O238" s="73">
        <f t="shared" si="24"/>
        <v>290000</v>
      </c>
      <c r="P238" s="73">
        <f t="shared" si="25"/>
        <v>348000</v>
      </c>
      <c r="Q238" s="301">
        <f t="shared" si="26"/>
        <v>53940</v>
      </c>
      <c r="R238" s="301">
        <f t="shared" si="27"/>
        <v>269700</v>
      </c>
      <c r="S238" s="300">
        <f t="shared" si="28"/>
        <v>323640</v>
      </c>
    </row>
    <row r="239" spans="1:19" ht="15" x14ac:dyDescent="0.25">
      <c r="A239" s="36">
        <v>223</v>
      </c>
      <c r="B239" s="50" t="s">
        <v>254</v>
      </c>
      <c r="C239" s="62" t="s">
        <v>153</v>
      </c>
      <c r="D239" s="111">
        <v>79252.507747254276</v>
      </c>
      <c r="E239" s="112">
        <v>23775.752324176283</v>
      </c>
      <c r="F239" s="112">
        <v>95103.009296705131</v>
      </c>
      <c r="G239" s="112">
        <v>118878.76162088141</v>
      </c>
      <c r="H239" s="252">
        <v>18800</v>
      </c>
      <c r="I239" s="252">
        <v>94000</v>
      </c>
      <c r="J239" s="253">
        <v>112800</v>
      </c>
      <c r="K239" s="186">
        <f>23775.7523241763-500</f>
        <v>23275.752324176301</v>
      </c>
      <c r="L239" s="186">
        <v>95103.009296705131</v>
      </c>
      <c r="M239" s="187">
        <f t="shared" si="22"/>
        <v>118378.76162088143</v>
      </c>
      <c r="N239" s="99">
        <f t="shared" si="23"/>
        <v>18800</v>
      </c>
      <c r="O239" s="73">
        <f t="shared" si="24"/>
        <v>94000</v>
      </c>
      <c r="P239" s="73">
        <f t="shared" si="25"/>
        <v>112800</v>
      </c>
      <c r="Q239" s="301">
        <f t="shared" si="26"/>
        <v>17484</v>
      </c>
      <c r="R239" s="301">
        <f t="shared" si="27"/>
        <v>87420</v>
      </c>
      <c r="S239" s="300">
        <f t="shared" si="28"/>
        <v>104904</v>
      </c>
    </row>
    <row r="240" spans="1:19" ht="15" x14ac:dyDescent="0.25">
      <c r="A240" s="36">
        <v>224</v>
      </c>
      <c r="B240" s="39" t="s">
        <v>453</v>
      </c>
      <c r="C240" s="62" t="s">
        <v>153</v>
      </c>
      <c r="D240" s="111">
        <v>1008518.7840000001</v>
      </c>
      <c r="E240" s="112">
        <v>292470.44735999987</v>
      </c>
      <c r="F240" s="112">
        <v>1169881.7894400002</v>
      </c>
      <c r="G240" s="112">
        <v>1462352.2368000001</v>
      </c>
      <c r="H240" s="252">
        <v>220000</v>
      </c>
      <c r="I240" s="252">
        <v>1100000</v>
      </c>
      <c r="J240" s="253">
        <v>1320000</v>
      </c>
      <c r="K240" s="186">
        <f>292470.44736-1000</f>
        <v>291470.44735999999</v>
      </c>
      <c r="L240" s="186">
        <v>1169881.7894400002</v>
      </c>
      <c r="M240" s="187">
        <f t="shared" si="22"/>
        <v>1461352.2368000001</v>
      </c>
      <c r="N240" s="99">
        <f t="shared" si="23"/>
        <v>220000</v>
      </c>
      <c r="O240" s="73">
        <f t="shared" si="24"/>
        <v>1100000</v>
      </c>
      <c r="P240" s="73">
        <f t="shared" si="25"/>
        <v>1320000</v>
      </c>
      <c r="Q240" s="301">
        <f t="shared" si="26"/>
        <v>204600</v>
      </c>
      <c r="R240" s="301">
        <f t="shared" si="27"/>
        <v>1023000</v>
      </c>
      <c r="S240" s="300">
        <f t="shared" si="28"/>
        <v>1227600</v>
      </c>
    </row>
    <row r="241" spans="1:19" ht="15" x14ac:dyDescent="0.25">
      <c r="A241" s="36">
        <v>225</v>
      </c>
      <c r="B241" s="39" t="s">
        <v>256</v>
      </c>
      <c r="C241" s="62" t="s">
        <v>153</v>
      </c>
      <c r="D241" s="111">
        <v>189571.20000000001</v>
      </c>
      <c r="E241" s="112">
        <v>54975.647999999986</v>
      </c>
      <c r="F241" s="112">
        <v>219902.592</v>
      </c>
      <c r="G241" s="112">
        <v>274878.24</v>
      </c>
      <c r="H241" s="252">
        <v>48000</v>
      </c>
      <c r="I241" s="252">
        <v>240000</v>
      </c>
      <c r="J241" s="253">
        <v>288000</v>
      </c>
      <c r="K241" s="186">
        <f>54975.648-1000</f>
        <v>53975.648000000001</v>
      </c>
      <c r="L241" s="186">
        <v>219902.592</v>
      </c>
      <c r="M241" s="187">
        <f t="shared" si="22"/>
        <v>273878.24</v>
      </c>
      <c r="N241" s="99">
        <f t="shared" si="23"/>
        <v>48000</v>
      </c>
      <c r="O241" s="73">
        <f t="shared" si="24"/>
        <v>219902.592</v>
      </c>
      <c r="P241" s="73">
        <f t="shared" si="25"/>
        <v>267902.592</v>
      </c>
      <c r="Q241" s="301">
        <f t="shared" si="26"/>
        <v>44640</v>
      </c>
      <c r="R241" s="301">
        <f t="shared" si="27"/>
        <v>204509.41055999999</v>
      </c>
      <c r="S241" s="300">
        <f t="shared" si="28"/>
        <v>249149.41055999999</v>
      </c>
    </row>
    <row r="242" spans="1:19" ht="15" x14ac:dyDescent="0.2">
      <c r="A242" s="36">
        <v>226</v>
      </c>
      <c r="B242" s="47" t="s">
        <v>69</v>
      </c>
      <c r="C242" s="62" t="s">
        <v>153</v>
      </c>
      <c r="D242" s="111">
        <v>90522.83458900002</v>
      </c>
      <c r="E242" s="112">
        <v>27156.850376699993</v>
      </c>
      <c r="F242" s="112">
        <v>108627.40150680003</v>
      </c>
      <c r="G242" s="112">
        <v>135784.25188350002</v>
      </c>
      <c r="H242" s="252">
        <v>20000</v>
      </c>
      <c r="I242" s="252">
        <v>100000</v>
      </c>
      <c r="J242" s="253">
        <v>120000</v>
      </c>
      <c r="K242" s="186">
        <f>27156.8503767-1000</f>
        <v>26156.8503767</v>
      </c>
      <c r="L242" s="186">
        <v>108627.40150680003</v>
      </c>
      <c r="M242" s="187">
        <f t="shared" si="22"/>
        <v>134784.25188350002</v>
      </c>
      <c r="N242" s="99">
        <f t="shared" si="23"/>
        <v>20000</v>
      </c>
      <c r="O242" s="73">
        <f t="shared" si="24"/>
        <v>100000</v>
      </c>
      <c r="P242" s="73">
        <f t="shared" si="25"/>
        <v>120000</v>
      </c>
      <c r="Q242" s="301">
        <f t="shared" si="26"/>
        <v>18600</v>
      </c>
      <c r="R242" s="301">
        <f t="shared" si="27"/>
        <v>93000</v>
      </c>
      <c r="S242" s="300">
        <f t="shared" si="28"/>
        <v>111600</v>
      </c>
    </row>
    <row r="243" spans="1:19" ht="15" x14ac:dyDescent="0.2">
      <c r="A243" s="36">
        <v>227</v>
      </c>
      <c r="B243" s="47" t="s">
        <v>70</v>
      </c>
      <c r="C243" s="62" t="s">
        <v>153</v>
      </c>
      <c r="D243" s="111">
        <v>661121.82565000001</v>
      </c>
      <c r="E243" s="112">
        <v>191725.32943849999</v>
      </c>
      <c r="F243" s="112">
        <v>766901.31775399996</v>
      </c>
      <c r="G243" s="112">
        <v>958626.64719249995</v>
      </c>
      <c r="H243" s="252">
        <v>150000</v>
      </c>
      <c r="I243" s="252">
        <v>750000</v>
      </c>
      <c r="J243" s="253">
        <v>900000</v>
      </c>
      <c r="K243" s="186">
        <f>191725.3294385-1000</f>
        <v>190725.32943849999</v>
      </c>
      <c r="L243" s="186">
        <v>766901.31775399996</v>
      </c>
      <c r="M243" s="187">
        <f t="shared" si="22"/>
        <v>957626.64719249995</v>
      </c>
      <c r="N243" s="99">
        <f t="shared" si="23"/>
        <v>150000</v>
      </c>
      <c r="O243" s="73">
        <f t="shared" si="24"/>
        <v>750000</v>
      </c>
      <c r="P243" s="73">
        <f t="shared" si="25"/>
        <v>900000</v>
      </c>
      <c r="Q243" s="301">
        <f t="shared" si="26"/>
        <v>139500</v>
      </c>
      <c r="R243" s="301">
        <f t="shared" si="27"/>
        <v>697500</v>
      </c>
      <c r="S243" s="300">
        <f t="shared" si="28"/>
        <v>837000</v>
      </c>
    </row>
    <row r="244" spans="1:19" ht="15" x14ac:dyDescent="0.2">
      <c r="A244" s="36">
        <v>228</v>
      </c>
      <c r="B244" s="47" t="s">
        <v>1</v>
      </c>
      <c r="C244" s="62" t="s">
        <v>153</v>
      </c>
      <c r="D244" s="111">
        <v>137309.91763500002</v>
      </c>
      <c r="E244" s="112">
        <v>39819.876114149985</v>
      </c>
      <c r="F244" s="112">
        <v>159279.50445660003</v>
      </c>
      <c r="G244" s="112">
        <v>199099.38057075001</v>
      </c>
      <c r="H244" s="252">
        <v>32000</v>
      </c>
      <c r="I244" s="252">
        <v>160000</v>
      </c>
      <c r="J244" s="253">
        <v>192000</v>
      </c>
      <c r="K244" s="186">
        <f>39819.87611415-1000</f>
        <v>38819.87611415</v>
      </c>
      <c r="L244" s="186">
        <v>159279.50445660003</v>
      </c>
      <c r="M244" s="187">
        <f t="shared" si="22"/>
        <v>198099.38057075004</v>
      </c>
      <c r="N244" s="99">
        <f t="shared" si="23"/>
        <v>32000</v>
      </c>
      <c r="O244" s="73">
        <f t="shared" si="24"/>
        <v>159279.50445660003</v>
      </c>
      <c r="P244" s="73">
        <f t="shared" si="25"/>
        <v>191279.50445660003</v>
      </c>
      <c r="Q244" s="301">
        <f t="shared" si="26"/>
        <v>29760</v>
      </c>
      <c r="R244" s="301">
        <f t="shared" si="27"/>
        <v>148129.93914463802</v>
      </c>
      <c r="S244" s="300">
        <f t="shared" si="28"/>
        <v>177889.93914463802</v>
      </c>
    </row>
    <row r="245" spans="1:19" ht="15" x14ac:dyDescent="0.25">
      <c r="A245" s="36">
        <v>229</v>
      </c>
      <c r="B245" s="50" t="s">
        <v>56</v>
      </c>
      <c r="C245" s="62" t="s">
        <v>153</v>
      </c>
      <c r="D245" s="111">
        <v>74825.94</v>
      </c>
      <c r="E245" s="112">
        <v>22447.781999999992</v>
      </c>
      <c r="F245" s="112">
        <v>89791.128000000012</v>
      </c>
      <c r="G245" s="112">
        <v>112238.91</v>
      </c>
      <c r="H245" s="252">
        <v>19000</v>
      </c>
      <c r="I245" s="252">
        <v>95000</v>
      </c>
      <c r="J245" s="253">
        <v>114000</v>
      </c>
      <c r="K245" s="186">
        <f>22447.782-1000</f>
        <v>21447.781999999999</v>
      </c>
      <c r="L245" s="186">
        <v>89791.128000000012</v>
      </c>
      <c r="M245" s="187">
        <f t="shared" si="22"/>
        <v>111238.91</v>
      </c>
      <c r="N245" s="99">
        <f t="shared" si="23"/>
        <v>19000</v>
      </c>
      <c r="O245" s="73">
        <f t="shared" si="24"/>
        <v>89791.128000000012</v>
      </c>
      <c r="P245" s="73">
        <f t="shared" si="25"/>
        <v>108791.12800000001</v>
      </c>
      <c r="Q245" s="301">
        <f t="shared" si="26"/>
        <v>17670</v>
      </c>
      <c r="R245" s="301">
        <f t="shared" si="27"/>
        <v>83505.74904000001</v>
      </c>
      <c r="S245" s="300">
        <f t="shared" si="28"/>
        <v>101175.74904000001</v>
      </c>
    </row>
    <row r="246" spans="1:19" ht="15" x14ac:dyDescent="0.25">
      <c r="A246" s="36">
        <v>230</v>
      </c>
      <c r="B246" s="50" t="s">
        <v>57</v>
      </c>
      <c r="C246" s="62" t="s">
        <v>153</v>
      </c>
      <c r="D246" s="111">
        <v>28891.38</v>
      </c>
      <c r="E246" s="112">
        <v>18000</v>
      </c>
      <c r="F246" s="112">
        <v>72000</v>
      </c>
      <c r="G246" s="112">
        <v>90000</v>
      </c>
      <c r="H246" s="252">
        <v>8000</v>
      </c>
      <c r="I246" s="252">
        <v>40000</v>
      </c>
      <c r="J246" s="253">
        <v>48000</v>
      </c>
      <c r="K246" s="186">
        <f>18000-1000</f>
        <v>17000</v>
      </c>
      <c r="L246" s="186">
        <v>72000</v>
      </c>
      <c r="M246" s="187">
        <f t="shared" si="22"/>
        <v>89000</v>
      </c>
      <c r="N246" s="99">
        <f t="shared" si="23"/>
        <v>8000</v>
      </c>
      <c r="O246" s="73">
        <f t="shared" si="24"/>
        <v>40000</v>
      </c>
      <c r="P246" s="73">
        <f t="shared" si="25"/>
        <v>48000</v>
      </c>
      <c r="Q246" s="301">
        <f t="shared" si="26"/>
        <v>7440</v>
      </c>
      <c r="R246" s="301">
        <f t="shared" si="27"/>
        <v>37200</v>
      </c>
      <c r="S246" s="300">
        <f t="shared" si="28"/>
        <v>44640</v>
      </c>
    </row>
    <row r="247" spans="1:19" ht="15" x14ac:dyDescent="0.25">
      <c r="A247" s="36">
        <v>231</v>
      </c>
      <c r="B247" s="39" t="s">
        <v>257</v>
      </c>
      <c r="C247" s="62" t="s">
        <v>153</v>
      </c>
      <c r="D247" s="111">
        <v>118531.38219999999</v>
      </c>
      <c r="E247" s="112">
        <v>34374.100837999984</v>
      </c>
      <c r="F247" s="112">
        <v>137496.40335199999</v>
      </c>
      <c r="G247" s="112">
        <v>171870.50418999998</v>
      </c>
      <c r="H247" s="252">
        <v>30000</v>
      </c>
      <c r="I247" s="252">
        <v>150000</v>
      </c>
      <c r="J247" s="253">
        <v>180000</v>
      </c>
      <c r="K247" s="186">
        <f>34374.100838-1000</f>
        <v>33374.100837999998</v>
      </c>
      <c r="L247" s="186">
        <v>137496.40335199999</v>
      </c>
      <c r="M247" s="187">
        <f t="shared" si="22"/>
        <v>170870.50419000001</v>
      </c>
      <c r="N247" s="99">
        <f t="shared" si="23"/>
        <v>30000</v>
      </c>
      <c r="O247" s="73">
        <f t="shared" si="24"/>
        <v>137496.40335199999</v>
      </c>
      <c r="P247" s="73">
        <f t="shared" si="25"/>
        <v>167496.40335199999</v>
      </c>
      <c r="Q247" s="301">
        <f t="shared" si="26"/>
        <v>27900</v>
      </c>
      <c r="R247" s="301">
        <f t="shared" si="27"/>
        <v>127871.65511735999</v>
      </c>
      <c r="S247" s="300">
        <f t="shared" si="28"/>
        <v>155771.65511736</v>
      </c>
    </row>
    <row r="248" spans="1:19" ht="15" x14ac:dyDescent="0.25">
      <c r="A248" s="36">
        <v>232</v>
      </c>
      <c r="B248" s="50" t="s">
        <v>258</v>
      </c>
      <c r="C248" s="62" t="s">
        <v>153</v>
      </c>
      <c r="D248" s="111">
        <v>129344.6</v>
      </c>
      <c r="E248" s="112">
        <v>37509.934000000008</v>
      </c>
      <c r="F248" s="112">
        <v>150039.736</v>
      </c>
      <c r="G248" s="112">
        <v>187549.67</v>
      </c>
      <c r="H248" s="252">
        <v>30000</v>
      </c>
      <c r="I248" s="252">
        <v>150000</v>
      </c>
      <c r="J248" s="253">
        <v>180000</v>
      </c>
      <c r="K248" s="186">
        <f>37509.934-1000</f>
        <v>36509.934000000001</v>
      </c>
      <c r="L248" s="186">
        <v>150039.736</v>
      </c>
      <c r="M248" s="187">
        <f t="shared" si="22"/>
        <v>186549.67</v>
      </c>
      <c r="N248" s="99">
        <f t="shared" si="23"/>
        <v>30000</v>
      </c>
      <c r="O248" s="73">
        <f t="shared" si="24"/>
        <v>150000</v>
      </c>
      <c r="P248" s="73">
        <f t="shared" si="25"/>
        <v>180000</v>
      </c>
      <c r="Q248" s="301">
        <f t="shared" si="26"/>
        <v>27900</v>
      </c>
      <c r="R248" s="301">
        <f t="shared" si="27"/>
        <v>139500</v>
      </c>
      <c r="S248" s="300">
        <f t="shared" si="28"/>
        <v>167400</v>
      </c>
    </row>
    <row r="249" spans="1:19" ht="15" x14ac:dyDescent="0.25">
      <c r="A249" s="36">
        <v>233</v>
      </c>
      <c r="B249" s="50" t="s">
        <v>259</v>
      </c>
      <c r="C249" s="62" t="s">
        <v>153</v>
      </c>
      <c r="D249" s="111">
        <v>23696.400000000001</v>
      </c>
      <c r="E249" s="112">
        <v>7108.9199999999983</v>
      </c>
      <c r="F249" s="112">
        <v>28435.680000000008</v>
      </c>
      <c r="G249" s="112">
        <v>35544.600000000006</v>
      </c>
      <c r="H249" s="252">
        <v>6000</v>
      </c>
      <c r="I249" s="252">
        <v>30000</v>
      </c>
      <c r="J249" s="253">
        <v>36000</v>
      </c>
      <c r="K249" s="186">
        <f>7108.92-1000</f>
        <v>6108.92</v>
      </c>
      <c r="L249" s="186">
        <v>28435.680000000008</v>
      </c>
      <c r="M249" s="187">
        <f t="shared" si="22"/>
        <v>34544.600000000006</v>
      </c>
      <c r="N249" s="99">
        <f t="shared" si="23"/>
        <v>6000</v>
      </c>
      <c r="O249" s="73">
        <f t="shared" si="24"/>
        <v>28435.680000000008</v>
      </c>
      <c r="P249" s="73">
        <f t="shared" si="25"/>
        <v>34435.680000000008</v>
      </c>
      <c r="Q249" s="301">
        <f t="shared" si="26"/>
        <v>5580</v>
      </c>
      <c r="R249" s="301">
        <f t="shared" si="27"/>
        <v>26445.182400000005</v>
      </c>
      <c r="S249" s="300">
        <f t="shared" si="28"/>
        <v>32025.182400000005</v>
      </c>
    </row>
    <row r="250" spans="1:19" ht="15" x14ac:dyDescent="0.25">
      <c r="A250" s="36">
        <v>234</v>
      </c>
      <c r="B250" s="46" t="s">
        <v>260</v>
      </c>
      <c r="C250" s="62" t="s">
        <v>153</v>
      </c>
      <c r="D250" s="111">
        <v>29415.944599999999</v>
      </c>
      <c r="E250" s="112">
        <v>8824.7833800000008</v>
      </c>
      <c r="F250" s="112">
        <v>35299.133519999996</v>
      </c>
      <c r="G250" s="112">
        <v>44123.916899999997</v>
      </c>
      <c r="H250" s="252">
        <v>7400</v>
      </c>
      <c r="I250" s="252">
        <v>37000</v>
      </c>
      <c r="J250" s="253">
        <v>44400</v>
      </c>
      <c r="K250" s="186">
        <f>8824.78338-1000</f>
        <v>7824.7833800000008</v>
      </c>
      <c r="L250" s="186">
        <v>35299.133519999996</v>
      </c>
      <c r="M250" s="187">
        <f t="shared" si="22"/>
        <v>43123.916899999997</v>
      </c>
      <c r="N250" s="99">
        <f t="shared" si="23"/>
        <v>7400</v>
      </c>
      <c r="O250" s="73">
        <f t="shared" si="24"/>
        <v>35299.133519999996</v>
      </c>
      <c r="P250" s="73">
        <f t="shared" si="25"/>
        <v>42699.133519999996</v>
      </c>
      <c r="Q250" s="301">
        <f t="shared" si="26"/>
        <v>6882</v>
      </c>
      <c r="R250" s="301">
        <f t="shared" si="27"/>
        <v>32828.194173599994</v>
      </c>
      <c r="S250" s="300">
        <f t="shared" si="28"/>
        <v>39710.194173599994</v>
      </c>
    </row>
    <row r="251" spans="1:19" ht="15" x14ac:dyDescent="0.25">
      <c r="A251" s="36">
        <v>235</v>
      </c>
      <c r="B251" s="42" t="s">
        <v>261</v>
      </c>
      <c r="C251" s="62" t="s">
        <v>153</v>
      </c>
      <c r="D251" s="111">
        <v>205800</v>
      </c>
      <c r="E251" s="112">
        <v>59682</v>
      </c>
      <c r="F251" s="112">
        <v>238728</v>
      </c>
      <c r="G251" s="112">
        <v>298410</v>
      </c>
      <c r="H251" s="252">
        <v>52000</v>
      </c>
      <c r="I251" s="252">
        <v>260000</v>
      </c>
      <c r="J251" s="253">
        <v>312000</v>
      </c>
      <c r="K251" s="186">
        <f>59682-1000</f>
        <v>58682</v>
      </c>
      <c r="L251" s="186">
        <v>238728</v>
      </c>
      <c r="M251" s="187">
        <f t="shared" si="22"/>
        <v>297410</v>
      </c>
      <c r="N251" s="99">
        <f t="shared" si="23"/>
        <v>52000</v>
      </c>
      <c r="O251" s="73">
        <f t="shared" si="24"/>
        <v>238728</v>
      </c>
      <c r="P251" s="73">
        <f t="shared" si="25"/>
        <v>290728</v>
      </c>
      <c r="Q251" s="301">
        <f t="shared" si="26"/>
        <v>48360</v>
      </c>
      <c r="R251" s="301">
        <f t="shared" si="27"/>
        <v>222017.04</v>
      </c>
      <c r="S251" s="300">
        <f t="shared" si="28"/>
        <v>270377.04000000004</v>
      </c>
    </row>
    <row r="252" spans="1:19" ht="15" x14ac:dyDescent="0.25">
      <c r="A252" s="36">
        <v>236</v>
      </c>
      <c r="B252" s="46" t="s">
        <v>263</v>
      </c>
      <c r="C252" s="62" t="s">
        <v>153</v>
      </c>
      <c r="D252" s="111">
        <v>510041.63700000005</v>
      </c>
      <c r="E252" s="112">
        <v>147912.07472999999</v>
      </c>
      <c r="F252" s="112">
        <v>591648.29892000009</v>
      </c>
      <c r="G252" s="112">
        <v>739560.37365000008</v>
      </c>
      <c r="H252" s="252">
        <v>108000</v>
      </c>
      <c r="I252" s="252">
        <v>540000</v>
      </c>
      <c r="J252" s="253">
        <v>648000</v>
      </c>
      <c r="K252" s="186">
        <f>147912.07473-1000</f>
        <v>146912.07472999999</v>
      </c>
      <c r="L252" s="186">
        <v>591648.29892000009</v>
      </c>
      <c r="M252" s="187">
        <f t="shared" si="22"/>
        <v>738560.37365000008</v>
      </c>
      <c r="N252" s="99">
        <f t="shared" si="23"/>
        <v>108000</v>
      </c>
      <c r="O252" s="73">
        <f t="shared" si="24"/>
        <v>540000</v>
      </c>
      <c r="P252" s="73">
        <f t="shared" si="25"/>
        <v>648000</v>
      </c>
      <c r="Q252" s="301">
        <f t="shared" si="26"/>
        <v>100440</v>
      </c>
      <c r="R252" s="301">
        <f t="shared" si="27"/>
        <v>502200</v>
      </c>
      <c r="S252" s="300">
        <f t="shared" si="28"/>
        <v>602640</v>
      </c>
    </row>
    <row r="253" spans="1:19" ht="15" x14ac:dyDescent="0.25">
      <c r="A253" s="36">
        <v>237</v>
      </c>
      <c r="B253" s="46" t="s">
        <v>262</v>
      </c>
      <c r="C253" s="62" t="s">
        <v>153</v>
      </c>
      <c r="D253" s="111">
        <v>580000</v>
      </c>
      <c r="E253" s="112">
        <v>168200</v>
      </c>
      <c r="F253" s="112">
        <v>672800</v>
      </c>
      <c r="G253" s="112">
        <v>841000</v>
      </c>
      <c r="H253" s="252">
        <v>112000</v>
      </c>
      <c r="I253" s="252">
        <v>560000</v>
      </c>
      <c r="J253" s="253">
        <v>672000</v>
      </c>
      <c r="K253" s="186">
        <f>168200-1000</f>
        <v>167200</v>
      </c>
      <c r="L253" s="186">
        <v>672800</v>
      </c>
      <c r="M253" s="187">
        <f t="shared" si="22"/>
        <v>840000</v>
      </c>
      <c r="N253" s="99">
        <f t="shared" si="23"/>
        <v>112000</v>
      </c>
      <c r="O253" s="73">
        <f t="shared" si="24"/>
        <v>560000</v>
      </c>
      <c r="P253" s="73">
        <f t="shared" si="25"/>
        <v>672000</v>
      </c>
      <c r="Q253" s="301">
        <f t="shared" si="26"/>
        <v>104160</v>
      </c>
      <c r="R253" s="301">
        <f t="shared" si="27"/>
        <v>520800</v>
      </c>
      <c r="S253" s="300">
        <f t="shared" si="28"/>
        <v>624960</v>
      </c>
    </row>
    <row r="254" spans="1:19" ht="22.5" x14ac:dyDescent="0.25">
      <c r="A254" s="43"/>
      <c r="B254" s="29" t="s">
        <v>62</v>
      </c>
      <c r="C254" s="62" t="s">
        <v>153</v>
      </c>
      <c r="D254" s="111"/>
      <c r="E254" s="112"/>
      <c r="F254" s="112"/>
      <c r="G254" s="112"/>
      <c r="H254" s="252">
        <v>0</v>
      </c>
      <c r="I254" s="252"/>
      <c r="J254" s="253">
        <v>0</v>
      </c>
      <c r="K254" s="188"/>
      <c r="L254" s="189"/>
      <c r="M254" s="187">
        <f t="shared" si="22"/>
        <v>0</v>
      </c>
      <c r="N254" s="99">
        <f t="shared" si="23"/>
        <v>0</v>
      </c>
      <c r="O254" s="73">
        <f t="shared" si="24"/>
        <v>0</v>
      </c>
      <c r="P254" s="73">
        <f t="shared" si="25"/>
        <v>0</v>
      </c>
      <c r="Q254" s="301">
        <f t="shared" si="26"/>
        <v>0</v>
      </c>
      <c r="R254" s="301">
        <f t="shared" si="27"/>
        <v>0</v>
      </c>
      <c r="S254" s="300">
        <f t="shared" si="28"/>
        <v>0</v>
      </c>
    </row>
    <row r="255" spans="1:19" ht="22.5" x14ac:dyDescent="0.25">
      <c r="A255" s="78">
        <v>239</v>
      </c>
      <c r="B255" s="50" t="s">
        <v>384</v>
      </c>
      <c r="C255" s="62" t="s">
        <v>153</v>
      </c>
      <c r="D255" s="111">
        <v>152566.57515000002</v>
      </c>
      <c r="E255" s="114">
        <v>414144.70211928501</v>
      </c>
      <c r="F255" s="114">
        <v>456578.80847713898</v>
      </c>
      <c r="G255" s="114">
        <f t="shared" ref="G255:G257" si="29">E255+F255</f>
        <v>870723.51059642399</v>
      </c>
      <c r="H255" s="252">
        <v>40000</v>
      </c>
      <c r="I255" s="252">
        <v>200000</v>
      </c>
      <c r="J255" s="253">
        <v>240000</v>
      </c>
      <c r="K255" s="190">
        <f>414144.702119285-1000</f>
        <v>413144.70211928501</v>
      </c>
      <c r="L255" s="190">
        <v>456578.80847713898</v>
      </c>
      <c r="M255" s="187">
        <f t="shared" si="22"/>
        <v>869723.51059642399</v>
      </c>
      <c r="N255" s="99">
        <f t="shared" si="23"/>
        <v>40000</v>
      </c>
      <c r="O255" s="73">
        <f t="shared" si="24"/>
        <v>200000</v>
      </c>
      <c r="P255" s="73">
        <f t="shared" si="25"/>
        <v>240000</v>
      </c>
      <c r="Q255" s="301">
        <f t="shared" si="26"/>
        <v>37200</v>
      </c>
      <c r="R255" s="301">
        <f t="shared" si="27"/>
        <v>186000</v>
      </c>
      <c r="S255" s="300">
        <f t="shared" si="28"/>
        <v>223200</v>
      </c>
    </row>
    <row r="256" spans="1:19" ht="15" x14ac:dyDescent="0.25">
      <c r="A256" s="78">
        <v>240</v>
      </c>
      <c r="B256" s="50" t="s">
        <v>63</v>
      </c>
      <c r="C256" s="62" t="s">
        <v>153</v>
      </c>
      <c r="D256" s="111">
        <v>1637007.7030287909</v>
      </c>
      <c r="E256" s="114">
        <v>575214.20119880885</v>
      </c>
      <c r="F256" s="114">
        <v>2300856.8047952363</v>
      </c>
      <c r="G256" s="114">
        <f t="shared" si="29"/>
        <v>2876071.0059940452</v>
      </c>
      <c r="H256" s="252">
        <v>380000</v>
      </c>
      <c r="I256" s="252">
        <v>1900000</v>
      </c>
      <c r="J256" s="253">
        <v>2280000</v>
      </c>
      <c r="K256" s="190">
        <f>575214.201198809-1000</f>
        <v>574214.20119880897</v>
      </c>
      <c r="L256" s="190">
        <v>2300856.8047952363</v>
      </c>
      <c r="M256" s="187">
        <f t="shared" si="22"/>
        <v>2875071.0059940452</v>
      </c>
      <c r="N256" s="99">
        <f t="shared" si="23"/>
        <v>380000</v>
      </c>
      <c r="O256" s="73">
        <f t="shared" si="24"/>
        <v>1900000</v>
      </c>
      <c r="P256" s="73">
        <f t="shared" si="25"/>
        <v>2280000</v>
      </c>
      <c r="Q256" s="301">
        <f t="shared" si="26"/>
        <v>353400</v>
      </c>
      <c r="R256" s="301">
        <f t="shared" si="27"/>
        <v>1767000</v>
      </c>
      <c r="S256" s="300">
        <f t="shared" si="28"/>
        <v>2120400</v>
      </c>
    </row>
    <row r="257" spans="1:19" ht="15" x14ac:dyDescent="0.25">
      <c r="A257" s="78">
        <v>241</v>
      </c>
      <c r="B257" s="50" t="s">
        <v>134</v>
      </c>
      <c r="C257" s="62" t="s">
        <v>153</v>
      </c>
      <c r="D257" s="111">
        <v>320420.89799999999</v>
      </c>
      <c r="E257" s="114">
        <v>54319.44</v>
      </c>
      <c r="F257" s="114">
        <v>217277.76</v>
      </c>
      <c r="G257" s="114">
        <f t="shared" si="29"/>
        <v>271597.2</v>
      </c>
      <c r="H257" s="252">
        <v>54000</v>
      </c>
      <c r="I257" s="252">
        <v>270000</v>
      </c>
      <c r="J257" s="253">
        <v>324000</v>
      </c>
      <c r="K257" s="190">
        <f>54319.44-1000</f>
        <v>53319.44</v>
      </c>
      <c r="L257" s="190">
        <v>217277.76</v>
      </c>
      <c r="M257" s="187">
        <f>K257+L257</f>
        <v>270597.2</v>
      </c>
      <c r="N257" s="99">
        <f t="shared" si="23"/>
        <v>53319.44</v>
      </c>
      <c r="O257" s="73">
        <f t="shared" si="24"/>
        <v>217277.76</v>
      </c>
      <c r="P257" s="73">
        <f t="shared" si="25"/>
        <v>270597.2</v>
      </c>
      <c r="Q257" s="301">
        <f t="shared" si="26"/>
        <v>49587.0792</v>
      </c>
      <c r="R257" s="301">
        <f t="shared" si="27"/>
        <v>202068.3168</v>
      </c>
      <c r="S257" s="300">
        <f t="shared" si="28"/>
        <v>251655.39600000001</v>
      </c>
    </row>
    <row r="258" spans="1:19" ht="15" x14ac:dyDescent="0.25">
      <c r="A258" s="78">
        <v>242</v>
      </c>
      <c r="B258" s="57" t="s">
        <v>264</v>
      </c>
      <c r="C258" s="62" t="s">
        <v>153</v>
      </c>
      <c r="D258" s="111">
        <v>860750.05037104851</v>
      </c>
      <c r="E258" s="114">
        <v>525754</v>
      </c>
      <c r="F258" s="114">
        <v>249826.14048749101</v>
      </c>
      <c r="G258" s="114">
        <f>E258+F258</f>
        <v>775580.14048749104</v>
      </c>
      <c r="H258" s="252">
        <v>122000</v>
      </c>
      <c r="I258" s="252">
        <v>610000</v>
      </c>
      <c r="J258" s="253">
        <v>732000</v>
      </c>
      <c r="K258" s="190">
        <v>525754</v>
      </c>
      <c r="L258" s="190">
        <v>249826.14048749101</v>
      </c>
      <c r="M258" s="187">
        <f t="shared" ref="M258:M260" si="30">K258+L258</f>
        <v>775580.14048749104</v>
      </c>
      <c r="N258" s="99">
        <f t="shared" si="23"/>
        <v>122000</v>
      </c>
      <c r="O258" s="73">
        <f t="shared" si="24"/>
        <v>249826.14048749101</v>
      </c>
      <c r="P258" s="73">
        <f t="shared" si="25"/>
        <v>371826.14048749104</v>
      </c>
      <c r="Q258" s="301">
        <f t="shared" si="26"/>
        <v>113460</v>
      </c>
      <c r="R258" s="301">
        <f t="shared" si="27"/>
        <v>232338.31065336664</v>
      </c>
      <c r="S258" s="300">
        <f t="shared" si="28"/>
        <v>345798.31065336661</v>
      </c>
    </row>
    <row r="259" spans="1:19" ht="15" x14ac:dyDescent="0.25">
      <c r="A259" s="78">
        <v>243</v>
      </c>
      <c r="B259" s="35" t="s">
        <v>73</v>
      </c>
      <c r="C259" s="62" t="s">
        <v>153</v>
      </c>
      <c r="D259" s="111">
        <v>63798</v>
      </c>
      <c r="E259" s="114">
        <v>19139.399999999994</v>
      </c>
      <c r="F259" s="114">
        <v>76557.600000000006</v>
      </c>
      <c r="G259" s="114">
        <v>95697</v>
      </c>
      <c r="H259" s="252">
        <v>16000</v>
      </c>
      <c r="I259" s="252">
        <v>80000</v>
      </c>
      <c r="J259" s="253">
        <v>96000</v>
      </c>
      <c r="K259" s="190">
        <f>19139.4-1000</f>
        <v>18139.400000000001</v>
      </c>
      <c r="L259" s="190">
        <v>76557.600000000006</v>
      </c>
      <c r="M259" s="187">
        <f t="shared" si="30"/>
        <v>94697</v>
      </c>
      <c r="N259" s="99">
        <f t="shared" si="23"/>
        <v>16000</v>
      </c>
      <c r="O259" s="73">
        <f t="shared" si="24"/>
        <v>76557.600000000006</v>
      </c>
      <c r="P259" s="73">
        <f t="shared" si="25"/>
        <v>92557.6</v>
      </c>
      <c r="Q259" s="301">
        <f t="shared" si="26"/>
        <v>14880</v>
      </c>
      <c r="R259" s="301">
        <f t="shared" si="27"/>
        <v>71198.567999999999</v>
      </c>
      <c r="S259" s="300">
        <f t="shared" si="28"/>
        <v>86078.567999999999</v>
      </c>
    </row>
    <row r="260" spans="1:19" ht="15" x14ac:dyDescent="0.2">
      <c r="A260" s="124">
        <v>244</v>
      </c>
      <c r="B260" s="101" t="s">
        <v>72</v>
      </c>
      <c r="C260" s="125" t="s">
        <v>153</v>
      </c>
      <c r="D260" s="118">
        <v>857987.77515806386</v>
      </c>
      <c r="E260" s="119">
        <v>296879.58264021482</v>
      </c>
      <c r="F260" s="119">
        <v>1187518.3305608598</v>
      </c>
      <c r="G260" s="119">
        <v>1484397.9132010746</v>
      </c>
      <c r="H260" s="252">
        <v>200000</v>
      </c>
      <c r="I260" s="252">
        <v>1000000</v>
      </c>
      <c r="J260" s="253">
        <v>1200000</v>
      </c>
      <c r="K260" s="190">
        <f>296879.582640215-1000</f>
        <v>295879.582640215</v>
      </c>
      <c r="L260" s="190">
        <v>1187518.3305608598</v>
      </c>
      <c r="M260" s="187">
        <f t="shared" si="30"/>
        <v>1483397.9132010748</v>
      </c>
      <c r="N260" s="99">
        <f t="shared" si="23"/>
        <v>200000</v>
      </c>
      <c r="O260" s="73">
        <f t="shared" si="24"/>
        <v>1000000</v>
      </c>
      <c r="P260" s="73">
        <f t="shared" si="25"/>
        <v>1200000</v>
      </c>
      <c r="Q260" s="301">
        <f t="shared" si="26"/>
        <v>186000</v>
      </c>
      <c r="R260" s="301">
        <f t="shared" si="27"/>
        <v>930000</v>
      </c>
      <c r="S260" s="300">
        <f t="shared" si="28"/>
        <v>1116000</v>
      </c>
    </row>
    <row r="261" spans="1:19" x14ac:dyDescent="0.25">
      <c r="A261" s="273" t="s">
        <v>491</v>
      </c>
      <c r="B261" s="273"/>
      <c r="C261" s="273"/>
      <c r="D261" s="126">
        <f t="shared" ref="D261:P261" si="31">SUM(D5:D260)</f>
        <v>148904024.20021927</v>
      </c>
      <c r="E261" s="127">
        <f t="shared" si="31"/>
        <v>44725065.722768694</v>
      </c>
      <c r="F261" s="127">
        <f t="shared" si="31"/>
        <v>175847073.03156227</v>
      </c>
      <c r="G261" s="127">
        <f t="shared" si="31"/>
        <v>220572138.75433099</v>
      </c>
      <c r="H261" s="127">
        <f t="shared" ref="H261:J261" si="32">SUM(H5:H260)</f>
        <v>34777772.799999997</v>
      </c>
      <c r="I261" s="127">
        <f t="shared" si="32"/>
        <v>173888864</v>
      </c>
      <c r="J261" s="127">
        <f t="shared" si="32"/>
        <v>208666636.80000001</v>
      </c>
      <c r="K261" s="147">
        <f t="shared" si="31"/>
        <v>44366165.522768699</v>
      </c>
      <c r="L261" s="147">
        <f>SUM(L5:L260)</f>
        <v>178825073.03156227</v>
      </c>
      <c r="M261" s="147">
        <f>SUM(M5:M260)</f>
        <v>223191238.55433095</v>
      </c>
      <c r="N261" s="128">
        <f t="shared" si="31"/>
        <v>34776208.805399999</v>
      </c>
      <c r="O261" s="107">
        <f t="shared" si="31"/>
        <v>171024403.45884639</v>
      </c>
      <c r="P261" s="137">
        <f t="shared" si="31"/>
        <v>205800612.26424652</v>
      </c>
      <c r="Q261" s="301">
        <f t="shared" si="26"/>
        <v>32341874.189021997</v>
      </c>
      <c r="R261" s="301">
        <f t="shared" si="27"/>
        <v>159052695.21672714</v>
      </c>
      <c r="S261" s="300">
        <f t="shared" si="28"/>
        <v>191394569.40574914</v>
      </c>
    </row>
    <row r="262" spans="1:19" x14ac:dyDescent="0.25">
      <c r="A262" s="273" t="s">
        <v>492</v>
      </c>
      <c r="B262" s="273"/>
      <c r="C262" s="273"/>
      <c r="D262" s="129">
        <v>1</v>
      </c>
      <c r="E262" s="130">
        <f>+E261/G261</f>
        <v>0.20276842748749249</v>
      </c>
      <c r="F262" s="130">
        <f>+F261/G261</f>
        <v>0.79723157251250742</v>
      </c>
      <c r="G262" s="130">
        <f>+E262+F262</f>
        <v>0.99999999999999989</v>
      </c>
      <c r="H262" s="130">
        <f>+H261/J261</f>
        <v>0.16666666666666663</v>
      </c>
      <c r="I262" s="130">
        <f>+I261/J261</f>
        <v>0.83333333333333326</v>
      </c>
      <c r="J262" s="130">
        <f>+H262+I262</f>
        <v>0.99999999999999989</v>
      </c>
      <c r="K262" s="130">
        <f>+K261/M261</f>
        <v>0.19878094592843412</v>
      </c>
      <c r="L262" s="130">
        <f>+L261/M261</f>
        <v>0.80121905407156602</v>
      </c>
      <c r="M262" s="130">
        <f>+K262+L262</f>
        <v>1.0000000000000002</v>
      </c>
      <c r="N262" s="130">
        <f t="shared" ref="N262" si="33">+N261/P261</f>
        <v>0.16898010371683245</v>
      </c>
      <c r="O262" s="130">
        <f t="shared" ref="O262" si="34">+O261/P261</f>
        <v>0.83101989628316686</v>
      </c>
      <c r="P262" s="130">
        <f t="shared" ref="P262" si="35">+N262+O262</f>
        <v>0.99999999999999933</v>
      </c>
      <c r="Q262" s="301">
        <f t="shared" ref="Q262:R262" si="36">N262-(N262*7%)</f>
        <v>0.15715149645665416</v>
      </c>
      <c r="R262" s="301">
        <f t="shared" si="36"/>
        <v>0.77284850354334522</v>
      </c>
      <c r="S262" s="300">
        <f t="shared" ref="S262" si="37">R262+Q262</f>
        <v>0.92999999999999938</v>
      </c>
    </row>
  </sheetData>
  <mergeCells count="8">
    <mergeCell ref="Q3:S3"/>
    <mergeCell ref="N3:P3"/>
    <mergeCell ref="A261:C261"/>
    <mergeCell ref="A262:C262"/>
    <mergeCell ref="K3:M3"/>
    <mergeCell ref="A2:C2"/>
    <mergeCell ref="E3:G3"/>
    <mergeCell ref="H3:J3"/>
  </mergeCells>
  <pageMargins left="0.82677165354330717" right="0.23622047244094491" top="0.74803149606299213" bottom="0.74803149606299213" header="0.31496062992125984" footer="0.31496062992125984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6">
    <tabColor rgb="FF00B0F0"/>
  </sheetPr>
  <dimension ref="A3:S284"/>
  <sheetViews>
    <sheetView topLeftCell="I258" zoomScaleNormal="100" zoomScaleSheetLayoutView="115" workbookViewId="0">
      <selection activeCell="U265" sqref="U265"/>
    </sheetView>
  </sheetViews>
  <sheetFormatPr baseColWidth="10" defaultColWidth="9.140625" defaultRowHeight="11.25" x14ac:dyDescent="0.25"/>
  <cols>
    <col min="1" max="1" width="4.7109375" style="80" customWidth="1"/>
    <col min="2" max="2" width="56.7109375" style="60" customWidth="1"/>
    <col min="3" max="3" width="8.7109375" style="60" customWidth="1"/>
    <col min="4" max="4" width="13.7109375" style="79" customWidth="1"/>
    <col min="5" max="16" width="13.7109375" style="67" customWidth="1"/>
    <col min="17" max="17" width="15.28515625" style="77" customWidth="1"/>
    <col min="18" max="18" width="14.140625" style="77" customWidth="1"/>
    <col min="19" max="19" width="18" style="77" customWidth="1"/>
    <col min="20" max="16384" width="9.140625" style="77"/>
  </cols>
  <sheetData>
    <row r="3" spans="1:19" x14ac:dyDescent="0.25">
      <c r="A3" s="268" t="s">
        <v>476</v>
      </c>
      <c r="B3" s="268"/>
      <c r="C3" s="268"/>
    </row>
    <row r="4" spans="1:19" s="27" customFormat="1" x14ac:dyDescent="0.25">
      <c r="A4" s="28"/>
      <c r="D4" s="26"/>
      <c r="E4" s="269" t="s">
        <v>473</v>
      </c>
      <c r="F4" s="269"/>
      <c r="G4" s="269"/>
      <c r="H4" s="278" t="s">
        <v>572</v>
      </c>
      <c r="I4" s="278"/>
      <c r="J4" s="278"/>
      <c r="K4" s="277" t="s">
        <v>490</v>
      </c>
      <c r="L4" s="277"/>
      <c r="M4" s="277"/>
      <c r="N4" s="266" t="s">
        <v>480</v>
      </c>
      <c r="O4" s="266"/>
      <c r="P4" s="266"/>
      <c r="Q4" s="295" t="s">
        <v>576</v>
      </c>
      <c r="R4" s="296"/>
      <c r="S4" s="297"/>
    </row>
    <row r="5" spans="1:19" ht="45" x14ac:dyDescent="0.25">
      <c r="A5" s="29" t="s">
        <v>0</v>
      </c>
      <c r="B5" s="30" t="s">
        <v>91</v>
      </c>
      <c r="C5" s="45" t="s">
        <v>152</v>
      </c>
      <c r="D5" s="110" t="s">
        <v>472</v>
      </c>
      <c r="E5" s="89" t="s">
        <v>469</v>
      </c>
      <c r="F5" s="89" t="s">
        <v>470</v>
      </c>
      <c r="G5" s="90" t="s">
        <v>471</v>
      </c>
      <c r="H5" s="233" t="s">
        <v>469</v>
      </c>
      <c r="I5" s="233" t="s">
        <v>470</v>
      </c>
      <c r="J5" s="231" t="s">
        <v>471</v>
      </c>
      <c r="K5" s="115" t="s">
        <v>469</v>
      </c>
      <c r="L5" s="115" t="s">
        <v>470</v>
      </c>
      <c r="M5" s="116" t="s">
        <v>471</v>
      </c>
      <c r="N5" s="97" t="s">
        <v>469</v>
      </c>
      <c r="O5" s="97" t="s">
        <v>470</v>
      </c>
      <c r="P5" s="98" t="s">
        <v>471</v>
      </c>
      <c r="Q5" s="298" t="s">
        <v>574</v>
      </c>
      <c r="R5" s="298" t="s">
        <v>575</v>
      </c>
      <c r="S5" s="299" t="s">
        <v>471</v>
      </c>
    </row>
    <row r="6" spans="1:19" ht="33.75" x14ac:dyDescent="0.25">
      <c r="A6" s="36">
        <v>1</v>
      </c>
      <c r="B6" s="32" t="s">
        <v>276</v>
      </c>
      <c r="C6" s="33" t="s">
        <v>153</v>
      </c>
      <c r="D6" s="111">
        <v>6005000.7225720007</v>
      </c>
      <c r="E6" s="112">
        <v>1841133.2215405749</v>
      </c>
      <c r="F6" s="112">
        <v>7364532.8861623025</v>
      </c>
      <c r="G6" s="112">
        <f>E6+F6</f>
        <v>9205666.1077028774</v>
      </c>
      <c r="H6" s="254">
        <f>+I6*20%</f>
        <v>1541000</v>
      </c>
      <c r="I6" s="254">
        <v>7705000</v>
      </c>
      <c r="J6" s="255">
        <f>+I6+H6</f>
        <v>9246000</v>
      </c>
      <c r="K6" s="141">
        <f>1841133.22154057-1000</f>
        <v>1840133.22154057</v>
      </c>
      <c r="L6" s="141">
        <v>7364532.8861623025</v>
      </c>
      <c r="M6" s="142">
        <f>K6+L6</f>
        <v>9204666.1077028718</v>
      </c>
      <c r="N6" s="99">
        <f>MIN(E6,H6,K6)</f>
        <v>1541000</v>
      </c>
      <c r="O6" s="73">
        <f>MIN(F6,I6,L6)</f>
        <v>7364532.8861623025</v>
      </c>
      <c r="P6" s="73">
        <f>O6+N6</f>
        <v>8905532.8861623034</v>
      </c>
      <c r="Q6" s="301">
        <f>N6-(N6*7%)</f>
        <v>1433130</v>
      </c>
      <c r="R6" s="301">
        <f>O6-(O6*7%)</f>
        <v>6849015.584130941</v>
      </c>
      <c r="S6" s="300">
        <f>R6+Q6</f>
        <v>8282145.584130941</v>
      </c>
    </row>
    <row r="7" spans="1:19" ht="12" x14ac:dyDescent="0.25">
      <c r="A7" s="49">
        <v>2</v>
      </c>
      <c r="B7" s="46" t="s">
        <v>277</v>
      </c>
      <c r="C7" s="33" t="s">
        <v>153</v>
      </c>
      <c r="D7" s="111">
        <v>975188.41597300465</v>
      </c>
      <c r="E7" s="112">
        <v>282804.64063217118</v>
      </c>
      <c r="F7" s="112">
        <v>1131218.5625286854</v>
      </c>
      <c r="G7" s="112">
        <f t="shared" ref="G7:G49" si="0">E7+F7</f>
        <v>1414023.2031608566</v>
      </c>
      <c r="H7" s="254">
        <f t="shared" ref="H7:H70" si="1">+I7*20%</f>
        <v>220000</v>
      </c>
      <c r="I7" s="254">
        <v>1100000</v>
      </c>
      <c r="J7" s="255">
        <f t="shared" ref="J7:J70" si="2">+I7+H7</f>
        <v>1320000</v>
      </c>
      <c r="K7" s="141">
        <f>282804.640632171-1000</f>
        <v>281804.64063217101</v>
      </c>
      <c r="L7" s="141">
        <v>1131218.5625286854</v>
      </c>
      <c r="M7" s="142">
        <f t="shared" ref="M7:M70" si="3">K7+L7</f>
        <v>1413023.2031608564</v>
      </c>
      <c r="N7" s="99">
        <f t="shared" ref="N7:N70" si="4">MIN(E7,H7,K7)</f>
        <v>220000</v>
      </c>
      <c r="O7" s="73">
        <f t="shared" ref="O7:O70" si="5">MIN(F7,I7,L7)</f>
        <v>1100000</v>
      </c>
      <c r="P7" s="73">
        <f t="shared" ref="P7:P70" si="6">O7+N7</f>
        <v>1320000</v>
      </c>
      <c r="Q7" s="301">
        <f t="shared" ref="Q7:Q70" si="7">N7-(N7*7%)</f>
        <v>204600</v>
      </c>
      <c r="R7" s="301">
        <f t="shared" ref="R7:R70" si="8">O7-(O7*7%)</f>
        <v>1023000</v>
      </c>
      <c r="S7" s="300">
        <f t="shared" ref="S7:S70" si="9">R7+Q7</f>
        <v>1227600</v>
      </c>
    </row>
    <row r="8" spans="1:19" ht="12" x14ac:dyDescent="0.25">
      <c r="A8" s="36">
        <v>3</v>
      </c>
      <c r="B8" s="46" t="s">
        <v>156</v>
      </c>
      <c r="C8" s="33" t="s">
        <v>153</v>
      </c>
      <c r="D8" s="111">
        <v>325307.00580586912</v>
      </c>
      <c r="E8" s="112">
        <v>94339.031683702022</v>
      </c>
      <c r="F8" s="112">
        <v>377356.1267348082</v>
      </c>
      <c r="G8" s="112">
        <f t="shared" si="0"/>
        <v>471695.15841851023</v>
      </c>
      <c r="H8" s="254">
        <f t="shared" si="1"/>
        <v>76000</v>
      </c>
      <c r="I8" s="254">
        <v>380000</v>
      </c>
      <c r="J8" s="255">
        <f t="shared" si="2"/>
        <v>456000</v>
      </c>
      <c r="K8" s="141">
        <f>94339.031683702-1000</f>
        <v>93339.031683701993</v>
      </c>
      <c r="L8" s="141">
        <v>377356.1267348082</v>
      </c>
      <c r="M8" s="142">
        <f t="shared" si="3"/>
        <v>470695.15841851023</v>
      </c>
      <c r="N8" s="99">
        <f t="shared" si="4"/>
        <v>76000</v>
      </c>
      <c r="O8" s="73">
        <f t="shared" si="5"/>
        <v>377356.1267348082</v>
      </c>
      <c r="P8" s="73">
        <f t="shared" si="6"/>
        <v>453356.1267348082</v>
      </c>
      <c r="Q8" s="301">
        <f t="shared" si="7"/>
        <v>70680</v>
      </c>
      <c r="R8" s="301">
        <f t="shared" si="8"/>
        <v>350941.19786337164</v>
      </c>
      <c r="S8" s="300">
        <f t="shared" si="9"/>
        <v>421621.19786337164</v>
      </c>
    </row>
    <row r="9" spans="1:19" ht="12" x14ac:dyDescent="0.25">
      <c r="A9" s="49">
        <v>4</v>
      </c>
      <c r="B9" s="46" t="s">
        <v>133</v>
      </c>
      <c r="C9" s="33" t="s">
        <v>153</v>
      </c>
      <c r="D9" s="111">
        <v>2366853.7859820002</v>
      </c>
      <c r="E9" s="112">
        <v>725677.37078208104</v>
      </c>
      <c r="F9" s="112">
        <v>2902709.4831283251</v>
      </c>
      <c r="G9" s="112">
        <f t="shared" si="0"/>
        <v>3628386.8539104061</v>
      </c>
      <c r="H9" s="254">
        <f t="shared" si="1"/>
        <v>600000</v>
      </c>
      <c r="I9" s="254">
        <v>3000000</v>
      </c>
      <c r="J9" s="255">
        <f t="shared" si="2"/>
        <v>3600000</v>
      </c>
      <c r="K9" s="141">
        <f>725677.370782081-1000</f>
        <v>724677.37078208104</v>
      </c>
      <c r="L9" s="141">
        <v>2902709.4831283251</v>
      </c>
      <c r="M9" s="142">
        <f t="shared" si="3"/>
        <v>3627386.8539104061</v>
      </c>
      <c r="N9" s="99">
        <f t="shared" si="4"/>
        <v>600000</v>
      </c>
      <c r="O9" s="73">
        <f t="shared" si="5"/>
        <v>2902709.4831283251</v>
      </c>
      <c r="P9" s="73">
        <f t="shared" si="6"/>
        <v>3502709.4831283251</v>
      </c>
      <c r="Q9" s="301">
        <f t="shared" si="7"/>
        <v>558000</v>
      </c>
      <c r="R9" s="301">
        <f t="shared" si="8"/>
        <v>2699519.8193093422</v>
      </c>
      <c r="S9" s="300">
        <f t="shared" si="9"/>
        <v>3257519.8193093422</v>
      </c>
    </row>
    <row r="10" spans="1:19" ht="12" x14ac:dyDescent="0.25">
      <c r="A10" s="36">
        <v>5</v>
      </c>
      <c r="B10" s="46" t="s">
        <v>4</v>
      </c>
      <c r="C10" s="33" t="s">
        <v>153</v>
      </c>
      <c r="D10" s="111">
        <v>1467065.3819279161</v>
      </c>
      <c r="E10" s="112">
        <v>425448.96075909561</v>
      </c>
      <c r="F10" s="112">
        <v>1701795.8430363827</v>
      </c>
      <c r="G10" s="112">
        <f t="shared" si="0"/>
        <v>2127244.8037954783</v>
      </c>
      <c r="H10" s="254">
        <f t="shared" si="1"/>
        <v>340000</v>
      </c>
      <c r="I10" s="254">
        <v>1700000</v>
      </c>
      <c r="J10" s="255">
        <f t="shared" si="2"/>
        <v>2040000</v>
      </c>
      <c r="K10" s="141">
        <f>425448.960759096-1000</f>
        <v>424448.96075909602</v>
      </c>
      <c r="L10" s="141">
        <v>1701795.8430363827</v>
      </c>
      <c r="M10" s="142">
        <f t="shared" si="3"/>
        <v>2126244.8037954788</v>
      </c>
      <c r="N10" s="99">
        <f t="shared" si="4"/>
        <v>340000</v>
      </c>
      <c r="O10" s="73">
        <f t="shared" si="5"/>
        <v>1700000</v>
      </c>
      <c r="P10" s="73">
        <f t="shared" si="6"/>
        <v>2040000</v>
      </c>
      <c r="Q10" s="301">
        <f t="shared" si="7"/>
        <v>316200</v>
      </c>
      <c r="R10" s="301">
        <f t="shared" si="8"/>
        <v>1581000</v>
      </c>
      <c r="S10" s="300">
        <f t="shared" si="9"/>
        <v>1897200</v>
      </c>
    </row>
    <row r="11" spans="1:19" ht="12" x14ac:dyDescent="0.25">
      <c r="A11" s="49">
        <v>6</v>
      </c>
      <c r="B11" s="46" t="s">
        <v>96</v>
      </c>
      <c r="C11" s="33" t="s">
        <v>153</v>
      </c>
      <c r="D11" s="111">
        <v>1004857.9548000001</v>
      </c>
      <c r="E11" s="112">
        <v>291408.80689199991</v>
      </c>
      <c r="F11" s="112">
        <v>1165635.2275680001</v>
      </c>
      <c r="G11" s="112">
        <f t="shared" si="0"/>
        <v>1457044.03446</v>
      </c>
      <c r="H11" s="254">
        <f t="shared" si="1"/>
        <v>194000</v>
      </c>
      <c r="I11" s="254">
        <v>970000</v>
      </c>
      <c r="J11" s="255">
        <f t="shared" si="2"/>
        <v>1164000</v>
      </c>
      <c r="K11" s="141">
        <f>291408.806892-1000</f>
        <v>290408.80689200002</v>
      </c>
      <c r="L11" s="141">
        <v>1165635.2275680001</v>
      </c>
      <c r="M11" s="142">
        <f t="shared" si="3"/>
        <v>1456044.0344600002</v>
      </c>
      <c r="N11" s="99">
        <f t="shared" si="4"/>
        <v>194000</v>
      </c>
      <c r="O11" s="73">
        <f t="shared" si="5"/>
        <v>970000</v>
      </c>
      <c r="P11" s="73">
        <f t="shared" si="6"/>
        <v>1164000</v>
      </c>
      <c r="Q11" s="301">
        <f t="shared" si="7"/>
        <v>180420</v>
      </c>
      <c r="R11" s="301">
        <f t="shared" si="8"/>
        <v>902100</v>
      </c>
      <c r="S11" s="300">
        <f t="shared" si="9"/>
        <v>1082520</v>
      </c>
    </row>
    <row r="12" spans="1:19" ht="12" x14ac:dyDescent="0.25">
      <c r="A12" s="36">
        <v>7</v>
      </c>
      <c r="B12" s="46" t="s">
        <v>8</v>
      </c>
      <c r="C12" s="33" t="s">
        <v>153</v>
      </c>
      <c r="D12" s="111">
        <v>166585.06608333337</v>
      </c>
      <c r="E12" s="112">
        <v>48309.669164166669</v>
      </c>
      <c r="F12" s="112">
        <v>193238.67665666671</v>
      </c>
      <c r="G12" s="112">
        <f t="shared" si="0"/>
        <v>241548.34582083338</v>
      </c>
      <c r="H12" s="254">
        <f t="shared" si="1"/>
        <v>39200</v>
      </c>
      <c r="I12" s="254">
        <v>196000</v>
      </c>
      <c r="J12" s="255">
        <f t="shared" si="2"/>
        <v>235200</v>
      </c>
      <c r="K12" s="141">
        <f>48309.6691641667-1000</f>
        <v>47309.669164166698</v>
      </c>
      <c r="L12" s="141">
        <v>193238.67665666671</v>
      </c>
      <c r="M12" s="142">
        <f t="shared" si="3"/>
        <v>240548.34582083341</v>
      </c>
      <c r="N12" s="99">
        <f t="shared" si="4"/>
        <v>39200</v>
      </c>
      <c r="O12" s="73">
        <f t="shared" si="5"/>
        <v>193238.67665666671</v>
      </c>
      <c r="P12" s="73">
        <f t="shared" si="6"/>
        <v>232438.67665666671</v>
      </c>
      <c r="Q12" s="301">
        <f t="shared" si="7"/>
        <v>36456</v>
      </c>
      <c r="R12" s="301">
        <f t="shared" si="8"/>
        <v>179711.96929070004</v>
      </c>
      <c r="S12" s="300">
        <f t="shared" si="9"/>
        <v>216167.96929070004</v>
      </c>
    </row>
    <row r="13" spans="1:19" ht="12" x14ac:dyDescent="0.25">
      <c r="A13" s="49">
        <v>8</v>
      </c>
      <c r="B13" s="46" t="s">
        <v>157</v>
      </c>
      <c r="C13" s="33" t="s">
        <v>153</v>
      </c>
      <c r="D13" s="111">
        <v>214180.79925000001</v>
      </c>
      <c r="E13" s="112">
        <v>62112.431782500003</v>
      </c>
      <c r="F13" s="112">
        <v>248449.72713000001</v>
      </c>
      <c r="G13" s="112">
        <f t="shared" si="0"/>
        <v>310562.15891250002</v>
      </c>
      <c r="H13" s="254">
        <f t="shared" si="1"/>
        <v>50000</v>
      </c>
      <c r="I13" s="254">
        <v>250000</v>
      </c>
      <c r="J13" s="255">
        <f t="shared" si="2"/>
        <v>300000</v>
      </c>
      <c r="K13" s="141">
        <f>62112.4317825-1000</f>
        <v>61112.431782500003</v>
      </c>
      <c r="L13" s="141">
        <v>248449.72713000001</v>
      </c>
      <c r="M13" s="142">
        <f t="shared" si="3"/>
        <v>309562.15891250002</v>
      </c>
      <c r="N13" s="99">
        <f t="shared" si="4"/>
        <v>50000</v>
      </c>
      <c r="O13" s="73">
        <f t="shared" si="5"/>
        <v>248449.72713000001</v>
      </c>
      <c r="P13" s="73">
        <f t="shared" si="6"/>
        <v>298449.72713000001</v>
      </c>
      <c r="Q13" s="301">
        <f t="shared" si="7"/>
        <v>46500</v>
      </c>
      <c r="R13" s="301">
        <f t="shared" si="8"/>
        <v>231058.2462309</v>
      </c>
      <c r="S13" s="300">
        <f t="shared" si="9"/>
        <v>277558.2462309</v>
      </c>
    </row>
    <row r="14" spans="1:19" ht="12" x14ac:dyDescent="0.25">
      <c r="A14" s="36">
        <v>9</v>
      </c>
      <c r="B14" s="46" t="s">
        <v>10</v>
      </c>
      <c r="C14" s="33" t="s">
        <v>153</v>
      </c>
      <c r="D14" s="111">
        <v>167911.0178308099</v>
      </c>
      <c r="E14" s="112">
        <v>48694.195170934865</v>
      </c>
      <c r="F14" s="112">
        <v>194776.78068373949</v>
      </c>
      <c r="G14" s="112">
        <f t="shared" si="0"/>
        <v>243470.97585467435</v>
      </c>
      <c r="H14" s="254">
        <f t="shared" si="1"/>
        <v>38000</v>
      </c>
      <c r="I14" s="254">
        <v>190000</v>
      </c>
      <c r="J14" s="255">
        <f t="shared" si="2"/>
        <v>228000</v>
      </c>
      <c r="K14" s="141">
        <f>48694.1951709349-1000</f>
        <v>47694.195170934901</v>
      </c>
      <c r="L14" s="141">
        <v>194776.78068373949</v>
      </c>
      <c r="M14" s="142">
        <f t="shared" si="3"/>
        <v>242470.97585467438</v>
      </c>
      <c r="N14" s="99">
        <f t="shared" si="4"/>
        <v>38000</v>
      </c>
      <c r="O14" s="73">
        <f t="shared" si="5"/>
        <v>190000</v>
      </c>
      <c r="P14" s="73">
        <f t="shared" si="6"/>
        <v>228000</v>
      </c>
      <c r="Q14" s="301">
        <f t="shared" si="7"/>
        <v>35340</v>
      </c>
      <c r="R14" s="301">
        <f t="shared" si="8"/>
        <v>176700</v>
      </c>
      <c r="S14" s="300">
        <f t="shared" si="9"/>
        <v>212040</v>
      </c>
    </row>
    <row r="15" spans="1:19" ht="12" x14ac:dyDescent="0.25">
      <c r="A15" s="49">
        <v>10</v>
      </c>
      <c r="B15" s="46" t="s">
        <v>65</v>
      </c>
      <c r="C15" s="33" t="s">
        <v>153</v>
      </c>
      <c r="D15" s="111">
        <v>720731.43115710607</v>
      </c>
      <c r="E15" s="112">
        <v>209012.11503556068</v>
      </c>
      <c r="F15" s="112">
        <v>836048.46014224307</v>
      </c>
      <c r="G15" s="112">
        <f t="shared" si="0"/>
        <v>1045060.5751778038</v>
      </c>
      <c r="H15" s="254">
        <f t="shared" si="1"/>
        <v>170000</v>
      </c>
      <c r="I15" s="254">
        <v>850000</v>
      </c>
      <c r="J15" s="255">
        <f t="shared" si="2"/>
        <v>1020000</v>
      </c>
      <c r="K15" s="141">
        <f>209012.115035561-1000</f>
        <v>208012.115035561</v>
      </c>
      <c r="L15" s="141">
        <v>836048.46014224307</v>
      </c>
      <c r="M15" s="142">
        <f t="shared" si="3"/>
        <v>1044060.5751778041</v>
      </c>
      <c r="N15" s="99">
        <f t="shared" si="4"/>
        <v>170000</v>
      </c>
      <c r="O15" s="73">
        <f t="shared" si="5"/>
        <v>836048.46014224307</v>
      </c>
      <c r="P15" s="73">
        <f t="shared" si="6"/>
        <v>1006048.4601422431</v>
      </c>
      <c r="Q15" s="301">
        <f t="shared" si="7"/>
        <v>158100</v>
      </c>
      <c r="R15" s="301">
        <f t="shared" si="8"/>
        <v>777525.06793228607</v>
      </c>
      <c r="S15" s="300">
        <f t="shared" si="9"/>
        <v>935625.06793228607</v>
      </c>
    </row>
    <row r="16" spans="1:19" ht="12" x14ac:dyDescent="0.25">
      <c r="A16" s="36">
        <v>11</v>
      </c>
      <c r="B16" s="46" t="s">
        <v>9</v>
      </c>
      <c r="C16" s="33" t="s">
        <v>153</v>
      </c>
      <c r="D16" s="111">
        <v>246402.75333380731</v>
      </c>
      <c r="E16" s="112">
        <v>71456.798466804088</v>
      </c>
      <c r="F16" s="112">
        <v>285827.19386721653</v>
      </c>
      <c r="G16" s="112">
        <f t="shared" si="0"/>
        <v>357283.99233402062</v>
      </c>
      <c r="H16" s="254">
        <f t="shared" si="1"/>
        <v>58000</v>
      </c>
      <c r="I16" s="254">
        <v>290000</v>
      </c>
      <c r="J16" s="255">
        <f t="shared" si="2"/>
        <v>348000</v>
      </c>
      <c r="K16" s="141">
        <f>71456.7984668041-1000</f>
        <v>70456.798466804103</v>
      </c>
      <c r="L16" s="141">
        <v>285827.19386721653</v>
      </c>
      <c r="M16" s="142">
        <f t="shared" si="3"/>
        <v>356283.99233402062</v>
      </c>
      <c r="N16" s="99">
        <f t="shared" si="4"/>
        <v>58000</v>
      </c>
      <c r="O16" s="73">
        <f t="shared" si="5"/>
        <v>285827.19386721653</v>
      </c>
      <c r="P16" s="73">
        <f t="shared" si="6"/>
        <v>343827.19386721653</v>
      </c>
      <c r="Q16" s="301">
        <f t="shared" si="7"/>
        <v>53940</v>
      </c>
      <c r="R16" s="301">
        <f t="shared" si="8"/>
        <v>265819.29029651138</v>
      </c>
      <c r="S16" s="300">
        <f t="shared" si="9"/>
        <v>319759.29029651138</v>
      </c>
    </row>
    <row r="17" spans="1:19" ht="12" x14ac:dyDescent="0.25">
      <c r="A17" s="49">
        <v>12</v>
      </c>
      <c r="B17" s="46" t="s">
        <v>324</v>
      </c>
      <c r="C17" s="33" t="s">
        <v>153</v>
      </c>
      <c r="D17" s="111">
        <v>2754049.8902000003</v>
      </c>
      <c r="E17" s="112">
        <v>844391.6963353199</v>
      </c>
      <c r="F17" s="112">
        <v>3377566.78534128</v>
      </c>
      <c r="G17" s="112">
        <f t="shared" si="0"/>
        <v>4221958.4816765999</v>
      </c>
      <c r="H17" s="254">
        <f t="shared" si="1"/>
        <v>570000</v>
      </c>
      <c r="I17" s="254">
        <v>2850000</v>
      </c>
      <c r="J17" s="255">
        <f t="shared" si="2"/>
        <v>3420000</v>
      </c>
      <c r="K17" s="141">
        <f>844391.69633532-1000</f>
        <v>843391.69633532001</v>
      </c>
      <c r="L17" s="141">
        <v>3377566.78534128</v>
      </c>
      <c r="M17" s="142">
        <f t="shared" si="3"/>
        <v>4220958.4816765999</v>
      </c>
      <c r="N17" s="99">
        <f t="shared" si="4"/>
        <v>570000</v>
      </c>
      <c r="O17" s="73">
        <f t="shared" si="5"/>
        <v>2850000</v>
      </c>
      <c r="P17" s="73">
        <f t="shared" si="6"/>
        <v>3420000</v>
      </c>
      <c r="Q17" s="301">
        <f t="shared" si="7"/>
        <v>530100</v>
      </c>
      <c r="R17" s="301">
        <f t="shared" si="8"/>
        <v>2650500</v>
      </c>
      <c r="S17" s="300">
        <f t="shared" si="9"/>
        <v>3180600</v>
      </c>
    </row>
    <row r="18" spans="1:19" ht="12" x14ac:dyDescent="0.2">
      <c r="A18" s="36">
        <v>13</v>
      </c>
      <c r="B18" s="47" t="s">
        <v>158</v>
      </c>
      <c r="C18" s="33" t="s">
        <v>153</v>
      </c>
      <c r="D18" s="111">
        <v>3153691.4450462498</v>
      </c>
      <c r="E18" s="112">
        <v>966921.79705118015</v>
      </c>
      <c r="F18" s="112">
        <v>3867687.1882047206</v>
      </c>
      <c r="G18" s="112">
        <f t="shared" si="0"/>
        <v>4834608.9852559008</v>
      </c>
      <c r="H18" s="254">
        <f t="shared" si="1"/>
        <v>800000</v>
      </c>
      <c r="I18" s="254">
        <v>4000000</v>
      </c>
      <c r="J18" s="255">
        <f t="shared" si="2"/>
        <v>4800000</v>
      </c>
      <c r="K18" s="141">
        <f>966921.79705118-1000</f>
        <v>965921.79705118004</v>
      </c>
      <c r="L18" s="141">
        <v>3867687.1882047206</v>
      </c>
      <c r="M18" s="142">
        <f t="shared" si="3"/>
        <v>4833608.9852559008</v>
      </c>
      <c r="N18" s="99">
        <f t="shared" si="4"/>
        <v>800000</v>
      </c>
      <c r="O18" s="73">
        <f t="shared" si="5"/>
        <v>3867687.1882047206</v>
      </c>
      <c r="P18" s="73">
        <f t="shared" si="6"/>
        <v>4667687.1882047206</v>
      </c>
      <c r="Q18" s="301">
        <f t="shared" si="7"/>
        <v>744000</v>
      </c>
      <c r="R18" s="301">
        <f t="shared" si="8"/>
        <v>3596949.0850303899</v>
      </c>
      <c r="S18" s="300">
        <f t="shared" si="9"/>
        <v>4340949.0850303899</v>
      </c>
    </row>
    <row r="19" spans="1:19" ht="12" x14ac:dyDescent="0.25">
      <c r="A19" s="49">
        <v>14</v>
      </c>
      <c r="B19" s="46" t="s">
        <v>2</v>
      </c>
      <c r="C19" s="33" t="s">
        <v>153</v>
      </c>
      <c r="D19" s="111">
        <v>512750.28683634219</v>
      </c>
      <c r="E19" s="112">
        <v>148697.58318253921</v>
      </c>
      <c r="F19" s="112">
        <v>594790.33273015695</v>
      </c>
      <c r="G19" s="112">
        <f t="shared" si="0"/>
        <v>743487.91591269616</v>
      </c>
      <c r="H19" s="254">
        <f t="shared" si="1"/>
        <v>121000</v>
      </c>
      <c r="I19" s="254">
        <v>605000</v>
      </c>
      <c r="J19" s="255">
        <f t="shared" si="2"/>
        <v>726000</v>
      </c>
      <c r="K19" s="141">
        <f>148697.583182539-1000</f>
        <v>147697.58318253901</v>
      </c>
      <c r="L19" s="141">
        <v>594790.33273015695</v>
      </c>
      <c r="M19" s="142">
        <f t="shared" si="3"/>
        <v>742487.91591269593</v>
      </c>
      <c r="N19" s="99">
        <f t="shared" si="4"/>
        <v>121000</v>
      </c>
      <c r="O19" s="73">
        <f t="shared" si="5"/>
        <v>594790.33273015695</v>
      </c>
      <c r="P19" s="73">
        <f t="shared" si="6"/>
        <v>715790.33273015695</v>
      </c>
      <c r="Q19" s="301">
        <f t="shared" si="7"/>
        <v>112530</v>
      </c>
      <c r="R19" s="301">
        <f t="shared" si="8"/>
        <v>553155.00943904591</v>
      </c>
      <c r="S19" s="300">
        <f t="shared" si="9"/>
        <v>665685.00943904591</v>
      </c>
    </row>
    <row r="20" spans="1:19" ht="12" x14ac:dyDescent="0.25">
      <c r="A20" s="36">
        <v>15</v>
      </c>
      <c r="B20" s="46" t="s">
        <v>3</v>
      </c>
      <c r="C20" s="33" t="s">
        <v>153</v>
      </c>
      <c r="D20" s="111">
        <v>512750.28683634219</v>
      </c>
      <c r="E20" s="112">
        <v>148697.58318253921</v>
      </c>
      <c r="F20" s="112">
        <v>594790.33273015695</v>
      </c>
      <c r="G20" s="112">
        <f t="shared" si="0"/>
        <v>743487.91591269616</v>
      </c>
      <c r="H20" s="254">
        <f t="shared" si="1"/>
        <v>121000</v>
      </c>
      <c r="I20" s="254">
        <v>605000</v>
      </c>
      <c r="J20" s="255">
        <f t="shared" si="2"/>
        <v>726000</v>
      </c>
      <c r="K20" s="141">
        <f>148697.583182539-1000</f>
        <v>147697.58318253901</v>
      </c>
      <c r="L20" s="141">
        <v>594790.33273015695</v>
      </c>
      <c r="M20" s="142">
        <f t="shared" si="3"/>
        <v>742487.91591269593</v>
      </c>
      <c r="N20" s="99">
        <f t="shared" si="4"/>
        <v>121000</v>
      </c>
      <c r="O20" s="73">
        <f t="shared" si="5"/>
        <v>594790.33273015695</v>
      </c>
      <c r="P20" s="73">
        <f t="shared" si="6"/>
        <v>715790.33273015695</v>
      </c>
      <c r="Q20" s="301">
        <f t="shared" si="7"/>
        <v>112530</v>
      </c>
      <c r="R20" s="301">
        <f t="shared" si="8"/>
        <v>553155.00943904591</v>
      </c>
      <c r="S20" s="300">
        <f t="shared" si="9"/>
        <v>665685.00943904591</v>
      </c>
    </row>
    <row r="21" spans="1:19" ht="12" x14ac:dyDescent="0.25">
      <c r="A21" s="49">
        <v>16</v>
      </c>
      <c r="B21" s="46" t="s">
        <v>15</v>
      </c>
      <c r="C21" s="33" t="s">
        <v>153</v>
      </c>
      <c r="D21" s="111">
        <v>1234975.3412002262</v>
      </c>
      <c r="E21" s="112">
        <v>358142.84894806542</v>
      </c>
      <c r="F21" s="112">
        <v>1432571.3957922626</v>
      </c>
      <c r="G21" s="112">
        <f t="shared" si="0"/>
        <v>1790714.2447403281</v>
      </c>
      <c r="H21" s="254">
        <f t="shared" si="1"/>
        <v>312000</v>
      </c>
      <c r="I21" s="254">
        <v>1560000</v>
      </c>
      <c r="J21" s="255">
        <f t="shared" si="2"/>
        <v>1872000</v>
      </c>
      <c r="K21" s="141">
        <f>358142.848948065-1000</f>
        <v>357142.84894806502</v>
      </c>
      <c r="L21" s="141">
        <v>1432571.3957922626</v>
      </c>
      <c r="M21" s="142">
        <f t="shared" si="3"/>
        <v>1789714.2447403276</v>
      </c>
      <c r="N21" s="99">
        <f t="shared" si="4"/>
        <v>312000</v>
      </c>
      <c r="O21" s="73">
        <f t="shared" si="5"/>
        <v>1432571.3957922626</v>
      </c>
      <c r="P21" s="73">
        <f t="shared" si="6"/>
        <v>1744571.3957922626</v>
      </c>
      <c r="Q21" s="301">
        <f t="shared" si="7"/>
        <v>290160</v>
      </c>
      <c r="R21" s="301">
        <f t="shared" si="8"/>
        <v>1332291.3980868042</v>
      </c>
      <c r="S21" s="300">
        <f t="shared" si="9"/>
        <v>1622451.3980868042</v>
      </c>
    </row>
    <row r="22" spans="1:19" ht="12" x14ac:dyDescent="0.25">
      <c r="A22" s="36">
        <v>17</v>
      </c>
      <c r="B22" s="46" t="s">
        <v>105</v>
      </c>
      <c r="C22" s="33" t="s">
        <v>153</v>
      </c>
      <c r="D22" s="111">
        <v>378240.17468607472</v>
      </c>
      <c r="E22" s="112">
        <v>109689.65065896162</v>
      </c>
      <c r="F22" s="112">
        <v>438758.60263584671</v>
      </c>
      <c r="G22" s="112">
        <f t="shared" si="0"/>
        <v>548448.25329480832</v>
      </c>
      <c r="H22" s="254">
        <f t="shared" si="1"/>
        <v>94000</v>
      </c>
      <c r="I22" s="254">
        <v>470000</v>
      </c>
      <c r="J22" s="255">
        <f t="shared" si="2"/>
        <v>564000</v>
      </c>
      <c r="K22" s="141">
        <f>109689.650658962-1000</f>
        <v>108689.650658962</v>
      </c>
      <c r="L22" s="141">
        <v>438758.60263584671</v>
      </c>
      <c r="M22" s="142">
        <f t="shared" si="3"/>
        <v>547448.25329480867</v>
      </c>
      <c r="N22" s="99">
        <f t="shared" si="4"/>
        <v>94000</v>
      </c>
      <c r="O22" s="73">
        <f t="shared" si="5"/>
        <v>438758.60263584671</v>
      </c>
      <c r="P22" s="73">
        <f t="shared" si="6"/>
        <v>532758.60263584671</v>
      </c>
      <c r="Q22" s="301">
        <f t="shared" si="7"/>
        <v>87420</v>
      </c>
      <c r="R22" s="301">
        <f t="shared" si="8"/>
        <v>408045.50045133743</v>
      </c>
      <c r="S22" s="300">
        <f t="shared" si="9"/>
        <v>495465.50045133743</v>
      </c>
    </row>
    <row r="23" spans="1:19" ht="12" x14ac:dyDescent="0.25">
      <c r="A23" s="49">
        <v>18</v>
      </c>
      <c r="B23" s="46" t="s">
        <v>106</v>
      </c>
      <c r="C23" s="33" t="s">
        <v>153</v>
      </c>
      <c r="D23" s="111">
        <v>509930.92589426378</v>
      </c>
      <c r="E23" s="112">
        <v>147879.96850933647</v>
      </c>
      <c r="F23" s="112">
        <v>591519.87403734599</v>
      </c>
      <c r="G23" s="112">
        <f t="shared" si="0"/>
        <v>739399.84254668246</v>
      </c>
      <c r="H23" s="254">
        <f t="shared" si="1"/>
        <v>1290000</v>
      </c>
      <c r="I23" s="254">
        <v>6450000</v>
      </c>
      <c r="J23" s="255">
        <f t="shared" si="2"/>
        <v>7740000</v>
      </c>
      <c r="K23" s="141">
        <f>147879.968509336-1000</f>
        <v>146879.968509336</v>
      </c>
      <c r="L23" s="141">
        <v>591519.87403734599</v>
      </c>
      <c r="M23" s="142">
        <f t="shared" si="3"/>
        <v>738399.84254668199</v>
      </c>
      <c r="N23" s="99">
        <f t="shared" si="4"/>
        <v>146879.968509336</v>
      </c>
      <c r="O23" s="73">
        <f t="shared" si="5"/>
        <v>591519.87403734599</v>
      </c>
      <c r="P23" s="73">
        <f t="shared" si="6"/>
        <v>738399.84254668199</v>
      </c>
      <c r="Q23" s="301">
        <f t="shared" si="7"/>
        <v>136598.3707136825</v>
      </c>
      <c r="R23" s="301">
        <f t="shared" si="8"/>
        <v>550113.48285473173</v>
      </c>
      <c r="S23" s="300">
        <f t="shared" si="9"/>
        <v>686711.85356841423</v>
      </c>
    </row>
    <row r="24" spans="1:19" ht="12" x14ac:dyDescent="0.25">
      <c r="A24" s="36">
        <v>19</v>
      </c>
      <c r="B24" s="46" t="s">
        <v>6</v>
      </c>
      <c r="C24" s="33" t="s">
        <v>153</v>
      </c>
      <c r="D24" s="111">
        <v>509947.25320000004</v>
      </c>
      <c r="E24" s="112">
        <v>147884.70342799998</v>
      </c>
      <c r="F24" s="112">
        <v>591538.81371200003</v>
      </c>
      <c r="G24" s="112">
        <f t="shared" si="0"/>
        <v>739423.51714000001</v>
      </c>
      <c r="H24" s="254">
        <f t="shared" si="1"/>
        <v>129000</v>
      </c>
      <c r="I24" s="254">
        <v>645000</v>
      </c>
      <c r="J24" s="255">
        <f t="shared" si="2"/>
        <v>774000</v>
      </c>
      <c r="K24" s="141">
        <f>147884.703428-1000</f>
        <v>146884.70342800001</v>
      </c>
      <c r="L24" s="141">
        <v>591538.81371200003</v>
      </c>
      <c r="M24" s="142">
        <f t="shared" si="3"/>
        <v>738423.51714000001</v>
      </c>
      <c r="N24" s="99">
        <f t="shared" si="4"/>
        <v>129000</v>
      </c>
      <c r="O24" s="73">
        <f t="shared" si="5"/>
        <v>591538.81371200003</v>
      </c>
      <c r="P24" s="73">
        <f t="shared" si="6"/>
        <v>720538.81371200003</v>
      </c>
      <c r="Q24" s="301">
        <f t="shared" si="7"/>
        <v>119970</v>
      </c>
      <c r="R24" s="301">
        <f t="shared" si="8"/>
        <v>550131.09675216</v>
      </c>
      <c r="S24" s="300">
        <f t="shared" si="9"/>
        <v>670101.09675216</v>
      </c>
    </row>
    <row r="25" spans="1:19" ht="12" x14ac:dyDescent="0.25">
      <c r="A25" s="49">
        <v>20</v>
      </c>
      <c r="B25" s="46" t="s">
        <v>159</v>
      </c>
      <c r="C25" s="33" t="s">
        <v>153</v>
      </c>
      <c r="D25" s="111">
        <v>1656185.9131608563</v>
      </c>
      <c r="E25" s="112">
        <v>480293.91481664823</v>
      </c>
      <c r="F25" s="112">
        <v>1921175.6592665934</v>
      </c>
      <c r="G25" s="112">
        <f t="shared" si="0"/>
        <v>2401469.5740832416</v>
      </c>
      <c r="H25" s="254">
        <f t="shared" si="1"/>
        <v>418000</v>
      </c>
      <c r="I25" s="254">
        <v>2090000</v>
      </c>
      <c r="J25" s="255">
        <f t="shared" si="2"/>
        <v>2508000</v>
      </c>
      <c r="K25" s="141">
        <f>480293.914816648-1000</f>
        <v>479293.914816648</v>
      </c>
      <c r="L25" s="141">
        <v>1921175.6592665934</v>
      </c>
      <c r="M25" s="142">
        <f t="shared" si="3"/>
        <v>2400469.5740832416</v>
      </c>
      <c r="N25" s="99">
        <f t="shared" si="4"/>
        <v>418000</v>
      </c>
      <c r="O25" s="73">
        <f t="shared" si="5"/>
        <v>1921175.6592665934</v>
      </c>
      <c r="P25" s="73">
        <f t="shared" si="6"/>
        <v>2339175.6592665934</v>
      </c>
      <c r="Q25" s="301">
        <f t="shared" si="7"/>
        <v>388740</v>
      </c>
      <c r="R25" s="301">
        <f t="shared" si="8"/>
        <v>1786693.3631179319</v>
      </c>
      <c r="S25" s="300">
        <f t="shared" si="9"/>
        <v>2175433.3631179319</v>
      </c>
    </row>
    <row r="26" spans="1:19" ht="11.25" customHeight="1" x14ac:dyDescent="0.25">
      <c r="A26" s="36">
        <v>21</v>
      </c>
      <c r="B26" s="46" t="s">
        <v>160</v>
      </c>
      <c r="C26" s="33" t="s">
        <v>153</v>
      </c>
      <c r="D26" s="111">
        <v>412129.42540000001</v>
      </c>
      <c r="E26" s="112">
        <v>119517.53336599999</v>
      </c>
      <c r="F26" s="112">
        <v>478070.13346400001</v>
      </c>
      <c r="G26" s="112">
        <f t="shared" si="0"/>
        <v>597587.66683</v>
      </c>
      <c r="H26" s="254">
        <f t="shared" si="1"/>
        <v>64000</v>
      </c>
      <c r="I26" s="254">
        <v>320000</v>
      </c>
      <c r="J26" s="255">
        <f t="shared" si="2"/>
        <v>384000</v>
      </c>
      <c r="K26" s="141">
        <f>119517.533366-1000</f>
        <v>118517.533366</v>
      </c>
      <c r="L26" s="141">
        <v>478070.13346400001</v>
      </c>
      <c r="M26" s="142">
        <f t="shared" si="3"/>
        <v>596587.66683</v>
      </c>
      <c r="N26" s="99">
        <f t="shared" si="4"/>
        <v>64000</v>
      </c>
      <c r="O26" s="73">
        <f t="shared" si="5"/>
        <v>320000</v>
      </c>
      <c r="P26" s="73">
        <f t="shared" si="6"/>
        <v>384000</v>
      </c>
      <c r="Q26" s="301">
        <f t="shared" si="7"/>
        <v>59520</v>
      </c>
      <c r="R26" s="301">
        <f t="shared" si="8"/>
        <v>297600</v>
      </c>
      <c r="S26" s="300">
        <f t="shared" si="9"/>
        <v>357120</v>
      </c>
    </row>
    <row r="27" spans="1:19" ht="12" x14ac:dyDescent="0.25">
      <c r="A27" s="49">
        <v>22</v>
      </c>
      <c r="B27" s="46" t="s">
        <v>5</v>
      </c>
      <c r="C27" s="33" t="s">
        <v>153</v>
      </c>
      <c r="D27" s="111">
        <v>90944.52919999999</v>
      </c>
      <c r="E27" s="112">
        <v>26373.913467999984</v>
      </c>
      <c r="F27" s="112">
        <v>105495.653872</v>
      </c>
      <c r="G27" s="112">
        <f t="shared" si="0"/>
        <v>131869.56733999998</v>
      </c>
      <c r="H27" s="254">
        <f t="shared" si="1"/>
        <v>22000</v>
      </c>
      <c r="I27" s="254">
        <v>110000</v>
      </c>
      <c r="J27" s="255">
        <f t="shared" si="2"/>
        <v>132000</v>
      </c>
      <c r="K27" s="141">
        <f>26373.913468-1000</f>
        <v>25373.913467999999</v>
      </c>
      <c r="L27" s="141">
        <v>105495.653872</v>
      </c>
      <c r="M27" s="142">
        <f t="shared" si="3"/>
        <v>130869.56733999999</v>
      </c>
      <c r="N27" s="99">
        <f t="shared" si="4"/>
        <v>22000</v>
      </c>
      <c r="O27" s="73">
        <f t="shared" si="5"/>
        <v>105495.653872</v>
      </c>
      <c r="P27" s="73">
        <f t="shared" si="6"/>
        <v>127495.653872</v>
      </c>
      <c r="Q27" s="301">
        <f t="shared" si="7"/>
        <v>20460</v>
      </c>
      <c r="R27" s="301">
        <f t="shared" si="8"/>
        <v>98110.958100959993</v>
      </c>
      <c r="S27" s="300">
        <f t="shared" si="9"/>
        <v>118570.95810095999</v>
      </c>
    </row>
    <row r="28" spans="1:19" ht="12" x14ac:dyDescent="0.25">
      <c r="A28" s="36">
        <v>23</v>
      </c>
      <c r="B28" s="46" t="s">
        <v>278</v>
      </c>
      <c r="C28" s="33" t="s">
        <v>153</v>
      </c>
      <c r="D28" s="111">
        <v>393754.36839768622</v>
      </c>
      <c r="E28" s="112">
        <v>114188.76683532901</v>
      </c>
      <c r="F28" s="112">
        <v>456755.06734131603</v>
      </c>
      <c r="G28" s="112">
        <f t="shared" si="0"/>
        <v>570943.83417664503</v>
      </c>
      <c r="H28" s="254">
        <f t="shared" si="1"/>
        <v>92000</v>
      </c>
      <c r="I28" s="254">
        <v>460000</v>
      </c>
      <c r="J28" s="255">
        <f t="shared" si="2"/>
        <v>552000</v>
      </c>
      <c r="K28" s="141">
        <f>114188.766835329-1000</f>
        <v>113188.76683532901</v>
      </c>
      <c r="L28" s="141">
        <v>456755.06734131603</v>
      </c>
      <c r="M28" s="142">
        <f t="shared" si="3"/>
        <v>569943.83417664503</v>
      </c>
      <c r="N28" s="99">
        <f t="shared" si="4"/>
        <v>92000</v>
      </c>
      <c r="O28" s="73">
        <f t="shared" si="5"/>
        <v>456755.06734131603</v>
      </c>
      <c r="P28" s="73">
        <f t="shared" si="6"/>
        <v>548755.06734131603</v>
      </c>
      <c r="Q28" s="301">
        <f t="shared" si="7"/>
        <v>85560</v>
      </c>
      <c r="R28" s="301">
        <f t="shared" si="8"/>
        <v>424782.21262742393</v>
      </c>
      <c r="S28" s="300">
        <f t="shared" si="9"/>
        <v>510342.21262742393</v>
      </c>
    </row>
    <row r="29" spans="1:19" ht="12" x14ac:dyDescent="0.2">
      <c r="A29" s="49">
        <v>24</v>
      </c>
      <c r="B29" s="47" t="s">
        <v>132</v>
      </c>
      <c r="C29" s="33" t="s">
        <v>153</v>
      </c>
      <c r="D29" s="111">
        <v>803938.30579999997</v>
      </c>
      <c r="E29" s="112">
        <v>233142.10868199996</v>
      </c>
      <c r="F29" s="112">
        <v>932568.43472799996</v>
      </c>
      <c r="G29" s="112">
        <f t="shared" si="0"/>
        <v>1165710.5434099999</v>
      </c>
      <c r="H29" s="254">
        <f t="shared" si="1"/>
        <v>200000</v>
      </c>
      <c r="I29" s="254">
        <v>1000000</v>
      </c>
      <c r="J29" s="255">
        <f t="shared" si="2"/>
        <v>1200000</v>
      </c>
      <c r="K29" s="141">
        <f>233142.108682-1000</f>
        <v>232142.10868199999</v>
      </c>
      <c r="L29" s="141">
        <v>932568.43472799996</v>
      </c>
      <c r="M29" s="142">
        <f t="shared" si="3"/>
        <v>1164710.5434099999</v>
      </c>
      <c r="N29" s="99">
        <f t="shared" si="4"/>
        <v>200000</v>
      </c>
      <c r="O29" s="73">
        <f t="shared" si="5"/>
        <v>932568.43472799996</v>
      </c>
      <c r="P29" s="73">
        <f t="shared" si="6"/>
        <v>1132568.4347279998</v>
      </c>
      <c r="Q29" s="301">
        <f t="shared" si="7"/>
        <v>186000</v>
      </c>
      <c r="R29" s="301">
        <f t="shared" si="8"/>
        <v>867288.64429703995</v>
      </c>
      <c r="S29" s="300">
        <f t="shared" si="9"/>
        <v>1053288.6442970401</v>
      </c>
    </row>
    <row r="30" spans="1:19" ht="12" x14ac:dyDescent="0.2">
      <c r="A30" s="36">
        <v>25</v>
      </c>
      <c r="B30" s="47" t="s">
        <v>149</v>
      </c>
      <c r="C30" s="33" t="s">
        <v>153</v>
      </c>
      <c r="D30" s="111">
        <v>410936.11544476054</v>
      </c>
      <c r="E30" s="112">
        <v>119171.47347898054</v>
      </c>
      <c r="F30" s="112">
        <v>476685.89391592221</v>
      </c>
      <c r="G30" s="112">
        <f t="shared" si="0"/>
        <v>595857.36739490274</v>
      </c>
      <c r="H30" s="254">
        <f t="shared" si="1"/>
        <v>96000</v>
      </c>
      <c r="I30" s="254">
        <v>480000</v>
      </c>
      <c r="J30" s="255">
        <f t="shared" si="2"/>
        <v>576000</v>
      </c>
      <c r="K30" s="141">
        <f>119171.473478981-1000</f>
        <v>118171.473478981</v>
      </c>
      <c r="L30" s="141">
        <v>476685.89391592221</v>
      </c>
      <c r="M30" s="142">
        <f t="shared" si="3"/>
        <v>594857.36739490321</v>
      </c>
      <c r="N30" s="99">
        <f t="shared" si="4"/>
        <v>96000</v>
      </c>
      <c r="O30" s="73">
        <f t="shared" si="5"/>
        <v>476685.89391592221</v>
      </c>
      <c r="P30" s="73">
        <f t="shared" si="6"/>
        <v>572685.89391592215</v>
      </c>
      <c r="Q30" s="301">
        <f t="shared" si="7"/>
        <v>89280</v>
      </c>
      <c r="R30" s="301">
        <f t="shared" si="8"/>
        <v>443317.88134180766</v>
      </c>
      <c r="S30" s="300">
        <f t="shared" si="9"/>
        <v>532597.88134180766</v>
      </c>
    </row>
    <row r="31" spans="1:19" ht="12" x14ac:dyDescent="0.25">
      <c r="A31" s="49">
        <v>26</v>
      </c>
      <c r="B31" s="46" t="s">
        <v>11</v>
      </c>
      <c r="C31" s="33" t="s">
        <v>153</v>
      </c>
      <c r="D31" s="111">
        <v>177264.88920000001</v>
      </c>
      <c r="E31" s="112">
        <v>51406.817867999984</v>
      </c>
      <c r="F31" s="112">
        <v>205627.27147200002</v>
      </c>
      <c r="G31" s="112">
        <f t="shared" si="0"/>
        <v>257034.08934000001</v>
      </c>
      <c r="H31" s="254">
        <f t="shared" si="1"/>
        <v>44400</v>
      </c>
      <c r="I31" s="254">
        <v>222000</v>
      </c>
      <c r="J31" s="255">
        <f t="shared" si="2"/>
        <v>266400</v>
      </c>
      <c r="K31" s="141">
        <f>51406.817868-1000</f>
        <v>50406.817867999998</v>
      </c>
      <c r="L31" s="141">
        <v>205627.27147200002</v>
      </c>
      <c r="M31" s="142">
        <f t="shared" si="3"/>
        <v>256034.08934000001</v>
      </c>
      <c r="N31" s="99">
        <f t="shared" si="4"/>
        <v>44400</v>
      </c>
      <c r="O31" s="73">
        <f t="shared" si="5"/>
        <v>205627.27147200002</v>
      </c>
      <c r="P31" s="73">
        <f t="shared" si="6"/>
        <v>250027.27147200002</v>
      </c>
      <c r="Q31" s="301">
        <f t="shared" si="7"/>
        <v>41292</v>
      </c>
      <c r="R31" s="301">
        <f t="shared" si="8"/>
        <v>191233.36246896003</v>
      </c>
      <c r="S31" s="300">
        <f t="shared" si="9"/>
        <v>232525.36246896003</v>
      </c>
    </row>
    <row r="32" spans="1:19" ht="12" x14ac:dyDescent="0.2">
      <c r="A32" s="36">
        <v>27</v>
      </c>
      <c r="B32" s="47" t="s">
        <v>66</v>
      </c>
      <c r="C32" s="33" t="s">
        <v>153</v>
      </c>
      <c r="D32" s="111">
        <v>321430.81867266627</v>
      </c>
      <c r="E32" s="112">
        <v>93214.937415073218</v>
      </c>
      <c r="F32" s="112">
        <v>372859.74966029287</v>
      </c>
      <c r="G32" s="112">
        <f t="shared" si="0"/>
        <v>466074.68707536609</v>
      </c>
      <c r="H32" s="254">
        <f t="shared" si="1"/>
        <v>8000</v>
      </c>
      <c r="I32" s="254">
        <v>40000</v>
      </c>
      <c r="J32" s="255">
        <f t="shared" si="2"/>
        <v>48000</v>
      </c>
      <c r="K32" s="141">
        <f>93214.9374150732-1000</f>
        <v>92214.937415073204</v>
      </c>
      <c r="L32" s="141">
        <v>372859.74966029287</v>
      </c>
      <c r="M32" s="142">
        <f t="shared" si="3"/>
        <v>465074.68707536609</v>
      </c>
      <c r="N32" s="99">
        <f t="shared" si="4"/>
        <v>8000</v>
      </c>
      <c r="O32" s="73">
        <f t="shared" si="5"/>
        <v>40000</v>
      </c>
      <c r="P32" s="73">
        <f t="shared" si="6"/>
        <v>48000</v>
      </c>
      <c r="Q32" s="301">
        <f t="shared" si="7"/>
        <v>7440</v>
      </c>
      <c r="R32" s="301">
        <f t="shared" si="8"/>
        <v>37200</v>
      </c>
      <c r="S32" s="300">
        <f t="shared" si="9"/>
        <v>44640</v>
      </c>
    </row>
    <row r="33" spans="1:19" ht="12" x14ac:dyDescent="0.25">
      <c r="A33" s="49">
        <v>28</v>
      </c>
      <c r="B33" s="46" t="s">
        <v>101</v>
      </c>
      <c r="C33" s="33" t="s">
        <v>153</v>
      </c>
      <c r="D33" s="111">
        <v>1335835.1515006968</v>
      </c>
      <c r="E33" s="112">
        <v>387392.19393520197</v>
      </c>
      <c r="F33" s="112">
        <v>1549568.7757408083</v>
      </c>
      <c r="G33" s="112">
        <f t="shared" si="0"/>
        <v>1936960.9696760103</v>
      </c>
      <c r="H33" s="254">
        <f t="shared" si="1"/>
        <v>312000</v>
      </c>
      <c r="I33" s="254">
        <v>1560000</v>
      </c>
      <c r="J33" s="255">
        <f t="shared" si="2"/>
        <v>1872000</v>
      </c>
      <c r="K33" s="141">
        <f>387392.193935202-1000</f>
        <v>386392.19393520203</v>
      </c>
      <c r="L33" s="141">
        <v>1549568.7757408083</v>
      </c>
      <c r="M33" s="142">
        <f t="shared" si="3"/>
        <v>1935960.9696760103</v>
      </c>
      <c r="N33" s="99">
        <f t="shared" si="4"/>
        <v>312000</v>
      </c>
      <c r="O33" s="73">
        <f t="shared" si="5"/>
        <v>1549568.7757408083</v>
      </c>
      <c r="P33" s="73">
        <f t="shared" si="6"/>
        <v>1861568.7757408083</v>
      </c>
      <c r="Q33" s="301">
        <f t="shared" si="7"/>
        <v>290160</v>
      </c>
      <c r="R33" s="301">
        <f t="shared" si="8"/>
        <v>1441098.9614389518</v>
      </c>
      <c r="S33" s="300">
        <f t="shared" si="9"/>
        <v>1731258.9614389518</v>
      </c>
    </row>
    <row r="34" spans="1:19" ht="12" x14ac:dyDescent="0.25">
      <c r="A34" s="36">
        <v>29</v>
      </c>
      <c r="B34" s="46" t="s">
        <v>161</v>
      </c>
      <c r="C34" s="33" t="s">
        <v>153</v>
      </c>
      <c r="D34" s="111">
        <v>147546.77281666666</v>
      </c>
      <c r="E34" s="112">
        <v>42788.564116833324</v>
      </c>
      <c r="F34" s="112">
        <v>171154.25646733333</v>
      </c>
      <c r="G34" s="112">
        <f t="shared" si="0"/>
        <v>213942.82058416665</v>
      </c>
      <c r="H34" s="254">
        <f t="shared" si="1"/>
        <v>3400</v>
      </c>
      <c r="I34" s="254">
        <v>17000</v>
      </c>
      <c r="J34" s="255">
        <f t="shared" si="2"/>
        <v>20400</v>
      </c>
      <c r="K34" s="141">
        <f>42788.5641168333-1000</f>
        <v>41788.564116833302</v>
      </c>
      <c r="L34" s="141">
        <v>171154.25646733333</v>
      </c>
      <c r="M34" s="142">
        <f t="shared" si="3"/>
        <v>212942.82058416662</v>
      </c>
      <c r="N34" s="99">
        <f t="shared" si="4"/>
        <v>3400</v>
      </c>
      <c r="O34" s="73">
        <f t="shared" si="5"/>
        <v>17000</v>
      </c>
      <c r="P34" s="73">
        <f t="shared" si="6"/>
        <v>20400</v>
      </c>
      <c r="Q34" s="301">
        <f t="shared" si="7"/>
        <v>3162</v>
      </c>
      <c r="R34" s="301">
        <f t="shared" si="8"/>
        <v>15810</v>
      </c>
      <c r="S34" s="300">
        <f t="shared" si="9"/>
        <v>18972</v>
      </c>
    </row>
    <row r="35" spans="1:19" ht="12" x14ac:dyDescent="0.25">
      <c r="A35" s="49">
        <v>30</v>
      </c>
      <c r="B35" s="46" t="s">
        <v>13</v>
      </c>
      <c r="C35" s="33" t="s">
        <v>153</v>
      </c>
      <c r="D35" s="111">
        <v>1098129.5528000002</v>
      </c>
      <c r="E35" s="112">
        <v>318457.57031199988</v>
      </c>
      <c r="F35" s="112">
        <v>1273830.2812480002</v>
      </c>
      <c r="G35" s="112">
        <f t="shared" si="0"/>
        <v>1592287.8515600001</v>
      </c>
      <c r="H35" s="254">
        <f t="shared" si="1"/>
        <v>278000</v>
      </c>
      <c r="I35" s="254">
        <v>1390000</v>
      </c>
      <c r="J35" s="255">
        <f t="shared" si="2"/>
        <v>1668000</v>
      </c>
      <c r="K35" s="141">
        <f>318457.570312-1000</f>
        <v>317457.570312</v>
      </c>
      <c r="L35" s="141">
        <v>1273830.2812480002</v>
      </c>
      <c r="M35" s="142">
        <f t="shared" si="3"/>
        <v>1591287.8515600003</v>
      </c>
      <c r="N35" s="99">
        <f t="shared" si="4"/>
        <v>278000</v>
      </c>
      <c r="O35" s="73">
        <f t="shared" si="5"/>
        <v>1273830.2812480002</v>
      </c>
      <c r="P35" s="73">
        <f t="shared" si="6"/>
        <v>1551830.2812480002</v>
      </c>
      <c r="Q35" s="301">
        <f t="shared" si="7"/>
        <v>258540</v>
      </c>
      <c r="R35" s="301">
        <f t="shared" si="8"/>
        <v>1184662.1615606402</v>
      </c>
      <c r="S35" s="300">
        <f t="shared" si="9"/>
        <v>1443202.1615606402</v>
      </c>
    </row>
    <row r="36" spans="1:19" ht="12" x14ac:dyDescent="0.25">
      <c r="A36" s="36">
        <v>31</v>
      </c>
      <c r="B36" s="46" t="s">
        <v>14</v>
      </c>
      <c r="C36" s="33" t="s">
        <v>153</v>
      </c>
      <c r="D36" s="111">
        <v>252257.38578333333</v>
      </c>
      <c r="E36" s="112">
        <v>73154.641877166636</v>
      </c>
      <c r="F36" s="112">
        <v>292618.56750866666</v>
      </c>
      <c r="G36" s="112">
        <f t="shared" si="0"/>
        <v>365773.2093858333</v>
      </c>
      <c r="H36" s="254">
        <f t="shared" si="1"/>
        <v>58000</v>
      </c>
      <c r="I36" s="254">
        <v>290000</v>
      </c>
      <c r="J36" s="255">
        <f t="shared" si="2"/>
        <v>348000</v>
      </c>
      <c r="K36" s="141">
        <f>73154.6418771666-1000</f>
        <v>72154.641877166607</v>
      </c>
      <c r="L36" s="141">
        <v>292618.56750866666</v>
      </c>
      <c r="M36" s="142">
        <f t="shared" si="3"/>
        <v>364773.20938583324</v>
      </c>
      <c r="N36" s="99">
        <f t="shared" si="4"/>
        <v>58000</v>
      </c>
      <c r="O36" s="73">
        <f t="shared" si="5"/>
        <v>290000</v>
      </c>
      <c r="P36" s="73">
        <f t="shared" si="6"/>
        <v>348000</v>
      </c>
      <c r="Q36" s="301">
        <f t="shared" si="7"/>
        <v>53940</v>
      </c>
      <c r="R36" s="301">
        <f t="shared" si="8"/>
        <v>269700</v>
      </c>
      <c r="S36" s="300">
        <f t="shared" si="9"/>
        <v>323640</v>
      </c>
    </row>
    <row r="37" spans="1:19" ht="12" x14ac:dyDescent="0.2">
      <c r="A37" s="49">
        <v>32</v>
      </c>
      <c r="B37" s="47" t="s">
        <v>279</v>
      </c>
      <c r="C37" s="33" t="s">
        <v>153</v>
      </c>
      <c r="D37" s="111">
        <v>706130.71900000004</v>
      </c>
      <c r="E37" s="112">
        <v>204777.90850999998</v>
      </c>
      <c r="F37" s="112">
        <v>819111.63404000003</v>
      </c>
      <c r="G37" s="112">
        <f t="shared" si="0"/>
        <v>1023889.54255</v>
      </c>
      <c r="H37" s="254">
        <f t="shared" si="1"/>
        <v>178000</v>
      </c>
      <c r="I37" s="254">
        <v>890000</v>
      </c>
      <c r="J37" s="255">
        <f t="shared" si="2"/>
        <v>1068000</v>
      </c>
      <c r="K37" s="141">
        <f>204777.90851-1000</f>
        <v>203777.90851000001</v>
      </c>
      <c r="L37" s="141">
        <v>819111.63404000003</v>
      </c>
      <c r="M37" s="142">
        <f t="shared" si="3"/>
        <v>1022889.54255</v>
      </c>
      <c r="N37" s="99">
        <f t="shared" si="4"/>
        <v>178000</v>
      </c>
      <c r="O37" s="73">
        <f t="shared" si="5"/>
        <v>819111.63404000003</v>
      </c>
      <c r="P37" s="73">
        <f t="shared" si="6"/>
        <v>997111.63404000003</v>
      </c>
      <c r="Q37" s="301">
        <f t="shared" si="7"/>
        <v>165540</v>
      </c>
      <c r="R37" s="301">
        <f t="shared" si="8"/>
        <v>761773.81965720002</v>
      </c>
      <c r="S37" s="300">
        <f t="shared" si="9"/>
        <v>927313.81965720002</v>
      </c>
    </row>
    <row r="38" spans="1:19" ht="12" x14ac:dyDescent="0.25">
      <c r="A38" s="36">
        <v>33</v>
      </c>
      <c r="B38" s="46" t="s">
        <v>280</v>
      </c>
      <c r="C38" s="33" t="s">
        <v>153</v>
      </c>
      <c r="D38" s="111">
        <v>43701.63</v>
      </c>
      <c r="E38" s="112">
        <v>12673.472699999998</v>
      </c>
      <c r="F38" s="112">
        <v>50693.890799999994</v>
      </c>
      <c r="G38" s="112">
        <f t="shared" si="0"/>
        <v>63367.363499999992</v>
      </c>
      <c r="H38" s="254">
        <f t="shared" si="1"/>
        <v>11000</v>
      </c>
      <c r="I38" s="254">
        <v>55000</v>
      </c>
      <c r="J38" s="255">
        <f t="shared" si="2"/>
        <v>66000</v>
      </c>
      <c r="K38" s="141">
        <f>12673.4727-1000</f>
        <v>11673.4727</v>
      </c>
      <c r="L38" s="141">
        <v>50693.890799999994</v>
      </c>
      <c r="M38" s="142">
        <f t="shared" si="3"/>
        <v>62367.363499999992</v>
      </c>
      <c r="N38" s="99">
        <f t="shared" si="4"/>
        <v>11000</v>
      </c>
      <c r="O38" s="73">
        <f t="shared" si="5"/>
        <v>50693.890799999994</v>
      </c>
      <c r="P38" s="73">
        <f t="shared" si="6"/>
        <v>61693.890799999994</v>
      </c>
      <c r="Q38" s="301">
        <f t="shared" si="7"/>
        <v>10230</v>
      </c>
      <c r="R38" s="301">
        <f t="shared" si="8"/>
        <v>47145.318443999997</v>
      </c>
      <c r="S38" s="300">
        <f t="shared" si="9"/>
        <v>57375.318443999997</v>
      </c>
    </row>
    <row r="39" spans="1:19" ht="12" x14ac:dyDescent="0.25">
      <c r="A39" s="49">
        <v>34</v>
      </c>
      <c r="B39" s="46" t="s">
        <v>163</v>
      </c>
      <c r="C39" s="33" t="s">
        <v>153</v>
      </c>
      <c r="D39" s="111">
        <v>96047.887003374679</v>
      </c>
      <c r="E39" s="112">
        <v>27853.887230978653</v>
      </c>
      <c r="F39" s="112">
        <v>111415.54892391463</v>
      </c>
      <c r="G39" s="112">
        <f t="shared" si="0"/>
        <v>139269.43615489328</v>
      </c>
      <c r="H39" s="254">
        <f t="shared" si="1"/>
        <v>24000</v>
      </c>
      <c r="I39" s="254">
        <v>120000</v>
      </c>
      <c r="J39" s="255">
        <f t="shared" si="2"/>
        <v>144000</v>
      </c>
      <c r="K39" s="141">
        <f>27853.8872309787-1000</f>
        <v>26853.8872309787</v>
      </c>
      <c r="L39" s="141">
        <v>111415.54892391463</v>
      </c>
      <c r="M39" s="142">
        <f t="shared" si="3"/>
        <v>138269.43615489334</v>
      </c>
      <c r="N39" s="99">
        <f t="shared" si="4"/>
        <v>24000</v>
      </c>
      <c r="O39" s="73">
        <f t="shared" si="5"/>
        <v>111415.54892391463</v>
      </c>
      <c r="P39" s="73">
        <f t="shared" si="6"/>
        <v>135415.54892391461</v>
      </c>
      <c r="Q39" s="301">
        <f t="shared" si="7"/>
        <v>22320</v>
      </c>
      <c r="R39" s="301">
        <f t="shared" si="8"/>
        <v>103616.46049924061</v>
      </c>
      <c r="S39" s="300">
        <f t="shared" si="9"/>
        <v>125936.46049924061</v>
      </c>
    </row>
    <row r="40" spans="1:19" ht="12" x14ac:dyDescent="0.25">
      <c r="A40" s="36">
        <v>35</v>
      </c>
      <c r="B40" s="46" t="s">
        <v>108</v>
      </c>
      <c r="C40" s="33" t="s">
        <v>153</v>
      </c>
      <c r="D40" s="111">
        <v>201575.25916760424</v>
      </c>
      <c r="E40" s="112">
        <v>58456.825158605207</v>
      </c>
      <c r="F40" s="112">
        <v>233827.30063442091</v>
      </c>
      <c r="G40" s="112">
        <f t="shared" si="0"/>
        <v>292284.12579302612</v>
      </c>
      <c r="H40" s="254">
        <f t="shared" si="1"/>
        <v>51000</v>
      </c>
      <c r="I40" s="254">
        <v>255000</v>
      </c>
      <c r="J40" s="255">
        <f t="shared" si="2"/>
        <v>306000</v>
      </c>
      <c r="K40" s="141">
        <f>58456.8251586052-1000</f>
        <v>57456.825158605199</v>
      </c>
      <c r="L40" s="141">
        <v>233827.30063442091</v>
      </c>
      <c r="M40" s="142">
        <f t="shared" si="3"/>
        <v>291284.12579302612</v>
      </c>
      <c r="N40" s="99">
        <f t="shared" si="4"/>
        <v>51000</v>
      </c>
      <c r="O40" s="73">
        <f t="shared" si="5"/>
        <v>233827.30063442091</v>
      </c>
      <c r="P40" s="73">
        <f t="shared" si="6"/>
        <v>284827.30063442094</v>
      </c>
      <c r="Q40" s="301">
        <f t="shared" si="7"/>
        <v>47430</v>
      </c>
      <c r="R40" s="301">
        <f t="shared" si="8"/>
        <v>217459.38959001144</v>
      </c>
      <c r="S40" s="300">
        <f t="shared" si="9"/>
        <v>264889.38959001144</v>
      </c>
    </row>
    <row r="41" spans="1:19" ht="12" x14ac:dyDescent="0.25">
      <c r="A41" s="49">
        <v>36</v>
      </c>
      <c r="B41" s="46" t="s">
        <v>281</v>
      </c>
      <c r="C41" s="33" t="s">
        <v>153</v>
      </c>
      <c r="D41" s="111">
        <v>176078.29467651501</v>
      </c>
      <c r="E41" s="112">
        <v>51062.705456189346</v>
      </c>
      <c r="F41" s="112">
        <v>204250.82182475741</v>
      </c>
      <c r="G41" s="112">
        <f t="shared" si="0"/>
        <v>255313.52728094676</v>
      </c>
      <c r="H41" s="254">
        <f t="shared" si="1"/>
        <v>44000</v>
      </c>
      <c r="I41" s="254">
        <v>220000</v>
      </c>
      <c r="J41" s="255">
        <f t="shared" si="2"/>
        <v>264000</v>
      </c>
      <c r="K41" s="141">
        <f>51062.7054561893-1000</f>
        <v>50062.705456189302</v>
      </c>
      <c r="L41" s="141">
        <v>204250.82182475741</v>
      </c>
      <c r="M41" s="142">
        <f t="shared" si="3"/>
        <v>254313.52728094673</v>
      </c>
      <c r="N41" s="99">
        <f t="shared" si="4"/>
        <v>44000</v>
      </c>
      <c r="O41" s="73">
        <f t="shared" si="5"/>
        <v>204250.82182475741</v>
      </c>
      <c r="P41" s="73">
        <f t="shared" si="6"/>
        <v>248250.82182475741</v>
      </c>
      <c r="Q41" s="301">
        <f t="shared" si="7"/>
        <v>40920</v>
      </c>
      <c r="R41" s="301">
        <f t="shared" si="8"/>
        <v>189953.26429702441</v>
      </c>
      <c r="S41" s="300">
        <f t="shared" si="9"/>
        <v>230873.26429702441</v>
      </c>
    </row>
    <row r="42" spans="1:19" ht="12" x14ac:dyDescent="0.25">
      <c r="A42" s="36">
        <v>37</v>
      </c>
      <c r="B42" s="46" t="s">
        <v>12</v>
      </c>
      <c r="C42" s="33" t="s">
        <v>153</v>
      </c>
      <c r="D42" s="111">
        <v>3786013.9730555001</v>
      </c>
      <c r="E42" s="112">
        <v>1160791.884138816</v>
      </c>
      <c r="F42" s="112">
        <v>4643167.5365552651</v>
      </c>
      <c r="G42" s="112">
        <f t="shared" si="0"/>
        <v>5803959.4206940811</v>
      </c>
      <c r="H42" s="254">
        <f t="shared" si="1"/>
        <v>856000</v>
      </c>
      <c r="I42" s="254">
        <v>4280000</v>
      </c>
      <c r="J42" s="255">
        <f t="shared" si="2"/>
        <v>5136000</v>
      </c>
      <c r="K42" s="141">
        <f>1160791.88413882-180000</f>
        <v>980791.88413881999</v>
      </c>
      <c r="L42" s="141">
        <v>4643167.5365552651</v>
      </c>
      <c r="M42" s="142">
        <f t="shared" si="3"/>
        <v>5623959.4206940848</v>
      </c>
      <c r="N42" s="99">
        <f t="shared" si="4"/>
        <v>856000</v>
      </c>
      <c r="O42" s="73">
        <f t="shared" si="5"/>
        <v>4280000</v>
      </c>
      <c r="P42" s="73">
        <f t="shared" si="6"/>
        <v>5136000</v>
      </c>
      <c r="Q42" s="301">
        <f t="shared" si="7"/>
        <v>796080</v>
      </c>
      <c r="R42" s="301">
        <f t="shared" si="8"/>
        <v>3980400</v>
      </c>
      <c r="S42" s="300">
        <f t="shared" si="9"/>
        <v>4776480</v>
      </c>
    </row>
    <row r="43" spans="1:19" ht="12" x14ac:dyDescent="0.25">
      <c r="A43" s="49">
        <v>38</v>
      </c>
      <c r="B43" s="46" t="s">
        <v>166</v>
      </c>
      <c r="C43" s="33" t="s">
        <v>153</v>
      </c>
      <c r="D43" s="111">
        <v>2156833.2352</v>
      </c>
      <c r="E43" s="112">
        <v>661285.06991232</v>
      </c>
      <c r="F43" s="112">
        <v>2645140.27964928</v>
      </c>
      <c r="G43" s="112">
        <f t="shared" si="0"/>
        <v>3306425.3495616</v>
      </c>
      <c r="H43" s="254">
        <f t="shared" si="1"/>
        <v>540000</v>
      </c>
      <c r="I43" s="254">
        <v>2700000</v>
      </c>
      <c r="J43" s="255">
        <f t="shared" si="2"/>
        <v>3240000</v>
      </c>
      <c r="K43" s="141">
        <f>661285.06991232-1000</f>
        <v>660285.06991232</v>
      </c>
      <c r="L43" s="141">
        <v>2645140.27964928</v>
      </c>
      <c r="M43" s="142">
        <f t="shared" si="3"/>
        <v>3305425.3495616</v>
      </c>
      <c r="N43" s="99">
        <f t="shared" si="4"/>
        <v>540000</v>
      </c>
      <c r="O43" s="73">
        <f t="shared" si="5"/>
        <v>2645140.27964928</v>
      </c>
      <c r="P43" s="73">
        <f t="shared" si="6"/>
        <v>3185140.27964928</v>
      </c>
      <c r="Q43" s="301">
        <f t="shared" si="7"/>
        <v>502200</v>
      </c>
      <c r="R43" s="301">
        <f t="shared" si="8"/>
        <v>2459980.4600738306</v>
      </c>
      <c r="S43" s="300">
        <f t="shared" si="9"/>
        <v>2962180.4600738306</v>
      </c>
    </row>
    <row r="44" spans="1:19" ht="12" x14ac:dyDescent="0.25">
      <c r="A44" s="36">
        <v>39</v>
      </c>
      <c r="B44" s="46" t="s">
        <v>7</v>
      </c>
      <c r="C44" s="33" t="s">
        <v>153</v>
      </c>
      <c r="D44" s="111">
        <v>314638.05291502399</v>
      </c>
      <c r="E44" s="112">
        <v>91245.035345356911</v>
      </c>
      <c r="F44" s="112">
        <v>364980.14138142788</v>
      </c>
      <c r="G44" s="112">
        <f t="shared" si="0"/>
        <v>456225.17672678479</v>
      </c>
      <c r="H44" s="254">
        <f t="shared" si="1"/>
        <v>78000</v>
      </c>
      <c r="I44" s="254">
        <v>390000</v>
      </c>
      <c r="J44" s="255">
        <f t="shared" si="2"/>
        <v>468000</v>
      </c>
      <c r="K44" s="141">
        <f>91245.0353453569-1000</f>
        <v>90245.035345356897</v>
      </c>
      <c r="L44" s="141">
        <v>364980.14138142788</v>
      </c>
      <c r="M44" s="142">
        <f t="shared" si="3"/>
        <v>455225.17672678479</v>
      </c>
      <c r="N44" s="99">
        <f t="shared" si="4"/>
        <v>78000</v>
      </c>
      <c r="O44" s="73">
        <f t="shared" si="5"/>
        <v>364980.14138142788</v>
      </c>
      <c r="P44" s="73">
        <f t="shared" si="6"/>
        <v>442980.14138142788</v>
      </c>
      <c r="Q44" s="301">
        <f t="shared" si="7"/>
        <v>72540</v>
      </c>
      <c r="R44" s="301">
        <f t="shared" si="8"/>
        <v>339431.53148472792</v>
      </c>
      <c r="S44" s="300">
        <f t="shared" si="9"/>
        <v>411971.53148472792</v>
      </c>
    </row>
    <row r="45" spans="1:19" ht="12" x14ac:dyDescent="0.2">
      <c r="A45" s="49">
        <v>40</v>
      </c>
      <c r="B45" s="47" t="s">
        <v>353</v>
      </c>
      <c r="C45" s="33" t="s">
        <v>153</v>
      </c>
      <c r="D45" s="111">
        <v>280976.00214337499</v>
      </c>
      <c r="E45" s="112">
        <v>81483.040621578693</v>
      </c>
      <c r="F45" s="112">
        <v>325932.16248631501</v>
      </c>
      <c r="G45" s="112">
        <f t="shared" si="0"/>
        <v>407415.2031078937</v>
      </c>
      <c r="H45" s="254">
        <f t="shared" si="1"/>
        <v>70000</v>
      </c>
      <c r="I45" s="254">
        <v>350000</v>
      </c>
      <c r="J45" s="255">
        <f t="shared" si="2"/>
        <v>420000</v>
      </c>
      <c r="K45" s="141">
        <f>81483.0406215787-1000</f>
        <v>80483.040621578693</v>
      </c>
      <c r="L45" s="141">
        <v>325932.16248631501</v>
      </c>
      <c r="M45" s="142">
        <f t="shared" si="3"/>
        <v>406415.2031078937</v>
      </c>
      <c r="N45" s="99">
        <f t="shared" si="4"/>
        <v>70000</v>
      </c>
      <c r="O45" s="73">
        <f t="shared" si="5"/>
        <v>325932.16248631501</v>
      </c>
      <c r="P45" s="73">
        <f t="shared" si="6"/>
        <v>395932.16248631501</v>
      </c>
      <c r="Q45" s="301">
        <f t="shared" si="7"/>
        <v>65100</v>
      </c>
      <c r="R45" s="301">
        <f t="shared" si="8"/>
        <v>303116.91111227294</v>
      </c>
      <c r="S45" s="300">
        <f t="shared" si="9"/>
        <v>368216.91111227294</v>
      </c>
    </row>
    <row r="46" spans="1:19" ht="12" x14ac:dyDescent="0.2">
      <c r="A46" s="36">
        <v>41</v>
      </c>
      <c r="B46" s="47" t="s">
        <v>109</v>
      </c>
      <c r="C46" s="33" t="s">
        <v>153</v>
      </c>
      <c r="D46" s="111">
        <v>490935.26299999998</v>
      </c>
      <c r="E46" s="112">
        <v>142371.22626999998</v>
      </c>
      <c r="F46" s="112">
        <v>569484.90507999994</v>
      </c>
      <c r="G46" s="112">
        <f t="shared" si="0"/>
        <v>711856.13134999992</v>
      </c>
      <c r="H46" s="254">
        <f t="shared" si="1"/>
        <v>124000</v>
      </c>
      <c r="I46" s="254">
        <v>620000</v>
      </c>
      <c r="J46" s="255">
        <f t="shared" si="2"/>
        <v>744000</v>
      </c>
      <c r="K46" s="141">
        <f>142371.22627-1000</f>
        <v>141371.22627000001</v>
      </c>
      <c r="L46" s="141">
        <v>569484.90507999994</v>
      </c>
      <c r="M46" s="142">
        <f t="shared" si="3"/>
        <v>710856.13134999992</v>
      </c>
      <c r="N46" s="99">
        <f t="shared" si="4"/>
        <v>124000</v>
      </c>
      <c r="O46" s="73">
        <f t="shared" si="5"/>
        <v>569484.90507999994</v>
      </c>
      <c r="P46" s="73">
        <f t="shared" si="6"/>
        <v>693484.90507999994</v>
      </c>
      <c r="Q46" s="301">
        <f t="shared" si="7"/>
        <v>115320</v>
      </c>
      <c r="R46" s="301">
        <f t="shared" si="8"/>
        <v>529620.96172439994</v>
      </c>
      <c r="S46" s="300">
        <f t="shared" si="9"/>
        <v>644940.96172439994</v>
      </c>
    </row>
    <row r="47" spans="1:19" ht="12" x14ac:dyDescent="0.25">
      <c r="A47" s="49">
        <v>42</v>
      </c>
      <c r="B47" s="48" t="s">
        <v>89</v>
      </c>
      <c r="C47" s="33" t="s">
        <v>153</v>
      </c>
      <c r="D47" s="111">
        <v>342728.54934295762</v>
      </c>
      <c r="E47" s="112">
        <v>99391.279309457692</v>
      </c>
      <c r="F47" s="112">
        <v>397565.11723783083</v>
      </c>
      <c r="G47" s="112">
        <f t="shared" si="0"/>
        <v>496956.39654728852</v>
      </c>
      <c r="H47" s="254">
        <f t="shared" si="1"/>
        <v>86800</v>
      </c>
      <c r="I47" s="254">
        <v>434000</v>
      </c>
      <c r="J47" s="255">
        <f t="shared" si="2"/>
        <v>520800</v>
      </c>
      <c r="K47" s="141">
        <f>99391.2793094577-1000</f>
        <v>98391.279309457706</v>
      </c>
      <c r="L47" s="141">
        <v>397565.11723783083</v>
      </c>
      <c r="M47" s="142">
        <f t="shared" si="3"/>
        <v>495956.39654728852</v>
      </c>
      <c r="N47" s="99">
        <f t="shared" si="4"/>
        <v>86800</v>
      </c>
      <c r="O47" s="73">
        <f t="shared" si="5"/>
        <v>397565.11723783083</v>
      </c>
      <c r="P47" s="73">
        <f t="shared" si="6"/>
        <v>484365.11723783083</v>
      </c>
      <c r="Q47" s="301">
        <f t="shared" si="7"/>
        <v>80724</v>
      </c>
      <c r="R47" s="301">
        <f t="shared" si="8"/>
        <v>369735.55903118267</v>
      </c>
      <c r="S47" s="300">
        <f t="shared" si="9"/>
        <v>450459.55903118267</v>
      </c>
    </row>
    <row r="48" spans="1:19" ht="12" x14ac:dyDescent="0.25">
      <c r="A48" s="36">
        <v>43</v>
      </c>
      <c r="B48" s="46" t="s">
        <v>137</v>
      </c>
      <c r="C48" s="33" t="s">
        <v>153</v>
      </c>
      <c r="D48" s="111">
        <v>166114.21573065664</v>
      </c>
      <c r="E48" s="112">
        <v>48173.122561890399</v>
      </c>
      <c r="F48" s="112">
        <v>192692.49024756171</v>
      </c>
      <c r="G48" s="112">
        <f t="shared" si="0"/>
        <v>240865.61280945211</v>
      </c>
      <c r="H48" s="254">
        <f t="shared" si="1"/>
        <v>38000</v>
      </c>
      <c r="I48" s="254">
        <v>190000</v>
      </c>
      <c r="J48" s="255">
        <f t="shared" si="2"/>
        <v>228000</v>
      </c>
      <c r="K48" s="141">
        <f>48173.1225618903-1000</f>
        <v>47173.122561890297</v>
      </c>
      <c r="L48" s="141">
        <v>192692.49024756171</v>
      </c>
      <c r="M48" s="142">
        <f t="shared" si="3"/>
        <v>239865.612809452</v>
      </c>
      <c r="N48" s="99">
        <f t="shared" si="4"/>
        <v>38000</v>
      </c>
      <c r="O48" s="73">
        <f t="shared" si="5"/>
        <v>190000</v>
      </c>
      <c r="P48" s="73">
        <f t="shared" si="6"/>
        <v>228000</v>
      </c>
      <c r="Q48" s="301">
        <f t="shared" si="7"/>
        <v>35340</v>
      </c>
      <c r="R48" s="301">
        <f t="shared" si="8"/>
        <v>176700</v>
      </c>
      <c r="S48" s="300">
        <f t="shared" si="9"/>
        <v>212040</v>
      </c>
    </row>
    <row r="49" spans="1:19" ht="12" x14ac:dyDescent="0.25">
      <c r="A49" s="49">
        <v>44</v>
      </c>
      <c r="B49" s="46" t="s">
        <v>138</v>
      </c>
      <c r="C49" s="33" t="s">
        <v>153</v>
      </c>
      <c r="D49" s="111">
        <v>256092.74925142888</v>
      </c>
      <c r="E49" s="112">
        <v>74266.897282914375</v>
      </c>
      <c r="F49" s="112">
        <v>297067.5891316575</v>
      </c>
      <c r="G49" s="112">
        <f t="shared" si="0"/>
        <v>371334.48641457187</v>
      </c>
      <c r="H49" s="254">
        <f t="shared" si="1"/>
        <v>60000</v>
      </c>
      <c r="I49" s="254">
        <v>300000</v>
      </c>
      <c r="J49" s="255">
        <f t="shared" si="2"/>
        <v>360000</v>
      </c>
      <c r="K49" s="141">
        <f>74266.8972829144-1000</f>
        <v>73266.897282914404</v>
      </c>
      <c r="L49" s="141">
        <v>297067.5891316575</v>
      </c>
      <c r="M49" s="142">
        <f t="shared" si="3"/>
        <v>370334.48641457187</v>
      </c>
      <c r="N49" s="99">
        <f t="shared" si="4"/>
        <v>60000</v>
      </c>
      <c r="O49" s="73">
        <f t="shared" si="5"/>
        <v>297067.5891316575</v>
      </c>
      <c r="P49" s="73">
        <f t="shared" si="6"/>
        <v>357067.5891316575</v>
      </c>
      <c r="Q49" s="301">
        <f t="shared" si="7"/>
        <v>55800</v>
      </c>
      <c r="R49" s="301">
        <f t="shared" si="8"/>
        <v>276272.85789244145</v>
      </c>
      <c r="S49" s="300">
        <f t="shared" si="9"/>
        <v>332072.85789244145</v>
      </c>
    </row>
    <row r="50" spans="1:19" ht="22.5" x14ac:dyDescent="0.25">
      <c r="A50" s="49"/>
      <c r="B50" s="30" t="s">
        <v>22</v>
      </c>
      <c r="C50" s="33" t="s">
        <v>153</v>
      </c>
      <c r="D50" s="111"/>
      <c r="E50" s="112"/>
      <c r="F50" s="112"/>
      <c r="G50" s="112"/>
      <c r="H50" s="254">
        <f t="shared" si="1"/>
        <v>0</v>
      </c>
      <c r="I50" s="254"/>
      <c r="J50" s="255">
        <f t="shared" si="2"/>
        <v>0</v>
      </c>
      <c r="K50" s="143"/>
      <c r="L50" s="144"/>
      <c r="M50" s="142">
        <f t="shared" si="3"/>
        <v>0</v>
      </c>
      <c r="N50" s="99">
        <f t="shared" si="4"/>
        <v>0</v>
      </c>
      <c r="O50" s="73">
        <f t="shared" si="5"/>
        <v>0</v>
      </c>
      <c r="P50" s="73">
        <f t="shared" si="6"/>
        <v>0</v>
      </c>
      <c r="Q50" s="301">
        <f t="shared" si="7"/>
        <v>0</v>
      </c>
      <c r="R50" s="301">
        <f t="shared" si="8"/>
        <v>0</v>
      </c>
      <c r="S50" s="300">
        <f t="shared" si="9"/>
        <v>0</v>
      </c>
    </row>
    <row r="51" spans="1:19" ht="12" x14ac:dyDescent="0.25">
      <c r="A51" s="49">
        <v>45</v>
      </c>
      <c r="B51" s="46" t="s">
        <v>23</v>
      </c>
      <c r="C51" s="33" t="s">
        <v>153</v>
      </c>
      <c r="D51" s="111">
        <v>759061.69869059068</v>
      </c>
      <c r="E51" s="112">
        <v>220127.8926202713</v>
      </c>
      <c r="F51" s="112">
        <v>880511.57048108522</v>
      </c>
      <c r="G51" s="112">
        <v>1100639.4631013565</v>
      </c>
      <c r="H51" s="254">
        <f t="shared" si="1"/>
        <v>179000</v>
      </c>
      <c r="I51" s="254">
        <v>895000</v>
      </c>
      <c r="J51" s="255">
        <f t="shared" si="2"/>
        <v>1074000</v>
      </c>
      <c r="K51" s="141">
        <f>220127.892620271-1000</f>
        <v>219127.89262027101</v>
      </c>
      <c r="L51" s="141">
        <v>880511.57048108522</v>
      </c>
      <c r="M51" s="142">
        <f t="shared" si="3"/>
        <v>1099639.4631013563</v>
      </c>
      <c r="N51" s="99">
        <f t="shared" si="4"/>
        <v>179000</v>
      </c>
      <c r="O51" s="73">
        <f t="shared" si="5"/>
        <v>880511.57048108522</v>
      </c>
      <c r="P51" s="73">
        <f t="shared" si="6"/>
        <v>1059511.5704810852</v>
      </c>
      <c r="Q51" s="301">
        <f t="shared" si="7"/>
        <v>166470</v>
      </c>
      <c r="R51" s="301">
        <f t="shared" si="8"/>
        <v>818875.7605474093</v>
      </c>
      <c r="S51" s="300">
        <f t="shared" si="9"/>
        <v>985345.7605474093</v>
      </c>
    </row>
    <row r="52" spans="1:19" ht="12" x14ac:dyDescent="0.25">
      <c r="A52" s="49">
        <v>46</v>
      </c>
      <c r="B52" s="46" t="s">
        <v>167</v>
      </c>
      <c r="C52" s="33" t="s">
        <v>153</v>
      </c>
      <c r="D52" s="111">
        <v>160000</v>
      </c>
      <c r="E52" s="112">
        <v>46400</v>
      </c>
      <c r="F52" s="112">
        <v>185600</v>
      </c>
      <c r="G52" s="112">
        <v>232000</v>
      </c>
      <c r="H52" s="254">
        <f t="shared" si="1"/>
        <v>38000</v>
      </c>
      <c r="I52" s="254">
        <v>190000</v>
      </c>
      <c r="J52" s="255">
        <f t="shared" si="2"/>
        <v>228000</v>
      </c>
      <c r="K52" s="141">
        <f>46400-1000</f>
        <v>45400</v>
      </c>
      <c r="L52" s="141">
        <v>185600</v>
      </c>
      <c r="M52" s="142">
        <f t="shared" si="3"/>
        <v>231000</v>
      </c>
      <c r="N52" s="99">
        <f t="shared" si="4"/>
        <v>38000</v>
      </c>
      <c r="O52" s="73">
        <f t="shared" si="5"/>
        <v>185600</v>
      </c>
      <c r="P52" s="73">
        <f t="shared" si="6"/>
        <v>223600</v>
      </c>
      <c r="Q52" s="301">
        <f t="shared" si="7"/>
        <v>35340</v>
      </c>
      <c r="R52" s="301">
        <f t="shared" si="8"/>
        <v>172608</v>
      </c>
      <c r="S52" s="300">
        <f t="shared" si="9"/>
        <v>207948</v>
      </c>
    </row>
    <row r="53" spans="1:19" ht="12" x14ac:dyDescent="0.25">
      <c r="A53" s="49">
        <v>47</v>
      </c>
      <c r="B53" s="46" t="s">
        <v>24</v>
      </c>
      <c r="C53" s="33" t="s">
        <v>153</v>
      </c>
      <c r="D53" s="111">
        <v>89053.129199999996</v>
      </c>
      <c r="E53" s="112">
        <v>25825.40746799999</v>
      </c>
      <c r="F53" s="112">
        <v>103301.629872</v>
      </c>
      <c r="G53" s="112">
        <v>129127.03734</v>
      </c>
      <c r="H53" s="254">
        <f t="shared" si="1"/>
        <v>20000</v>
      </c>
      <c r="I53" s="254">
        <v>100000</v>
      </c>
      <c r="J53" s="255">
        <f t="shared" si="2"/>
        <v>120000</v>
      </c>
      <c r="K53" s="141">
        <f>25825.407468-1000</f>
        <v>24825.407468000001</v>
      </c>
      <c r="L53" s="141">
        <v>7542152</v>
      </c>
      <c r="M53" s="142">
        <f t="shared" si="3"/>
        <v>7566977.4074680004</v>
      </c>
      <c r="N53" s="99">
        <f t="shared" si="4"/>
        <v>20000</v>
      </c>
      <c r="O53" s="73">
        <f t="shared" si="5"/>
        <v>100000</v>
      </c>
      <c r="P53" s="73">
        <f t="shared" si="6"/>
        <v>120000</v>
      </c>
      <c r="Q53" s="301">
        <f t="shared" si="7"/>
        <v>18600</v>
      </c>
      <c r="R53" s="301">
        <f t="shared" si="8"/>
        <v>93000</v>
      </c>
      <c r="S53" s="300">
        <f t="shared" si="9"/>
        <v>111600</v>
      </c>
    </row>
    <row r="54" spans="1:19" ht="12" x14ac:dyDescent="0.25">
      <c r="A54" s="49">
        <v>48</v>
      </c>
      <c r="B54" s="46" t="s">
        <v>25</v>
      </c>
      <c r="C54" s="33" t="s">
        <v>153</v>
      </c>
      <c r="D54" s="111">
        <v>317803.86391550972</v>
      </c>
      <c r="E54" s="112">
        <v>92163.120535497786</v>
      </c>
      <c r="F54" s="112">
        <v>368652.48214199132</v>
      </c>
      <c r="G54" s="112">
        <v>460815.60267748911</v>
      </c>
      <c r="H54" s="254">
        <f t="shared" si="1"/>
        <v>800000</v>
      </c>
      <c r="I54" s="254">
        <v>4000000</v>
      </c>
      <c r="J54" s="255">
        <f t="shared" si="2"/>
        <v>4800000</v>
      </c>
      <c r="K54" s="141">
        <f>92163.1205354978-1000</f>
        <v>91163.120535497801</v>
      </c>
      <c r="L54" s="141">
        <v>368652.48214199132</v>
      </c>
      <c r="M54" s="142">
        <f t="shared" si="3"/>
        <v>459815.60267748911</v>
      </c>
      <c r="N54" s="99">
        <f t="shared" si="4"/>
        <v>91163.120535497801</v>
      </c>
      <c r="O54" s="73">
        <f t="shared" si="5"/>
        <v>368652.48214199132</v>
      </c>
      <c r="P54" s="73">
        <f t="shared" si="6"/>
        <v>459815.60267748911</v>
      </c>
      <c r="Q54" s="301">
        <f t="shared" si="7"/>
        <v>84781.70209801296</v>
      </c>
      <c r="R54" s="301">
        <f t="shared" si="8"/>
        <v>342846.8083920519</v>
      </c>
      <c r="S54" s="300">
        <f t="shared" si="9"/>
        <v>427628.51049006486</v>
      </c>
    </row>
    <row r="55" spans="1:19" ht="12" x14ac:dyDescent="0.25">
      <c r="A55" s="69">
        <v>49</v>
      </c>
      <c r="B55" s="70" t="s">
        <v>283</v>
      </c>
      <c r="C55" s="71" t="s">
        <v>153</v>
      </c>
      <c r="D55" s="111">
        <v>2600000</v>
      </c>
      <c r="E55" s="112">
        <v>797160</v>
      </c>
      <c r="F55" s="112">
        <v>3188640</v>
      </c>
      <c r="G55" s="112">
        <v>3985800</v>
      </c>
      <c r="H55" s="254">
        <f t="shared" si="1"/>
        <v>620000</v>
      </c>
      <c r="I55" s="254">
        <v>3100000</v>
      </c>
      <c r="J55" s="255">
        <f t="shared" si="2"/>
        <v>3720000</v>
      </c>
      <c r="K55" s="141">
        <f>797160-1000</f>
        <v>796160</v>
      </c>
      <c r="L55" s="141">
        <v>5888640</v>
      </c>
      <c r="M55" s="142">
        <f t="shared" si="3"/>
        <v>6684800</v>
      </c>
      <c r="N55" s="99">
        <f t="shared" si="4"/>
        <v>620000</v>
      </c>
      <c r="O55" s="73">
        <f t="shared" si="5"/>
        <v>3100000</v>
      </c>
      <c r="P55" s="73">
        <f t="shared" si="6"/>
        <v>3720000</v>
      </c>
      <c r="Q55" s="301">
        <f t="shared" si="7"/>
        <v>576600</v>
      </c>
      <c r="R55" s="301">
        <f t="shared" si="8"/>
        <v>2883000</v>
      </c>
      <c r="S55" s="300">
        <f t="shared" si="9"/>
        <v>3459600</v>
      </c>
    </row>
    <row r="56" spans="1:19" ht="12" x14ac:dyDescent="0.25">
      <c r="A56" s="49">
        <v>50</v>
      </c>
      <c r="B56" s="46" t="s">
        <v>285</v>
      </c>
      <c r="C56" s="33" t="s">
        <v>153</v>
      </c>
      <c r="D56" s="111">
        <v>889850.81896342721</v>
      </c>
      <c r="E56" s="112">
        <v>258056.73749939387</v>
      </c>
      <c r="F56" s="112">
        <v>1032226.9499975756</v>
      </c>
      <c r="G56" s="112">
        <v>1290283.6874969695</v>
      </c>
      <c r="H56" s="254">
        <f t="shared" si="1"/>
        <v>225000</v>
      </c>
      <c r="I56" s="254">
        <v>1125000</v>
      </c>
      <c r="J56" s="255">
        <f t="shared" si="2"/>
        <v>1350000</v>
      </c>
      <c r="K56" s="141">
        <f>258056.737499394-1000</f>
        <v>257056.73749939399</v>
      </c>
      <c r="L56" s="141">
        <v>1032226.9499975756</v>
      </c>
      <c r="M56" s="142">
        <f t="shared" si="3"/>
        <v>1289283.6874969695</v>
      </c>
      <c r="N56" s="99">
        <f t="shared" si="4"/>
        <v>225000</v>
      </c>
      <c r="O56" s="73">
        <f t="shared" si="5"/>
        <v>1032226.9499975756</v>
      </c>
      <c r="P56" s="73">
        <f t="shared" si="6"/>
        <v>1257226.9499975755</v>
      </c>
      <c r="Q56" s="301">
        <f t="shared" si="7"/>
        <v>209250</v>
      </c>
      <c r="R56" s="301">
        <f t="shared" si="8"/>
        <v>959971.06349774532</v>
      </c>
      <c r="S56" s="300">
        <f t="shared" si="9"/>
        <v>1169221.0634977454</v>
      </c>
    </row>
    <row r="57" spans="1:19" ht="12" x14ac:dyDescent="0.25">
      <c r="A57" s="69">
        <v>51</v>
      </c>
      <c r="B57" s="70" t="s">
        <v>284</v>
      </c>
      <c r="C57" s="71" t="s">
        <v>153</v>
      </c>
      <c r="D57" s="111">
        <v>2639929.9142743405</v>
      </c>
      <c r="E57" s="112">
        <v>809402.5117165125</v>
      </c>
      <c r="F57" s="112">
        <v>3237610.0468660514</v>
      </c>
      <c r="G57" s="112">
        <v>4047012.5585825639</v>
      </c>
      <c r="H57" s="254">
        <f t="shared" si="1"/>
        <v>408000</v>
      </c>
      <c r="I57" s="254">
        <v>2040000</v>
      </c>
      <c r="J57" s="255">
        <f t="shared" si="2"/>
        <v>2448000</v>
      </c>
      <c r="K57" s="141">
        <f>1894002.51171651-150000</f>
        <v>1744002.5117165099</v>
      </c>
      <c r="L57" s="141">
        <v>1237610.04686605</v>
      </c>
      <c r="M57" s="142">
        <f t="shared" si="3"/>
        <v>2981612.5585825602</v>
      </c>
      <c r="N57" s="99">
        <f t="shared" si="4"/>
        <v>408000</v>
      </c>
      <c r="O57" s="73">
        <f t="shared" si="5"/>
        <v>1237610.04686605</v>
      </c>
      <c r="P57" s="73">
        <f t="shared" si="6"/>
        <v>1645610.04686605</v>
      </c>
      <c r="Q57" s="301">
        <f t="shared" si="7"/>
        <v>379440</v>
      </c>
      <c r="R57" s="301">
        <f t="shared" si="8"/>
        <v>1150977.3435854265</v>
      </c>
      <c r="S57" s="300">
        <f t="shared" si="9"/>
        <v>1530417.3435854265</v>
      </c>
    </row>
    <row r="58" spans="1:19" ht="12" x14ac:dyDescent="0.25">
      <c r="A58" s="49">
        <v>52</v>
      </c>
      <c r="B58" s="46" t="s">
        <v>286</v>
      </c>
      <c r="C58" s="33" t="s">
        <v>153</v>
      </c>
      <c r="D58" s="111">
        <v>4890726.5331579996</v>
      </c>
      <c r="E58" s="112">
        <v>1499496.7550662421</v>
      </c>
      <c r="F58" s="112">
        <v>5997987.0202649711</v>
      </c>
      <c r="G58" s="112">
        <v>7497483.7753312131</v>
      </c>
      <c r="H58" s="254">
        <f t="shared" si="1"/>
        <v>1100000</v>
      </c>
      <c r="I58" s="254">
        <v>5500000</v>
      </c>
      <c r="J58" s="255">
        <f t="shared" si="2"/>
        <v>6600000</v>
      </c>
      <c r="K58" s="141">
        <f>1499496.75506624-1000</f>
        <v>1498496.75506624</v>
      </c>
      <c r="L58" s="141">
        <v>5997987.0202649711</v>
      </c>
      <c r="M58" s="142">
        <f t="shared" si="3"/>
        <v>7496483.7753312113</v>
      </c>
      <c r="N58" s="99">
        <f t="shared" si="4"/>
        <v>1100000</v>
      </c>
      <c r="O58" s="73">
        <f t="shared" si="5"/>
        <v>5500000</v>
      </c>
      <c r="P58" s="73">
        <f t="shared" si="6"/>
        <v>6600000</v>
      </c>
      <c r="Q58" s="301">
        <f t="shared" si="7"/>
        <v>1023000</v>
      </c>
      <c r="R58" s="301">
        <f t="shared" si="8"/>
        <v>5115000</v>
      </c>
      <c r="S58" s="300">
        <f t="shared" si="9"/>
        <v>6138000</v>
      </c>
    </row>
    <row r="59" spans="1:19" ht="12" x14ac:dyDescent="0.25">
      <c r="A59" s="49">
        <v>53</v>
      </c>
      <c r="B59" s="46" t="s">
        <v>274</v>
      </c>
      <c r="C59" s="33" t="s">
        <v>153</v>
      </c>
      <c r="D59" s="111">
        <v>2990238.4934</v>
      </c>
      <c r="E59" s="112">
        <v>916807.12207643967</v>
      </c>
      <c r="F59" s="112">
        <v>3667228.4883057605</v>
      </c>
      <c r="G59" s="112">
        <v>4584035.6103822002</v>
      </c>
      <c r="H59" s="254">
        <f t="shared" si="1"/>
        <v>760000</v>
      </c>
      <c r="I59" s="254">
        <v>3800000</v>
      </c>
      <c r="J59" s="255">
        <f t="shared" si="2"/>
        <v>4560000</v>
      </c>
      <c r="K59" s="141">
        <f>916807.12207644-1000</f>
        <v>915807.12207644002</v>
      </c>
      <c r="L59" s="141">
        <v>3667228.4883057605</v>
      </c>
      <c r="M59" s="142">
        <f t="shared" si="3"/>
        <v>4583035.6103822002</v>
      </c>
      <c r="N59" s="99">
        <f t="shared" si="4"/>
        <v>760000</v>
      </c>
      <c r="O59" s="73">
        <f t="shared" si="5"/>
        <v>3667228.4883057605</v>
      </c>
      <c r="P59" s="73">
        <f t="shared" si="6"/>
        <v>4427228.4883057605</v>
      </c>
      <c r="Q59" s="301">
        <f t="shared" si="7"/>
        <v>706800</v>
      </c>
      <c r="R59" s="301">
        <f t="shared" si="8"/>
        <v>3410522.4941243571</v>
      </c>
      <c r="S59" s="300">
        <f t="shared" si="9"/>
        <v>4117322.4941243571</v>
      </c>
    </row>
    <row r="60" spans="1:19" ht="12" x14ac:dyDescent="0.25">
      <c r="A60" s="49">
        <v>54</v>
      </c>
      <c r="B60" s="46" t="s">
        <v>287</v>
      </c>
      <c r="C60" s="33" t="s">
        <v>153</v>
      </c>
      <c r="D60" s="111">
        <v>607945.27359999996</v>
      </c>
      <c r="E60" s="112">
        <v>176304.1293439999</v>
      </c>
      <c r="F60" s="112">
        <v>705216.51737600006</v>
      </c>
      <c r="G60" s="112">
        <v>881520.64671999996</v>
      </c>
      <c r="H60" s="254">
        <f t="shared" si="1"/>
        <v>154000</v>
      </c>
      <c r="I60" s="254">
        <v>770000</v>
      </c>
      <c r="J60" s="255">
        <f t="shared" si="2"/>
        <v>924000</v>
      </c>
      <c r="K60" s="141">
        <f>176304.129344-1000</f>
        <v>175304.12934399999</v>
      </c>
      <c r="L60" s="141">
        <v>705216.51737600006</v>
      </c>
      <c r="M60" s="142">
        <f t="shared" si="3"/>
        <v>880520.64672000008</v>
      </c>
      <c r="N60" s="99">
        <f t="shared" si="4"/>
        <v>154000</v>
      </c>
      <c r="O60" s="73">
        <f t="shared" si="5"/>
        <v>705216.51737600006</v>
      </c>
      <c r="P60" s="73">
        <f t="shared" si="6"/>
        <v>859216.51737600006</v>
      </c>
      <c r="Q60" s="301">
        <f t="shared" si="7"/>
        <v>143220</v>
      </c>
      <c r="R60" s="301">
        <f t="shared" si="8"/>
        <v>655851.36115968006</v>
      </c>
      <c r="S60" s="300">
        <f t="shared" si="9"/>
        <v>799071.36115968006</v>
      </c>
    </row>
    <row r="61" spans="1:19" ht="12" x14ac:dyDescent="0.25">
      <c r="A61" s="49">
        <v>55</v>
      </c>
      <c r="B61" s="46" t="s">
        <v>288</v>
      </c>
      <c r="C61" s="33" t="s">
        <v>153</v>
      </c>
      <c r="D61" s="111">
        <v>2300000</v>
      </c>
      <c r="E61" s="112">
        <v>705180</v>
      </c>
      <c r="F61" s="112">
        <v>2820720</v>
      </c>
      <c r="G61" s="112">
        <v>3525900</v>
      </c>
      <c r="H61" s="254">
        <f t="shared" si="1"/>
        <v>494000</v>
      </c>
      <c r="I61" s="254">
        <v>2470000</v>
      </c>
      <c r="J61" s="255">
        <f t="shared" si="2"/>
        <v>2964000</v>
      </c>
      <c r="K61" s="141">
        <f>705180-1000</f>
        <v>704180</v>
      </c>
      <c r="L61" s="141">
        <v>2820720</v>
      </c>
      <c r="M61" s="142">
        <f t="shared" si="3"/>
        <v>3524900</v>
      </c>
      <c r="N61" s="99">
        <f t="shared" si="4"/>
        <v>494000</v>
      </c>
      <c r="O61" s="73">
        <f t="shared" si="5"/>
        <v>2470000</v>
      </c>
      <c r="P61" s="73">
        <f t="shared" si="6"/>
        <v>2964000</v>
      </c>
      <c r="Q61" s="301">
        <f t="shared" si="7"/>
        <v>459420</v>
      </c>
      <c r="R61" s="301">
        <f t="shared" si="8"/>
        <v>2297100</v>
      </c>
      <c r="S61" s="300">
        <f t="shared" si="9"/>
        <v>2756520</v>
      </c>
    </row>
    <row r="62" spans="1:19" ht="12" x14ac:dyDescent="0.25">
      <c r="A62" s="49">
        <v>56</v>
      </c>
      <c r="B62" s="46" t="s">
        <v>289</v>
      </c>
      <c r="C62" s="33" t="s">
        <v>153</v>
      </c>
      <c r="D62" s="111">
        <v>960931.25800000003</v>
      </c>
      <c r="E62" s="112">
        <v>278670.06481999997</v>
      </c>
      <c r="F62" s="112">
        <v>1114680.2592800001</v>
      </c>
      <c r="G62" s="112">
        <v>1393350.3241000001</v>
      </c>
      <c r="H62" s="254">
        <f t="shared" si="1"/>
        <v>232000</v>
      </c>
      <c r="I62" s="254">
        <v>1160000</v>
      </c>
      <c r="J62" s="255">
        <f t="shared" si="2"/>
        <v>1392000</v>
      </c>
      <c r="K62" s="141">
        <f>278670.06482-1000</f>
        <v>277670.06482000003</v>
      </c>
      <c r="L62" s="141">
        <v>1114680.2592800001</v>
      </c>
      <c r="M62" s="142">
        <f t="shared" si="3"/>
        <v>1392350.3241000001</v>
      </c>
      <c r="N62" s="99">
        <f t="shared" si="4"/>
        <v>232000</v>
      </c>
      <c r="O62" s="73">
        <f t="shared" si="5"/>
        <v>1114680.2592800001</v>
      </c>
      <c r="P62" s="73">
        <f t="shared" si="6"/>
        <v>1346680.2592800001</v>
      </c>
      <c r="Q62" s="301">
        <f t="shared" si="7"/>
        <v>215760</v>
      </c>
      <c r="R62" s="301">
        <f t="shared" si="8"/>
        <v>1036652.6411304001</v>
      </c>
      <c r="S62" s="300">
        <f t="shared" si="9"/>
        <v>1252412.6411304001</v>
      </c>
    </row>
    <row r="63" spans="1:19" ht="12" x14ac:dyDescent="0.2">
      <c r="A63" s="49">
        <v>57</v>
      </c>
      <c r="B63" s="47" t="s">
        <v>290</v>
      </c>
      <c r="C63" s="33" t="s">
        <v>153</v>
      </c>
      <c r="D63" s="111">
        <v>482921.76198178588</v>
      </c>
      <c r="E63" s="112">
        <v>140047.31097471784</v>
      </c>
      <c r="F63" s="112">
        <v>560189.2438988717</v>
      </c>
      <c r="G63" s="112">
        <v>700236.55487358954</v>
      </c>
      <c r="H63" s="254">
        <f t="shared" si="1"/>
        <v>114000</v>
      </c>
      <c r="I63" s="254">
        <v>570000</v>
      </c>
      <c r="J63" s="255">
        <f t="shared" si="2"/>
        <v>684000</v>
      </c>
      <c r="K63" s="141">
        <f>140047.310974718-1000</f>
        <v>139047.31097471801</v>
      </c>
      <c r="L63" s="141">
        <v>560189.2438988717</v>
      </c>
      <c r="M63" s="142">
        <f t="shared" si="3"/>
        <v>699236.55487358966</v>
      </c>
      <c r="N63" s="99">
        <f t="shared" si="4"/>
        <v>114000</v>
      </c>
      <c r="O63" s="73">
        <f t="shared" si="5"/>
        <v>560189.2438988717</v>
      </c>
      <c r="P63" s="73">
        <f t="shared" si="6"/>
        <v>674189.2438988717</v>
      </c>
      <c r="Q63" s="301">
        <f t="shared" si="7"/>
        <v>106020</v>
      </c>
      <c r="R63" s="301">
        <f t="shared" si="8"/>
        <v>520975.99682595069</v>
      </c>
      <c r="S63" s="300">
        <f t="shared" si="9"/>
        <v>626995.99682595069</v>
      </c>
    </row>
    <row r="64" spans="1:19" ht="22.5" x14ac:dyDescent="0.25">
      <c r="A64" s="49"/>
      <c r="B64" s="30" t="s">
        <v>97</v>
      </c>
      <c r="C64" s="33" t="s">
        <v>153</v>
      </c>
      <c r="D64" s="111"/>
      <c r="E64" s="112"/>
      <c r="F64" s="112"/>
      <c r="G64" s="112"/>
      <c r="H64" s="254">
        <f t="shared" si="1"/>
        <v>0</v>
      </c>
      <c r="I64" s="254"/>
      <c r="J64" s="255">
        <f t="shared" si="2"/>
        <v>0</v>
      </c>
      <c r="K64" s="143"/>
      <c r="L64" s="144"/>
      <c r="M64" s="142">
        <f t="shared" si="3"/>
        <v>0</v>
      </c>
      <c r="N64" s="99">
        <f t="shared" si="4"/>
        <v>0</v>
      </c>
      <c r="O64" s="73">
        <f t="shared" si="5"/>
        <v>0</v>
      </c>
      <c r="P64" s="73">
        <f t="shared" si="6"/>
        <v>0</v>
      </c>
      <c r="Q64" s="301">
        <f t="shared" si="7"/>
        <v>0</v>
      </c>
      <c r="R64" s="301">
        <f t="shared" si="8"/>
        <v>0</v>
      </c>
      <c r="S64" s="300">
        <f t="shared" si="9"/>
        <v>0</v>
      </c>
    </row>
    <row r="65" spans="1:19" ht="12" x14ac:dyDescent="0.25">
      <c r="A65" s="49">
        <v>58</v>
      </c>
      <c r="B65" s="46" t="s">
        <v>169</v>
      </c>
      <c r="C65" s="33" t="s">
        <v>153</v>
      </c>
      <c r="D65" s="111">
        <v>1587947.165</v>
      </c>
      <c r="E65" s="112">
        <v>460504.67784999986</v>
      </c>
      <c r="F65" s="112">
        <v>1842018.7114000001</v>
      </c>
      <c r="G65" s="112">
        <v>2302523.38925</v>
      </c>
      <c r="H65" s="254">
        <f t="shared" si="1"/>
        <v>380000</v>
      </c>
      <c r="I65" s="254">
        <v>1900000</v>
      </c>
      <c r="J65" s="255">
        <f t="shared" si="2"/>
        <v>2280000</v>
      </c>
      <c r="K65" s="141">
        <f>460504.67785-1000</f>
        <v>459504.67784999998</v>
      </c>
      <c r="L65" s="141">
        <v>1842018.7114000001</v>
      </c>
      <c r="M65" s="142">
        <f t="shared" si="3"/>
        <v>2301523.38925</v>
      </c>
      <c r="N65" s="99">
        <f t="shared" si="4"/>
        <v>380000</v>
      </c>
      <c r="O65" s="73">
        <f t="shared" si="5"/>
        <v>1842018.7114000001</v>
      </c>
      <c r="P65" s="73">
        <f t="shared" si="6"/>
        <v>2222018.7114000004</v>
      </c>
      <c r="Q65" s="301">
        <f t="shared" si="7"/>
        <v>353400</v>
      </c>
      <c r="R65" s="301">
        <f t="shared" si="8"/>
        <v>1713077.4016020002</v>
      </c>
      <c r="S65" s="300">
        <f t="shared" si="9"/>
        <v>2066477.4016020002</v>
      </c>
    </row>
    <row r="66" spans="1:19" ht="12" x14ac:dyDescent="0.25">
      <c r="A66" s="49">
        <v>59</v>
      </c>
      <c r="B66" s="46" t="s">
        <v>170</v>
      </c>
      <c r="C66" s="33" t="s">
        <v>153</v>
      </c>
      <c r="D66" s="111">
        <v>960935.39359999995</v>
      </c>
      <c r="E66" s="112">
        <v>278671.2641439999</v>
      </c>
      <c r="F66" s="112">
        <v>1114685.0565760001</v>
      </c>
      <c r="G66" s="112">
        <v>1393356.32072</v>
      </c>
      <c r="H66" s="254">
        <f t="shared" si="1"/>
        <v>240000</v>
      </c>
      <c r="I66" s="254">
        <v>1200000</v>
      </c>
      <c r="J66" s="255">
        <f t="shared" si="2"/>
        <v>1440000</v>
      </c>
      <c r="K66" s="141">
        <f>278671.264144-1000</f>
        <v>277671.26414400002</v>
      </c>
      <c r="L66" s="141">
        <v>1114685.0565760001</v>
      </c>
      <c r="M66" s="142">
        <f t="shared" si="3"/>
        <v>1392356.3207200002</v>
      </c>
      <c r="N66" s="99">
        <f t="shared" si="4"/>
        <v>240000</v>
      </c>
      <c r="O66" s="73">
        <f t="shared" si="5"/>
        <v>1114685.0565760001</v>
      </c>
      <c r="P66" s="73">
        <f t="shared" si="6"/>
        <v>1354685.0565760001</v>
      </c>
      <c r="Q66" s="301">
        <f t="shared" si="7"/>
        <v>223200</v>
      </c>
      <c r="R66" s="301">
        <f t="shared" si="8"/>
        <v>1036657.1026156801</v>
      </c>
      <c r="S66" s="300">
        <f t="shared" si="9"/>
        <v>1259857.1026156801</v>
      </c>
    </row>
    <row r="67" spans="1:19" ht="12" x14ac:dyDescent="0.25">
      <c r="A67" s="49">
        <v>60</v>
      </c>
      <c r="B67" s="46" t="s">
        <v>211</v>
      </c>
      <c r="C67" s="33" t="s">
        <v>153</v>
      </c>
      <c r="D67" s="111">
        <v>680000</v>
      </c>
      <c r="E67" s="112">
        <v>197200</v>
      </c>
      <c r="F67" s="112">
        <v>788800</v>
      </c>
      <c r="G67" s="112">
        <v>986000</v>
      </c>
      <c r="H67" s="254">
        <f t="shared" si="1"/>
        <v>160000</v>
      </c>
      <c r="I67" s="254">
        <v>800000</v>
      </c>
      <c r="J67" s="255">
        <f t="shared" si="2"/>
        <v>960000</v>
      </c>
      <c r="K67" s="141">
        <f>197200-1000</f>
        <v>196200</v>
      </c>
      <c r="L67" s="141">
        <v>788800</v>
      </c>
      <c r="M67" s="142">
        <f t="shared" si="3"/>
        <v>985000</v>
      </c>
      <c r="N67" s="99">
        <f t="shared" si="4"/>
        <v>160000</v>
      </c>
      <c r="O67" s="73">
        <f t="shared" si="5"/>
        <v>788800</v>
      </c>
      <c r="P67" s="73">
        <f t="shared" si="6"/>
        <v>948800</v>
      </c>
      <c r="Q67" s="301">
        <f t="shared" si="7"/>
        <v>148800</v>
      </c>
      <c r="R67" s="301">
        <f t="shared" si="8"/>
        <v>733584</v>
      </c>
      <c r="S67" s="300">
        <f t="shared" si="9"/>
        <v>882384</v>
      </c>
    </row>
    <row r="68" spans="1:19" ht="12" x14ac:dyDescent="0.25">
      <c r="A68" s="49">
        <v>61</v>
      </c>
      <c r="B68" s="46" t="s">
        <v>291</v>
      </c>
      <c r="C68" s="33" t="s">
        <v>153</v>
      </c>
      <c r="D68" s="111">
        <v>215917.62779999999</v>
      </c>
      <c r="E68" s="112">
        <v>62616.112061999971</v>
      </c>
      <c r="F68" s="112">
        <v>250464.448248</v>
      </c>
      <c r="G68" s="112">
        <v>313080.56030999997</v>
      </c>
      <c r="H68" s="254">
        <f t="shared" si="1"/>
        <v>54000</v>
      </c>
      <c r="I68" s="254">
        <v>270000</v>
      </c>
      <c r="J68" s="255">
        <f t="shared" si="2"/>
        <v>324000</v>
      </c>
      <c r="K68" s="141">
        <f>62616.1120619999-1000</f>
        <v>61616.112061999898</v>
      </c>
      <c r="L68" s="141">
        <v>250464.448248</v>
      </c>
      <c r="M68" s="142">
        <f t="shared" si="3"/>
        <v>312080.56030999991</v>
      </c>
      <c r="N68" s="99">
        <f t="shared" si="4"/>
        <v>54000</v>
      </c>
      <c r="O68" s="73">
        <f t="shared" si="5"/>
        <v>250464.448248</v>
      </c>
      <c r="P68" s="73">
        <f t="shared" si="6"/>
        <v>304464.448248</v>
      </c>
      <c r="Q68" s="301">
        <f t="shared" si="7"/>
        <v>50220</v>
      </c>
      <c r="R68" s="301">
        <f t="shared" si="8"/>
        <v>232931.93687064</v>
      </c>
      <c r="S68" s="300">
        <f t="shared" si="9"/>
        <v>283151.93687064003</v>
      </c>
    </row>
    <row r="69" spans="1:19" ht="12" x14ac:dyDescent="0.25">
      <c r="A69" s="49">
        <v>62</v>
      </c>
      <c r="B69" s="46" t="s">
        <v>17</v>
      </c>
      <c r="C69" s="33" t="s">
        <v>153</v>
      </c>
      <c r="D69" s="111">
        <v>293726.09000000003</v>
      </c>
      <c r="E69" s="112">
        <v>85180.566099999996</v>
      </c>
      <c r="F69" s="112">
        <v>340722.26440000004</v>
      </c>
      <c r="G69" s="112">
        <v>425902.83050000004</v>
      </c>
      <c r="H69" s="254">
        <f t="shared" si="1"/>
        <v>74000</v>
      </c>
      <c r="I69" s="254">
        <v>370000</v>
      </c>
      <c r="J69" s="255">
        <f t="shared" si="2"/>
        <v>444000</v>
      </c>
      <c r="K69" s="141">
        <f>85180.5661-1000</f>
        <v>84180.566099999996</v>
      </c>
      <c r="L69" s="141">
        <v>340722.26440000004</v>
      </c>
      <c r="M69" s="142">
        <f t="shared" si="3"/>
        <v>424902.83050000004</v>
      </c>
      <c r="N69" s="99">
        <f t="shared" si="4"/>
        <v>74000</v>
      </c>
      <c r="O69" s="73">
        <f t="shared" si="5"/>
        <v>340722.26440000004</v>
      </c>
      <c r="P69" s="73">
        <f t="shared" si="6"/>
        <v>414722.26440000004</v>
      </c>
      <c r="Q69" s="301">
        <f t="shared" si="7"/>
        <v>68820</v>
      </c>
      <c r="R69" s="301">
        <f t="shared" si="8"/>
        <v>316871.70589200006</v>
      </c>
      <c r="S69" s="300">
        <f t="shared" si="9"/>
        <v>385691.70589200006</v>
      </c>
    </row>
    <row r="70" spans="1:19" ht="12" x14ac:dyDescent="0.25">
      <c r="A70" s="49">
        <v>63</v>
      </c>
      <c r="B70" s="46" t="s">
        <v>16</v>
      </c>
      <c r="C70" s="33" t="s">
        <v>153</v>
      </c>
      <c r="D70" s="111">
        <v>658295.6813948109</v>
      </c>
      <c r="E70" s="112">
        <v>190905.74760449515</v>
      </c>
      <c r="F70" s="112">
        <v>763622.99041798059</v>
      </c>
      <c r="G70" s="112">
        <v>954528.73802247574</v>
      </c>
      <c r="H70" s="254">
        <f t="shared" si="1"/>
        <v>154000</v>
      </c>
      <c r="I70" s="254">
        <v>770000</v>
      </c>
      <c r="J70" s="255">
        <f t="shared" si="2"/>
        <v>924000</v>
      </c>
      <c r="K70" s="141">
        <f>190905.747604495-1000</f>
        <v>189905.747604495</v>
      </c>
      <c r="L70" s="141">
        <v>763622.99041798059</v>
      </c>
      <c r="M70" s="142">
        <f t="shared" si="3"/>
        <v>953528.73802247562</v>
      </c>
      <c r="N70" s="99">
        <f t="shared" si="4"/>
        <v>154000</v>
      </c>
      <c r="O70" s="73">
        <f t="shared" si="5"/>
        <v>763622.99041798059</v>
      </c>
      <c r="P70" s="73">
        <f t="shared" si="6"/>
        <v>917622.99041798059</v>
      </c>
      <c r="Q70" s="301">
        <f t="shared" si="7"/>
        <v>143220</v>
      </c>
      <c r="R70" s="301">
        <f t="shared" si="8"/>
        <v>710169.38108872192</v>
      </c>
      <c r="S70" s="300">
        <f t="shared" si="9"/>
        <v>853389.38108872192</v>
      </c>
    </row>
    <row r="71" spans="1:19" ht="12" x14ac:dyDescent="0.2">
      <c r="A71" s="49">
        <v>64</v>
      </c>
      <c r="B71" s="47" t="s">
        <v>75</v>
      </c>
      <c r="C71" s="33" t="s">
        <v>153</v>
      </c>
      <c r="D71" s="111">
        <v>298054.62380076025</v>
      </c>
      <c r="E71" s="112">
        <v>86435.840902220458</v>
      </c>
      <c r="F71" s="112">
        <v>345743.36360888189</v>
      </c>
      <c r="G71" s="112">
        <v>432179.20451110235</v>
      </c>
      <c r="H71" s="254">
        <f t="shared" ref="H71:H134" si="10">+I71*20%</f>
        <v>74000</v>
      </c>
      <c r="I71" s="254">
        <v>370000</v>
      </c>
      <c r="J71" s="255">
        <f t="shared" ref="J71:J134" si="11">+I71+H71</f>
        <v>444000</v>
      </c>
      <c r="K71" s="141">
        <f>86435.8409022205-1000</f>
        <v>85435.840902220501</v>
      </c>
      <c r="L71" s="141">
        <v>345743.36360888189</v>
      </c>
      <c r="M71" s="142">
        <f t="shared" ref="M71:M134" si="12">K71+L71</f>
        <v>431179.20451110241</v>
      </c>
      <c r="N71" s="99">
        <f t="shared" ref="N71:N134" si="13">MIN(E71,H71,K71)</f>
        <v>74000</v>
      </c>
      <c r="O71" s="73">
        <f t="shared" ref="O71:O134" si="14">MIN(F71,I71,L71)</f>
        <v>345743.36360888189</v>
      </c>
      <c r="P71" s="73">
        <f t="shared" ref="P71:P134" si="15">O71+N71</f>
        <v>419743.36360888189</v>
      </c>
      <c r="Q71" s="301">
        <f t="shared" ref="Q71:Q134" si="16">N71-(N71*7%)</f>
        <v>68820</v>
      </c>
      <c r="R71" s="301">
        <f t="shared" ref="R71:R134" si="17">O71-(O71*7%)</f>
        <v>321541.32815626013</v>
      </c>
      <c r="S71" s="300">
        <f t="shared" ref="S71:S134" si="18">R71+Q71</f>
        <v>390361.32815626013</v>
      </c>
    </row>
    <row r="72" spans="1:19" ht="12" x14ac:dyDescent="0.2">
      <c r="A72" s="49">
        <v>65</v>
      </c>
      <c r="B72" s="47" t="s">
        <v>76</v>
      </c>
      <c r="C72" s="33" t="s">
        <v>153</v>
      </c>
      <c r="D72" s="111">
        <v>254040.02122350797</v>
      </c>
      <c r="E72" s="112">
        <v>73671.606154817273</v>
      </c>
      <c r="F72" s="112">
        <v>294686.42461926927</v>
      </c>
      <c r="G72" s="112">
        <v>368358.03077408654</v>
      </c>
      <c r="H72" s="254">
        <f t="shared" si="10"/>
        <v>64000</v>
      </c>
      <c r="I72" s="254">
        <v>320000</v>
      </c>
      <c r="J72" s="255">
        <f t="shared" si="11"/>
        <v>384000</v>
      </c>
      <c r="K72" s="141">
        <f>73671.6061548173-1000</f>
        <v>72671.606154817302</v>
      </c>
      <c r="L72" s="141">
        <v>294686.42461926927</v>
      </c>
      <c r="M72" s="142">
        <f t="shared" si="12"/>
        <v>367358.0307740866</v>
      </c>
      <c r="N72" s="99">
        <f t="shared" si="13"/>
        <v>64000</v>
      </c>
      <c r="O72" s="73">
        <f t="shared" si="14"/>
        <v>294686.42461926927</v>
      </c>
      <c r="P72" s="73">
        <f t="shared" si="15"/>
        <v>358686.42461926927</v>
      </c>
      <c r="Q72" s="301">
        <f t="shared" si="16"/>
        <v>59520</v>
      </c>
      <c r="R72" s="301">
        <f t="shared" si="17"/>
        <v>274058.37489592039</v>
      </c>
      <c r="S72" s="300">
        <f t="shared" si="18"/>
        <v>333578.37489592039</v>
      </c>
    </row>
    <row r="73" spans="1:19" ht="12" x14ac:dyDescent="0.25">
      <c r="A73" s="49">
        <v>66</v>
      </c>
      <c r="B73" s="46" t="s">
        <v>18</v>
      </c>
      <c r="C73" s="33" t="s">
        <v>153</v>
      </c>
      <c r="D73" s="111">
        <v>313894.54879999999</v>
      </c>
      <c r="E73" s="112">
        <v>91029.419151999988</v>
      </c>
      <c r="F73" s="112">
        <v>364117.67660800001</v>
      </c>
      <c r="G73" s="112">
        <v>455147.09576</v>
      </c>
      <c r="H73" s="254">
        <f t="shared" si="10"/>
        <v>78000</v>
      </c>
      <c r="I73" s="254">
        <v>390000</v>
      </c>
      <c r="J73" s="255">
        <f t="shared" si="11"/>
        <v>468000</v>
      </c>
      <c r="K73" s="141">
        <f>91029.419152-1000</f>
        <v>90029.419152000002</v>
      </c>
      <c r="L73" s="141">
        <v>364117.67660800001</v>
      </c>
      <c r="M73" s="142">
        <f t="shared" si="12"/>
        <v>454147.09576</v>
      </c>
      <c r="N73" s="99">
        <f t="shared" si="13"/>
        <v>78000</v>
      </c>
      <c r="O73" s="73">
        <f t="shared" si="14"/>
        <v>364117.67660800001</v>
      </c>
      <c r="P73" s="73">
        <f t="shared" si="15"/>
        <v>442117.67660800001</v>
      </c>
      <c r="Q73" s="301">
        <f t="shared" si="16"/>
        <v>72540</v>
      </c>
      <c r="R73" s="301">
        <f t="shared" si="17"/>
        <v>338629.43924544001</v>
      </c>
      <c r="S73" s="300">
        <f t="shared" si="18"/>
        <v>411169.43924544001</v>
      </c>
    </row>
    <row r="74" spans="1:19" ht="12" x14ac:dyDescent="0.25">
      <c r="A74" s="49">
        <v>67</v>
      </c>
      <c r="B74" s="46" t="s">
        <v>21</v>
      </c>
      <c r="C74" s="33" t="s">
        <v>153</v>
      </c>
      <c r="D74" s="111">
        <v>389763.73881637875</v>
      </c>
      <c r="E74" s="112">
        <v>113031.4842567498</v>
      </c>
      <c r="F74" s="112">
        <v>452125.93702699937</v>
      </c>
      <c r="G74" s="112">
        <v>565157.42128374917</v>
      </c>
      <c r="H74" s="254">
        <f t="shared" si="10"/>
        <v>98000</v>
      </c>
      <c r="I74" s="254">
        <v>490000</v>
      </c>
      <c r="J74" s="255">
        <f t="shared" si="11"/>
        <v>588000</v>
      </c>
      <c r="K74" s="141">
        <f>113031.48425675-1000</f>
        <v>112031.48425675</v>
      </c>
      <c r="L74" s="141">
        <v>452125.93702699937</v>
      </c>
      <c r="M74" s="142">
        <f t="shared" si="12"/>
        <v>564157.4212837494</v>
      </c>
      <c r="N74" s="99">
        <f t="shared" si="13"/>
        <v>98000</v>
      </c>
      <c r="O74" s="73">
        <f t="shared" si="14"/>
        <v>452125.93702699937</v>
      </c>
      <c r="P74" s="73">
        <f t="shared" si="15"/>
        <v>550125.93702699943</v>
      </c>
      <c r="Q74" s="301">
        <f t="shared" si="16"/>
        <v>91140</v>
      </c>
      <c r="R74" s="301">
        <f t="shared" si="17"/>
        <v>420477.12143510941</v>
      </c>
      <c r="S74" s="300">
        <f t="shared" si="18"/>
        <v>511617.12143510941</v>
      </c>
    </row>
    <row r="75" spans="1:19" ht="12" x14ac:dyDescent="0.25">
      <c r="A75" s="49">
        <v>68</v>
      </c>
      <c r="B75" s="46" t="s">
        <v>20</v>
      </c>
      <c r="C75" s="33" t="s">
        <v>153</v>
      </c>
      <c r="D75" s="111">
        <v>178832.7742804561</v>
      </c>
      <c r="E75" s="112">
        <v>51861.504541332251</v>
      </c>
      <c r="F75" s="112">
        <v>207446.01816532909</v>
      </c>
      <c r="G75" s="112">
        <v>259307.52270666134</v>
      </c>
      <c r="H75" s="254">
        <f t="shared" si="10"/>
        <v>44000</v>
      </c>
      <c r="I75" s="254">
        <v>220000</v>
      </c>
      <c r="J75" s="255">
        <f t="shared" si="11"/>
        <v>264000</v>
      </c>
      <c r="K75" s="141">
        <f>51861.5045413323-1000</f>
        <v>50861.504541332302</v>
      </c>
      <c r="L75" s="141">
        <v>207446.01816532909</v>
      </c>
      <c r="M75" s="142">
        <f t="shared" si="12"/>
        <v>258307.5227066614</v>
      </c>
      <c r="N75" s="99">
        <f t="shared" si="13"/>
        <v>44000</v>
      </c>
      <c r="O75" s="73">
        <f t="shared" si="14"/>
        <v>207446.01816532909</v>
      </c>
      <c r="P75" s="73">
        <f t="shared" si="15"/>
        <v>251446.01816532909</v>
      </c>
      <c r="Q75" s="301">
        <f t="shared" si="16"/>
        <v>40920</v>
      </c>
      <c r="R75" s="301">
        <f t="shared" si="17"/>
        <v>192924.79689375605</v>
      </c>
      <c r="S75" s="300">
        <f t="shared" si="18"/>
        <v>233844.79689375605</v>
      </c>
    </row>
    <row r="76" spans="1:19" ht="22.5" x14ac:dyDescent="0.25">
      <c r="A76" s="49">
        <v>69</v>
      </c>
      <c r="B76" s="46" t="s">
        <v>172</v>
      </c>
      <c r="C76" s="33" t="s">
        <v>153</v>
      </c>
      <c r="D76" s="111">
        <v>2932433.1952274041</v>
      </c>
      <c r="E76" s="112">
        <v>899084.01765672211</v>
      </c>
      <c r="F76" s="112">
        <v>3596336.0706268884</v>
      </c>
      <c r="G76" s="112">
        <v>4495420.0882836105</v>
      </c>
      <c r="H76" s="254">
        <f t="shared" si="10"/>
        <v>652000</v>
      </c>
      <c r="I76" s="254">
        <v>3260000</v>
      </c>
      <c r="J76" s="255">
        <f t="shared" si="11"/>
        <v>3912000</v>
      </c>
      <c r="K76" s="141">
        <f>899084.017656722-1000</f>
        <v>898084.01765672199</v>
      </c>
      <c r="L76" s="141">
        <v>3596336.0706268884</v>
      </c>
      <c r="M76" s="142">
        <f t="shared" si="12"/>
        <v>4494420.0882836105</v>
      </c>
      <c r="N76" s="99">
        <f t="shared" si="13"/>
        <v>652000</v>
      </c>
      <c r="O76" s="73">
        <f t="shared" si="14"/>
        <v>3260000</v>
      </c>
      <c r="P76" s="73">
        <f t="shared" si="15"/>
        <v>3912000</v>
      </c>
      <c r="Q76" s="301">
        <f t="shared" si="16"/>
        <v>606360</v>
      </c>
      <c r="R76" s="301">
        <f t="shared" si="17"/>
        <v>3031800</v>
      </c>
      <c r="S76" s="300">
        <f t="shared" si="18"/>
        <v>3638160</v>
      </c>
    </row>
    <row r="77" spans="1:19" ht="12" x14ac:dyDescent="0.25">
      <c r="A77" s="49">
        <v>70</v>
      </c>
      <c r="B77" s="46" t="s">
        <v>294</v>
      </c>
      <c r="C77" s="33" t="s">
        <v>153</v>
      </c>
      <c r="D77" s="111">
        <v>363043.52840000001</v>
      </c>
      <c r="E77" s="112">
        <v>105282.62323599996</v>
      </c>
      <c r="F77" s="112">
        <v>421130.49294400006</v>
      </c>
      <c r="G77" s="112">
        <v>526413.11618000001</v>
      </c>
      <c r="H77" s="254">
        <f t="shared" si="10"/>
        <v>92000</v>
      </c>
      <c r="I77" s="254">
        <v>460000</v>
      </c>
      <c r="J77" s="255">
        <f t="shared" si="11"/>
        <v>552000</v>
      </c>
      <c r="K77" s="141">
        <f>105282.623236-1000</f>
        <v>104282.623236</v>
      </c>
      <c r="L77" s="141">
        <v>421130.49294400006</v>
      </c>
      <c r="M77" s="142">
        <f t="shared" si="12"/>
        <v>525413.11618000001</v>
      </c>
      <c r="N77" s="99">
        <f t="shared" si="13"/>
        <v>92000</v>
      </c>
      <c r="O77" s="73">
        <f t="shared" si="14"/>
        <v>421130.49294400006</v>
      </c>
      <c r="P77" s="73">
        <f t="shared" si="15"/>
        <v>513130.49294400006</v>
      </c>
      <c r="Q77" s="301">
        <f t="shared" si="16"/>
        <v>85560</v>
      </c>
      <c r="R77" s="301">
        <f t="shared" si="17"/>
        <v>391651.35843792005</v>
      </c>
      <c r="S77" s="300">
        <f t="shared" si="18"/>
        <v>477211.35843792005</v>
      </c>
    </row>
    <row r="78" spans="1:19" ht="12" x14ac:dyDescent="0.2">
      <c r="A78" s="49">
        <v>71</v>
      </c>
      <c r="B78" s="47" t="s">
        <v>292</v>
      </c>
      <c r="C78" s="33" t="s">
        <v>153</v>
      </c>
      <c r="D78" s="111">
        <v>181262.11483566154</v>
      </c>
      <c r="E78" s="112">
        <v>52566.013302341831</v>
      </c>
      <c r="F78" s="112">
        <v>210264.05320936741</v>
      </c>
      <c r="G78" s="112">
        <v>262830.06651170924</v>
      </c>
      <c r="H78" s="254">
        <f t="shared" si="10"/>
        <v>46000</v>
      </c>
      <c r="I78" s="254">
        <v>230000</v>
      </c>
      <c r="J78" s="255">
        <f t="shared" si="11"/>
        <v>276000</v>
      </c>
      <c r="K78" s="141">
        <f>52566.0133023418-1000</f>
        <v>51566.013302341802</v>
      </c>
      <c r="L78" s="141">
        <v>210264.05320936741</v>
      </c>
      <c r="M78" s="142">
        <f t="shared" si="12"/>
        <v>261830.06651170921</v>
      </c>
      <c r="N78" s="99">
        <f t="shared" si="13"/>
        <v>46000</v>
      </c>
      <c r="O78" s="73">
        <f t="shared" si="14"/>
        <v>210264.05320936741</v>
      </c>
      <c r="P78" s="73">
        <f t="shared" si="15"/>
        <v>256264.05320936741</v>
      </c>
      <c r="Q78" s="301">
        <f t="shared" si="16"/>
        <v>42780</v>
      </c>
      <c r="R78" s="301">
        <f t="shared" si="17"/>
        <v>195545.56948471168</v>
      </c>
      <c r="S78" s="300">
        <f t="shared" si="18"/>
        <v>238325.56948471168</v>
      </c>
    </row>
    <row r="79" spans="1:19" ht="12" x14ac:dyDescent="0.2">
      <c r="A79" s="49">
        <v>72</v>
      </c>
      <c r="B79" s="47" t="s">
        <v>110</v>
      </c>
      <c r="C79" s="33" t="s">
        <v>153</v>
      </c>
      <c r="D79" s="111">
        <v>501566.19574897736</v>
      </c>
      <c r="E79" s="112">
        <v>145454.19676720339</v>
      </c>
      <c r="F79" s="112">
        <v>581816.78706881381</v>
      </c>
      <c r="G79" s="112">
        <v>727270.9838360172</v>
      </c>
      <c r="H79" s="254">
        <f t="shared" si="10"/>
        <v>126000</v>
      </c>
      <c r="I79" s="254">
        <v>630000</v>
      </c>
      <c r="J79" s="255">
        <f t="shared" si="11"/>
        <v>756000</v>
      </c>
      <c r="K79" s="141">
        <f>145454.196767203-1000</f>
        <v>144454.19676720299</v>
      </c>
      <c r="L79" s="141">
        <v>581816.78706881381</v>
      </c>
      <c r="M79" s="142">
        <f t="shared" si="12"/>
        <v>726270.98383601685</v>
      </c>
      <c r="N79" s="99">
        <f t="shared" si="13"/>
        <v>126000</v>
      </c>
      <c r="O79" s="73">
        <f t="shared" si="14"/>
        <v>581816.78706881381</v>
      </c>
      <c r="P79" s="73">
        <f t="shared" si="15"/>
        <v>707816.78706881381</v>
      </c>
      <c r="Q79" s="301">
        <f t="shared" si="16"/>
        <v>117180</v>
      </c>
      <c r="R79" s="301">
        <f t="shared" si="17"/>
        <v>541089.61197399686</v>
      </c>
      <c r="S79" s="300">
        <f t="shared" si="18"/>
        <v>658269.61197399686</v>
      </c>
    </row>
    <row r="80" spans="1:19" ht="12" x14ac:dyDescent="0.25">
      <c r="A80" s="49">
        <v>73</v>
      </c>
      <c r="B80" s="46" t="s">
        <v>293</v>
      </c>
      <c r="C80" s="33" t="s">
        <v>153</v>
      </c>
      <c r="D80" s="111">
        <v>269592.12</v>
      </c>
      <c r="E80" s="112">
        <v>78181.714799999958</v>
      </c>
      <c r="F80" s="112">
        <v>312726.85920000001</v>
      </c>
      <c r="G80" s="112">
        <v>390908.57399999996</v>
      </c>
      <c r="H80" s="254">
        <f t="shared" si="10"/>
        <v>68000</v>
      </c>
      <c r="I80" s="254">
        <v>340000</v>
      </c>
      <c r="J80" s="255">
        <f t="shared" si="11"/>
        <v>408000</v>
      </c>
      <c r="K80" s="141">
        <f>78181.7148-1000</f>
        <v>77181.714800000002</v>
      </c>
      <c r="L80" s="141">
        <v>312726.85920000001</v>
      </c>
      <c r="M80" s="142">
        <f t="shared" si="12"/>
        <v>389908.57400000002</v>
      </c>
      <c r="N80" s="99">
        <f t="shared" si="13"/>
        <v>68000</v>
      </c>
      <c r="O80" s="73">
        <f t="shared" si="14"/>
        <v>312726.85920000001</v>
      </c>
      <c r="P80" s="73">
        <f t="shared" si="15"/>
        <v>380726.85920000001</v>
      </c>
      <c r="Q80" s="301">
        <f t="shared" si="16"/>
        <v>63240</v>
      </c>
      <c r="R80" s="301">
        <f t="shared" si="17"/>
        <v>290835.97905600001</v>
      </c>
      <c r="S80" s="300">
        <f t="shared" si="18"/>
        <v>354075.97905600001</v>
      </c>
    </row>
    <row r="81" spans="1:19" ht="22.5" x14ac:dyDescent="0.25">
      <c r="A81" s="49"/>
      <c r="B81" s="30" t="s">
        <v>124</v>
      </c>
      <c r="C81" s="33" t="s">
        <v>153</v>
      </c>
      <c r="D81" s="111"/>
      <c r="E81" s="112"/>
      <c r="F81" s="112"/>
      <c r="G81" s="112"/>
      <c r="H81" s="254">
        <f t="shared" si="10"/>
        <v>0</v>
      </c>
      <c r="I81" s="254"/>
      <c r="J81" s="255">
        <f t="shared" si="11"/>
        <v>0</v>
      </c>
      <c r="K81" s="143"/>
      <c r="L81" s="144"/>
      <c r="M81" s="142">
        <f t="shared" si="12"/>
        <v>0</v>
      </c>
      <c r="N81" s="99">
        <f t="shared" si="13"/>
        <v>0</v>
      </c>
      <c r="O81" s="73">
        <f t="shared" si="14"/>
        <v>0</v>
      </c>
      <c r="P81" s="73">
        <f t="shared" si="15"/>
        <v>0</v>
      </c>
      <c r="Q81" s="301">
        <f t="shared" si="16"/>
        <v>0</v>
      </c>
      <c r="R81" s="301">
        <f t="shared" si="17"/>
        <v>0</v>
      </c>
      <c r="S81" s="300">
        <f t="shared" si="18"/>
        <v>0</v>
      </c>
    </row>
    <row r="82" spans="1:19" ht="12" x14ac:dyDescent="0.25">
      <c r="A82" s="49">
        <v>74</v>
      </c>
      <c r="B82" s="46" t="s">
        <v>174</v>
      </c>
      <c r="C82" s="33" t="s">
        <v>153</v>
      </c>
      <c r="D82" s="111">
        <v>2580868.6085976032</v>
      </c>
      <c r="E82" s="112">
        <v>791294.31539602485</v>
      </c>
      <c r="F82" s="112">
        <v>3165177.2615841008</v>
      </c>
      <c r="G82" s="112">
        <v>3956471.5769801256</v>
      </c>
      <c r="H82" s="254">
        <f t="shared" si="10"/>
        <v>618000</v>
      </c>
      <c r="I82" s="254">
        <v>3090000</v>
      </c>
      <c r="J82" s="255">
        <f t="shared" si="11"/>
        <v>3708000</v>
      </c>
      <c r="K82" s="141">
        <f>791294.315396025-1000</f>
        <v>790294.31539602496</v>
      </c>
      <c r="L82" s="141">
        <v>3165177.2615841008</v>
      </c>
      <c r="M82" s="142">
        <f t="shared" si="12"/>
        <v>3955471.5769801256</v>
      </c>
      <c r="N82" s="99">
        <f t="shared" si="13"/>
        <v>618000</v>
      </c>
      <c r="O82" s="73">
        <f t="shared" si="14"/>
        <v>3090000</v>
      </c>
      <c r="P82" s="73">
        <f t="shared" si="15"/>
        <v>3708000</v>
      </c>
      <c r="Q82" s="301">
        <f t="shared" si="16"/>
        <v>574740</v>
      </c>
      <c r="R82" s="301">
        <f t="shared" si="17"/>
        <v>2873700</v>
      </c>
      <c r="S82" s="300">
        <f t="shared" si="18"/>
        <v>3448440</v>
      </c>
    </row>
    <row r="83" spans="1:19" ht="12" x14ac:dyDescent="0.25">
      <c r="A83" s="49">
        <v>75</v>
      </c>
      <c r="B83" s="46" t="s">
        <v>125</v>
      </c>
      <c r="C83" s="33" t="s">
        <v>153</v>
      </c>
      <c r="D83" s="111">
        <v>2505018.9645997235</v>
      </c>
      <c r="E83" s="112">
        <v>768038.81454627495</v>
      </c>
      <c r="F83" s="112">
        <v>3072155.2581851007</v>
      </c>
      <c r="G83" s="112">
        <v>3840194.0727313757</v>
      </c>
      <c r="H83" s="254">
        <f t="shared" si="10"/>
        <v>600000</v>
      </c>
      <c r="I83" s="254">
        <v>3000000</v>
      </c>
      <c r="J83" s="255">
        <f t="shared" si="11"/>
        <v>3600000</v>
      </c>
      <c r="K83" s="141">
        <f>768038.814546275-1000</f>
        <v>767038.81454627495</v>
      </c>
      <c r="L83" s="141">
        <v>3072155.2581851007</v>
      </c>
      <c r="M83" s="142">
        <f t="shared" si="12"/>
        <v>3839194.0727313757</v>
      </c>
      <c r="N83" s="99">
        <f t="shared" si="13"/>
        <v>600000</v>
      </c>
      <c r="O83" s="73">
        <f t="shared" si="14"/>
        <v>3000000</v>
      </c>
      <c r="P83" s="73">
        <f t="shared" si="15"/>
        <v>3600000</v>
      </c>
      <c r="Q83" s="301">
        <f t="shared" si="16"/>
        <v>558000</v>
      </c>
      <c r="R83" s="301">
        <f t="shared" si="17"/>
        <v>2790000</v>
      </c>
      <c r="S83" s="300">
        <f t="shared" si="18"/>
        <v>3348000</v>
      </c>
    </row>
    <row r="84" spans="1:19" ht="12" x14ac:dyDescent="0.2">
      <c r="A84" s="49">
        <v>76</v>
      </c>
      <c r="B84" s="47" t="s">
        <v>126</v>
      </c>
      <c r="C84" s="33" t="s">
        <v>153</v>
      </c>
      <c r="D84" s="111">
        <v>308758.15145066351</v>
      </c>
      <c r="E84" s="112">
        <v>89539.863920692413</v>
      </c>
      <c r="F84" s="112">
        <v>358159.45568276965</v>
      </c>
      <c r="G84" s="112">
        <v>447699.31960346206</v>
      </c>
      <c r="H84" s="254">
        <f t="shared" si="10"/>
        <v>72000</v>
      </c>
      <c r="I84" s="254">
        <v>360000</v>
      </c>
      <c r="J84" s="255">
        <f t="shared" si="11"/>
        <v>432000</v>
      </c>
      <c r="K84" s="141">
        <f>809539.863920692-1000</f>
        <v>808539.86392069201</v>
      </c>
      <c r="L84" s="141">
        <v>358159.45568276965</v>
      </c>
      <c r="M84" s="142">
        <f t="shared" si="12"/>
        <v>1166699.3196034618</v>
      </c>
      <c r="N84" s="99">
        <f t="shared" si="13"/>
        <v>72000</v>
      </c>
      <c r="O84" s="73">
        <f t="shared" si="14"/>
        <v>358159.45568276965</v>
      </c>
      <c r="P84" s="73">
        <f t="shared" si="15"/>
        <v>430159.45568276965</v>
      </c>
      <c r="Q84" s="301">
        <f t="shared" si="16"/>
        <v>66960</v>
      </c>
      <c r="R84" s="301">
        <f t="shared" si="17"/>
        <v>333088.29378497577</v>
      </c>
      <c r="S84" s="300">
        <f t="shared" si="18"/>
        <v>400048.29378497577</v>
      </c>
    </row>
    <row r="85" spans="1:19" ht="12" x14ac:dyDescent="0.25">
      <c r="A85" s="49">
        <v>77</v>
      </c>
      <c r="B85" s="46" t="s">
        <v>127</v>
      </c>
      <c r="C85" s="33" t="s">
        <v>153</v>
      </c>
      <c r="D85" s="111">
        <v>103696.1338834304</v>
      </c>
      <c r="E85" s="112">
        <v>30071.878826194807</v>
      </c>
      <c r="F85" s="112">
        <v>120287.51530477927</v>
      </c>
      <c r="G85" s="112">
        <v>150359.39413097408</v>
      </c>
      <c r="H85" s="254">
        <f t="shared" si="10"/>
        <v>24400</v>
      </c>
      <c r="I85" s="254">
        <v>122000</v>
      </c>
      <c r="J85" s="255">
        <f t="shared" si="11"/>
        <v>146400</v>
      </c>
      <c r="K85" s="141">
        <f>30071.8788261948-1000</f>
        <v>29071.878826194799</v>
      </c>
      <c r="L85" s="141">
        <v>120287.51530477927</v>
      </c>
      <c r="M85" s="142">
        <f t="shared" si="12"/>
        <v>149359.39413097408</v>
      </c>
      <c r="N85" s="99">
        <f t="shared" si="13"/>
        <v>24400</v>
      </c>
      <c r="O85" s="73">
        <f t="shared" si="14"/>
        <v>120287.51530477927</v>
      </c>
      <c r="P85" s="73">
        <f t="shared" si="15"/>
        <v>144687.51530477928</v>
      </c>
      <c r="Q85" s="301">
        <f t="shared" si="16"/>
        <v>22692</v>
      </c>
      <c r="R85" s="301">
        <f t="shared" si="17"/>
        <v>111867.38923344472</v>
      </c>
      <c r="S85" s="300">
        <f t="shared" si="18"/>
        <v>134559.3892334447</v>
      </c>
    </row>
    <row r="86" spans="1:19" ht="12" x14ac:dyDescent="0.2">
      <c r="A86" s="49">
        <v>78</v>
      </c>
      <c r="B86" s="47" t="s">
        <v>297</v>
      </c>
      <c r="C86" s="33" t="s">
        <v>153</v>
      </c>
      <c r="D86" s="111">
        <v>1106868.8448231332</v>
      </c>
      <c r="E86" s="112">
        <v>320991.96499870857</v>
      </c>
      <c r="F86" s="112">
        <v>1283967.8599948345</v>
      </c>
      <c r="G86" s="112">
        <v>1604959.8249935431</v>
      </c>
      <c r="H86" s="254">
        <f t="shared" si="10"/>
        <v>261200</v>
      </c>
      <c r="I86" s="254">
        <v>1306000</v>
      </c>
      <c r="J86" s="255">
        <f t="shared" si="11"/>
        <v>1567200</v>
      </c>
      <c r="K86" s="141">
        <f>320991.964998709-1000</f>
        <v>319991.96499870898</v>
      </c>
      <c r="L86" s="141">
        <v>1283967.8599948345</v>
      </c>
      <c r="M86" s="142">
        <f t="shared" si="12"/>
        <v>1603959.8249935436</v>
      </c>
      <c r="N86" s="99">
        <f t="shared" si="13"/>
        <v>261200</v>
      </c>
      <c r="O86" s="73">
        <f t="shared" si="14"/>
        <v>1283967.8599948345</v>
      </c>
      <c r="P86" s="73">
        <f t="shared" si="15"/>
        <v>1545167.8599948345</v>
      </c>
      <c r="Q86" s="301">
        <f t="shared" si="16"/>
        <v>242916</v>
      </c>
      <c r="R86" s="301">
        <f t="shared" si="17"/>
        <v>1194090.109795196</v>
      </c>
      <c r="S86" s="300">
        <f t="shared" si="18"/>
        <v>1437006.109795196</v>
      </c>
    </row>
    <row r="87" spans="1:19" ht="12" x14ac:dyDescent="0.25">
      <c r="A87" s="49">
        <v>79</v>
      </c>
      <c r="B87" s="46" t="s">
        <v>326</v>
      </c>
      <c r="C87" s="33" t="s">
        <v>153</v>
      </c>
      <c r="D87" s="111">
        <v>611690.67740225792</v>
      </c>
      <c r="E87" s="112">
        <v>177390.29644665471</v>
      </c>
      <c r="F87" s="112">
        <v>709561.1857866192</v>
      </c>
      <c r="G87" s="112">
        <v>886951.48223327391</v>
      </c>
      <c r="H87" s="254">
        <f t="shared" si="10"/>
        <v>144000</v>
      </c>
      <c r="I87" s="254">
        <v>720000</v>
      </c>
      <c r="J87" s="255">
        <f t="shared" si="11"/>
        <v>864000</v>
      </c>
      <c r="K87" s="141">
        <f>177390.296446655-1000</f>
        <v>176390.296446655</v>
      </c>
      <c r="L87" s="141">
        <v>709561.1857866192</v>
      </c>
      <c r="M87" s="142">
        <f t="shared" si="12"/>
        <v>885951.48223327426</v>
      </c>
      <c r="N87" s="99">
        <f t="shared" si="13"/>
        <v>144000</v>
      </c>
      <c r="O87" s="73">
        <f t="shared" si="14"/>
        <v>709561.1857866192</v>
      </c>
      <c r="P87" s="73">
        <f t="shared" si="15"/>
        <v>853561.1857866192</v>
      </c>
      <c r="Q87" s="301">
        <f t="shared" si="16"/>
        <v>133920</v>
      </c>
      <c r="R87" s="301">
        <f t="shared" si="17"/>
        <v>659891.90278155589</v>
      </c>
      <c r="S87" s="300">
        <f t="shared" si="18"/>
        <v>793811.90278155589</v>
      </c>
    </row>
    <row r="88" spans="1:19" ht="12" x14ac:dyDescent="0.25">
      <c r="A88" s="49">
        <v>80</v>
      </c>
      <c r="B88" s="46" t="s">
        <v>123</v>
      </c>
      <c r="C88" s="33" t="s">
        <v>153</v>
      </c>
      <c r="D88" s="111">
        <v>228384.99180000002</v>
      </c>
      <c r="E88" s="112">
        <v>66231.647622000019</v>
      </c>
      <c r="F88" s="112">
        <v>264926.59048800002</v>
      </c>
      <c r="G88" s="112">
        <v>331158.23811000003</v>
      </c>
      <c r="H88" s="254">
        <f t="shared" si="10"/>
        <v>56000</v>
      </c>
      <c r="I88" s="254">
        <v>280000</v>
      </c>
      <c r="J88" s="255">
        <f t="shared" si="11"/>
        <v>336000</v>
      </c>
      <c r="K88" s="141">
        <f>66231.647622-1000</f>
        <v>65231.647622000004</v>
      </c>
      <c r="L88" s="141">
        <v>264926.59048800002</v>
      </c>
      <c r="M88" s="142">
        <f t="shared" si="12"/>
        <v>330158.23811000003</v>
      </c>
      <c r="N88" s="99">
        <f t="shared" si="13"/>
        <v>56000</v>
      </c>
      <c r="O88" s="73">
        <f t="shared" si="14"/>
        <v>264926.59048800002</v>
      </c>
      <c r="P88" s="73">
        <f t="shared" si="15"/>
        <v>320926.59048800002</v>
      </c>
      <c r="Q88" s="301">
        <f t="shared" si="16"/>
        <v>52080</v>
      </c>
      <c r="R88" s="301">
        <f t="shared" si="17"/>
        <v>246381.72915384002</v>
      </c>
      <c r="S88" s="300">
        <f t="shared" si="18"/>
        <v>298461.72915383999</v>
      </c>
    </row>
    <row r="89" spans="1:19" ht="12" x14ac:dyDescent="0.25">
      <c r="A89" s="49">
        <v>81</v>
      </c>
      <c r="B89" s="46" t="s">
        <v>298</v>
      </c>
      <c r="C89" s="33" t="s">
        <v>153</v>
      </c>
      <c r="D89" s="111">
        <v>208772.88618072367</v>
      </c>
      <c r="E89" s="112">
        <v>60544.136992409854</v>
      </c>
      <c r="F89" s="112">
        <v>242176.54796963945</v>
      </c>
      <c r="G89" s="112">
        <v>302720.6849620493</v>
      </c>
      <c r="H89" s="254">
        <f t="shared" si="10"/>
        <v>49000</v>
      </c>
      <c r="I89" s="254">
        <v>245000</v>
      </c>
      <c r="J89" s="255">
        <f t="shared" si="11"/>
        <v>294000</v>
      </c>
      <c r="K89" s="141">
        <f>60544.1369924099-1000</f>
        <v>59544.136992409898</v>
      </c>
      <c r="L89" s="141">
        <v>242176.54796963945</v>
      </c>
      <c r="M89" s="142">
        <f t="shared" si="12"/>
        <v>301720.68496204936</v>
      </c>
      <c r="N89" s="99">
        <f t="shared" si="13"/>
        <v>49000</v>
      </c>
      <c r="O89" s="73">
        <f t="shared" si="14"/>
        <v>242176.54796963945</v>
      </c>
      <c r="P89" s="73">
        <f t="shared" si="15"/>
        <v>291176.54796963942</v>
      </c>
      <c r="Q89" s="301">
        <f t="shared" si="16"/>
        <v>45570</v>
      </c>
      <c r="R89" s="301">
        <f t="shared" si="17"/>
        <v>225224.18961176468</v>
      </c>
      <c r="S89" s="300">
        <f t="shared" si="18"/>
        <v>270794.18961176468</v>
      </c>
    </row>
    <row r="90" spans="1:19" ht="12" x14ac:dyDescent="0.25">
      <c r="A90" s="49">
        <v>82</v>
      </c>
      <c r="B90" s="46" t="s">
        <v>177</v>
      </c>
      <c r="C90" s="33" t="s">
        <v>153</v>
      </c>
      <c r="D90" s="111">
        <v>686249.77260000003</v>
      </c>
      <c r="E90" s="112">
        <v>199012.43405399995</v>
      </c>
      <c r="F90" s="112">
        <v>796049.73621600005</v>
      </c>
      <c r="G90" s="112">
        <v>995062.17027</v>
      </c>
      <c r="H90" s="254">
        <f t="shared" si="10"/>
        <v>172000</v>
      </c>
      <c r="I90" s="254">
        <v>860000</v>
      </c>
      <c r="J90" s="255">
        <f t="shared" si="11"/>
        <v>1032000</v>
      </c>
      <c r="K90" s="141">
        <f>199012.434054-1000</f>
        <v>198012.43405400001</v>
      </c>
      <c r="L90" s="141">
        <v>796049.73621600005</v>
      </c>
      <c r="M90" s="142">
        <f t="shared" si="12"/>
        <v>994062.17027000012</v>
      </c>
      <c r="N90" s="99">
        <f t="shared" si="13"/>
        <v>172000</v>
      </c>
      <c r="O90" s="73">
        <f t="shared" si="14"/>
        <v>796049.73621600005</v>
      </c>
      <c r="P90" s="73">
        <f t="shared" si="15"/>
        <v>968049.73621600005</v>
      </c>
      <c r="Q90" s="301">
        <f t="shared" si="16"/>
        <v>159960</v>
      </c>
      <c r="R90" s="301">
        <f t="shared" si="17"/>
        <v>740326.25468088</v>
      </c>
      <c r="S90" s="300">
        <f t="shared" si="18"/>
        <v>900286.25468088</v>
      </c>
    </row>
    <row r="91" spans="1:19" ht="12" x14ac:dyDescent="0.25">
      <c r="A91" s="49">
        <v>83</v>
      </c>
      <c r="B91" s="35" t="s">
        <v>102</v>
      </c>
      <c r="C91" s="33" t="s">
        <v>153</v>
      </c>
      <c r="D91" s="111">
        <v>1604909.5127733243</v>
      </c>
      <c r="E91" s="112">
        <v>465423.75870426395</v>
      </c>
      <c r="F91" s="112">
        <v>1861695.034817056</v>
      </c>
      <c r="G91" s="112">
        <v>2327118.79352132</v>
      </c>
      <c r="H91" s="254">
        <f t="shared" si="10"/>
        <v>406000</v>
      </c>
      <c r="I91" s="254">
        <v>2030000</v>
      </c>
      <c r="J91" s="255">
        <f t="shared" si="11"/>
        <v>2436000</v>
      </c>
      <c r="K91" s="141">
        <f>465423.758704264-1000</f>
        <v>464423.75870426401</v>
      </c>
      <c r="L91" s="141">
        <v>1861695.034817056</v>
      </c>
      <c r="M91" s="142">
        <f t="shared" si="12"/>
        <v>2326118.79352132</v>
      </c>
      <c r="N91" s="99">
        <f t="shared" si="13"/>
        <v>406000</v>
      </c>
      <c r="O91" s="73">
        <f t="shared" si="14"/>
        <v>1861695.034817056</v>
      </c>
      <c r="P91" s="73">
        <f t="shared" si="15"/>
        <v>2267695.0348170558</v>
      </c>
      <c r="Q91" s="301">
        <f t="shared" si="16"/>
        <v>377580</v>
      </c>
      <c r="R91" s="301">
        <f t="shared" si="17"/>
        <v>1731376.382379862</v>
      </c>
      <c r="S91" s="300">
        <f t="shared" si="18"/>
        <v>2108956.382379862</v>
      </c>
    </row>
    <row r="92" spans="1:19" ht="12" x14ac:dyDescent="0.2">
      <c r="A92" s="49">
        <v>84</v>
      </c>
      <c r="B92" s="47" t="s">
        <v>112</v>
      </c>
      <c r="C92" s="33" t="s">
        <v>153</v>
      </c>
      <c r="D92" s="111">
        <v>425270.66143204604</v>
      </c>
      <c r="E92" s="112">
        <v>123328.49181529332</v>
      </c>
      <c r="F92" s="112">
        <v>493313.96726117341</v>
      </c>
      <c r="G92" s="112">
        <v>616642.45907646674</v>
      </c>
      <c r="H92" s="254">
        <f t="shared" si="10"/>
        <v>100000</v>
      </c>
      <c r="I92" s="254">
        <v>500000</v>
      </c>
      <c r="J92" s="255">
        <f t="shared" si="11"/>
        <v>600000</v>
      </c>
      <c r="K92" s="141">
        <f>123328.491815293-1000</f>
        <v>122328.491815293</v>
      </c>
      <c r="L92" s="141">
        <v>493313.96726117341</v>
      </c>
      <c r="M92" s="142">
        <f t="shared" si="12"/>
        <v>615642.45907646639</v>
      </c>
      <c r="N92" s="99">
        <f t="shared" si="13"/>
        <v>100000</v>
      </c>
      <c r="O92" s="73">
        <f t="shared" si="14"/>
        <v>493313.96726117341</v>
      </c>
      <c r="P92" s="73">
        <f t="shared" si="15"/>
        <v>593313.96726117341</v>
      </c>
      <c r="Q92" s="301">
        <f t="shared" si="16"/>
        <v>93000</v>
      </c>
      <c r="R92" s="301">
        <f t="shared" si="17"/>
        <v>458781.98955289129</v>
      </c>
      <c r="S92" s="300">
        <f t="shared" si="18"/>
        <v>551781.98955289135</v>
      </c>
    </row>
    <row r="93" spans="1:19" ht="12" x14ac:dyDescent="0.2">
      <c r="A93" s="49">
        <v>85</v>
      </c>
      <c r="B93" s="47" t="s">
        <v>78</v>
      </c>
      <c r="C93" s="33" t="s">
        <v>153</v>
      </c>
      <c r="D93" s="111">
        <v>378665.65743949305</v>
      </c>
      <c r="E93" s="112">
        <v>109813.04065745295</v>
      </c>
      <c r="F93" s="112">
        <v>439252.16262981197</v>
      </c>
      <c r="G93" s="112">
        <v>549065.20328726491</v>
      </c>
      <c r="H93" s="254">
        <f t="shared" si="10"/>
        <v>89000</v>
      </c>
      <c r="I93" s="254">
        <v>445000</v>
      </c>
      <c r="J93" s="255">
        <f t="shared" si="11"/>
        <v>534000</v>
      </c>
      <c r="K93" s="141">
        <f>109813.040657453-1000</f>
        <v>108813.04065745301</v>
      </c>
      <c r="L93" s="141">
        <v>439252.16262981197</v>
      </c>
      <c r="M93" s="142">
        <f t="shared" si="12"/>
        <v>548065.20328726503</v>
      </c>
      <c r="N93" s="99">
        <f t="shared" si="13"/>
        <v>89000</v>
      </c>
      <c r="O93" s="73">
        <f t="shared" si="14"/>
        <v>439252.16262981197</v>
      </c>
      <c r="P93" s="73">
        <f t="shared" si="15"/>
        <v>528252.16262981202</v>
      </c>
      <c r="Q93" s="301">
        <f t="shared" si="16"/>
        <v>82770</v>
      </c>
      <c r="R93" s="301">
        <f t="shared" si="17"/>
        <v>408504.51124572515</v>
      </c>
      <c r="S93" s="300">
        <f t="shared" si="18"/>
        <v>491274.51124572515</v>
      </c>
    </row>
    <row r="94" spans="1:19" ht="11.25" customHeight="1" x14ac:dyDescent="0.25">
      <c r="A94" s="49">
        <v>86</v>
      </c>
      <c r="B94" s="46" t="s">
        <v>299</v>
      </c>
      <c r="C94" s="33" t="s">
        <v>153</v>
      </c>
      <c r="D94" s="111">
        <v>2510844.5900987927</v>
      </c>
      <c r="E94" s="112">
        <v>769824.95132428966</v>
      </c>
      <c r="F94" s="112">
        <v>3079299.8052971591</v>
      </c>
      <c r="G94" s="112">
        <v>3849124.7566214488</v>
      </c>
      <c r="H94" s="254">
        <f t="shared" si="10"/>
        <v>600000</v>
      </c>
      <c r="I94" s="254">
        <v>3000000</v>
      </c>
      <c r="J94" s="255">
        <f t="shared" si="11"/>
        <v>3600000</v>
      </c>
      <c r="K94" s="141">
        <f>769824.95132429-1000</f>
        <v>768824.95132429001</v>
      </c>
      <c r="L94" s="141">
        <v>3079299.8052971591</v>
      </c>
      <c r="M94" s="142">
        <f t="shared" si="12"/>
        <v>3848124.7566214493</v>
      </c>
      <c r="N94" s="99">
        <f t="shared" si="13"/>
        <v>600000</v>
      </c>
      <c r="O94" s="73">
        <f t="shared" si="14"/>
        <v>3000000</v>
      </c>
      <c r="P94" s="73">
        <f t="shared" si="15"/>
        <v>3600000</v>
      </c>
      <c r="Q94" s="301">
        <f t="shared" si="16"/>
        <v>558000</v>
      </c>
      <c r="R94" s="301">
        <f t="shared" si="17"/>
        <v>2790000</v>
      </c>
      <c r="S94" s="300">
        <f t="shared" si="18"/>
        <v>3348000</v>
      </c>
    </row>
    <row r="95" spans="1:19" ht="12" x14ac:dyDescent="0.2">
      <c r="A95" s="49">
        <v>87</v>
      </c>
      <c r="B95" s="47" t="s">
        <v>111</v>
      </c>
      <c r="C95" s="33" t="s">
        <v>153</v>
      </c>
      <c r="D95" s="111">
        <v>291281.27495345619</v>
      </c>
      <c r="E95" s="112">
        <v>84471.56973650225</v>
      </c>
      <c r="F95" s="112">
        <v>337886.27894600923</v>
      </c>
      <c r="G95" s="112">
        <v>422357.84868251148</v>
      </c>
      <c r="H95" s="254">
        <f t="shared" si="10"/>
        <v>68000</v>
      </c>
      <c r="I95" s="254">
        <v>340000</v>
      </c>
      <c r="J95" s="255">
        <f t="shared" si="11"/>
        <v>408000</v>
      </c>
      <c r="K95" s="141">
        <f>84471.5697365022-1000</f>
        <v>83471.569736502206</v>
      </c>
      <c r="L95" s="141">
        <v>337886.27894600923</v>
      </c>
      <c r="M95" s="142">
        <f t="shared" si="12"/>
        <v>421357.84868251142</v>
      </c>
      <c r="N95" s="99">
        <f t="shared" si="13"/>
        <v>68000</v>
      </c>
      <c r="O95" s="73">
        <f t="shared" si="14"/>
        <v>337886.27894600923</v>
      </c>
      <c r="P95" s="73">
        <f t="shared" si="15"/>
        <v>405886.27894600923</v>
      </c>
      <c r="Q95" s="301">
        <f t="shared" si="16"/>
        <v>63240</v>
      </c>
      <c r="R95" s="301">
        <f t="shared" si="17"/>
        <v>314234.23941978859</v>
      </c>
      <c r="S95" s="300">
        <f t="shared" si="18"/>
        <v>377474.23941978859</v>
      </c>
    </row>
    <row r="96" spans="1:19" ht="12" x14ac:dyDescent="0.2">
      <c r="A96" s="49">
        <v>88</v>
      </c>
      <c r="B96" s="47" t="s">
        <v>300</v>
      </c>
      <c r="C96" s="33" t="s">
        <v>153</v>
      </c>
      <c r="D96" s="111">
        <v>931460.91359999997</v>
      </c>
      <c r="E96" s="112">
        <v>270123.66494399984</v>
      </c>
      <c r="F96" s="112">
        <v>1080494.6597760001</v>
      </c>
      <c r="G96" s="112">
        <v>1350618.3247199999</v>
      </c>
      <c r="H96" s="254">
        <f t="shared" si="10"/>
        <v>234000</v>
      </c>
      <c r="I96" s="254">
        <v>1170000</v>
      </c>
      <c r="J96" s="255">
        <f t="shared" si="11"/>
        <v>1404000</v>
      </c>
      <c r="K96" s="141">
        <f>270123.664944-1000</f>
        <v>269123.66494400002</v>
      </c>
      <c r="L96" s="141">
        <v>1080494.6597760001</v>
      </c>
      <c r="M96" s="142">
        <f t="shared" si="12"/>
        <v>1349618.3247200001</v>
      </c>
      <c r="N96" s="99">
        <f t="shared" si="13"/>
        <v>234000</v>
      </c>
      <c r="O96" s="73">
        <f t="shared" si="14"/>
        <v>1080494.6597760001</v>
      </c>
      <c r="P96" s="73">
        <f t="shared" si="15"/>
        <v>1314494.6597760001</v>
      </c>
      <c r="Q96" s="301">
        <f t="shared" si="16"/>
        <v>217620</v>
      </c>
      <c r="R96" s="301">
        <f t="shared" si="17"/>
        <v>1004860.03359168</v>
      </c>
      <c r="S96" s="300">
        <f t="shared" si="18"/>
        <v>1222480.03359168</v>
      </c>
    </row>
    <row r="97" spans="1:19" ht="22.5" x14ac:dyDescent="0.25">
      <c r="A97" s="49"/>
      <c r="B97" s="30" t="s">
        <v>31</v>
      </c>
      <c r="C97" s="33" t="s">
        <v>153</v>
      </c>
      <c r="D97" s="111"/>
      <c r="E97" s="112"/>
      <c r="F97" s="112"/>
      <c r="G97" s="112"/>
      <c r="H97" s="254">
        <f t="shared" si="10"/>
        <v>0</v>
      </c>
      <c r="I97" s="254"/>
      <c r="J97" s="255">
        <f t="shared" si="11"/>
        <v>0</v>
      </c>
      <c r="K97" s="143"/>
      <c r="L97" s="144"/>
      <c r="M97" s="142">
        <f t="shared" si="12"/>
        <v>0</v>
      </c>
      <c r="N97" s="99">
        <f t="shared" si="13"/>
        <v>0</v>
      </c>
      <c r="O97" s="73">
        <f t="shared" si="14"/>
        <v>0</v>
      </c>
      <c r="P97" s="73">
        <f t="shared" si="15"/>
        <v>0</v>
      </c>
      <c r="Q97" s="301">
        <f t="shared" si="16"/>
        <v>0</v>
      </c>
      <c r="R97" s="301">
        <f t="shared" si="17"/>
        <v>0</v>
      </c>
      <c r="S97" s="300">
        <f t="shared" si="18"/>
        <v>0</v>
      </c>
    </row>
    <row r="98" spans="1:19" ht="12" x14ac:dyDescent="0.25">
      <c r="A98" s="49">
        <v>89</v>
      </c>
      <c r="B98" s="46" t="s">
        <v>323</v>
      </c>
      <c r="C98" s="33" t="s">
        <v>153</v>
      </c>
      <c r="D98" s="111">
        <v>2450554.0234000003</v>
      </c>
      <c r="E98" s="112">
        <v>751339.86357443966</v>
      </c>
      <c r="F98" s="112">
        <v>3005359.4542977605</v>
      </c>
      <c r="G98" s="112">
        <v>3756699.3178722002</v>
      </c>
      <c r="H98" s="254">
        <f t="shared" si="10"/>
        <v>574000</v>
      </c>
      <c r="I98" s="254">
        <v>2870000</v>
      </c>
      <c r="J98" s="255">
        <f t="shared" si="11"/>
        <v>3444000</v>
      </c>
      <c r="K98" s="141">
        <f>751339.86357444-1000</f>
        <v>750339.86357444001</v>
      </c>
      <c r="L98" s="141">
        <v>3005359.4542977605</v>
      </c>
      <c r="M98" s="142">
        <f t="shared" si="12"/>
        <v>3755699.3178722006</v>
      </c>
      <c r="N98" s="99">
        <f t="shared" si="13"/>
        <v>574000</v>
      </c>
      <c r="O98" s="73">
        <f t="shared" si="14"/>
        <v>2870000</v>
      </c>
      <c r="P98" s="73">
        <f t="shared" si="15"/>
        <v>3444000</v>
      </c>
      <c r="Q98" s="301">
        <f t="shared" si="16"/>
        <v>533820</v>
      </c>
      <c r="R98" s="301">
        <f t="shared" si="17"/>
        <v>2669100</v>
      </c>
      <c r="S98" s="300">
        <f t="shared" si="18"/>
        <v>3202920</v>
      </c>
    </row>
    <row r="99" spans="1:19" ht="12" x14ac:dyDescent="0.25">
      <c r="A99" s="49">
        <v>90</v>
      </c>
      <c r="B99" s="46" t="s">
        <v>178</v>
      </c>
      <c r="C99" s="33" t="s">
        <v>153</v>
      </c>
      <c r="D99" s="111">
        <v>1237939.5929266897</v>
      </c>
      <c r="E99" s="112">
        <v>359002.48194873985</v>
      </c>
      <c r="F99" s="112">
        <v>1436009.9277949601</v>
      </c>
      <c r="G99" s="112">
        <v>1795012.4097436999</v>
      </c>
      <c r="H99" s="254">
        <f t="shared" si="10"/>
        <v>292000</v>
      </c>
      <c r="I99" s="254">
        <v>1460000</v>
      </c>
      <c r="J99" s="255">
        <f t="shared" si="11"/>
        <v>1752000</v>
      </c>
      <c r="K99" s="141">
        <f>359002.48194874-1000</f>
        <v>358002.48194874002</v>
      </c>
      <c r="L99" s="141">
        <v>1436009.9277949601</v>
      </c>
      <c r="M99" s="142">
        <f t="shared" si="12"/>
        <v>1794012.4097437002</v>
      </c>
      <c r="N99" s="99">
        <f t="shared" si="13"/>
        <v>292000</v>
      </c>
      <c r="O99" s="73">
        <f t="shared" si="14"/>
        <v>1436009.9277949601</v>
      </c>
      <c r="P99" s="73">
        <f t="shared" si="15"/>
        <v>1728009.9277949601</v>
      </c>
      <c r="Q99" s="301">
        <f t="shared" si="16"/>
        <v>271560</v>
      </c>
      <c r="R99" s="301">
        <f t="shared" si="17"/>
        <v>1335489.2328493129</v>
      </c>
      <c r="S99" s="300">
        <f t="shared" si="18"/>
        <v>1607049.2328493129</v>
      </c>
    </row>
    <row r="100" spans="1:19" ht="12" x14ac:dyDescent="0.25">
      <c r="A100" s="49">
        <v>91</v>
      </c>
      <c r="B100" s="46" t="s">
        <v>301</v>
      </c>
      <c r="C100" s="33" t="s">
        <v>153</v>
      </c>
      <c r="D100" s="111">
        <v>804134.41359999997</v>
      </c>
      <c r="E100" s="112">
        <v>233198.9799439999</v>
      </c>
      <c r="F100" s="112">
        <v>932795.91977599997</v>
      </c>
      <c r="G100" s="112">
        <v>1165994.8997199999</v>
      </c>
      <c r="H100" s="254">
        <f t="shared" si="10"/>
        <v>200000</v>
      </c>
      <c r="I100" s="254">
        <v>1000000</v>
      </c>
      <c r="J100" s="255">
        <f t="shared" si="11"/>
        <v>1200000</v>
      </c>
      <c r="K100" s="141">
        <f>233198.979944-1000</f>
        <v>232198.97994399999</v>
      </c>
      <c r="L100" s="141">
        <v>932795.91977599997</v>
      </c>
      <c r="M100" s="142">
        <f t="shared" si="12"/>
        <v>1164994.8997199999</v>
      </c>
      <c r="N100" s="99">
        <f t="shared" si="13"/>
        <v>200000</v>
      </c>
      <c r="O100" s="73">
        <f t="shared" si="14"/>
        <v>932795.91977599997</v>
      </c>
      <c r="P100" s="73">
        <f t="shared" si="15"/>
        <v>1132795.9197760001</v>
      </c>
      <c r="Q100" s="301">
        <f t="shared" si="16"/>
        <v>186000</v>
      </c>
      <c r="R100" s="301">
        <f t="shared" si="17"/>
        <v>867500.20539168001</v>
      </c>
      <c r="S100" s="300">
        <f t="shared" si="18"/>
        <v>1053500.2053916799</v>
      </c>
    </row>
    <row r="101" spans="1:19" ht="12" x14ac:dyDescent="0.2">
      <c r="A101" s="49">
        <v>92</v>
      </c>
      <c r="B101" s="47" t="s">
        <v>79</v>
      </c>
      <c r="C101" s="33" t="s">
        <v>153</v>
      </c>
      <c r="D101" s="111">
        <v>167131.03260000001</v>
      </c>
      <c r="E101" s="112">
        <v>48467.999453999975</v>
      </c>
      <c r="F101" s="112">
        <v>193871.99781600002</v>
      </c>
      <c r="G101" s="112">
        <v>242339.99726999999</v>
      </c>
      <c r="H101" s="254">
        <f t="shared" si="10"/>
        <v>42200</v>
      </c>
      <c r="I101" s="254">
        <v>211000</v>
      </c>
      <c r="J101" s="255">
        <f t="shared" si="11"/>
        <v>253200</v>
      </c>
      <c r="K101" s="141">
        <f>48467.999454-1000</f>
        <v>47467.999453999997</v>
      </c>
      <c r="L101" s="141">
        <v>193871.99781600002</v>
      </c>
      <c r="M101" s="142">
        <f t="shared" si="12"/>
        <v>241339.99727000002</v>
      </c>
      <c r="N101" s="99">
        <f t="shared" si="13"/>
        <v>42200</v>
      </c>
      <c r="O101" s="73">
        <f t="shared" si="14"/>
        <v>193871.99781600002</v>
      </c>
      <c r="P101" s="73">
        <f t="shared" si="15"/>
        <v>236071.99781600002</v>
      </c>
      <c r="Q101" s="301">
        <f t="shared" si="16"/>
        <v>39246</v>
      </c>
      <c r="R101" s="301">
        <f t="shared" si="17"/>
        <v>180300.95796888001</v>
      </c>
      <c r="S101" s="300">
        <f t="shared" si="18"/>
        <v>219546.95796888001</v>
      </c>
    </row>
    <row r="102" spans="1:19" ht="12" x14ac:dyDescent="0.25">
      <c r="A102" s="49">
        <v>93</v>
      </c>
      <c r="B102" s="46" t="s">
        <v>32</v>
      </c>
      <c r="C102" s="33" t="s">
        <v>153</v>
      </c>
      <c r="D102" s="111">
        <v>147347.12579999998</v>
      </c>
      <c r="E102" s="112">
        <v>42730.666481999971</v>
      </c>
      <c r="F102" s="112">
        <v>170922.665928</v>
      </c>
      <c r="G102" s="112">
        <v>213653.33240999997</v>
      </c>
      <c r="H102" s="254">
        <f t="shared" si="10"/>
        <v>32000</v>
      </c>
      <c r="I102" s="254">
        <v>160000</v>
      </c>
      <c r="J102" s="255">
        <f t="shared" si="11"/>
        <v>192000</v>
      </c>
      <c r="K102" s="141">
        <f>42730.666482-1000</f>
        <v>41730.666482000001</v>
      </c>
      <c r="L102" s="141">
        <v>170922.665928</v>
      </c>
      <c r="M102" s="142">
        <f t="shared" si="12"/>
        <v>212653.33241</v>
      </c>
      <c r="N102" s="99">
        <f t="shared" si="13"/>
        <v>32000</v>
      </c>
      <c r="O102" s="73">
        <f t="shared" si="14"/>
        <v>160000</v>
      </c>
      <c r="P102" s="73">
        <f t="shared" si="15"/>
        <v>192000</v>
      </c>
      <c r="Q102" s="301">
        <f t="shared" si="16"/>
        <v>29760</v>
      </c>
      <c r="R102" s="301">
        <f t="shared" si="17"/>
        <v>148800</v>
      </c>
      <c r="S102" s="300">
        <f t="shared" si="18"/>
        <v>178560</v>
      </c>
    </row>
    <row r="103" spans="1:19" ht="12" x14ac:dyDescent="0.2">
      <c r="A103" s="49">
        <v>94</v>
      </c>
      <c r="B103" s="47" t="s">
        <v>77</v>
      </c>
      <c r="C103" s="33" t="s">
        <v>153</v>
      </c>
      <c r="D103" s="111">
        <v>362251.00431169313</v>
      </c>
      <c r="E103" s="112">
        <v>105052.79125039099</v>
      </c>
      <c r="F103" s="112">
        <v>420211.16500156402</v>
      </c>
      <c r="G103" s="112">
        <v>525263.95625195501</v>
      </c>
      <c r="H103" s="254">
        <f t="shared" si="10"/>
        <v>90000</v>
      </c>
      <c r="I103" s="254">
        <v>450000</v>
      </c>
      <c r="J103" s="255">
        <f t="shared" si="11"/>
        <v>540000</v>
      </c>
      <c r="K103" s="141">
        <f>105052.791250391-1000</f>
        <v>104052.791250391</v>
      </c>
      <c r="L103" s="141">
        <v>420211.16500156402</v>
      </c>
      <c r="M103" s="142">
        <f t="shared" si="12"/>
        <v>524263.95625195501</v>
      </c>
      <c r="N103" s="99">
        <f t="shared" si="13"/>
        <v>90000</v>
      </c>
      <c r="O103" s="73">
        <f t="shared" si="14"/>
        <v>420211.16500156402</v>
      </c>
      <c r="P103" s="73">
        <f t="shared" si="15"/>
        <v>510211.16500156402</v>
      </c>
      <c r="Q103" s="301">
        <f t="shared" si="16"/>
        <v>83700</v>
      </c>
      <c r="R103" s="301">
        <f t="shared" si="17"/>
        <v>390796.38345145452</v>
      </c>
      <c r="S103" s="300">
        <f t="shared" si="18"/>
        <v>474496.38345145452</v>
      </c>
    </row>
    <row r="104" spans="1:19" ht="12" x14ac:dyDescent="0.2">
      <c r="A104" s="49">
        <v>95</v>
      </c>
      <c r="B104" s="47" t="s">
        <v>302</v>
      </c>
      <c r="C104" s="33" t="s">
        <v>153</v>
      </c>
      <c r="D104" s="111">
        <v>568842.53859999997</v>
      </c>
      <c r="E104" s="112">
        <v>164964.33619399997</v>
      </c>
      <c r="F104" s="112">
        <v>659857.34477600001</v>
      </c>
      <c r="G104" s="112">
        <v>824821.68096999999</v>
      </c>
      <c r="H104" s="254">
        <f t="shared" si="10"/>
        <v>140000</v>
      </c>
      <c r="I104" s="254">
        <v>700000</v>
      </c>
      <c r="J104" s="255">
        <f t="shared" si="11"/>
        <v>840000</v>
      </c>
      <c r="K104" s="141">
        <f>164964.336194-1000</f>
        <v>163964.336194</v>
      </c>
      <c r="L104" s="141">
        <v>659857.34477600001</v>
      </c>
      <c r="M104" s="142">
        <f t="shared" si="12"/>
        <v>823821.68096999999</v>
      </c>
      <c r="N104" s="99">
        <f t="shared" si="13"/>
        <v>140000</v>
      </c>
      <c r="O104" s="73">
        <f t="shared" si="14"/>
        <v>659857.34477600001</v>
      </c>
      <c r="P104" s="73">
        <f t="shared" si="15"/>
        <v>799857.34477600001</v>
      </c>
      <c r="Q104" s="301">
        <f t="shared" si="16"/>
        <v>130200</v>
      </c>
      <c r="R104" s="301">
        <f t="shared" si="17"/>
        <v>613667.33064168005</v>
      </c>
      <c r="S104" s="300">
        <f t="shared" si="18"/>
        <v>743867.33064168005</v>
      </c>
    </row>
    <row r="105" spans="1:19" ht="22.5" x14ac:dyDescent="0.25">
      <c r="A105" s="49"/>
      <c r="B105" s="30" t="s">
        <v>90</v>
      </c>
      <c r="C105" s="33" t="s">
        <v>153</v>
      </c>
      <c r="D105" s="111"/>
      <c r="E105" s="112"/>
      <c r="F105" s="112"/>
      <c r="G105" s="112"/>
      <c r="H105" s="254">
        <f t="shared" si="10"/>
        <v>0</v>
      </c>
      <c r="I105" s="254"/>
      <c r="J105" s="255">
        <f t="shared" si="11"/>
        <v>0</v>
      </c>
      <c r="K105" s="143"/>
      <c r="L105" s="144"/>
      <c r="M105" s="142">
        <f t="shared" si="12"/>
        <v>0</v>
      </c>
      <c r="N105" s="99">
        <f t="shared" si="13"/>
        <v>0</v>
      </c>
      <c r="O105" s="73">
        <f t="shared" si="14"/>
        <v>0</v>
      </c>
      <c r="P105" s="73">
        <f t="shared" si="15"/>
        <v>0</v>
      </c>
      <c r="Q105" s="301">
        <f t="shared" si="16"/>
        <v>0</v>
      </c>
      <c r="R105" s="301">
        <f t="shared" si="17"/>
        <v>0</v>
      </c>
      <c r="S105" s="300">
        <f t="shared" si="18"/>
        <v>0</v>
      </c>
    </row>
    <row r="106" spans="1:19" ht="12" x14ac:dyDescent="0.25">
      <c r="A106" s="49">
        <v>96</v>
      </c>
      <c r="B106" s="46" t="s">
        <v>481</v>
      </c>
      <c r="C106" s="33" t="s">
        <v>153</v>
      </c>
      <c r="D106" s="111">
        <v>85672.319700000007</v>
      </c>
      <c r="E106" s="112">
        <v>24844.972712999996</v>
      </c>
      <c r="F106" s="112">
        <v>99379.890852000011</v>
      </c>
      <c r="G106" s="112">
        <v>124224.86356500001</v>
      </c>
      <c r="H106" s="254">
        <f t="shared" si="10"/>
        <v>20000</v>
      </c>
      <c r="I106" s="254">
        <v>100000</v>
      </c>
      <c r="J106" s="255">
        <f t="shared" si="11"/>
        <v>120000</v>
      </c>
      <c r="K106" s="141">
        <f>24844.972713-1000</f>
        <v>23844.972712999999</v>
      </c>
      <c r="L106" s="141">
        <v>99379.890852000011</v>
      </c>
      <c r="M106" s="142">
        <f t="shared" si="12"/>
        <v>123224.86356500001</v>
      </c>
      <c r="N106" s="99">
        <f t="shared" si="13"/>
        <v>20000</v>
      </c>
      <c r="O106" s="73">
        <f t="shared" si="14"/>
        <v>99379.890852000011</v>
      </c>
      <c r="P106" s="73">
        <f t="shared" si="15"/>
        <v>119379.89085200001</v>
      </c>
      <c r="Q106" s="301">
        <f t="shared" si="16"/>
        <v>18600</v>
      </c>
      <c r="R106" s="301">
        <f t="shared" si="17"/>
        <v>92423.298492360016</v>
      </c>
      <c r="S106" s="300">
        <f t="shared" si="18"/>
        <v>111023.29849236002</v>
      </c>
    </row>
    <row r="107" spans="1:19" ht="12" x14ac:dyDescent="0.25">
      <c r="A107" s="49">
        <v>97</v>
      </c>
      <c r="B107" s="46" t="s">
        <v>181</v>
      </c>
      <c r="C107" s="33" t="s">
        <v>153</v>
      </c>
      <c r="D107" s="111">
        <v>510959.57737115514</v>
      </c>
      <c r="E107" s="112">
        <v>148178.277437635</v>
      </c>
      <c r="F107" s="112">
        <v>592713.10975054</v>
      </c>
      <c r="G107" s="112">
        <v>740891.38718817499</v>
      </c>
      <c r="H107" s="254">
        <f t="shared" si="10"/>
        <v>120000</v>
      </c>
      <c r="I107" s="254">
        <v>600000</v>
      </c>
      <c r="J107" s="255">
        <f t="shared" si="11"/>
        <v>720000</v>
      </c>
      <c r="K107" s="141">
        <f>148178.277437635-1000</f>
        <v>147178.277437635</v>
      </c>
      <c r="L107" s="141">
        <v>592713.10975054</v>
      </c>
      <c r="M107" s="142">
        <f t="shared" si="12"/>
        <v>739891.38718817499</v>
      </c>
      <c r="N107" s="99">
        <f t="shared" si="13"/>
        <v>120000</v>
      </c>
      <c r="O107" s="73">
        <f t="shared" si="14"/>
        <v>592713.10975054</v>
      </c>
      <c r="P107" s="73">
        <f t="shared" si="15"/>
        <v>712713.10975054</v>
      </c>
      <c r="Q107" s="301">
        <f t="shared" si="16"/>
        <v>111600</v>
      </c>
      <c r="R107" s="301">
        <f t="shared" si="17"/>
        <v>551223.19206800219</v>
      </c>
      <c r="S107" s="300">
        <f t="shared" si="18"/>
        <v>662823.19206800219</v>
      </c>
    </row>
    <row r="108" spans="1:19" ht="12" x14ac:dyDescent="0.2">
      <c r="A108" s="49">
        <v>98</v>
      </c>
      <c r="B108" s="47" t="s">
        <v>303</v>
      </c>
      <c r="C108" s="33" t="s">
        <v>153</v>
      </c>
      <c r="D108" s="111">
        <v>891803.60526622809</v>
      </c>
      <c r="E108" s="112">
        <v>258623.04552720604</v>
      </c>
      <c r="F108" s="112">
        <v>1034492.1821088246</v>
      </c>
      <c r="G108" s="112">
        <v>1293115.2276360306</v>
      </c>
      <c r="H108" s="254">
        <f t="shared" si="10"/>
        <v>218000</v>
      </c>
      <c r="I108" s="254">
        <v>1090000</v>
      </c>
      <c r="J108" s="255">
        <f t="shared" si="11"/>
        <v>1308000</v>
      </c>
      <c r="K108" s="141">
        <f>258623.045527206-1000</f>
        <v>257623.04552720601</v>
      </c>
      <c r="L108" s="141">
        <v>1034492.1821088246</v>
      </c>
      <c r="M108" s="142">
        <f t="shared" si="12"/>
        <v>1292115.2276360306</v>
      </c>
      <c r="N108" s="99">
        <f t="shared" si="13"/>
        <v>218000</v>
      </c>
      <c r="O108" s="73">
        <f t="shared" si="14"/>
        <v>1034492.1821088246</v>
      </c>
      <c r="P108" s="73">
        <f t="shared" si="15"/>
        <v>1252492.1821088246</v>
      </c>
      <c r="Q108" s="301">
        <f t="shared" si="16"/>
        <v>202740</v>
      </c>
      <c r="R108" s="301">
        <f t="shared" si="17"/>
        <v>962077.72936120688</v>
      </c>
      <c r="S108" s="300">
        <f t="shared" si="18"/>
        <v>1164817.7293612068</v>
      </c>
    </row>
    <row r="109" spans="1:19" ht="12" x14ac:dyDescent="0.2">
      <c r="A109" s="49">
        <v>99</v>
      </c>
      <c r="B109" s="47" t="s">
        <v>304</v>
      </c>
      <c r="C109" s="33" t="s">
        <v>153</v>
      </c>
      <c r="D109" s="111">
        <v>441859.95</v>
      </c>
      <c r="E109" s="112">
        <v>128139.38549999997</v>
      </c>
      <c r="F109" s="112">
        <v>512557.54200000002</v>
      </c>
      <c r="G109" s="112">
        <v>640696.92749999999</v>
      </c>
      <c r="H109" s="254">
        <f t="shared" si="10"/>
        <v>110000</v>
      </c>
      <c r="I109" s="254">
        <v>550000</v>
      </c>
      <c r="J109" s="255">
        <f t="shared" si="11"/>
        <v>660000</v>
      </c>
      <c r="K109" s="141">
        <f>128139.3855-1000</f>
        <v>127139.3855</v>
      </c>
      <c r="L109" s="141">
        <v>512557.54200000002</v>
      </c>
      <c r="M109" s="142">
        <f t="shared" si="12"/>
        <v>639696.92749999999</v>
      </c>
      <c r="N109" s="99">
        <f t="shared" si="13"/>
        <v>110000</v>
      </c>
      <c r="O109" s="73">
        <f t="shared" si="14"/>
        <v>512557.54200000002</v>
      </c>
      <c r="P109" s="73">
        <f t="shared" si="15"/>
        <v>622557.54200000002</v>
      </c>
      <c r="Q109" s="301">
        <f t="shared" si="16"/>
        <v>102300</v>
      </c>
      <c r="R109" s="301">
        <f t="shared" si="17"/>
        <v>476678.51406000002</v>
      </c>
      <c r="S109" s="300">
        <f t="shared" si="18"/>
        <v>578978.51405999996</v>
      </c>
    </row>
    <row r="110" spans="1:19" ht="12" x14ac:dyDescent="0.2">
      <c r="A110" s="49">
        <v>100</v>
      </c>
      <c r="B110" s="47" t="s">
        <v>80</v>
      </c>
      <c r="C110" s="33" t="s">
        <v>153</v>
      </c>
      <c r="D110" s="111">
        <v>470630.85860000004</v>
      </c>
      <c r="E110" s="112">
        <v>136482.94899399998</v>
      </c>
      <c r="F110" s="112">
        <v>545931.79597600002</v>
      </c>
      <c r="G110" s="112">
        <v>682414.74497</v>
      </c>
      <c r="H110" s="254">
        <f t="shared" si="10"/>
        <v>112000</v>
      </c>
      <c r="I110" s="254">
        <v>560000</v>
      </c>
      <c r="J110" s="255">
        <f t="shared" si="11"/>
        <v>672000</v>
      </c>
      <c r="K110" s="141">
        <f>136482.948994-1000</f>
        <v>135482.94899400001</v>
      </c>
      <c r="L110" s="141">
        <v>545931.79597600002</v>
      </c>
      <c r="M110" s="142">
        <f t="shared" si="12"/>
        <v>681414.74497</v>
      </c>
      <c r="N110" s="99">
        <f t="shared" si="13"/>
        <v>112000</v>
      </c>
      <c r="O110" s="73">
        <f t="shared" si="14"/>
        <v>545931.79597600002</v>
      </c>
      <c r="P110" s="73">
        <f t="shared" si="15"/>
        <v>657931.79597600002</v>
      </c>
      <c r="Q110" s="301">
        <f t="shared" si="16"/>
        <v>104160</v>
      </c>
      <c r="R110" s="301">
        <f t="shared" si="17"/>
        <v>507716.57025768002</v>
      </c>
      <c r="S110" s="300">
        <f t="shared" si="18"/>
        <v>611876.57025768002</v>
      </c>
    </row>
    <row r="111" spans="1:19" ht="12" x14ac:dyDescent="0.2">
      <c r="A111" s="49">
        <v>101</v>
      </c>
      <c r="B111" s="47" t="s">
        <v>184</v>
      </c>
      <c r="C111" s="33" t="s">
        <v>153</v>
      </c>
      <c r="D111" s="111">
        <v>313675.00919999997</v>
      </c>
      <c r="E111" s="112">
        <v>90965.752667999943</v>
      </c>
      <c r="F111" s="112">
        <v>363863.010672</v>
      </c>
      <c r="G111" s="112">
        <v>454828.76333999995</v>
      </c>
      <c r="H111" s="254">
        <f t="shared" si="10"/>
        <v>76000</v>
      </c>
      <c r="I111" s="254">
        <v>380000</v>
      </c>
      <c r="J111" s="255">
        <f t="shared" si="11"/>
        <v>456000</v>
      </c>
      <c r="K111" s="141">
        <f>90965.7526679999-1000</f>
        <v>89965.752667999899</v>
      </c>
      <c r="L111" s="141">
        <v>363863.010672</v>
      </c>
      <c r="M111" s="142">
        <f t="shared" si="12"/>
        <v>453828.76333999989</v>
      </c>
      <c r="N111" s="99">
        <f t="shared" si="13"/>
        <v>76000</v>
      </c>
      <c r="O111" s="73">
        <f t="shared" si="14"/>
        <v>363863.010672</v>
      </c>
      <c r="P111" s="73">
        <f t="shared" si="15"/>
        <v>439863.010672</v>
      </c>
      <c r="Q111" s="301">
        <f t="shared" si="16"/>
        <v>70680</v>
      </c>
      <c r="R111" s="301">
        <f t="shared" si="17"/>
        <v>338392.59992496</v>
      </c>
      <c r="S111" s="300">
        <f t="shared" si="18"/>
        <v>409072.59992496</v>
      </c>
    </row>
    <row r="112" spans="1:19" ht="12" x14ac:dyDescent="0.25">
      <c r="A112" s="49">
        <v>102</v>
      </c>
      <c r="B112" s="35" t="s">
        <v>305</v>
      </c>
      <c r="C112" s="33" t="s">
        <v>153</v>
      </c>
      <c r="D112" s="111">
        <v>550435.80518918147</v>
      </c>
      <c r="E112" s="112">
        <v>159626.38350486255</v>
      </c>
      <c r="F112" s="112">
        <v>638505.53401945054</v>
      </c>
      <c r="G112" s="112">
        <v>798131.91752431309</v>
      </c>
      <c r="H112" s="254">
        <f t="shared" si="10"/>
        <v>112000</v>
      </c>
      <c r="I112" s="254">
        <v>560000</v>
      </c>
      <c r="J112" s="255">
        <f t="shared" si="11"/>
        <v>672000</v>
      </c>
      <c r="K112" s="141">
        <f>159626.38350486-1000</f>
        <v>158626.38350485999</v>
      </c>
      <c r="L112" s="141">
        <v>638505.53401945054</v>
      </c>
      <c r="M112" s="142">
        <f t="shared" si="12"/>
        <v>797131.91752431053</v>
      </c>
      <c r="N112" s="99">
        <f t="shared" si="13"/>
        <v>112000</v>
      </c>
      <c r="O112" s="73">
        <f t="shared" si="14"/>
        <v>560000</v>
      </c>
      <c r="P112" s="73">
        <f t="shared" si="15"/>
        <v>672000</v>
      </c>
      <c r="Q112" s="301">
        <f t="shared" si="16"/>
        <v>104160</v>
      </c>
      <c r="R112" s="301">
        <f t="shared" si="17"/>
        <v>520800</v>
      </c>
      <c r="S112" s="300">
        <f t="shared" si="18"/>
        <v>624960</v>
      </c>
    </row>
    <row r="113" spans="1:19" ht="12" x14ac:dyDescent="0.2">
      <c r="A113" s="49">
        <v>103</v>
      </c>
      <c r="B113" s="47" t="s">
        <v>99</v>
      </c>
      <c r="C113" s="33" t="s">
        <v>153</v>
      </c>
      <c r="D113" s="111">
        <v>245931.245</v>
      </c>
      <c r="E113" s="112">
        <v>71320.06104999996</v>
      </c>
      <c r="F113" s="112">
        <v>285280.24420000002</v>
      </c>
      <c r="G113" s="112">
        <v>356600.30524999998</v>
      </c>
      <c r="H113" s="254">
        <f t="shared" si="10"/>
        <v>62000</v>
      </c>
      <c r="I113" s="254">
        <v>310000</v>
      </c>
      <c r="J113" s="255">
        <f t="shared" si="11"/>
        <v>372000</v>
      </c>
      <c r="K113" s="141">
        <f>71320.06105-1000</f>
        <v>70320.061050000004</v>
      </c>
      <c r="L113" s="141">
        <v>285280.24420000002</v>
      </c>
      <c r="M113" s="142">
        <f t="shared" si="12"/>
        <v>355600.30525000003</v>
      </c>
      <c r="N113" s="99">
        <f t="shared" si="13"/>
        <v>62000</v>
      </c>
      <c r="O113" s="73">
        <f t="shared" si="14"/>
        <v>285280.24420000002</v>
      </c>
      <c r="P113" s="73">
        <f t="shared" si="15"/>
        <v>347280.24420000002</v>
      </c>
      <c r="Q113" s="301">
        <f t="shared" si="16"/>
        <v>57660</v>
      </c>
      <c r="R113" s="301">
        <f t="shared" si="17"/>
        <v>265310.62710600003</v>
      </c>
      <c r="S113" s="300">
        <f t="shared" si="18"/>
        <v>322970.62710600003</v>
      </c>
    </row>
    <row r="114" spans="1:19" ht="12" x14ac:dyDescent="0.25">
      <c r="A114" s="49">
        <v>104</v>
      </c>
      <c r="B114" s="46" t="s">
        <v>139</v>
      </c>
      <c r="C114" s="33" t="s">
        <v>153</v>
      </c>
      <c r="D114" s="111">
        <v>608137.59859999991</v>
      </c>
      <c r="E114" s="112">
        <v>176359.90359399992</v>
      </c>
      <c r="F114" s="112">
        <v>705439.6143759999</v>
      </c>
      <c r="G114" s="112">
        <v>881799.51796999981</v>
      </c>
      <c r="H114" s="254">
        <f t="shared" si="10"/>
        <v>150000</v>
      </c>
      <c r="I114" s="254">
        <v>750000</v>
      </c>
      <c r="J114" s="255">
        <f t="shared" si="11"/>
        <v>900000</v>
      </c>
      <c r="K114" s="141">
        <f>176359.903594-1000</f>
        <v>175359.903594</v>
      </c>
      <c r="L114" s="141">
        <v>705439.6143759999</v>
      </c>
      <c r="M114" s="142">
        <f t="shared" si="12"/>
        <v>880799.51796999993</v>
      </c>
      <c r="N114" s="99">
        <f t="shared" si="13"/>
        <v>150000</v>
      </c>
      <c r="O114" s="73">
        <f t="shared" si="14"/>
        <v>705439.6143759999</v>
      </c>
      <c r="P114" s="73">
        <f t="shared" si="15"/>
        <v>855439.6143759999</v>
      </c>
      <c r="Q114" s="301">
        <f t="shared" si="16"/>
        <v>139500</v>
      </c>
      <c r="R114" s="301">
        <f t="shared" si="17"/>
        <v>656058.8413696799</v>
      </c>
      <c r="S114" s="300">
        <f t="shared" si="18"/>
        <v>795558.8413696799</v>
      </c>
    </row>
    <row r="115" spans="1:19" ht="12" x14ac:dyDescent="0.25">
      <c r="A115" s="49">
        <v>105</v>
      </c>
      <c r="B115" s="46" t="s">
        <v>140</v>
      </c>
      <c r="C115" s="33" t="s">
        <v>153</v>
      </c>
      <c r="D115" s="111">
        <v>568930.22900000005</v>
      </c>
      <c r="E115" s="112">
        <v>164989.76640999992</v>
      </c>
      <c r="F115" s="112">
        <v>659959.06564000016</v>
      </c>
      <c r="G115" s="112">
        <v>824948.83205000008</v>
      </c>
      <c r="H115" s="254">
        <f t="shared" si="10"/>
        <v>136000</v>
      </c>
      <c r="I115" s="254">
        <v>680000</v>
      </c>
      <c r="J115" s="255">
        <f t="shared" si="11"/>
        <v>816000</v>
      </c>
      <c r="K115" s="141">
        <f>164989.76641-1000</f>
        <v>163989.76641000001</v>
      </c>
      <c r="L115" s="141">
        <v>659959.06564000016</v>
      </c>
      <c r="M115" s="142">
        <f t="shared" si="12"/>
        <v>823948.8320500002</v>
      </c>
      <c r="N115" s="99">
        <f t="shared" si="13"/>
        <v>136000</v>
      </c>
      <c r="O115" s="73">
        <f t="shared" si="14"/>
        <v>659959.06564000016</v>
      </c>
      <c r="P115" s="73">
        <f t="shared" si="15"/>
        <v>795959.06564000016</v>
      </c>
      <c r="Q115" s="301">
        <f t="shared" si="16"/>
        <v>126480</v>
      </c>
      <c r="R115" s="301">
        <f t="shared" si="17"/>
        <v>613761.93104520009</v>
      </c>
      <c r="S115" s="300">
        <f t="shared" si="18"/>
        <v>740241.93104520009</v>
      </c>
    </row>
    <row r="116" spans="1:19" ht="12" x14ac:dyDescent="0.25">
      <c r="A116" s="49">
        <v>106</v>
      </c>
      <c r="B116" s="46" t="s">
        <v>27</v>
      </c>
      <c r="C116" s="33" t="s">
        <v>153</v>
      </c>
      <c r="D116" s="111">
        <v>373001.26919999998</v>
      </c>
      <c r="E116" s="112">
        <v>108170.36806799995</v>
      </c>
      <c r="F116" s="112">
        <v>432681.47227200004</v>
      </c>
      <c r="G116" s="112">
        <v>540851.84034</v>
      </c>
      <c r="H116" s="254">
        <f t="shared" si="10"/>
        <v>94400</v>
      </c>
      <c r="I116" s="254">
        <v>472000</v>
      </c>
      <c r="J116" s="255">
        <f t="shared" si="11"/>
        <v>566400</v>
      </c>
      <c r="K116" s="141">
        <f>108170.368068-1000</f>
        <v>107170.368068</v>
      </c>
      <c r="L116" s="141">
        <v>432681.47227200004</v>
      </c>
      <c r="M116" s="142">
        <f t="shared" si="12"/>
        <v>539851.84034</v>
      </c>
      <c r="N116" s="99">
        <f t="shared" si="13"/>
        <v>94400</v>
      </c>
      <c r="O116" s="73">
        <f t="shared" si="14"/>
        <v>432681.47227200004</v>
      </c>
      <c r="P116" s="73">
        <f t="shared" si="15"/>
        <v>527081.47227200004</v>
      </c>
      <c r="Q116" s="301">
        <f t="shared" si="16"/>
        <v>87792</v>
      </c>
      <c r="R116" s="301">
        <f t="shared" si="17"/>
        <v>402393.76921296003</v>
      </c>
      <c r="S116" s="300">
        <f t="shared" si="18"/>
        <v>490185.76921296003</v>
      </c>
    </row>
    <row r="117" spans="1:19" ht="12" x14ac:dyDescent="0.2">
      <c r="A117" s="49">
        <v>107</v>
      </c>
      <c r="B117" s="47" t="s">
        <v>306</v>
      </c>
      <c r="C117" s="33" t="s">
        <v>153</v>
      </c>
      <c r="D117" s="111">
        <v>696744.80968866718</v>
      </c>
      <c r="E117" s="112">
        <v>202055.99480971345</v>
      </c>
      <c r="F117" s="112">
        <v>808223.97923885391</v>
      </c>
      <c r="G117" s="112">
        <v>1010279.9740485674</v>
      </c>
      <c r="H117" s="254">
        <f t="shared" si="10"/>
        <v>164400</v>
      </c>
      <c r="I117" s="254">
        <v>822000</v>
      </c>
      <c r="J117" s="255">
        <f t="shared" si="11"/>
        <v>986400</v>
      </c>
      <c r="K117" s="141">
        <f>202055.994809713-1000</f>
        <v>201055.99480971301</v>
      </c>
      <c r="L117" s="141">
        <v>808223.97923885391</v>
      </c>
      <c r="M117" s="142">
        <f t="shared" si="12"/>
        <v>1009279.9740485669</v>
      </c>
      <c r="N117" s="99">
        <f t="shared" si="13"/>
        <v>164400</v>
      </c>
      <c r="O117" s="73">
        <f t="shared" si="14"/>
        <v>808223.97923885391</v>
      </c>
      <c r="P117" s="73">
        <f t="shared" si="15"/>
        <v>972623.97923885391</v>
      </c>
      <c r="Q117" s="301">
        <f t="shared" si="16"/>
        <v>152892</v>
      </c>
      <c r="R117" s="301">
        <f t="shared" si="17"/>
        <v>751648.30069213407</v>
      </c>
      <c r="S117" s="300">
        <f t="shared" si="18"/>
        <v>904540.30069213407</v>
      </c>
    </row>
    <row r="118" spans="1:19" ht="12" x14ac:dyDescent="0.2">
      <c r="A118" s="49">
        <v>108</v>
      </c>
      <c r="B118" s="47" t="s">
        <v>103</v>
      </c>
      <c r="C118" s="33" t="s">
        <v>153</v>
      </c>
      <c r="D118" s="111">
        <v>120487.35093513379</v>
      </c>
      <c r="E118" s="112">
        <v>34941.331771188794</v>
      </c>
      <c r="F118" s="112">
        <v>139765.32708475518</v>
      </c>
      <c r="G118" s="112">
        <v>174706.65885594397</v>
      </c>
      <c r="H118" s="254">
        <f t="shared" si="10"/>
        <v>30000</v>
      </c>
      <c r="I118" s="254">
        <v>150000</v>
      </c>
      <c r="J118" s="255">
        <f t="shared" si="11"/>
        <v>180000</v>
      </c>
      <c r="K118" s="141">
        <f>34941.3317711888-1000</f>
        <v>33941.331771188801</v>
      </c>
      <c r="L118" s="141">
        <v>139765.32708475518</v>
      </c>
      <c r="M118" s="142">
        <f t="shared" si="12"/>
        <v>173706.65885594397</v>
      </c>
      <c r="N118" s="99">
        <f t="shared" si="13"/>
        <v>30000</v>
      </c>
      <c r="O118" s="73">
        <f t="shared" si="14"/>
        <v>139765.32708475518</v>
      </c>
      <c r="P118" s="73">
        <f t="shared" si="15"/>
        <v>169765.32708475518</v>
      </c>
      <c r="Q118" s="301">
        <f t="shared" si="16"/>
        <v>27900</v>
      </c>
      <c r="R118" s="301">
        <f t="shared" si="17"/>
        <v>129981.75418882232</v>
      </c>
      <c r="S118" s="300">
        <f t="shared" si="18"/>
        <v>157881.75418882232</v>
      </c>
    </row>
    <row r="119" spans="1:19" ht="12" x14ac:dyDescent="0.25">
      <c r="A119" s="49">
        <v>109</v>
      </c>
      <c r="B119" s="46" t="s">
        <v>307</v>
      </c>
      <c r="C119" s="33" t="s">
        <v>153</v>
      </c>
      <c r="D119" s="111">
        <v>568963.02960000001</v>
      </c>
      <c r="E119" s="112">
        <v>164999.27858399996</v>
      </c>
      <c r="F119" s="112">
        <v>659997.11433600006</v>
      </c>
      <c r="G119" s="112">
        <v>824996.39292000001</v>
      </c>
      <c r="H119" s="254">
        <f t="shared" si="10"/>
        <v>144000</v>
      </c>
      <c r="I119" s="254">
        <v>720000</v>
      </c>
      <c r="J119" s="255">
        <f t="shared" si="11"/>
        <v>864000</v>
      </c>
      <c r="K119" s="141">
        <f>164999.278584-1000</f>
        <v>163999.27858400001</v>
      </c>
      <c r="L119" s="141">
        <v>659997.11433600006</v>
      </c>
      <c r="M119" s="142">
        <f t="shared" si="12"/>
        <v>823996.39292000001</v>
      </c>
      <c r="N119" s="99">
        <f t="shared" si="13"/>
        <v>144000</v>
      </c>
      <c r="O119" s="73">
        <f t="shared" si="14"/>
        <v>659997.11433600006</v>
      </c>
      <c r="P119" s="73">
        <f t="shared" si="15"/>
        <v>803997.11433600006</v>
      </c>
      <c r="Q119" s="301">
        <f t="shared" si="16"/>
        <v>133920</v>
      </c>
      <c r="R119" s="301">
        <f t="shared" si="17"/>
        <v>613797.31633248006</v>
      </c>
      <c r="S119" s="300">
        <f t="shared" si="18"/>
        <v>747717.31633248006</v>
      </c>
    </row>
    <row r="120" spans="1:19" ht="12" x14ac:dyDescent="0.25">
      <c r="A120" s="49">
        <v>110</v>
      </c>
      <c r="B120" s="50" t="s">
        <v>312</v>
      </c>
      <c r="C120" s="33" t="s">
        <v>153</v>
      </c>
      <c r="D120" s="111">
        <v>217564.08485775907</v>
      </c>
      <c r="E120" s="112">
        <v>63093.584608750127</v>
      </c>
      <c r="F120" s="112">
        <v>252374.33843500051</v>
      </c>
      <c r="G120" s="112">
        <v>315467.92304375063</v>
      </c>
      <c r="H120" s="254">
        <f t="shared" si="10"/>
        <v>50000</v>
      </c>
      <c r="I120" s="254">
        <v>250000</v>
      </c>
      <c r="J120" s="255">
        <f t="shared" si="11"/>
        <v>300000</v>
      </c>
      <c r="K120" s="141">
        <f>63093.5846087501-1000</f>
        <v>62093.584608750098</v>
      </c>
      <c r="L120" s="141">
        <v>252374.33843500051</v>
      </c>
      <c r="M120" s="142">
        <f t="shared" si="12"/>
        <v>314467.92304375058</v>
      </c>
      <c r="N120" s="99">
        <f t="shared" si="13"/>
        <v>50000</v>
      </c>
      <c r="O120" s="73">
        <f t="shared" si="14"/>
        <v>250000</v>
      </c>
      <c r="P120" s="73">
        <f t="shared" si="15"/>
        <v>300000</v>
      </c>
      <c r="Q120" s="301">
        <f t="shared" si="16"/>
        <v>46500</v>
      </c>
      <c r="R120" s="301">
        <f t="shared" si="17"/>
        <v>232500</v>
      </c>
      <c r="S120" s="300">
        <f t="shared" si="18"/>
        <v>279000</v>
      </c>
    </row>
    <row r="121" spans="1:19" ht="12" x14ac:dyDescent="0.25">
      <c r="A121" s="49">
        <v>111</v>
      </c>
      <c r="B121" s="46" t="s">
        <v>308</v>
      </c>
      <c r="C121" s="33" t="s">
        <v>153</v>
      </c>
      <c r="D121" s="111">
        <v>970406.27040000004</v>
      </c>
      <c r="E121" s="112">
        <v>281417.81841599988</v>
      </c>
      <c r="F121" s="112">
        <v>1125671.2736640002</v>
      </c>
      <c r="G121" s="112">
        <v>1407089.0920800001</v>
      </c>
      <c r="H121" s="254">
        <f t="shared" si="10"/>
        <v>200000</v>
      </c>
      <c r="I121" s="254">
        <v>1000000</v>
      </c>
      <c r="J121" s="255">
        <f t="shared" si="11"/>
        <v>1200000</v>
      </c>
      <c r="K121" s="141">
        <f>281417.818416-1000</f>
        <v>280417.81841599999</v>
      </c>
      <c r="L121" s="141">
        <v>1125671.2736640002</v>
      </c>
      <c r="M121" s="142">
        <f t="shared" si="12"/>
        <v>1406089.0920800003</v>
      </c>
      <c r="N121" s="99">
        <f t="shared" si="13"/>
        <v>200000</v>
      </c>
      <c r="O121" s="73">
        <f t="shared" si="14"/>
        <v>1000000</v>
      </c>
      <c r="P121" s="73">
        <f t="shared" si="15"/>
        <v>1200000</v>
      </c>
      <c r="Q121" s="301">
        <f t="shared" si="16"/>
        <v>186000</v>
      </c>
      <c r="R121" s="301">
        <f t="shared" si="17"/>
        <v>930000</v>
      </c>
      <c r="S121" s="300">
        <f t="shared" si="18"/>
        <v>1116000</v>
      </c>
    </row>
    <row r="122" spans="1:19" ht="12" x14ac:dyDescent="0.25">
      <c r="A122" s="49">
        <v>112</v>
      </c>
      <c r="B122" s="46" t="s">
        <v>309</v>
      </c>
      <c r="C122" s="33" t="s">
        <v>153</v>
      </c>
      <c r="D122" s="111">
        <v>227199.39446369579</v>
      </c>
      <c r="E122" s="112">
        <v>65887.824394471769</v>
      </c>
      <c r="F122" s="112">
        <v>263551.29757788713</v>
      </c>
      <c r="G122" s="112">
        <v>329439.1219723589</v>
      </c>
      <c r="H122" s="254">
        <f t="shared" si="10"/>
        <v>52000</v>
      </c>
      <c r="I122" s="254">
        <v>260000</v>
      </c>
      <c r="J122" s="255">
        <f t="shared" si="11"/>
        <v>312000</v>
      </c>
      <c r="K122" s="141">
        <f>65887.8243944718-1000</f>
        <v>64887.824394471798</v>
      </c>
      <c r="L122" s="141">
        <v>263551.29757788713</v>
      </c>
      <c r="M122" s="142">
        <f t="shared" si="12"/>
        <v>328439.1219723589</v>
      </c>
      <c r="N122" s="99">
        <f t="shared" si="13"/>
        <v>52000</v>
      </c>
      <c r="O122" s="73">
        <f t="shared" si="14"/>
        <v>260000</v>
      </c>
      <c r="P122" s="73">
        <f t="shared" si="15"/>
        <v>312000</v>
      </c>
      <c r="Q122" s="301">
        <f t="shared" si="16"/>
        <v>48360</v>
      </c>
      <c r="R122" s="301">
        <f t="shared" si="17"/>
        <v>241800</v>
      </c>
      <c r="S122" s="300">
        <f t="shared" si="18"/>
        <v>290160</v>
      </c>
    </row>
    <row r="123" spans="1:19" ht="12" x14ac:dyDescent="0.25">
      <c r="A123" s="49">
        <v>113</v>
      </c>
      <c r="B123" s="46" t="s">
        <v>311</v>
      </c>
      <c r="C123" s="33" t="s">
        <v>153</v>
      </c>
      <c r="D123" s="111">
        <v>120000</v>
      </c>
      <c r="E123" s="112">
        <v>34800</v>
      </c>
      <c r="F123" s="112">
        <v>139200</v>
      </c>
      <c r="G123" s="112">
        <v>174000</v>
      </c>
      <c r="H123" s="254">
        <f t="shared" si="10"/>
        <v>28000</v>
      </c>
      <c r="I123" s="254">
        <v>140000</v>
      </c>
      <c r="J123" s="255">
        <f t="shared" si="11"/>
        <v>168000</v>
      </c>
      <c r="K123" s="141">
        <f>34800-500</f>
        <v>34300</v>
      </c>
      <c r="L123" s="141">
        <v>139200</v>
      </c>
      <c r="M123" s="142">
        <f t="shared" si="12"/>
        <v>173500</v>
      </c>
      <c r="N123" s="99">
        <f t="shared" si="13"/>
        <v>28000</v>
      </c>
      <c r="O123" s="73">
        <f t="shared" si="14"/>
        <v>139200</v>
      </c>
      <c r="P123" s="73">
        <f t="shared" si="15"/>
        <v>167200</v>
      </c>
      <c r="Q123" s="301">
        <f t="shared" si="16"/>
        <v>26040</v>
      </c>
      <c r="R123" s="301">
        <f t="shared" si="17"/>
        <v>129456</v>
      </c>
      <c r="S123" s="300">
        <f t="shared" si="18"/>
        <v>155496</v>
      </c>
    </row>
    <row r="124" spans="1:19" ht="22.5" x14ac:dyDescent="0.25">
      <c r="A124" s="49"/>
      <c r="B124" s="30" t="s">
        <v>28</v>
      </c>
      <c r="C124" s="33" t="s">
        <v>153</v>
      </c>
      <c r="D124" s="111"/>
      <c r="E124" s="112"/>
      <c r="F124" s="112"/>
      <c r="G124" s="112"/>
      <c r="H124" s="254">
        <f t="shared" si="10"/>
        <v>0</v>
      </c>
      <c r="I124" s="254"/>
      <c r="J124" s="255">
        <f t="shared" si="11"/>
        <v>0</v>
      </c>
      <c r="K124" s="143"/>
      <c r="L124" s="144"/>
      <c r="M124" s="142">
        <f t="shared" si="12"/>
        <v>0</v>
      </c>
      <c r="N124" s="99">
        <f t="shared" si="13"/>
        <v>0</v>
      </c>
      <c r="O124" s="73">
        <f t="shared" si="14"/>
        <v>0</v>
      </c>
      <c r="P124" s="73">
        <f t="shared" si="15"/>
        <v>0</v>
      </c>
      <c r="Q124" s="301">
        <f t="shared" si="16"/>
        <v>0</v>
      </c>
      <c r="R124" s="301">
        <f t="shared" si="17"/>
        <v>0</v>
      </c>
      <c r="S124" s="300">
        <f t="shared" si="18"/>
        <v>0</v>
      </c>
    </row>
    <row r="125" spans="1:19" ht="12" x14ac:dyDescent="0.25">
      <c r="A125" s="49">
        <v>114</v>
      </c>
      <c r="B125" s="46" t="s">
        <v>114</v>
      </c>
      <c r="C125" s="33" t="s">
        <v>153</v>
      </c>
      <c r="D125" s="111">
        <v>494697.34085321345</v>
      </c>
      <c r="E125" s="112">
        <v>143462.22884743183</v>
      </c>
      <c r="F125" s="112">
        <v>573848.91538972768</v>
      </c>
      <c r="G125" s="112">
        <v>717311.14423715952</v>
      </c>
      <c r="H125" s="254">
        <f t="shared" si="10"/>
        <v>116000</v>
      </c>
      <c r="I125" s="254">
        <v>580000</v>
      </c>
      <c r="J125" s="255">
        <f t="shared" si="11"/>
        <v>696000</v>
      </c>
      <c r="K125" s="141">
        <f>143462.228847432-1000</f>
        <v>142462.22884743201</v>
      </c>
      <c r="L125" s="141">
        <v>573848.91538972768</v>
      </c>
      <c r="M125" s="142">
        <f t="shared" si="12"/>
        <v>716311.14423715975</v>
      </c>
      <c r="N125" s="99">
        <f t="shared" si="13"/>
        <v>116000</v>
      </c>
      <c r="O125" s="73">
        <f t="shared" si="14"/>
        <v>573848.91538972768</v>
      </c>
      <c r="P125" s="73">
        <f t="shared" si="15"/>
        <v>689848.91538972768</v>
      </c>
      <c r="Q125" s="301">
        <f t="shared" si="16"/>
        <v>107880</v>
      </c>
      <c r="R125" s="301">
        <f t="shared" si="17"/>
        <v>533679.49131244677</v>
      </c>
      <c r="S125" s="300">
        <f t="shared" si="18"/>
        <v>641559.49131244677</v>
      </c>
    </row>
    <row r="126" spans="1:19" ht="12" x14ac:dyDescent="0.25">
      <c r="A126" s="49">
        <v>115</v>
      </c>
      <c r="B126" s="46" t="s">
        <v>313</v>
      </c>
      <c r="C126" s="33" t="s">
        <v>153</v>
      </c>
      <c r="D126" s="111">
        <v>120000</v>
      </c>
      <c r="E126" s="112">
        <v>34800</v>
      </c>
      <c r="F126" s="112">
        <v>139200</v>
      </c>
      <c r="G126" s="112">
        <v>174000</v>
      </c>
      <c r="H126" s="254">
        <f t="shared" si="10"/>
        <v>28000</v>
      </c>
      <c r="I126" s="254">
        <v>140000</v>
      </c>
      <c r="J126" s="255">
        <f t="shared" si="11"/>
        <v>168000</v>
      </c>
      <c r="K126" s="141">
        <f>34800-500</f>
        <v>34300</v>
      </c>
      <c r="L126" s="141">
        <v>139200</v>
      </c>
      <c r="M126" s="142">
        <f t="shared" si="12"/>
        <v>173500</v>
      </c>
      <c r="N126" s="99">
        <f t="shared" si="13"/>
        <v>28000</v>
      </c>
      <c r="O126" s="73">
        <f t="shared" si="14"/>
        <v>139200</v>
      </c>
      <c r="P126" s="73">
        <f t="shared" si="15"/>
        <v>167200</v>
      </c>
      <c r="Q126" s="301">
        <f t="shared" si="16"/>
        <v>26040</v>
      </c>
      <c r="R126" s="301">
        <f t="shared" si="17"/>
        <v>129456</v>
      </c>
      <c r="S126" s="300">
        <f t="shared" si="18"/>
        <v>155496</v>
      </c>
    </row>
    <row r="127" spans="1:19" ht="12" x14ac:dyDescent="0.25">
      <c r="A127" s="49">
        <v>116</v>
      </c>
      <c r="B127" s="35" t="s">
        <v>334</v>
      </c>
      <c r="C127" s="33" t="s">
        <v>153</v>
      </c>
      <c r="D127" s="111">
        <v>245708.08920000002</v>
      </c>
      <c r="E127" s="112">
        <v>71255.345868000004</v>
      </c>
      <c r="F127" s="112">
        <v>285021.38347200002</v>
      </c>
      <c r="G127" s="112">
        <v>356276.72934000002</v>
      </c>
      <c r="H127" s="254">
        <f t="shared" si="10"/>
        <v>6000</v>
      </c>
      <c r="I127" s="254">
        <v>30000</v>
      </c>
      <c r="J127" s="255">
        <f t="shared" si="11"/>
        <v>36000</v>
      </c>
      <c r="K127" s="141">
        <f>71255.345868-1000</f>
        <v>70255.345868000004</v>
      </c>
      <c r="L127" s="141">
        <v>285021.38347200002</v>
      </c>
      <c r="M127" s="142">
        <f t="shared" si="12"/>
        <v>355276.72934000002</v>
      </c>
      <c r="N127" s="99">
        <f t="shared" si="13"/>
        <v>6000</v>
      </c>
      <c r="O127" s="73">
        <f t="shared" si="14"/>
        <v>30000</v>
      </c>
      <c r="P127" s="73">
        <f t="shared" si="15"/>
        <v>36000</v>
      </c>
      <c r="Q127" s="301">
        <f t="shared" si="16"/>
        <v>5580</v>
      </c>
      <c r="R127" s="301">
        <f t="shared" si="17"/>
        <v>27900</v>
      </c>
      <c r="S127" s="300">
        <f t="shared" si="18"/>
        <v>33480</v>
      </c>
    </row>
    <row r="128" spans="1:19" ht="12" x14ac:dyDescent="0.25">
      <c r="A128" s="49">
        <v>117</v>
      </c>
      <c r="B128" s="35" t="s">
        <v>336</v>
      </c>
      <c r="C128" s="33" t="s">
        <v>153</v>
      </c>
      <c r="D128" s="111">
        <v>230937.245</v>
      </c>
      <c r="E128" s="112">
        <v>66971.801050000009</v>
      </c>
      <c r="F128" s="112">
        <v>267887.20419999998</v>
      </c>
      <c r="G128" s="112">
        <v>334859.00524999999</v>
      </c>
      <c r="H128" s="254">
        <f t="shared" si="10"/>
        <v>56000</v>
      </c>
      <c r="I128" s="254">
        <v>280000</v>
      </c>
      <c r="J128" s="255">
        <f t="shared" si="11"/>
        <v>336000</v>
      </c>
      <c r="K128" s="141">
        <f>66971.80105-1000</f>
        <v>65971.801049999995</v>
      </c>
      <c r="L128" s="141">
        <v>267887.20419999998</v>
      </c>
      <c r="M128" s="142">
        <f t="shared" si="12"/>
        <v>333859.00524999999</v>
      </c>
      <c r="N128" s="99">
        <f t="shared" si="13"/>
        <v>56000</v>
      </c>
      <c r="O128" s="73">
        <f t="shared" si="14"/>
        <v>267887.20419999998</v>
      </c>
      <c r="P128" s="73">
        <f t="shared" si="15"/>
        <v>323887.20419999998</v>
      </c>
      <c r="Q128" s="301">
        <f t="shared" si="16"/>
        <v>52080</v>
      </c>
      <c r="R128" s="301">
        <f t="shared" si="17"/>
        <v>249135.09990599999</v>
      </c>
      <c r="S128" s="300">
        <f t="shared" si="18"/>
        <v>301215.09990599996</v>
      </c>
    </row>
    <row r="129" spans="1:19" ht="12" x14ac:dyDescent="0.25">
      <c r="A129" s="49">
        <v>118</v>
      </c>
      <c r="B129" s="35" t="s">
        <v>192</v>
      </c>
      <c r="C129" s="33" t="s">
        <v>153</v>
      </c>
      <c r="D129" s="111">
        <v>264040.11553299846</v>
      </c>
      <c r="E129" s="112">
        <v>76571.63350456953</v>
      </c>
      <c r="F129" s="112">
        <v>306286.53401827824</v>
      </c>
      <c r="G129" s="112">
        <v>382858.16752284777</v>
      </c>
      <c r="H129" s="254">
        <f t="shared" si="10"/>
        <v>62000</v>
      </c>
      <c r="I129" s="254">
        <v>310000</v>
      </c>
      <c r="J129" s="255">
        <f t="shared" si="11"/>
        <v>372000</v>
      </c>
      <c r="K129" s="141">
        <f>76571.6335045695-1000</f>
        <v>75571.633504569501</v>
      </c>
      <c r="L129" s="141">
        <v>306286.53401827824</v>
      </c>
      <c r="M129" s="142">
        <f t="shared" si="12"/>
        <v>381858.16752284777</v>
      </c>
      <c r="N129" s="99">
        <f t="shared" si="13"/>
        <v>62000</v>
      </c>
      <c r="O129" s="73">
        <f t="shared" si="14"/>
        <v>306286.53401827824</v>
      </c>
      <c r="P129" s="73">
        <f t="shared" si="15"/>
        <v>368286.53401827824</v>
      </c>
      <c r="Q129" s="301">
        <f t="shared" si="16"/>
        <v>57660</v>
      </c>
      <c r="R129" s="301">
        <f t="shared" si="17"/>
        <v>284846.47663699876</v>
      </c>
      <c r="S129" s="300">
        <f t="shared" si="18"/>
        <v>342506.47663699876</v>
      </c>
    </row>
    <row r="130" spans="1:19" ht="12" x14ac:dyDescent="0.25">
      <c r="A130" s="49">
        <v>119</v>
      </c>
      <c r="B130" s="35" t="s">
        <v>195</v>
      </c>
      <c r="C130" s="33" t="s">
        <v>153</v>
      </c>
      <c r="D130" s="111">
        <v>99951.039650000006</v>
      </c>
      <c r="E130" s="112">
        <v>28985.80149849999</v>
      </c>
      <c r="F130" s="112">
        <v>115943.20599400002</v>
      </c>
      <c r="G130" s="112">
        <v>144929.00749250001</v>
      </c>
      <c r="H130" s="254">
        <f t="shared" si="10"/>
        <v>22000</v>
      </c>
      <c r="I130" s="254">
        <v>110000</v>
      </c>
      <c r="J130" s="255">
        <f t="shared" si="11"/>
        <v>132000</v>
      </c>
      <c r="K130" s="141">
        <f>28985.8014985-1000</f>
        <v>27985.801498500001</v>
      </c>
      <c r="L130" s="141">
        <v>115943.20599400002</v>
      </c>
      <c r="M130" s="142">
        <f t="shared" si="12"/>
        <v>143929.00749250001</v>
      </c>
      <c r="N130" s="99">
        <f t="shared" si="13"/>
        <v>22000</v>
      </c>
      <c r="O130" s="73">
        <f t="shared" si="14"/>
        <v>110000</v>
      </c>
      <c r="P130" s="73">
        <f t="shared" si="15"/>
        <v>132000</v>
      </c>
      <c r="Q130" s="301">
        <f t="shared" si="16"/>
        <v>20460</v>
      </c>
      <c r="R130" s="301">
        <f t="shared" si="17"/>
        <v>102300</v>
      </c>
      <c r="S130" s="300">
        <f t="shared" si="18"/>
        <v>122760</v>
      </c>
    </row>
    <row r="131" spans="1:19" ht="12" x14ac:dyDescent="0.25">
      <c r="A131" s="49">
        <v>120</v>
      </c>
      <c r="B131" s="35" t="s">
        <v>193</v>
      </c>
      <c r="C131" s="33" t="s">
        <v>153</v>
      </c>
      <c r="D131" s="111">
        <v>83692.225399999996</v>
      </c>
      <c r="E131" s="112">
        <v>24270.745365999988</v>
      </c>
      <c r="F131" s="112">
        <v>97082.981463999997</v>
      </c>
      <c r="G131" s="112">
        <v>121353.72682999999</v>
      </c>
      <c r="H131" s="254">
        <f t="shared" si="10"/>
        <v>20000</v>
      </c>
      <c r="I131" s="254">
        <v>100000</v>
      </c>
      <c r="J131" s="255">
        <f t="shared" si="11"/>
        <v>120000</v>
      </c>
      <c r="K131" s="141">
        <f>24270.745366-1000</f>
        <v>23270.745365999999</v>
      </c>
      <c r="L131" s="141">
        <v>97082.981463999997</v>
      </c>
      <c r="M131" s="142">
        <f t="shared" si="12"/>
        <v>120353.72683</v>
      </c>
      <c r="N131" s="99">
        <f t="shared" si="13"/>
        <v>20000</v>
      </c>
      <c r="O131" s="73">
        <f t="shared" si="14"/>
        <v>97082.981463999997</v>
      </c>
      <c r="P131" s="73">
        <f t="shared" si="15"/>
        <v>117082.981464</v>
      </c>
      <c r="Q131" s="301">
        <f t="shared" si="16"/>
        <v>18600</v>
      </c>
      <c r="R131" s="301">
        <f t="shared" si="17"/>
        <v>90287.172761519992</v>
      </c>
      <c r="S131" s="300">
        <f t="shared" si="18"/>
        <v>108887.17276151999</v>
      </c>
    </row>
    <row r="132" spans="1:19" ht="12" x14ac:dyDescent="0.25">
      <c r="A132" s="49">
        <v>121</v>
      </c>
      <c r="B132" s="35" t="s">
        <v>194</v>
      </c>
      <c r="C132" s="33" t="s">
        <v>153</v>
      </c>
      <c r="D132" s="111">
        <v>112359.91992332788</v>
      </c>
      <c r="E132" s="112">
        <v>32584.376777765079</v>
      </c>
      <c r="F132" s="112">
        <v>130337.50711106035</v>
      </c>
      <c r="G132" s="112">
        <v>162921.88388882542</v>
      </c>
      <c r="H132" s="254">
        <f t="shared" si="10"/>
        <v>24000</v>
      </c>
      <c r="I132" s="254">
        <v>120000</v>
      </c>
      <c r="J132" s="255">
        <f t="shared" si="11"/>
        <v>144000</v>
      </c>
      <c r="K132" s="141">
        <f>32584.3767777651-1900</f>
        <v>30684.376777765101</v>
      </c>
      <c r="L132" s="141">
        <v>130337.50711106035</v>
      </c>
      <c r="M132" s="142">
        <f t="shared" si="12"/>
        <v>161021.88388882545</v>
      </c>
      <c r="N132" s="99">
        <f t="shared" si="13"/>
        <v>24000</v>
      </c>
      <c r="O132" s="73">
        <f t="shared" si="14"/>
        <v>120000</v>
      </c>
      <c r="P132" s="73">
        <f t="shared" si="15"/>
        <v>144000</v>
      </c>
      <c r="Q132" s="301">
        <f t="shared" si="16"/>
        <v>22320</v>
      </c>
      <c r="R132" s="301">
        <f t="shared" si="17"/>
        <v>111600</v>
      </c>
      <c r="S132" s="300">
        <f t="shared" si="18"/>
        <v>133920</v>
      </c>
    </row>
    <row r="133" spans="1:19" ht="12" x14ac:dyDescent="0.25">
      <c r="A133" s="49">
        <v>122</v>
      </c>
      <c r="B133" s="32" t="s">
        <v>196</v>
      </c>
      <c r="C133" s="33" t="s">
        <v>153</v>
      </c>
      <c r="D133" s="111">
        <v>50205.768141554676</v>
      </c>
      <c r="E133" s="112">
        <v>14559.672761050853</v>
      </c>
      <c r="F133" s="112">
        <v>58238.691044203428</v>
      </c>
      <c r="G133" s="112">
        <v>72798.363805254281</v>
      </c>
      <c r="H133" s="254">
        <f t="shared" si="10"/>
        <v>12000</v>
      </c>
      <c r="I133" s="254">
        <v>60000</v>
      </c>
      <c r="J133" s="255">
        <f t="shared" si="11"/>
        <v>72000</v>
      </c>
      <c r="K133" s="141">
        <f>14559.6727610509-1000</f>
        <v>13559.672761050901</v>
      </c>
      <c r="L133" s="141">
        <v>58238.691044203428</v>
      </c>
      <c r="M133" s="142">
        <f t="shared" si="12"/>
        <v>71798.363805254325</v>
      </c>
      <c r="N133" s="99">
        <f t="shared" si="13"/>
        <v>12000</v>
      </c>
      <c r="O133" s="73">
        <f t="shared" si="14"/>
        <v>58238.691044203428</v>
      </c>
      <c r="P133" s="73">
        <f t="shared" si="15"/>
        <v>70238.691044203428</v>
      </c>
      <c r="Q133" s="301">
        <f t="shared" si="16"/>
        <v>11160</v>
      </c>
      <c r="R133" s="301">
        <f t="shared" si="17"/>
        <v>54161.982671109188</v>
      </c>
      <c r="S133" s="300">
        <f t="shared" si="18"/>
        <v>65321.982671109188</v>
      </c>
    </row>
    <row r="134" spans="1:19" ht="12" x14ac:dyDescent="0.25">
      <c r="A134" s="49">
        <v>123</v>
      </c>
      <c r="B134" s="46" t="s">
        <v>314</v>
      </c>
      <c r="C134" s="33" t="s">
        <v>153</v>
      </c>
      <c r="D134" s="111">
        <v>509904.03519999998</v>
      </c>
      <c r="E134" s="112">
        <v>147872.170208</v>
      </c>
      <c r="F134" s="112">
        <v>591488.68083199998</v>
      </c>
      <c r="G134" s="112">
        <v>739360.85103999998</v>
      </c>
      <c r="H134" s="254">
        <f t="shared" si="10"/>
        <v>128000</v>
      </c>
      <c r="I134" s="254">
        <v>640000</v>
      </c>
      <c r="J134" s="255">
        <f t="shared" si="11"/>
        <v>768000</v>
      </c>
      <c r="K134" s="141">
        <f>147872.170208-1000</f>
        <v>146872.170208</v>
      </c>
      <c r="L134" s="141">
        <v>591488.68083199998</v>
      </c>
      <c r="M134" s="142">
        <f t="shared" si="12"/>
        <v>738360.85103999998</v>
      </c>
      <c r="N134" s="99">
        <f t="shared" si="13"/>
        <v>128000</v>
      </c>
      <c r="O134" s="73">
        <f t="shared" si="14"/>
        <v>591488.68083199998</v>
      </c>
      <c r="P134" s="73">
        <f t="shared" si="15"/>
        <v>719488.68083199998</v>
      </c>
      <c r="Q134" s="301">
        <f t="shared" si="16"/>
        <v>119040</v>
      </c>
      <c r="R134" s="301">
        <f t="shared" si="17"/>
        <v>550084.47317375999</v>
      </c>
      <c r="S134" s="300">
        <f t="shared" si="18"/>
        <v>669124.47317375999</v>
      </c>
    </row>
    <row r="135" spans="1:19" ht="12" x14ac:dyDescent="0.25">
      <c r="A135" s="49">
        <v>124</v>
      </c>
      <c r="B135" s="50" t="s">
        <v>315</v>
      </c>
      <c r="C135" s="33" t="s">
        <v>153</v>
      </c>
      <c r="D135" s="111">
        <v>216384.52920000002</v>
      </c>
      <c r="E135" s="112">
        <v>62751.51346799999</v>
      </c>
      <c r="F135" s="112">
        <v>251006.05387200002</v>
      </c>
      <c r="G135" s="112">
        <v>313757.56734000001</v>
      </c>
      <c r="H135" s="254">
        <f t="shared" ref="H135:H198" si="19">+I135*20%</f>
        <v>52000</v>
      </c>
      <c r="I135" s="254">
        <v>260000</v>
      </c>
      <c r="J135" s="255">
        <f t="shared" ref="J135:J198" si="20">+I135+H135</f>
        <v>312000</v>
      </c>
      <c r="K135" s="141">
        <f>62751.513468-1000</f>
        <v>61751.513467999997</v>
      </c>
      <c r="L135" s="141">
        <v>251006.05387200002</v>
      </c>
      <c r="M135" s="142">
        <f t="shared" ref="M135:M198" si="21">K135+L135</f>
        <v>312757.56734000001</v>
      </c>
      <c r="N135" s="99">
        <f t="shared" ref="N135:N198" si="22">MIN(E135,H135,K135)</f>
        <v>52000</v>
      </c>
      <c r="O135" s="73">
        <f t="shared" ref="O135:O198" si="23">MIN(F135,I135,L135)</f>
        <v>251006.05387200002</v>
      </c>
      <c r="P135" s="73">
        <f t="shared" ref="P135:P198" si="24">O135+N135</f>
        <v>303006.05387200002</v>
      </c>
      <c r="Q135" s="301">
        <f t="shared" ref="Q135:Q198" si="25">N135-(N135*7%)</f>
        <v>48360</v>
      </c>
      <c r="R135" s="301">
        <f t="shared" ref="R135:R198" si="26">O135-(O135*7%)</f>
        <v>233435.63010096003</v>
      </c>
      <c r="S135" s="300">
        <f t="shared" ref="S135:S198" si="27">R135+Q135</f>
        <v>281795.63010096003</v>
      </c>
    </row>
    <row r="136" spans="1:19" ht="22.5" x14ac:dyDescent="0.25">
      <c r="A136" s="49"/>
      <c r="B136" s="30" t="s">
        <v>35</v>
      </c>
      <c r="C136" s="33" t="s">
        <v>153</v>
      </c>
      <c r="D136" s="111"/>
      <c r="E136" s="112"/>
      <c r="F136" s="112"/>
      <c r="G136" s="112"/>
      <c r="H136" s="254">
        <f t="shared" si="19"/>
        <v>0</v>
      </c>
      <c r="I136" s="254"/>
      <c r="J136" s="255">
        <f t="shared" si="20"/>
        <v>0</v>
      </c>
      <c r="K136" s="143"/>
      <c r="L136" s="144"/>
      <c r="M136" s="142">
        <f t="shared" si="21"/>
        <v>0</v>
      </c>
      <c r="N136" s="99">
        <f t="shared" si="22"/>
        <v>0</v>
      </c>
      <c r="O136" s="73">
        <f t="shared" si="23"/>
        <v>0</v>
      </c>
      <c r="P136" s="73">
        <f t="shared" si="24"/>
        <v>0</v>
      </c>
      <c r="Q136" s="301">
        <f t="shared" si="25"/>
        <v>0</v>
      </c>
      <c r="R136" s="301">
        <f t="shared" si="26"/>
        <v>0</v>
      </c>
      <c r="S136" s="300">
        <f t="shared" si="27"/>
        <v>0</v>
      </c>
    </row>
    <row r="137" spans="1:19" ht="12" x14ac:dyDescent="0.25">
      <c r="A137" s="49">
        <v>125</v>
      </c>
      <c r="B137" s="46" t="s">
        <v>30</v>
      </c>
      <c r="C137" s="33" t="s">
        <v>153</v>
      </c>
      <c r="D137" s="111">
        <v>40860.496789136967</v>
      </c>
      <c r="E137" s="112">
        <v>11849.544068849718</v>
      </c>
      <c r="F137" s="112">
        <v>47398.176275398881</v>
      </c>
      <c r="G137" s="112">
        <v>59247.720344248599</v>
      </c>
      <c r="H137" s="254">
        <f t="shared" si="19"/>
        <v>10000</v>
      </c>
      <c r="I137" s="254">
        <v>50000</v>
      </c>
      <c r="J137" s="255">
        <f t="shared" si="20"/>
        <v>60000</v>
      </c>
      <c r="K137" s="141">
        <f>11849.5440688497-1000</f>
        <v>10849.5440688497</v>
      </c>
      <c r="L137" s="141">
        <v>47398.176275398881</v>
      </c>
      <c r="M137" s="142">
        <f t="shared" si="21"/>
        <v>58247.720344248577</v>
      </c>
      <c r="N137" s="99">
        <f t="shared" si="22"/>
        <v>10000</v>
      </c>
      <c r="O137" s="73">
        <f t="shared" si="23"/>
        <v>47398.176275398881</v>
      </c>
      <c r="P137" s="73">
        <f t="shared" si="24"/>
        <v>57398.176275398881</v>
      </c>
      <c r="Q137" s="301">
        <f t="shared" si="25"/>
        <v>9300</v>
      </c>
      <c r="R137" s="301">
        <f t="shared" si="26"/>
        <v>44080.303936120959</v>
      </c>
      <c r="S137" s="300">
        <f t="shared" si="27"/>
        <v>53380.303936120959</v>
      </c>
    </row>
    <row r="138" spans="1:19" ht="12" x14ac:dyDescent="0.2">
      <c r="A138" s="49">
        <v>126</v>
      </c>
      <c r="B138" s="47" t="s">
        <v>81</v>
      </c>
      <c r="C138" s="33" t="s">
        <v>153</v>
      </c>
      <c r="D138" s="111">
        <v>361364.48768191796</v>
      </c>
      <c r="E138" s="112">
        <v>104795.70142775617</v>
      </c>
      <c r="F138" s="112">
        <v>419182.80571102485</v>
      </c>
      <c r="G138" s="112">
        <v>523978.50713878102</v>
      </c>
      <c r="H138" s="254">
        <f t="shared" si="19"/>
        <v>84000</v>
      </c>
      <c r="I138" s="254">
        <v>420000</v>
      </c>
      <c r="J138" s="255">
        <f t="shared" si="20"/>
        <v>504000</v>
      </c>
      <c r="K138" s="141">
        <f>104795.701427756-1000</f>
        <v>103795.70142775599</v>
      </c>
      <c r="L138" s="141">
        <v>419182.80571102485</v>
      </c>
      <c r="M138" s="142">
        <f t="shared" si="21"/>
        <v>522978.50713878084</v>
      </c>
      <c r="N138" s="99">
        <f t="shared" si="22"/>
        <v>84000</v>
      </c>
      <c r="O138" s="73">
        <f t="shared" si="23"/>
        <v>419182.80571102485</v>
      </c>
      <c r="P138" s="73">
        <f t="shared" si="24"/>
        <v>503182.80571102485</v>
      </c>
      <c r="Q138" s="301">
        <f t="shared" si="25"/>
        <v>78120</v>
      </c>
      <c r="R138" s="301">
        <f t="shared" si="26"/>
        <v>389840.00931125309</v>
      </c>
      <c r="S138" s="300">
        <f t="shared" si="27"/>
        <v>467960.00931125309</v>
      </c>
    </row>
    <row r="139" spans="1:19" ht="12" x14ac:dyDescent="0.2">
      <c r="A139" s="49">
        <v>127</v>
      </c>
      <c r="B139" s="47" t="s">
        <v>82</v>
      </c>
      <c r="C139" s="33" t="s">
        <v>153</v>
      </c>
      <c r="D139" s="111">
        <v>214890.43328400285</v>
      </c>
      <c r="E139" s="112">
        <v>62318.225652360823</v>
      </c>
      <c r="F139" s="112">
        <v>249272.90260944329</v>
      </c>
      <c r="G139" s="112">
        <v>311591.12826180412</v>
      </c>
      <c r="H139" s="254">
        <f t="shared" si="19"/>
        <v>50000</v>
      </c>
      <c r="I139" s="254">
        <v>250000</v>
      </c>
      <c r="J139" s="255">
        <f t="shared" si="20"/>
        <v>300000</v>
      </c>
      <c r="K139" s="141">
        <f>62318.2256523608-1000</f>
        <v>61318.225652360801</v>
      </c>
      <c r="L139" s="141">
        <v>249272.90260944329</v>
      </c>
      <c r="M139" s="142">
        <f t="shared" si="21"/>
        <v>310591.12826180412</v>
      </c>
      <c r="N139" s="99">
        <f t="shared" si="22"/>
        <v>50000</v>
      </c>
      <c r="O139" s="73">
        <f t="shared" si="23"/>
        <v>249272.90260944329</v>
      </c>
      <c r="P139" s="73">
        <f t="shared" si="24"/>
        <v>299272.90260944329</v>
      </c>
      <c r="Q139" s="301">
        <f t="shared" si="25"/>
        <v>46500</v>
      </c>
      <c r="R139" s="301">
        <f t="shared" si="26"/>
        <v>231823.79942678227</v>
      </c>
      <c r="S139" s="300">
        <f t="shared" si="27"/>
        <v>278323.79942678229</v>
      </c>
    </row>
    <row r="140" spans="1:19" ht="12" x14ac:dyDescent="0.2">
      <c r="A140" s="49">
        <v>128</v>
      </c>
      <c r="B140" s="47" t="s">
        <v>328</v>
      </c>
      <c r="C140" s="33" t="s">
        <v>153</v>
      </c>
      <c r="D140" s="111">
        <v>271311.05032458174</v>
      </c>
      <c r="E140" s="112">
        <v>78680.204594128707</v>
      </c>
      <c r="F140" s="112">
        <v>314720.81837651483</v>
      </c>
      <c r="G140" s="112">
        <v>393401.02297064353</v>
      </c>
      <c r="H140" s="254">
        <f t="shared" si="19"/>
        <v>64000</v>
      </c>
      <c r="I140" s="254">
        <v>320000</v>
      </c>
      <c r="J140" s="255">
        <f t="shared" si="20"/>
        <v>384000</v>
      </c>
      <c r="K140" s="141">
        <f>78680.2045941287-1000</f>
        <v>77680.204594128707</v>
      </c>
      <c r="L140" s="141">
        <v>314720.81837651483</v>
      </c>
      <c r="M140" s="142">
        <f t="shared" si="21"/>
        <v>392401.02297064353</v>
      </c>
      <c r="N140" s="99">
        <f t="shared" si="22"/>
        <v>64000</v>
      </c>
      <c r="O140" s="73">
        <f t="shared" si="23"/>
        <v>314720.81837651483</v>
      </c>
      <c r="P140" s="73">
        <f t="shared" si="24"/>
        <v>378720.81837651483</v>
      </c>
      <c r="Q140" s="301">
        <f t="shared" si="25"/>
        <v>59520</v>
      </c>
      <c r="R140" s="301">
        <f t="shared" si="26"/>
        <v>292690.36109015881</v>
      </c>
      <c r="S140" s="300">
        <f t="shared" si="27"/>
        <v>352210.36109015881</v>
      </c>
    </row>
    <row r="141" spans="1:19" ht="12" x14ac:dyDescent="0.25">
      <c r="A141" s="49">
        <v>129</v>
      </c>
      <c r="B141" s="37" t="s">
        <v>199</v>
      </c>
      <c r="C141" s="33" t="s">
        <v>153</v>
      </c>
      <c r="D141" s="111">
        <v>88445.313600000009</v>
      </c>
      <c r="E141" s="112">
        <v>25649.140943999999</v>
      </c>
      <c r="F141" s="112">
        <v>102596.56377600001</v>
      </c>
      <c r="G141" s="112">
        <v>128245.70472000001</v>
      </c>
      <c r="H141" s="254">
        <f t="shared" si="19"/>
        <v>22000</v>
      </c>
      <c r="I141" s="254">
        <v>110000</v>
      </c>
      <c r="J141" s="255">
        <f t="shared" si="20"/>
        <v>132000</v>
      </c>
      <c r="K141" s="141">
        <f>25649.140944-1000</f>
        <v>24649.140943999999</v>
      </c>
      <c r="L141" s="141">
        <v>102596.56377600001</v>
      </c>
      <c r="M141" s="142">
        <f t="shared" si="21"/>
        <v>127245.70472000001</v>
      </c>
      <c r="N141" s="99">
        <f t="shared" si="22"/>
        <v>22000</v>
      </c>
      <c r="O141" s="73">
        <f t="shared" si="23"/>
        <v>102596.56377600001</v>
      </c>
      <c r="P141" s="73">
        <f t="shared" si="24"/>
        <v>124596.56377600001</v>
      </c>
      <c r="Q141" s="301">
        <f t="shared" si="25"/>
        <v>20460</v>
      </c>
      <c r="R141" s="301">
        <f t="shared" si="26"/>
        <v>95414.804311680011</v>
      </c>
      <c r="S141" s="300">
        <f t="shared" si="27"/>
        <v>115874.80431168001</v>
      </c>
    </row>
    <row r="142" spans="1:19" ht="12" x14ac:dyDescent="0.25">
      <c r="A142" s="49">
        <v>130</v>
      </c>
      <c r="B142" s="46" t="s">
        <v>327</v>
      </c>
      <c r="C142" s="33" t="s">
        <v>153</v>
      </c>
      <c r="D142" s="111">
        <v>339012.09039470513</v>
      </c>
      <c r="E142" s="112">
        <v>98313.506214464433</v>
      </c>
      <c r="F142" s="112">
        <v>393254.02485785796</v>
      </c>
      <c r="G142" s="112">
        <v>491567.5310723224</v>
      </c>
      <c r="H142" s="254">
        <f t="shared" si="19"/>
        <v>80000</v>
      </c>
      <c r="I142" s="254">
        <v>400000</v>
      </c>
      <c r="J142" s="255">
        <f t="shared" si="20"/>
        <v>480000</v>
      </c>
      <c r="K142" s="141">
        <f>98313.5062144644-1000</f>
        <v>97313.506214464403</v>
      </c>
      <c r="L142" s="141">
        <v>393254.02485785796</v>
      </c>
      <c r="M142" s="142">
        <f t="shared" si="21"/>
        <v>490567.5310723224</v>
      </c>
      <c r="N142" s="99">
        <f t="shared" si="22"/>
        <v>80000</v>
      </c>
      <c r="O142" s="73">
        <f t="shared" si="23"/>
        <v>393254.02485785796</v>
      </c>
      <c r="P142" s="73">
        <f t="shared" si="24"/>
        <v>473254.02485785796</v>
      </c>
      <c r="Q142" s="301">
        <f t="shared" si="25"/>
        <v>74400</v>
      </c>
      <c r="R142" s="301">
        <f t="shared" si="26"/>
        <v>365726.2431178079</v>
      </c>
      <c r="S142" s="300">
        <f t="shared" si="27"/>
        <v>440126.2431178079</v>
      </c>
    </row>
    <row r="143" spans="1:19" ht="12" x14ac:dyDescent="0.25">
      <c r="A143" s="49">
        <v>131</v>
      </c>
      <c r="B143" s="37" t="s">
        <v>200</v>
      </c>
      <c r="C143" s="33" t="s">
        <v>153</v>
      </c>
      <c r="D143" s="111">
        <v>103207.94646660842</v>
      </c>
      <c r="E143" s="112">
        <v>29930.304475316429</v>
      </c>
      <c r="F143" s="112">
        <v>119721.21790126577</v>
      </c>
      <c r="G143" s="112">
        <v>149651.5223765822</v>
      </c>
      <c r="H143" s="254">
        <f t="shared" si="19"/>
        <v>24000</v>
      </c>
      <c r="I143" s="254">
        <v>120000</v>
      </c>
      <c r="J143" s="255">
        <f t="shared" si="20"/>
        <v>144000</v>
      </c>
      <c r="K143" s="141">
        <f>29930.3044753164-1000</f>
        <v>28930.304475316399</v>
      </c>
      <c r="L143" s="141">
        <v>119721.21790126577</v>
      </c>
      <c r="M143" s="142">
        <f t="shared" si="21"/>
        <v>148651.52237658217</v>
      </c>
      <c r="N143" s="99">
        <f t="shared" si="22"/>
        <v>24000</v>
      </c>
      <c r="O143" s="73">
        <f t="shared" si="23"/>
        <v>119721.21790126577</v>
      </c>
      <c r="P143" s="73">
        <f t="shared" si="24"/>
        <v>143721.21790126577</v>
      </c>
      <c r="Q143" s="301">
        <f t="shared" si="25"/>
        <v>22320</v>
      </c>
      <c r="R143" s="301">
        <f t="shared" si="26"/>
        <v>111340.73264817716</v>
      </c>
      <c r="S143" s="300">
        <f t="shared" si="27"/>
        <v>133660.73264817716</v>
      </c>
    </row>
    <row r="144" spans="1:19" ht="12" x14ac:dyDescent="0.25">
      <c r="A144" s="49">
        <v>132</v>
      </c>
      <c r="B144" s="46" t="s">
        <v>36</v>
      </c>
      <c r="C144" s="33" t="s">
        <v>153</v>
      </c>
      <c r="D144" s="111">
        <v>830194.3983690138</v>
      </c>
      <c r="E144" s="112">
        <v>240756.37552701391</v>
      </c>
      <c r="F144" s="112">
        <v>963025.50210805598</v>
      </c>
      <c r="G144" s="112">
        <v>1203781.8776350699</v>
      </c>
      <c r="H144" s="254">
        <f t="shared" si="19"/>
        <v>183000</v>
      </c>
      <c r="I144" s="254">
        <v>915000</v>
      </c>
      <c r="J144" s="255">
        <f t="shared" si="20"/>
        <v>1098000</v>
      </c>
      <c r="K144" s="141">
        <f>240756.375527014-1000</f>
        <v>239756.375527014</v>
      </c>
      <c r="L144" s="141">
        <v>963025.50210805598</v>
      </c>
      <c r="M144" s="142">
        <f t="shared" si="21"/>
        <v>1202781.8776350699</v>
      </c>
      <c r="N144" s="99">
        <f t="shared" si="22"/>
        <v>183000</v>
      </c>
      <c r="O144" s="73">
        <f t="shared" si="23"/>
        <v>915000</v>
      </c>
      <c r="P144" s="73">
        <f t="shared" si="24"/>
        <v>1098000</v>
      </c>
      <c r="Q144" s="301">
        <f t="shared" si="25"/>
        <v>170190</v>
      </c>
      <c r="R144" s="301">
        <f t="shared" si="26"/>
        <v>850950</v>
      </c>
      <c r="S144" s="300">
        <f t="shared" si="27"/>
        <v>1021140</v>
      </c>
    </row>
    <row r="145" spans="1:19" ht="12" x14ac:dyDescent="0.25">
      <c r="A145" s="49">
        <v>133</v>
      </c>
      <c r="B145" s="35" t="s">
        <v>201</v>
      </c>
      <c r="C145" s="33" t="s">
        <v>153</v>
      </c>
      <c r="D145" s="111">
        <v>391182.59638679289</v>
      </c>
      <c r="E145" s="112">
        <v>113442.95295216993</v>
      </c>
      <c r="F145" s="112">
        <v>453771.81180867972</v>
      </c>
      <c r="G145" s="112">
        <v>567214.76476084965</v>
      </c>
      <c r="H145" s="254">
        <f t="shared" si="19"/>
        <v>92000</v>
      </c>
      <c r="I145" s="254">
        <v>460000</v>
      </c>
      <c r="J145" s="255">
        <f t="shared" si="20"/>
        <v>552000</v>
      </c>
      <c r="K145" s="141">
        <f>113442.95295217-1000</f>
        <v>112442.95295217</v>
      </c>
      <c r="L145" s="141">
        <v>453771.81180867972</v>
      </c>
      <c r="M145" s="142">
        <f t="shared" si="21"/>
        <v>566214.76476084976</v>
      </c>
      <c r="N145" s="99">
        <f t="shared" si="22"/>
        <v>92000</v>
      </c>
      <c r="O145" s="73">
        <f t="shared" si="23"/>
        <v>453771.81180867972</v>
      </c>
      <c r="P145" s="73">
        <f t="shared" si="24"/>
        <v>545771.81180867972</v>
      </c>
      <c r="Q145" s="301">
        <f t="shared" si="25"/>
        <v>85560</v>
      </c>
      <c r="R145" s="301">
        <f t="shared" si="26"/>
        <v>422007.78498207213</v>
      </c>
      <c r="S145" s="300">
        <f t="shared" si="27"/>
        <v>507567.78498207213</v>
      </c>
    </row>
    <row r="146" spans="1:19" ht="12" x14ac:dyDescent="0.25">
      <c r="A146" s="49">
        <v>134</v>
      </c>
      <c r="B146" s="46" t="s">
        <v>316</v>
      </c>
      <c r="C146" s="33" t="s">
        <v>153</v>
      </c>
      <c r="D146" s="111">
        <v>191816.625</v>
      </c>
      <c r="E146" s="112">
        <v>55626.821249999979</v>
      </c>
      <c r="F146" s="112">
        <v>222507.28500000003</v>
      </c>
      <c r="G146" s="112">
        <v>278134.10625000001</v>
      </c>
      <c r="H146" s="254">
        <f t="shared" si="19"/>
        <v>48000</v>
      </c>
      <c r="I146" s="254">
        <v>240000</v>
      </c>
      <c r="J146" s="255">
        <f t="shared" si="20"/>
        <v>288000</v>
      </c>
      <c r="K146" s="141">
        <f>55626.82125-1000</f>
        <v>54626.821250000001</v>
      </c>
      <c r="L146" s="141">
        <v>222507.28500000003</v>
      </c>
      <c r="M146" s="142">
        <f t="shared" si="21"/>
        <v>277134.10625000001</v>
      </c>
      <c r="N146" s="99">
        <f t="shared" si="22"/>
        <v>48000</v>
      </c>
      <c r="O146" s="73">
        <f t="shared" si="23"/>
        <v>222507.28500000003</v>
      </c>
      <c r="P146" s="73">
        <f t="shared" si="24"/>
        <v>270507.28500000003</v>
      </c>
      <c r="Q146" s="301">
        <f t="shared" si="25"/>
        <v>44640</v>
      </c>
      <c r="R146" s="301">
        <f t="shared" si="26"/>
        <v>206931.77505000003</v>
      </c>
      <c r="S146" s="300">
        <f t="shared" si="27"/>
        <v>251571.77505000003</v>
      </c>
    </row>
    <row r="147" spans="1:19" ht="12" x14ac:dyDescent="0.25">
      <c r="A147" s="49">
        <v>135</v>
      </c>
      <c r="B147" s="37" t="s">
        <v>202</v>
      </c>
      <c r="C147" s="33" t="s">
        <v>153</v>
      </c>
      <c r="D147" s="111">
        <v>128370.69</v>
      </c>
      <c r="E147" s="112">
        <v>37227.500100000005</v>
      </c>
      <c r="F147" s="112">
        <v>148910.00039999999</v>
      </c>
      <c r="G147" s="112">
        <v>186137.50049999999</v>
      </c>
      <c r="H147" s="254">
        <f t="shared" si="19"/>
        <v>32400</v>
      </c>
      <c r="I147" s="254">
        <v>162000</v>
      </c>
      <c r="J147" s="255">
        <f t="shared" si="20"/>
        <v>194400</v>
      </c>
      <c r="K147" s="141">
        <f>37227.5001-1000</f>
        <v>36227.500099999997</v>
      </c>
      <c r="L147" s="141">
        <v>148910.00039999999</v>
      </c>
      <c r="M147" s="142">
        <f t="shared" si="21"/>
        <v>185137.50049999999</v>
      </c>
      <c r="N147" s="99">
        <f t="shared" si="22"/>
        <v>32400</v>
      </c>
      <c r="O147" s="73">
        <f t="shared" si="23"/>
        <v>148910.00039999999</v>
      </c>
      <c r="P147" s="73">
        <f t="shared" si="24"/>
        <v>181310.00039999999</v>
      </c>
      <c r="Q147" s="301">
        <f t="shared" si="25"/>
        <v>30132</v>
      </c>
      <c r="R147" s="301">
        <f t="shared" si="26"/>
        <v>138486.300372</v>
      </c>
      <c r="S147" s="300">
        <f t="shared" si="27"/>
        <v>168618.300372</v>
      </c>
    </row>
    <row r="148" spans="1:19" ht="12" x14ac:dyDescent="0.25">
      <c r="A148" s="49">
        <v>136</v>
      </c>
      <c r="B148" s="37" t="s">
        <v>271</v>
      </c>
      <c r="C148" s="33" t="s">
        <v>153</v>
      </c>
      <c r="D148" s="111">
        <v>245442.23284000001</v>
      </c>
      <c r="E148" s="112">
        <v>71178.247523600003</v>
      </c>
      <c r="F148" s="112">
        <v>284712.99009440001</v>
      </c>
      <c r="G148" s="112">
        <v>355891.23761800001</v>
      </c>
      <c r="H148" s="254">
        <f t="shared" si="19"/>
        <v>62000</v>
      </c>
      <c r="I148" s="254">
        <v>310000</v>
      </c>
      <c r="J148" s="255">
        <f t="shared" si="20"/>
        <v>372000</v>
      </c>
      <c r="K148" s="141">
        <f>71178.2475236-1000</f>
        <v>70178.247523600003</v>
      </c>
      <c r="L148" s="141">
        <v>284712.99009440001</v>
      </c>
      <c r="M148" s="142">
        <f t="shared" si="21"/>
        <v>354891.23761800001</v>
      </c>
      <c r="N148" s="99">
        <f t="shared" si="22"/>
        <v>62000</v>
      </c>
      <c r="O148" s="73">
        <f t="shared" si="23"/>
        <v>284712.99009440001</v>
      </c>
      <c r="P148" s="73">
        <f t="shared" si="24"/>
        <v>346712.99009440001</v>
      </c>
      <c r="Q148" s="301">
        <f t="shared" si="25"/>
        <v>57660</v>
      </c>
      <c r="R148" s="301">
        <f t="shared" si="26"/>
        <v>264783.08078779199</v>
      </c>
      <c r="S148" s="300">
        <f t="shared" si="27"/>
        <v>322443.08078779199</v>
      </c>
    </row>
    <row r="149" spans="1:19" ht="12" x14ac:dyDescent="0.25">
      <c r="A149" s="49">
        <v>137</v>
      </c>
      <c r="B149" s="37" t="s">
        <v>203</v>
      </c>
      <c r="C149" s="33" t="s">
        <v>153</v>
      </c>
      <c r="D149" s="111">
        <v>137449.23360000001</v>
      </c>
      <c r="E149" s="112">
        <v>39860.277743999992</v>
      </c>
      <c r="F149" s="112">
        <v>159441.11097600003</v>
      </c>
      <c r="G149" s="112">
        <v>199301.38872000002</v>
      </c>
      <c r="H149" s="254">
        <f t="shared" si="19"/>
        <v>34000</v>
      </c>
      <c r="I149" s="254">
        <v>170000</v>
      </c>
      <c r="J149" s="255">
        <f t="shared" si="20"/>
        <v>204000</v>
      </c>
      <c r="K149" s="141">
        <f>39860.277744-1000</f>
        <v>38860.277743999999</v>
      </c>
      <c r="L149" s="141">
        <v>159441.11097600003</v>
      </c>
      <c r="M149" s="142">
        <f t="shared" si="21"/>
        <v>198301.38872000002</v>
      </c>
      <c r="N149" s="99">
        <f t="shared" si="22"/>
        <v>34000</v>
      </c>
      <c r="O149" s="73">
        <f t="shared" si="23"/>
        <v>159441.11097600003</v>
      </c>
      <c r="P149" s="73">
        <f t="shared" si="24"/>
        <v>193441.11097600003</v>
      </c>
      <c r="Q149" s="301">
        <f t="shared" si="25"/>
        <v>31620</v>
      </c>
      <c r="R149" s="301">
        <f t="shared" si="26"/>
        <v>148280.23320768002</v>
      </c>
      <c r="S149" s="300">
        <f t="shared" si="27"/>
        <v>179900.23320768002</v>
      </c>
    </row>
    <row r="150" spans="1:19" ht="12" x14ac:dyDescent="0.25">
      <c r="A150" s="49">
        <v>138</v>
      </c>
      <c r="B150" s="35" t="s">
        <v>204</v>
      </c>
      <c r="C150" s="33" t="s">
        <v>153</v>
      </c>
      <c r="D150" s="111">
        <v>159495</v>
      </c>
      <c r="E150" s="112">
        <v>46253.549999999988</v>
      </c>
      <c r="F150" s="112">
        <v>185014.2</v>
      </c>
      <c r="G150" s="112">
        <v>231267.75</v>
      </c>
      <c r="H150" s="254">
        <f t="shared" si="19"/>
        <v>40000</v>
      </c>
      <c r="I150" s="254">
        <v>200000</v>
      </c>
      <c r="J150" s="255">
        <f t="shared" si="20"/>
        <v>240000</v>
      </c>
      <c r="K150" s="141">
        <f>46253.55-1000</f>
        <v>45253.55</v>
      </c>
      <c r="L150" s="141">
        <v>185014.2</v>
      </c>
      <c r="M150" s="142">
        <f t="shared" si="21"/>
        <v>230267.75</v>
      </c>
      <c r="N150" s="99">
        <f t="shared" si="22"/>
        <v>40000</v>
      </c>
      <c r="O150" s="73">
        <f t="shared" si="23"/>
        <v>185014.2</v>
      </c>
      <c r="P150" s="73">
        <f t="shared" si="24"/>
        <v>225014.2</v>
      </c>
      <c r="Q150" s="301">
        <f t="shared" si="25"/>
        <v>37200</v>
      </c>
      <c r="R150" s="301">
        <f t="shared" si="26"/>
        <v>172063.20600000001</v>
      </c>
      <c r="S150" s="300">
        <f t="shared" si="27"/>
        <v>209263.20600000001</v>
      </c>
    </row>
    <row r="151" spans="1:19" ht="12" x14ac:dyDescent="0.25">
      <c r="A151" s="49">
        <v>139</v>
      </c>
      <c r="B151" s="35" t="s">
        <v>206</v>
      </c>
      <c r="C151" s="33" t="s">
        <v>153</v>
      </c>
      <c r="D151" s="111">
        <v>127418.16919999999</v>
      </c>
      <c r="E151" s="112">
        <v>36951.269067999994</v>
      </c>
      <c r="F151" s="112">
        <v>147805.07627199998</v>
      </c>
      <c r="G151" s="112">
        <v>184756.34533999997</v>
      </c>
      <c r="H151" s="254">
        <f t="shared" si="19"/>
        <v>32000</v>
      </c>
      <c r="I151" s="254">
        <v>160000</v>
      </c>
      <c r="J151" s="255">
        <f t="shared" si="20"/>
        <v>192000</v>
      </c>
      <c r="K151" s="141">
        <f>36951.269068-1000</f>
        <v>35951.269068000001</v>
      </c>
      <c r="L151" s="141">
        <v>147805.07627199998</v>
      </c>
      <c r="M151" s="142">
        <f t="shared" si="21"/>
        <v>183756.34533999997</v>
      </c>
      <c r="N151" s="99">
        <f t="shared" si="22"/>
        <v>32000</v>
      </c>
      <c r="O151" s="73">
        <f t="shared" si="23"/>
        <v>147805.07627199998</v>
      </c>
      <c r="P151" s="73">
        <f t="shared" si="24"/>
        <v>179805.07627199998</v>
      </c>
      <c r="Q151" s="301">
        <f t="shared" si="25"/>
        <v>29760</v>
      </c>
      <c r="R151" s="301">
        <f t="shared" si="26"/>
        <v>137458.72093295999</v>
      </c>
      <c r="S151" s="300">
        <f t="shared" si="27"/>
        <v>167218.72093295999</v>
      </c>
    </row>
    <row r="152" spans="1:19" ht="12" x14ac:dyDescent="0.25">
      <c r="A152" s="49">
        <v>140</v>
      </c>
      <c r="B152" s="35" t="s">
        <v>205</v>
      </c>
      <c r="C152" s="33" t="s">
        <v>153</v>
      </c>
      <c r="D152" s="111">
        <v>175000</v>
      </c>
      <c r="E152" s="112">
        <v>50750</v>
      </c>
      <c r="F152" s="112">
        <v>203000</v>
      </c>
      <c r="G152" s="112">
        <v>253750</v>
      </c>
      <c r="H152" s="254">
        <f t="shared" si="19"/>
        <v>40000</v>
      </c>
      <c r="I152" s="254">
        <v>200000</v>
      </c>
      <c r="J152" s="255">
        <f t="shared" si="20"/>
        <v>240000</v>
      </c>
      <c r="K152" s="141">
        <f>50750-1000</f>
        <v>49750</v>
      </c>
      <c r="L152" s="141">
        <v>203000</v>
      </c>
      <c r="M152" s="142">
        <f t="shared" si="21"/>
        <v>252750</v>
      </c>
      <c r="N152" s="99">
        <f t="shared" si="22"/>
        <v>40000</v>
      </c>
      <c r="O152" s="73">
        <f t="shared" si="23"/>
        <v>200000</v>
      </c>
      <c r="P152" s="73">
        <f t="shared" si="24"/>
        <v>240000</v>
      </c>
      <c r="Q152" s="301">
        <f t="shared" si="25"/>
        <v>37200</v>
      </c>
      <c r="R152" s="301">
        <f t="shared" si="26"/>
        <v>186000</v>
      </c>
      <c r="S152" s="300">
        <f t="shared" si="27"/>
        <v>223200</v>
      </c>
    </row>
    <row r="153" spans="1:19" ht="12" x14ac:dyDescent="0.25">
      <c r="A153" s="49">
        <v>141</v>
      </c>
      <c r="B153" s="46" t="s">
        <v>37</v>
      </c>
      <c r="C153" s="33" t="s">
        <v>153</v>
      </c>
      <c r="D153" s="111">
        <v>132941.7824</v>
      </c>
      <c r="E153" s="112">
        <v>38553.116895999992</v>
      </c>
      <c r="F153" s="112">
        <v>154212.467584</v>
      </c>
      <c r="G153" s="112">
        <v>192765.58447999999</v>
      </c>
      <c r="H153" s="254">
        <f t="shared" si="19"/>
        <v>32000</v>
      </c>
      <c r="I153" s="254">
        <v>160000</v>
      </c>
      <c r="J153" s="255">
        <f t="shared" si="20"/>
        <v>192000</v>
      </c>
      <c r="K153" s="141">
        <f>38553.1168959999-1000</f>
        <v>37553.116895999898</v>
      </c>
      <c r="L153" s="141">
        <v>154212.467584</v>
      </c>
      <c r="M153" s="142">
        <f t="shared" si="21"/>
        <v>191765.5844799999</v>
      </c>
      <c r="N153" s="99">
        <f t="shared" si="22"/>
        <v>32000</v>
      </c>
      <c r="O153" s="73">
        <f t="shared" si="23"/>
        <v>154212.467584</v>
      </c>
      <c r="P153" s="73">
        <f t="shared" si="24"/>
        <v>186212.467584</v>
      </c>
      <c r="Q153" s="301">
        <f t="shared" si="25"/>
        <v>29760</v>
      </c>
      <c r="R153" s="301">
        <f t="shared" si="26"/>
        <v>143417.59485311998</v>
      </c>
      <c r="S153" s="300">
        <f t="shared" si="27"/>
        <v>173177.59485311998</v>
      </c>
    </row>
    <row r="154" spans="1:19" ht="12" x14ac:dyDescent="0.25">
      <c r="A154" s="49">
        <v>142</v>
      </c>
      <c r="B154" s="46" t="s">
        <v>337</v>
      </c>
      <c r="C154" s="33" t="s">
        <v>153</v>
      </c>
      <c r="D154" s="111">
        <v>309384.98875436344</v>
      </c>
      <c r="E154" s="112">
        <v>89721.646738765354</v>
      </c>
      <c r="F154" s="112">
        <v>358886.58695506165</v>
      </c>
      <c r="G154" s="112">
        <v>448608.233693827</v>
      </c>
      <c r="H154" s="254">
        <f t="shared" si="19"/>
        <v>72000</v>
      </c>
      <c r="I154" s="254">
        <v>360000</v>
      </c>
      <c r="J154" s="255">
        <f t="shared" si="20"/>
        <v>432000</v>
      </c>
      <c r="K154" s="141">
        <f>89721.6467387654-1000</f>
        <v>88721.646738765397</v>
      </c>
      <c r="L154" s="141">
        <v>358886.58695506165</v>
      </c>
      <c r="M154" s="142">
        <f t="shared" si="21"/>
        <v>447608.23369382706</v>
      </c>
      <c r="N154" s="99">
        <f t="shared" si="22"/>
        <v>72000</v>
      </c>
      <c r="O154" s="73">
        <f t="shared" si="23"/>
        <v>358886.58695506165</v>
      </c>
      <c r="P154" s="73">
        <f t="shared" si="24"/>
        <v>430886.58695506165</v>
      </c>
      <c r="Q154" s="301">
        <f t="shared" si="25"/>
        <v>66960</v>
      </c>
      <c r="R154" s="301">
        <f t="shared" si="26"/>
        <v>333764.52586820733</v>
      </c>
      <c r="S154" s="300">
        <f t="shared" si="27"/>
        <v>400724.52586820733</v>
      </c>
    </row>
    <row r="155" spans="1:19" ht="12" x14ac:dyDescent="0.25">
      <c r="A155" s="49">
        <v>143</v>
      </c>
      <c r="B155" s="38" t="s">
        <v>207</v>
      </c>
      <c r="C155" s="33" t="s">
        <v>153</v>
      </c>
      <c r="D155" s="111">
        <v>62916</v>
      </c>
      <c r="E155" s="112">
        <v>18245.64</v>
      </c>
      <c r="F155" s="112">
        <v>72982.559999999998</v>
      </c>
      <c r="G155" s="112">
        <v>91228.2</v>
      </c>
      <c r="H155" s="254">
        <f t="shared" si="19"/>
        <v>11000</v>
      </c>
      <c r="I155" s="254">
        <v>55000</v>
      </c>
      <c r="J155" s="255">
        <f t="shared" si="20"/>
        <v>66000</v>
      </c>
      <c r="K155" s="141">
        <f>18245.64-1000</f>
        <v>17245.64</v>
      </c>
      <c r="L155" s="141">
        <v>72982.559999999998</v>
      </c>
      <c r="M155" s="142">
        <f t="shared" si="21"/>
        <v>90228.2</v>
      </c>
      <c r="N155" s="99">
        <f t="shared" si="22"/>
        <v>11000</v>
      </c>
      <c r="O155" s="73">
        <f t="shared" si="23"/>
        <v>55000</v>
      </c>
      <c r="P155" s="73">
        <f t="shared" si="24"/>
        <v>66000</v>
      </c>
      <c r="Q155" s="301">
        <f t="shared" si="25"/>
        <v>10230</v>
      </c>
      <c r="R155" s="301">
        <f t="shared" si="26"/>
        <v>51150</v>
      </c>
      <c r="S155" s="300">
        <f t="shared" si="27"/>
        <v>61380</v>
      </c>
    </row>
    <row r="156" spans="1:19" ht="12" x14ac:dyDescent="0.25">
      <c r="A156" s="49">
        <v>144</v>
      </c>
      <c r="B156" s="38" t="s">
        <v>317</v>
      </c>
      <c r="C156" s="33" t="s">
        <v>153</v>
      </c>
      <c r="D156" s="111">
        <v>735347.44920000003</v>
      </c>
      <c r="E156" s="112">
        <v>213250.76026799995</v>
      </c>
      <c r="F156" s="112">
        <v>853003.04107200005</v>
      </c>
      <c r="G156" s="112">
        <v>1066253.80134</v>
      </c>
      <c r="H156" s="254">
        <f t="shared" si="19"/>
        <v>176000</v>
      </c>
      <c r="I156" s="254">
        <v>880000</v>
      </c>
      <c r="J156" s="255">
        <f t="shared" si="20"/>
        <v>1056000</v>
      </c>
      <c r="K156" s="141">
        <f>213250.760268-1000</f>
        <v>212250.76026800001</v>
      </c>
      <c r="L156" s="141">
        <v>853003.04107200005</v>
      </c>
      <c r="M156" s="142">
        <f t="shared" si="21"/>
        <v>1065253.80134</v>
      </c>
      <c r="N156" s="99">
        <f t="shared" si="22"/>
        <v>176000</v>
      </c>
      <c r="O156" s="73">
        <f t="shared" si="23"/>
        <v>853003.04107200005</v>
      </c>
      <c r="P156" s="73">
        <f t="shared" si="24"/>
        <v>1029003.0410720001</v>
      </c>
      <c r="Q156" s="301">
        <f t="shared" si="25"/>
        <v>163680</v>
      </c>
      <c r="R156" s="301">
        <f t="shared" si="26"/>
        <v>793292.82819696004</v>
      </c>
      <c r="S156" s="300">
        <f t="shared" si="27"/>
        <v>956972.82819696004</v>
      </c>
    </row>
    <row r="157" spans="1:19" ht="12" x14ac:dyDescent="0.25">
      <c r="A157" s="49">
        <v>145</v>
      </c>
      <c r="B157" s="38" t="s">
        <v>318</v>
      </c>
      <c r="C157" s="33" t="s">
        <v>153</v>
      </c>
      <c r="D157" s="111">
        <v>245347.16500000001</v>
      </c>
      <c r="E157" s="112">
        <v>71150.677849999978</v>
      </c>
      <c r="F157" s="112">
        <v>284602.71140000003</v>
      </c>
      <c r="G157" s="112">
        <v>355753.38925000001</v>
      </c>
      <c r="H157" s="254">
        <f t="shared" si="19"/>
        <v>62000</v>
      </c>
      <c r="I157" s="254">
        <v>310000</v>
      </c>
      <c r="J157" s="255">
        <f t="shared" si="20"/>
        <v>372000</v>
      </c>
      <c r="K157" s="141">
        <f>71150.67785-1000</f>
        <v>70150.677849999993</v>
      </c>
      <c r="L157" s="141">
        <v>284602.71140000003</v>
      </c>
      <c r="M157" s="142">
        <f t="shared" si="21"/>
        <v>354753.38925000001</v>
      </c>
      <c r="N157" s="99">
        <f t="shared" si="22"/>
        <v>62000</v>
      </c>
      <c r="O157" s="73">
        <f t="shared" si="23"/>
        <v>284602.71140000003</v>
      </c>
      <c r="P157" s="73">
        <f t="shared" si="24"/>
        <v>346602.71140000003</v>
      </c>
      <c r="Q157" s="301">
        <f t="shared" si="25"/>
        <v>57660</v>
      </c>
      <c r="R157" s="301">
        <f t="shared" si="26"/>
        <v>264680.52160200005</v>
      </c>
      <c r="S157" s="300">
        <f t="shared" si="27"/>
        <v>322340.52160200005</v>
      </c>
    </row>
    <row r="158" spans="1:19" ht="12" x14ac:dyDescent="0.25">
      <c r="A158" s="49">
        <v>146</v>
      </c>
      <c r="B158" s="38" t="s">
        <v>329</v>
      </c>
      <c r="C158" s="33" t="s">
        <v>153</v>
      </c>
      <c r="D158" s="111">
        <v>1470226.2526</v>
      </c>
      <c r="E158" s="112">
        <v>426365.61325399997</v>
      </c>
      <c r="F158" s="112">
        <v>1705462.4530159999</v>
      </c>
      <c r="G158" s="112">
        <v>2131828.0662699998</v>
      </c>
      <c r="H158" s="254">
        <f t="shared" si="19"/>
        <v>360000</v>
      </c>
      <c r="I158" s="254">
        <v>1800000</v>
      </c>
      <c r="J158" s="255">
        <f t="shared" si="20"/>
        <v>2160000</v>
      </c>
      <c r="K158" s="141">
        <f>426365.613254-1000</f>
        <v>425365.61325400003</v>
      </c>
      <c r="L158" s="141">
        <v>1705462.4530159999</v>
      </c>
      <c r="M158" s="142">
        <f t="shared" si="21"/>
        <v>2130828.0662699998</v>
      </c>
      <c r="N158" s="99">
        <f t="shared" si="22"/>
        <v>360000</v>
      </c>
      <c r="O158" s="73">
        <f t="shared" si="23"/>
        <v>1705462.4530159999</v>
      </c>
      <c r="P158" s="73">
        <f t="shared" si="24"/>
        <v>2065462.4530159999</v>
      </c>
      <c r="Q158" s="301">
        <f t="shared" si="25"/>
        <v>334800</v>
      </c>
      <c r="R158" s="301">
        <f t="shared" si="26"/>
        <v>1586080.0813048799</v>
      </c>
      <c r="S158" s="300">
        <f t="shared" si="27"/>
        <v>1920880.0813048799</v>
      </c>
    </row>
    <row r="159" spans="1:19" ht="22.5" x14ac:dyDescent="0.25">
      <c r="A159" s="49"/>
      <c r="B159" s="30" t="s">
        <v>39</v>
      </c>
      <c r="C159" s="33" t="s">
        <v>153</v>
      </c>
      <c r="D159" s="111"/>
      <c r="E159" s="112"/>
      <c r="F159" s="112"/>
      <c r="G159" s="112"/>
      <c r="H159" s="254">
        <f t="shared" si="19"/>
        <v>0</v>
      </c>
      <c r="I159" s="254"/>
      <c r="J159" s="255">
        <f t="shared" si="20"/>
        <v>0</v>
      </c>
      <c r="K159" s="143"/>
      <c r="L159" s="144"/>
      <c r="M159" s="142">
        <f t="shared" si="21"/>
        <v>0</v>
      </c>
      <c r="N159" s="99">
        <f t="shared" si="22"/>
        <v>0</v>
      </c>
      <c r="O159" s="73">
        <f t="shared" si="23"/>
        <v>0</v>
      </c>
      <c r="P159" s="73">
        <f t="shared" si="24"/>
        <v>0</v>
      </c>
      <c r="Q159" s="301">
        <f t="shared" si="25"/>
        <v>0</v>
      </c>
      <c r="R159" s="301">
        <f t="shared" si="26"/>
        <v>0</v>
      </c>
      <c r="S159" s="300">
        <f t="shared" si="27"/>
        <v>0</v>
      </c>
    </row>
    <row r="160" spans="1:19" ht="12" x14ac:dyDescent="0.25">
      <c r="A160" s="49">
        <v>147</v>
      </c>
      <c r="B160" s="46" t="s">
        <v>40</v>
      </c>
      <c r="C160" s="33" t="s">
        <v>153</v>
      </c>
      <c r="D160" s="111">
        <v>1352931.7871999999</v>
      </c>
      <c r="E160" s="112">
        <v>392350.21828799997</v>
      </c>
      <c r="F160" s="112">
        <v>1569400.8731519999</v>
      </c>
      <c r="G160" s="112">
        <v>1961751.0914399999</v>
      </c>
      <c r="H160" s="254">
        <f t="shared" si="19"/>
        <v>280000</v>
      </c>
      <c r="I160" s="254">
        <v>1400000</v>
      </c>
      <c r="J160" s="255">
        <f t="shared" si="20"/>
        <v>1680000</v>
      </c>
      <c r="K160" s="141">
        <f>392350.218288-1000</f>
        <v>391350.21828799997</v>
      </c>
      <c r="L160" s="141">
        <v>1569400.8731519999</v>
      </c>
      <c r="M160" s="142">
        <f t="shared" si="21"/>
        <v>1960751.0914399999</v>
      </c>
      <c r="N160" s="99">
        <f t="shared" si="22"/>
        <v>280000</v>
      </c>
      <c r="O160" s="73">
        <f t="shared" si="23"/>
        <v>1400000</v>
      </c>
      <c r="P160" s="73">
        <f t="shared" si="24"/>
        <v>1680000</v>
      </c>
      <c r="Q160" s="301">
        <f t="shared" si="25"/>
        <v>260400</v>
      </c>
      <c r="R160" s="301">
        <f t="shared" si="26"/>
        <v>1302000</v>
      </c>
      <c r="S160" s="300">
        <f t="shared" si="27"/>
        <v>1562400</v>
      </c>
    </row>
    <row r="161" spans="1:19" ht="22.5" x14ac:dyDescent="0.25">
      <c r="A161" s="49">
        <v>148</v>
      </c>
      <c r="B161" s="46" t="s">
        <v>209</v>
      </c>
      <c r="C161" s="33" t="s">
        <v>153</v>
      </c>
      <c r="D161" s="111">
        <v>657433.61739999999</v>
      </c>
      <c r="E161" s="112">
        <v>190655.74904599995</v>
      </c>
      <c r="F161" s="112">
        <v>762622.99618400005</v>
      </c>
      <c r="G161" s="112">
        <v>953278.74523</v>
      </c>
      <c r="H161" s="254">
        <f t="shared" si="19"/>
        <v>156000</v>
      </c>
      <c r="I161" s="254">
        <v>780000</v>
      </c>
      <c r="J161" s="255">
        <f t="shared" si="20"/>
        <v>936000</v>
      </c>
      <c r="K161" s="141">
        <f>190655.749046-1000</f>
        <v>189655.74904600001</v>
      </c>
      <c r="L161" s="141">
        <v>762622.99618400005</v>
      </c>
      <c r="M161" s="142">
        <f t="shared" si="21"/>
        <v>952278.74523</v>
      </c>
      <c r="N161" s="99">
        <f t="shared" si="22"/>
        <v>156000</v>
      </c>
      <c r="O161" s="73">
        <f t="shared" si="23"/>
        <v>762622.99618400005</v>
      </c>
      <c r="P161" s="73">
        <f t="shared" si="24"/>
        <v>918622.99618400005</v>
      </c>
      <c r="Q161" s="301">
        <f t="shared" si="25"/>
        <v>145080</v>
      </c>
      <c r="R161" s="301">
        <f t="shared" si="26"/>
        <v>709239.38645112002</v>
      </c>
      <c r="S161" s="300">
        <f t="shared" si="27"/>
        <v>854319.38645112002</v>
      </c>
    </row>
    <row r="162" spans="1:19" ht="12" x14ac:dyDescent="0.25">
      <c r="A162" s="49">
        <v>149</v>
      </c>
      <c r="B162" s="32" t="s">
        <v>208</v>
      </c>
      <c r="C162" s="33" t="s">
        <v>153</v>
      </c>
      <c r="D162" s="111">
        <v>245477.5736</v>
      </c>
      <c r="E162" s="112">
        <v>71188.496343999985</v>
      </c>
      <c r="F162" s="112">
        <v>284753.985376</v>
      </c>
      <c r="G162" s="112">
        <v>355942.48171999998</v>
      </c>
      <c r="H162" s="254">
        <f t="shared" si="19"/>
        <v>62000</v>
      </c>
      <c r="I162" s="254">
        <v>310000</v>
      </c>
      <c r="J162" s="255">
        <f t="shared" si="20"/>
        <v>372000</v>
      </c>
      <c r="K162" s="141">
        <f>71188.496344-1000</f>
        <v>70188.496343999999</v>
      </c>
      <c r="L162" s="141">
        <v>284753.985376</v>
      </c>
      <c r="M162" s="142">
        <f t="shared" si="21"/>
        <v>354942.48171999998</v>
      </c>
      <c r="N162" s="99">
        <f t="shared" si="22"/>
        <v>62000</v>
      </c>
      <c r="O162" s="73">
        <f t="shared" si="23"/>
        <v>284753.985376</v>
      </c>
      <c r="P162" s="73">
        <f t="shared" si="24"/>
        <v>346753.985376</v>
      </c>
      <c r="Q162" s="301">
        <f t="shared" si="25"/>
        <v>57660</v>
      </c>
      <c r="R162" s="301">
        <f t="shared" si="26"/>
        <v>264821.20639968</v>
      </c>
      <c r="S162" s="300">
        <f t="shared" si="27"/>
        <v>322481.20639968</v>
      </c>
    </row>
    <row r="163" spans="1:19" ht="12" x14ac:dyDescent="0.25">
      <c r="A163" s="49">
        <v>150</v>
      </c>
      <c r="B163" s="46" t="s">
        <v>41</v>
      </c>
      <c r="C163" s="33" t="s">
        <v>153</v>
      </c>
      <c r="D163" s="111">
        <v>1352930.7288000002</v>
      </c>
      <c r="E163" s="112">
        <v>392349.91135199997</v>
      </c>
      <c r="F163" s="112">
        <v>1569399.6454080001</v>
      </c>
      <c r="G163" s="112">
        <v>1961749.5567600001</v>
      </c>
      <c r="H163" s="254">
        <f t="shared" si="19"/>
        <v>296000</v>
      </c>
      <c r="I163" s="254">
        <v>1480000</v>
      </c>
      <c r="J163" s="255">
        <f t="shared" si="20"/>
        <v>1776000</v>
      </c>
      <c r="K163" s="141">
        <f>392349.911352-1000</f>
        <v>391349.91135200002</v>
      </c>
      <c r="L163" s="141">
        <v>1569399.6454080001</v>
      </c>
      <c r="M163" s="142">
        <f t="shared" si="21"/>
        <v>1960749.5567600001</v>
      </c>
      <c r="N163" s="99">
        <f t="shared" si="22"/>
        <v>296000</v>
      </c>
      <c r="O163" s="73">
        <f t="shared" si="23"/>
        <v>1480000</v>
      </c>
      <c r="P163" s="73">
        <f t="shared" si="24"/>
        <v>1776000</v>
      </c>
      <c r="Q163" s="301">
        <f t="shared" si="25"/>
        <v>275280</v>
      </c>
      <c r="R163" s="301">
        <f t="shared" si="26"/>
        <v>1376400</v>
      </c>
      <c r="S163" s="300">
        <f t="shared" si="27"/>
        <v>1651680</v>
      </c>
    </row>
    <row r="164" spans="1:19" ht="12" x14ac:dyDescent="0.25">
      <c r="A164" s="49">
        <v>151</v>
      </c>
      <c r="B164" s="46" t="s">
        <v>210</v>
      </c>
      <c r="C164" s="33" t="s">
        <v>153</v>
      </c>
      <c r="D164" s="111">
        <v>666931.68920000002</v>
      </c>
      <c r="E164" s="112">
        <v>193410.18986799999</v>
      </c>
      <c r="F164" s="112">
        <v>773640.75947200006</v>
      </c>
      <c r="G164" s="112">
        <v>967050.94934000005</v>
      </c>
      <c r="H164" s="254">
        <f t="shared" si="19"/>
        <v>152000</v>
      </c>
      <c r="I164" s="254">
        <v>760000</v>
      </c>
      <c r="J164" s="255">
        <f t="shared" si="20"/>
        <v>912000</v>
      </c>
      <c r="K164" s="141">
        <f>193410.189868-1000</f>
        <v>192410.18986799999</v>
      </c>
      <c r="L164" s="141">
        <v>773640.75947200006</v>
      </c>
      <c r="M164" s="142">
        <f t="shared" si="21"/>
        <v>966050.94934000005</v>
      </c>
      <c r="N164" s="99">
        <f t="shared" si="22"/>
        <v>152000</v>
      </c>
      <c r="O164" s="73">
        <f t="shared" si="23"/>
        <v>760000</v>
      </c>
      <c r="P164" s="73">
        <f t="shared" si="24"/>
        <v>912000</v>
      </c>
      <c r="Q164" s="301">
        <f t="shared" si="25"/>
        <v>141360</v>
      </c>
      <c r="R164" s="301">
        <f t="shared" si="26"/>
        <v>706800</v>
      </c>
      <c r="S164" s="300">
        <f t="shared" si="27"/>
        <v>848160</v>
      </c>
    </row>
    <row r="165" spans="1:19" ht="12" x14ac:dyDescent="0.25">
      <c r="A165" s="49">
        <v>152</v>
      </c>
      <c r="B165" s="32" t="s">
        <v>212</v>
      </c>
      <c r="C165" s="33" t="s">
        <v>153</v>
      </c>
      <c r="D165" s="111">
        <v>120000</v>
      </c>
      <c r="E165" s="112">
        <v>34800</v>
      </c>
      <c r="F165" s="112">
        <v>139200</v>
      </c>
      <c r="G165" s="112">
        <v>174000</v>
      </c>
      <c r="H165" s="254">
        <f t="shared" si="19"/>
        <v>28000</v>
      </c>
      <c r="I165" s="254">
        <v>140000</v>
      </c>
      <c r="J165" s="255">
        <f t="shared" si="20"/>
        <v>168000</v>
      </c>
      <c r="K165" s="141">
        <f>34800-1000</f>
        <v>33800</v>
      </c>
      <c r="L165" s="141">
        <v>139200</v>
      </c>
      <c r="M165" s="142">
        <f t="shared" si="21"/>
        <v>173000</v>
      </c>
      <c r="N165" s="99">
        <f t="shared" si="22"/>
        <v>28000</v>
      </c>
      <c r="O165" s="73">
        <f t="shared" si="23"/>
        <v>139200</v>
      </c>
      <c r="P165" s="73">
        <f t="shared" si="24"/>
        <v>167200</v>
      </c>
      <c r="Q165" s="301">
        <f t="shared" si="25"/>
        <v>26040</v>
      </c>
      <c r="R165" s="301">
        <f t="shared" si="26"/>
        <v>129456</v>
      </c>
      <c r="S165" s="300">
        <f t="shared" si="27"/>
        <v>155496</v>
      </c>
    </row>
    <row r="166" spans="1:19" ht="22.5" x14ac:dyDescent="0.25">
      <c r="A166" s="49">
        <v>153</v>
      </c>
      <c r="B166" s="32" t="s">
        <v>213</v>
      </c>
      <c r="C166" s="33" t="s">
        <v>153</v>
      </c>
      <c r="D166" s="111">
        <v>558861.67998775863</v>
      </c>
      <c r="E166" s="112">
        <v>162069.88719644991</v>
      </c>
      <c r="F166" s="112">
        <v>648279.54878580011</v>
      </c>
      <c r="G166" s="112">
        <v>810349.43598225003</v>
      </c>
      <c r="H166" s="254">
        <f t="shared" si="19"/>
        <v>128000</v>
      </c>
      <c r="I166" s="254">
        <v>640000</v>
      </c>
      <c r="J166" s="255">
        <f t="shared" si="20"/>
        <v>768000</v>
      </c>
      <c r="K166" s="141">
        <f>162069.88719645-1000</f>
        <v>161069.88719645</v>
      </c>
      <c r="L166" s="141">
        <v>648279.54878580011</v>
      </c>
      <c r="M166" s="142">
        <f t="shared" si="21"/>
        <v>809349.43598225014</v>
      </c>
      <c r="N166" s="99">
        <f t="shared" si="22"/>
        <v>128000</v>
      </c>
      <c r="O166" s="73">
        <f t="shared" si="23"/>
        <v>640000</v>
      </c>
      <c r="P166" s="73">
        <f t="shared" si="24"/>
        <v>768000</v>
      </c>
      <c r="Q166" s="301">
        <f t="shared" si="25"/>
        <v>119040</v>
      </c>
      <c r="R166" s="301">
        <f t="shared" si="26"/>
        <v>595200</v>
      </c>
      <c r="S166" s="300">
        <f t="shared" si="27"/>
        <v>714240</v>
      </c>
    </row>
    <row r="167" spans="1:19" ht="12" x14ac:dyDescent="0.25">
      <c r="A167" s="49">
        <v>154</v>
      </c>
      <c r="B167" s="46" t="s">
        <v>214</v>
      </c>
      <c r="C167" s="33" t="s">
        <v>153</v>
      </c>
      <c r="D167" s="111">
        <v>621758.9796488221</v>
      </c>
      <c r="E167" s="112">
        <v>180310.10409815831</v>
      </c>
      <c r="F167" s="112">
        <v>721240.41639263369</v>
      </c>
      <c r="G167" s="112">
        <v>901550.520490792</v>
      </c>
      <c r="H167" s="254">
        <f t="shared" si="19"/>
        <v>140000</v>
      </c>
      <c r="I167" s="254">
        <v>700000</v>
      </c>
      <c r="J167" s="255">
        <f t="shared" si="20"/>
        <v>840000</v>
      </c>
      <c r="K167" s="141">
        <f>180310.104098158-1000</f>
        <v>179310.10409815799</v>
      </c>
      <c r="L167" s="141">
        <v>721240.41639263369</v>
      </c>
      <c r="M167" s="142">
        <f t="shared" si="21"/>
        <v>900550.52049079165</v>
      </c>
      <c r="N167" s="99">
        <f t="shared" si="22"/>
        <v>140000</v>
      </c>
      <c r="O167" s="73">
        <f t="shared" si="23"/>
        <v>700000</v>
      </c>
      <c r="P167" s="73">
        <f t="shared" si="24"/>
        <v>840000</v>
      </c>
      <c r="Q167" s="301">
        <f t="shared" si="25"/>
        <v>130200</v>
      </c>
      <c r="R167" s="301">
        <f t="shared" si="26"/>
        <v>651000</v>
      </c>
      <c r="S167" s="300">
        <f t="shared" si="27"/>
        <v>781200</v>
      </c>
    </row>
    <row r="168" spans="1:19" ht="12" x14ac:dyDescent="0.25">
      <c r="A168" s="49">
        <v>155</v>
      </c>
      <c r="B168" s="46" t="s">
        <v>355</v>
      </c>
      <c r="C168" s="33" t="s">
        <v>153</v>
      </c>
      <c r="D168" s="111">
        <v>398030.03659839887</v>
      </c>
      <c r="E168" s="112">
        <v>115428.71061353566</v>
      </c>
      <c r="F168" s="112">
        <v>461714.84245414269</v>
      </c>
      <c r="G168" s="112">
        <v>577143.55306767835</v>
      </c>
      <c r="H168" s="254">
        <f t="shared" si="19"/>
        <v>90000</v>
      </c>
      <c r="I168" s="254">
        <v>450000</v>
      </c>
      <c r="J168" s="255">
        <f t="shared" si="20"/>
        <v>540000</v>
      </c>
      <c r="K168" s="141">
        <f>115428.710613536-1000</f>
        <v>114428.71061353599</v>
      </c>
      <c r="L168" s="141">
        <v>461714.84245414269</v>
      </c>
      <c r="M168" s="142">
        <f t="shared" si="21"/>
        <v>576143.5530676787</v>
      </c>
      <c r="N168" s="99">
        <f t="shared" si="22"/>
        <v>90000</v>
      </c>
      <c r="O168" s="73">
        <f t="shared" si="23"/>
        <v>450000</v>
      </c>
      <c r="P168" s="73">
        <f t="shared" si="24"/>
        <v>540000</v>
      </c>
      <c r="Q168" s="301">
        <f t="shared" si="25"/>
        <v>83700</v>
      </c>
      <c r="R168" s="301">
        <f t="shared" si="26"/>
        <v>418500</v>
      </c>
      <c r="S168" s="300">
        <f t="shared" si="27"/>
        <v>502200</v>
      </c>
    </row>
    <row r="169" spans="1:19" ht="12" x14ac:dyDescent="0.25">
      <c r="A169" s="49">
        <v>156</v>
      </c>
      <c r="B169" s="46" t="s">
        <v>215</v>
      </c>
      <c r="C169" s="33" t="s">
        <v>153</v>
      </c>
      <c r="D169" s="111">
        <v>31899</v>
      </c>
      <c r="E169" s="112">
        <v>9250.7099999999991</v>
      </c>
      <c r="F169" s="112">
        <v>37002.839999999997</v>
      </c>
      <c r="G169" s="112">
        <v>46253.549999999996</v>
      </c>
      <c r="H169" s="254">
        <f t="shared" si="19"/>
        <v>8000</v>
      </c>
      <c r="I169" s="254">
        <v>40000</v>
      </c>
      <c r="J169" s="255">
        <f t="shared" si="20"/>
        <v>48000</v>
      </c>
      <c r="K169" s="141">
        <f>9250.71-500</f>
        <v>8750.7099999999991</v>
      </c>
      <c r="L169" s="141">
        <v>37002.839999999997</v>
      </c>
      <c r="M169" s="142">
        <f t="shared" si="21"/>
        <v>45753.549999999996</v>
      </c>
      <c r="N169" s="99">
        <f t="shared" si="22"/>
        <v>8000</v>
      </c>
      <c r="O169" s="73">
        <f t="shared" si="23"/>
        <v>37002.839999999997</v>
      </c>
      <c r="P169" s="73">
        <f t="shared" si="24"/>
        <v>45002.84</v>
      </c>
      <c r="Q169" s="301">
        <f t="shared" si="25"/>
        <v>7440</v>
      </c>
      <c r="R169" s="301">
        <f t="shared" si="26"/>
        <v>34412.641199999998</v>
      </c>
      <c r="S169" s="300">
        <f t="shared" si="27"/>
        <v>41852.641199999998</v>
      </c>
    </row>
    <row r="170" spans="1:19" ht="12" x14ac:dyDescent="0.25">
      <c r="A170" s="49">
        <v>157</v>
      </c>
      <c r="B170" s="32" t="s">
        <v>216</v>
      </c>
      <c r="C170" s="33" t="s">
        <v>153</v>
      </c>
      <c r="D170" s="111">
        <v>5175.576</v>
      </c>
      <c r="E170" s="112">
        <v>1863.2073599999994</v>
      </c>
      <c r="F170" s="112">
        <v>7452.8294400000004</v>
      </c>
      <c r="G170" s="112">
        <v>9316.0367999999999</v>
      </c>
      <c r="H170" s="254">
        <f t="shared" si="19"/>
        <v>1200</v>
      </c>
      <c r="I170" s="254">
        <v>6000</v>
      </c>
      <c r="J170" s="255">
        <f t="shared" si="20"/>
        <v>7200</v>
      </c>
      <c r="K170" s="141">
        <f>1863.20736-500</f>
        <v>1363.2073600000001</v>
      </c>
      <c r="L170" s="141">
        <v>7452.8294400000004</v>
      </c>
      <c r="M170" s="142">
        <f t="shared" si="21"/>
        <v>8816.0367999999999</v>
      </c>
      <c r="N170" s="99">
        <f t="shared" si="22"/>
        <v>1200</v>
      </c>
      <c r="O170" s="73">
        <f t="shared" si="23"/>
        <v>6000</v>
      </c>
      <c r="P170" s="73">
        <f t="shared" si="24"/>
        <v>7200</v>
      </c>
      <c r="Q170" s="301">
        <f t="shared" si="25"/>
        <v>1116</v>
      </c>
      <c r="R170" s="301">
        <f t="shared" si="26"/>
        <v>5580</v>
      </c>
      <c r="S170" s="300">
        <f t="shared" si="27"/>
        <v>6696</v>
      </c>
    </row>
    <row r="171" spans="1:19" ht="12" x14ac:dyDescent="0.25">
      <c r="A171" s="49">
        <v>158</v>
      </c>
      <c r="B171" s="32" t="s">
        <v>221</v>
      </c>
      <c r="C171" s="33" t="s">
        <v>153</v>
      </c>
      <c r="D171" s="111">
        <v>5175.576</v>
      </c>
      <c r="E171" s="112">
        <v>1863.2073599999994</v>
      </c>
      <c r="F171" s="112">
        <v>7452.8294400000004</v>
      </c>
      <c r="G171" s="112">
        <v>9316.0367999999999</v>
      </c>
      <c r="H171" s="254">
        <f t="shared" si="19"/>
        <v>1200</v>
      </c>
      <c r="I171" s="254">
        <v>6000</v>
      </c>
      <c r="J171" s="255">
        <f t="shared" si="20"/>
        <v>7200</v>
      </c>
      <c r="K171" s="141">
        <f t="shared" ref="K171:K172" si="28">1863.20736-500</f>
        <v>1363.2073600000001</v>
      </c>
      <c r="L171" s="141">
        <v>7452.8294400000004</v>
      </c>
      <c r="M171" s="142">
        <f t="shared" si="21"/>
        <v>8816.0367999999999</v>
      </c>
      <c r="N171" s="99">
        <f t="shared" si="22"/>
        <v>1200</v>
      </c>
      <c r="O171" s="73">
        <f t="shared" si="23"/>
        <v>6000</v>
      </c>
      <c r="P171" s="73">
        <f t="shared" si="24"/>
        <v>7200</v>
      </c>
      <c r="Q171" s="301">
        <f t="shared" si="25"/>
        <v>1116</v>
      </c>
      <c r="R171" s="301">
        <f t="shared" si="26"/>
        <v>5580</v>
      </c>
      <c r="S171" s="300">
        <f t="shared" si="27"/>
        <v>6696</v>
      </c>
    </row>
    <row r="172" spans="1:19" ht="12" x14ac:dyDescent="0.25">
      <c r="A172" s="49">
        <v>159</v>
      </c>
      <c r="B172" s="32" t="s">
        <v>217</v>
      </c>
      <c r="C172" s="33" t="s">
        <v>153</v>
      </c>
      <c r="D172" s="111">
        <v>5175.576</v>
      </c>
      <c r="E172" s="112">
        <v>1863.2073599999994</v>
      </c>
      <c r="F172" s="112">
        <v>7452.8294400000004</v>
      </c>
      <c r="G172" s="112">
        <v>9316.0367999999999</v>
      </c>
      <c r="H172" s="254">
        <f t="shared" si="19"/>
        <v>1200</v>
      </c>
      <c r="I172" s="254">
        <v>6000</v>
      </c>
      <c r="J172" s="255">
        <f t="shared" si="20"/>
        <v>7200</v>
      </c>
      <c r="K172" s="141">
        <f t="shared" si="28"/>
        <v>1363.2073600000001</v>
      </c>
      <c r="L172" s="141">
        <v>7452.8294400000004</v>
      </c>
      <c r="M172" s="142">
        <f t="shared" si="21"/>
        <v>8816.0367999999999</v>
      </c>
      <c r="N172" s="99">
        <f t="shared" si="22"/>
        <v>1200</v>
      </c>
      <c r="O172" s="73">
        <f t="shared" si="23"/>
        <v>6000</v>
      </c>
      <c r="P172" s="73">
        <f t="shared" si="24"/>
        <v>7200</v>
      </c>
      <c r="Q172" s="301">
        <f t="shared" si="25"/>
        <v>1116</v>
      </c>
      <c r="R172" s="301">
        <f t="shared" si="26"/>
        <v>5580</v>
      </c>
      <c r="S172" s="300">
        <f t="shared" si="27"/>
        <v>6696</v>
      </c>
    </row>
    <row r="173" spans="1:19" ht="12" x14ac:dyDescent="0.25">
      <c r="A173" s="49">
        <v>160</v>
      </c>
      <c r="B173" s="32" t="s">
        <v>218</v>
      </c>
      <c r="C173" s="33" t="s">
        <v>153</v>
      </c>
      <c r="D173" s="111">
        <v>3528.49</v>
      </c>
      <c r="E173" s="112">
        <v>1270.2563999999993</v>
      </c>
      <c r="F173" s="112">
        <v>5081.0256000000008</v>
      </c>
      <c r="G173" s="112">
        <v>6351.2820000000002</v>
      </c>
      <c r="H173" s="254">
        <f t="shared" si="19"/>
        <v>800</v>
      </c>
      <c r="I173" s="254">
        <v>4000</v>
      </c>
      <c r="J173" s="255">
        <f t="shared" si="20"/>
        <v>4800</v>
      </c>
      <c r="K173" s="141">
        <f>1270.2564-500</f>
        <v>770.25639999999999</v>
      </c>
      <c r="L173" s="141">
        <v>5081.0256000000008</v>
      </c>
      <c r="M173" s="142">
        <f t="shared" si="21"/>
        <v>5851.2820000000011</v>
      </c>
      <c r="N173" s="99">
        <f t="shared" si="22"/>
        <v>770.25639999999999</v>
      </c>
      <c r="O173" s="73">
        <f t="shared" si="23"/>
        <v>4000</v>
      </c>
      <c r="P173" s="73">
        <f t="shared" si="24"/>
        <v>4770.2564000000002</v>
      </c>
      <c r="Q173" s="301">
        <f t="shared" si="25"/>
        <v>716.33845199999996</v>
      </c>
      <c r="R173" s="301">
        <f t="shared" si="26"/>
        <v>3720</v>
      </c>
      <c r="S173" s="300">
        <f t="shared" si="27"/>
        <v>4436.338452</v>
      </c>
    </row>
    <row r="174" spans="1:19" ht="12" x14ac:dyDescent="0.25">
      <c r="A174" s="49">
        <v>161</v>
      </c>
      <c r="B174" s="32" t="s">
        <v>219</v>
      </c>
      <c r="C174" s="33" t="s">
        <v>153</v>
      </c>
      <c r="D174" s="111">
        <v>31899</v>
      </c>
      <c r="E174" s="112">
        <v>9250.7099999999991</v>
      </c>
      <c r="F174" s="112">
        <v>37002.839999999997</v>
      </c>
      <c r="G174" s="112">
        <v>46253.549999999996</v>
      </c>
      <c r="H174" s="254">
        <f t="shared" si="19"/>
        <v>6000</v>
      </c>
      <c r="I174" s="254">
        <v>30000</v>
      </c>
      <c r="J174" s="255">
        <f t="shared" si="20"/>
        <v>36000</v>
      </c>
      <c r="K174" s="141">
        <f>9250.71-500</f>
        <v>8750.7099999999991</v>
      </c>
      <c r="L174" s="141">
        <v>37002.839999999997</v>
      </c>
      <c r="M174" s="142">
        <f t="shared" si="21"/>
        <v>45753.549999999996</v>
      </c>
      <c r="N174" s="99">
        <f t="shared" si="22"/>
        <v>6000</v>
      </c>
      <c r="O174" s="73">
        <f t="shared" si="23"/>
        <v>30000</v>
      </c>
      <c r="P174" s="73">
        <f t="shared" si="24"/>
        <v>36000</v>
      </c>
      <c r="Q174" s="301">
        <f t="shared" si="25"/>
        <v>5580</v>
      </c>
      <c r="R174" s="301">
        <f t="shared" si="26"/>
        <v>27900</v>
      </c>
      <c r="S174" s="300">
        <f t="shared" si="27"/>
        <v>33480</v>
      </c>
    </row>
    <row r="175" spans="1:19" ht="12" x14ac:dyDescent="0.25">
      <c r="A175" s="49">
        <v>162</v>
      </c>
      <c r="B175" s="32" t="s">
        <v>220</v>
      </c>
      <c r="C175" s="33" t="s">
        <v>153</v>
      </c>
      <c r="D175" s="111">
        <v>5500</v>
      </c>
      <c r="E175" s="112">
        <v>1980</v>
      </c>
      <c r="F175" s="112">
        <v>7920</v>
      </c>
      <c r="G175" s="112">
        <v>9900</v>
      </c>
      <c r="H175" s="254">
        <f t="shared" si="19"/>
        <v>1200</v>
      </c>
      <c r="I175" s="254">
        <v>6000</v>
      </c>
      <c r="J175" s="255">
        <f t="shared" si="20"/>
        <v>7200</v>
      </c>
      <c r="K175" s="141">
        <f>1980-500</f>
        <v>1480</v>
      </c>
      <c r="L175" s="141">
        <v>7920</v>
      </c>
      <c r="M175" s="142">
        <f t="shared" si="21"/>
        <v>9400</v>
      </c>
      <c r="N175" s="99">
        <f t="shared" si="22"/>
        <v>1200</v>
      </c>
      <c r="O175" s="73">
        <f t="shared" si="23"/>
        <v>6000</v>
      </c>
      <c r="P175" s="73">
        <f t="shared" si="24"/>
        <v>7200</v>
      </c>
      <c r="Q175" s="301">
        <f t="shared" si="25"/>
        <v>1116</v>
      </c>
      <c r="R175" s="301">
        <f t="shared" si="26"/>
        <v>5580</v>
      </c>
      <c r="S175" s="300">
        <f t="shared" si="27"/>
        <v>6696</v>
      </c>
    </row>
    <row r="176" spans="1:19" ht="12" x14ac:dyDescent="0.25">
      <c r="A176" s="49">
        <v>163</v>
      </c>
      <c r="B176" s="50" t="s">
        <v>223</v>
      </c>
      <c r="C176" s="33" t="s">
        <v>153</v>
      </c>
      <c r="D176" s="111">
        <v>607147.75843509403</v>
      </c>
      <c r="E176" s="112">
        <v>176072.84994617722</v>
      </c>
      <c r="F176" s="112">
        <v>704291.39978470909</v>
      </c>
      <c r="G176" s="112">
        <v>880364.24973088631</v>
      </c>
      <c r="H176" s="254">
        <f t="shared" si="19"/>
        <v>140000</v>
      </c>
      <c r="I176" s="254">
        <v>700000</v>
      </c>
      <c r="J176" s="255">
        <f t="shared" si="20"/>
        <v>840000</v>
      </c>
      <c r="K176" s="141">
        <f>176072.849946177-500</f>
        <v>175572.84994617701</v>
      </c>
      <c r="L176" s="141">
        <v>704291.39978470909</v>
      </c>
      <c r="M176" s="142">
        <f t="shared" si="21"/>
        <v>879864.24973088608</v>
      </c>
      <c r="N176" s="99">
        <f t="shared" si="22"/>
        <v>140000</v>
      </c>
      <c r="O176" s="73">
        <f t="shared" si="23"/>
        <v>700000</v>
      </c>
      <c r="P176" s="73">
        <f t="shared" si="24"/>
        <v>840000</v>
      </c>
      <c r="Q176" s="301">
        <f t="shared" si="25"/>
        <v>130200</v>
      </c>
      <c r="R176" s="301">
        <f t="shared" si="26"/>
        <v>651000</v>
      </c>
      <c r="S176" s="300">
        <f t="shared" si="27"/>
        <v>781200</v>
      </c>
    </row>
    <row r="177" spans="1:19" ht="12" x14ac:dyDescent="0.25">
      <c r="A177" s="49">
        <v>164</v>
      </c>
      <c r="B177" s="38" t="s">
        <v>222</v>
      </c>
      <c r="C177" s="33" t="s">
        <v>153</v>
      </c>
      <c r="D177" s="111">
        <v>194168.09788397388</v>
      </c>
      <c r="E177" s="112">
        <v>56308.74838635241</v>
      </c>
      <c r="F177" s="112">
        <v>225234.99354540973</v>
      </c>
      <c r="G177" s="112">
        <v>281543.74193176214</v>
      </c>
      <c r="H177" s="254">
        <f t="shared" si="19"/>
        <v>40000</v>
      </c>
      <c r="I177" s="254">
        <v>200000</v>
      </c>
      <c r="J177" s="255">
        <f t="shared" si="20"/>
        <v>240000</v>
      </c>
      <c r="K177" s="141">
        <f>56308.7483863524-1000</f>
        <v>55308.748386352403</v>
      </c>
      <c r="L177" s="141">
        <v>225234.99354540973</v>
      </c>
      <c r="M177" s="142">
        <f t="shared" si="21"/>
        <v>280543.74193176214</v>
      </c>
      <c r="N177" s="99">
        <f t="shared" si="22"/>
        <v>40000</v>
      </c>
      <c r="O177" s="73">
        <f t="shared" si="23"/>
        <v>200000</v>
      </c>
      <c r="P177" s="73">
        <f t="shared" si="24"/>
        <v>240000</v>
      </c>
      <c r="Q177" s="301">
        <f t="shared" si="25"/>
        <v>37200</v>
      </c>
      <c r="R177" s="301">
        <f t="shared" si="26"/>
        <v>186000</v>
      </c>
      <c r="S177" s="300">
        <f t="shared" si="27"/>
        <v>223200</v>
      </c>
    </row>
    <row r="178" spans="1:19" ht="12" x14ac:dyDescent="0.25">
      <c r="A178" s="49">
        <v>165</v>
      </c>
      <c r="B178" s="38" t="s">
        <v>224</v>
      </c>
      <c r="C178" s="33" t="s">
        <v>153</v>
      </c>
      <c r="D178" s="111">
        <v>484953.55385728419</v>
      </c>
      <c r="E178" s="112">
        <v>140636.53061861242</v>
      </c>
      <c r="F178" s="112">
        <v>562546.12247444969</v>
      </c>
      <c r="G178" s="112">
        <v>703182.65309306211</v>
      </c>
      <c r="H178" s="254">
        <f t="shared" si="19"/>
        <v>114000</v>
      </c>
      <c r="I178" s="254">
        <v>570000</v>
      </c>
      <c r="J178" s="255">
        <f t="shared" si="20"/>
        <v>684000</v>
      </c>
      <c r="K178" s="141">
        <f>140636.530618612-1000</f>
        <v>139636.53061861201</v>
      </c>
      <c r="L178" s="141">
        <v>562546.12247444969</v>
      </c>
      <c r="M178" s="142">
        <f t="shared" si="21"/>
        <v>702182.65309306164</v>
      </c>
      <c r="N178" s="99">
        <f t="shared" si="22"/>
        <v>114000</v>
      </c>
      <c r="O178" s="73">
        <f t="shared" si="23"/>
        <v>562546.12247444969</v>
      </c>
      <c r="P178" s="73">
        <f t="shared" si="24"/>
        <v>676546.12247444969</v>
      </c>
      <c r="Q178" s="301">
        <f t="shared" si="25"/>
        <v>106020</v>
      </c>
      <c r="R178" s="301">
        <f t="shared" si="26"/>
        <v>523167.89390123822</v>
      </c>
      <c r="S178" s="300">
        <f t="shared" si="27"/>
        <v>629187.89390123822</v>
      </c>
    </row>
    <row r="179" spans="1:19" ht="12" x14ac:dyDescent="0.25">
      <c r="A179" s="49">
        <v>166</v>
      </c>
      <c r="B179" s="32" t="s">
        <v>225</v>
      </c>
      <c r="C179" s="33" t="s">
        <v>153</v>
      </c>
      <c r="D179" s="111">
        <v>451332.01260000002</v>
      </c>
      <c r="E179" s="112">
        <v>130886.28365399997</v>
      </c>
      <c r="F179" s="112">
        <v>523545.13461600005</v>
      </c>
      <c r="G179" s="112">
        <v>654431.41827000002</v>
      </c>
      <c r="H179" s="254">
        <f t="shared" si="19"/>
        <v>114000</v>
      </c>
      <c r="I179" s="254">
        <v>570000</v>
      </c>
      <c r="J179" s="255">
        <f t="shared" si="20"/>
        <v>684000</v>
      </c>
      <c r="K179" s="141">
        <f>130886.283654-1000</f>
        <v>129886.283654</v>
      </c>
      <c r="L179" s="141">
        <v>523545.13461600005</v>
      </c>
      <c r="M179" s="142">
        <f t="shared" si="21"/>
        <v>653431.41827000002</v>
      </c>
      <c r="N179" s="99">
        <f t="shared" si="22"/>
        <v>114000</v>
      </c>
      <c r="O179" s="73">
        <f t="shared" si="23"/>
        <v>523545.13461600005</v>
      </c>
      <c r="P179" s="73">
        <f t="shared" si="24"/>
        <v>637545.13461600011</v>
      </c>
      <c r="Q179" s="301">
        <f t="shared" si="25"/>
        <v>106020</v>
      </c>
      <c r="R179" s="301">
        <f t="shared" si="26"/>
        <v>486896.97519288003</v>
      </c>
      <c r="S179" s="300">
        <f t="shared" si="27"/>
        <v>592916.97519288003</v>
      </c>
    </row>
    <row r="180" spans="1:19" ht="22.5" x14ac:dyDescent="0.25">
      <c r="A180" s="49">
        <v>167</v>
      </c>
      <c r="B180" s="32" t="s">
        <v>226</v>
      </c>
      <c r="C180" s="33" t="s">
        <v>153</v>
      </c>
      <c r="D180" s="111">
        <v>564819.17434866459</v>
      </c>
      <c r="E180" s="112">
        <v>163797.56056111271</v>
      </c>
      <c r="F180" s="112">
        <v>655190.24224445096</v>
      </c>
      <c r="G180" s="112">
        <v>818987.80280556367</v>
      </c>
      <c r="H180" s="254">
        <f t="shared" si="19"/>
        <v>132000</v>
      </c>
      <c r="I180" s="254">
        <v>660000</v>
      </c>
      <c r="J180" s="255">
        <f t="shared" si="20"/>
        <v>792000</v>
      </c>
      <c r="K180" s="141">
        <f>163797.560561113-1000</f>
        <v>162797.560561113</v>
      </c>
      <c r="L180" s="141">
        <v>655190.24224445096</v>
      </c>
      <c r="M180" s="142">
        <f t="shared" si="21"/>
        <v>817987.8028055639</v>
      </c>
      <c r="N180" s="99">
        <f t="shared" si="22"/>
        <v>132000</v>
      </c>
      <c r="O180" s="73">
        <f t="shared" si="23"/>
        <v>655190.24224445096</v>
      </c>
      <c r="P180" s="73">
        <f t="shared" si="24"/>
        <v>787190.24224445096</v>
      </c>
      <c r="Q180" s="301">
        <f t="shared" si="25"/>
        <v>122760</v>
      </c>
      <c r="R180" s="301">
        <f t="shared" si="26"/>
        <v>609326.92528733937</v>
      </c>
      <c r="S180" s="300">
        <f t="shared" si="27"/>
        <v>732086.92528733937</v>
      </c>
    </row>
    <row r="181" spans="1:19" ht="12" x14ac:dyDescent="0.25">
      <c r="A181" s="49">
        <v>168</v>
      </c>
      <c r="B181" s="32" t="s">
        <v>227</v>
      </c>
      <c r="C181" s="33" t="s">
        <v>153</v>
      </c>
      <c r="D181" s="111">
        <v>2680000</v>
      </c>
      <c r="E181" s="112">
        <v>821688</v>
      </c>
      <c r="F181" s="112">
        <v>3286752</v>
      </c>
      <c r="G181" s="112">
        <v>4108440</v>
      </c>
      <c r="H181" s="254">
        <f t="shared" si="19"/>
        <v>510000</v>
      </c>
      <c r="I181" s="254">
        <v>2550000</v>
      </c>
      <c r="J181" s="255">
        <f t="shared" si="20"/>
        <v>3060000</v>
      </c>
      <c r="K181" s="141">
        <f>821688-1000</f>
        <v>820688</v>
      </c>
      <c r="L181" s="141">
        <v>3286752</v>
      </c>
      <c r="M181" s="142">
        <f t="shared" si="21"/>
        <v>4107440</v>
      </c>
      <c r="N181" s="99">
        <f t="shared" si="22"/>
        <v>510000</v>
      </c>
      <c r="O181" s="73">
        <f t="shared" si="23"/>
        <v>2550000</v>
      </c>
      <c r="P181" s="73">
        <f t="shared" si="24"/>
        <v>3060000</v>
      </c>
      <c r="Q181" s="301">
        <f t="shared" si="25"/>
        <v>474300</v>
      </c>
      <c r="R181" s="301">
        <f t="shared" si="26"/>
        <v>2371500</v>
      </c>
      <c r="S181" s="300">
        <f t="shared" si="27"/>
        <v>2845800</v>
      </c>
    </row>
    <row r="182" spans="1:19" ht="12" x14ac:dyDescent="0.25">
      <c r="A182" s="49">
        <v>169</v>
      </c>
      <c r="B182" s="46" t="s">
        <v>42</v>
      </c>
      <c r="C182" s="33" t="s">
        <v>153</v>
      </c>
      <c r="D182" s="111">
        <v>115324.08237957237</v>
      </c>
      <c r="E182" s="112">
        <v>33443.983890075993</v>
      </c>
      <c r="F182" s="112">
        <v>133775.93556030394</v>
      </c>
      <c r="G182" s="112">
        <v>167219.91945037994</v>
      </c>
      <c r="H182" s="254">
        <f t="shared" si="19"/>
        <v>26000</v>
      </c>
      <c r="I182" s="254">
        <v>130000</v>
      </c>
      <c r="J182" s="255">
        <f t="shared" si="20"/>
        <v>156000</v>
      </c>
      <c r="K182" s="141">
        <f>33443.983890076-1000</f>
        <v>32443.983890076001</v>
      </c>
      <c r="L182" s="141">
        <v>133775.93556030394</v>
      </c>
      <c r="M182" s="142">
        <f t="shared" si="21"/>
        <v>166219.91945037994</v>
      </c>
      <c r="N182" s="99">
        <f t="shared" si="22"/>
        <v>26000</v>
      </c>
      <c r="O182" s="73">
        <f t="shared" si="23"/>
        <v>130000</v>
      </c>
      <c r="P182" s="73">
        <f t="shared" si="24"/>
        <v>156000</v>
      </c>
      <c r="Q182" s="301">
        <f t="shared" si="25"/>
        <v>24180</v>
      </c>
      <c r="R182" s="301">
        <f t="shared" si="26"/>
        <v>120900</v>
      </c>
      <c r="S182" s="300">
        <f t="shared" si="27"/>
        <v>145080</v>
      </c>
    </row>
    <row r="183" spans="1:19" ht="12" x14ac:dyDescent="0.25">
      <c r="A183" s="49">
        <v>170</v>
      </c>
      <c r="B183" s="46" t="s">
        <v>93</v>
      </c>
      <c r="C183" s="33" t="s">
        <v>153</v>
      </c>
      <c r="D183" s="111">
        <v>549115.10920000006</v>
      </c>
      <c r="E183" s="112">
        <v>159243.38166800002</v>
      </c>
      <c r="F183" s="112">
        <v>636973.52667200007</v>
      </c>
      <c r="G183" s="112">
        <v>796216.90834000008</v>
      </c>
      <c r="H183" s="254">
        <f t="shared" si="19"/>
        <v>138000</v>
      </c>
      <c r="I183" s="254">
        <v>690000</v>
      </c>
      <c r="J183" s="255">
        <f t="shared" si="20"/>
        <v>828000</v>
      </c>
      <c r="K183" s="141">
        <f>159243.381668-1000</f>
        <v>158243.38166799999</v>
      </c>
      <c r="L183" s="141">
        <v>636973.52667200007</v>
      </c>
      <c r="M183" s="142">
        <f t="shared" si="21"/>
        <v>795216.90834000008</v>
      </c>
      <c r="N183" s="99">
        <f t="shared" si="22"/>
        <v>138000</v>
      </c>
      <c r="O183" s="73">
        <f t="shared" si="23"/>
        <v>636973.52667200007</v>
      </c>
      <c r="P183" s="73">
        <f t="shared" si="24"/>
        <v>774973.52667200007</v>
      </c>
      <c r="Q183" s="301">
        <f t="shared" si="25"/>
        <v>128340</v>
      </c>
      <c r="R183" s="301">
        <f t="shared" si="26"/>
        <v>592385.3798049601</v>
      </c>
      <c r="S183" s="300">
        <f t="shared" si="27"/>
        <v>720725.3798049601</v>
      </c>
    </row>
    <row r="184" spans="1:19" ht="12" x14ac:dyDescent="0.2">
      <c r="A184" s="49">
        <v>171</v>
      </c>
      <c r="B184" s="53" t="s">
        <v>95</v>
      </c>
      <c r="C184" s="33" t="s">
        <v>153</v>
      </c>
      <c r="D184" s="111">
        <v>902153.03359999997</v>
      </c>
      <c r="E184" s="112">
        <v>261624.37974399992</v>
      </c>
      <c r="F184" s="112">
        <v>1046497.518976</v>
      </c>
      <c r="G184" s="112">
        <v>1308121.8987199999</v>
      </c>
      <c r="H184" s="254">
        <f t="shared" si="19"/>
        <v>194000</v>
      </c>
      <c r="I184" s="254">
        <v>970000</v>
      </c>
      <c r="J184" s="255">
        <f t="shared" si="20"/>
        <v>1164000</v>
      </c>
      <c r="K184" s="141">
        <f>261624.379744-1000</f>
        <v>260624.37974400001</v>
      </c>
      <c r="L184" s="141">
        <v>1046497.518976</v>
      </c>
      <c r="M184" s="142">
        <f t="shared" si="21"/>
        <v>1307121.8987199999</v>
      </c>
      <c r="N184" s="99">
        <f t="shared" si="22"/>
        <v>194000</v>
      </c>
      <c r="O184" s="73">
        <f t="shared" si="23"/>
        <v>970000</v>
      </c>
      <c r="P184" s="73">
        <f t="shared" si="24"/>
        <v>1164000</v>
      </c>
      <c r="Q184" s="301">
        <f t="shared" si="25"/>
        <v>180420</v>
      </c>
      <c r="R184" s="301">
        <f t="shared" si="26"/>
        <v>902100</v>
      </c>
      <c r="S184" s="300">
        <f t="shared" si="27"/>
        <v>1082520</v>
      </c>
    </row>
    <row r="185" spans="1:19" ht="12" x14ac:dyDescent="0.2">
      <c r="A185" s="49">
        <v>172</v>
      </c>
      <c r="B185" s="53" t="s">
        <v>228</v>
      </c>
      <c r="C185" s="33" t="s">
        <v>153</v>
      </c>
      <c r="D185" s="111">
        <v>2379.7866583333334</v>
      </c>
      <c r="E185" s="112">
        <v>856.7231969999998</v>
      </c>
      <c r="F185" s="112">
        <v>3426.8927880000006</v>
      </c>
      <c r="G185" s="112">
        <v>4283.6159850000004</v>
      </c>
      <c r="H185" s="254">
        <f t="shared" si="19"/>
        <v>600</v>
      </c>
      <c r="I185" s="254">
        <v>3000</v>
      </c>
      <c r="J185" s="255">
        <f t="shared" si="20"/>
        <v>3600</v>
      </c>
      <c r="K185" s="141">
        <f>856.723197-200</f>
        <v>656.72319700000003</v>
      </c>
      <c r="L185" s="141">
        <v>3426.8927880000006</v>
      </c>
      <c r="M185" s="142">
        <f t="shared" si="21"/>
        <v>4083.6159850000004</v>
      </c>
      <c r="N185" s="99">
        <f t="shared" si="22"/>
        <v>600</v>
      </c>
      <c r="O185" s="73">
        <f t="shared" si="23"/>
        <v>3000</v>
      </c>
      <c r="P185" s="73">
        <f t="shared" si="24"/>
        <v>3600</v>
      </c>
      <c r="Q185" s="301">
        <f t="shared" si="25"/>
        <v>558</v>
      </c>
      <c r="R185" s="301">
        <f t="shared" si="26"/>
        <v>2790</v>
      </c>
      <c r="S185" s="300">
        <f t="shared" si="27"/>
        <v>3348</v>
      </c>
    </row>
    <row r="186" spans="1:19" ht="12" x14ac:dyDescent="0.2">
      <c r="A186" s="49">
        <v>173</v>
      </c>
      <c r="B186" s="53" t="s">
        <v>229</v>
      </c>
      <c r="C186" s="33" t="s">
        <v>153</v>
      </c>
      <c r="D186" s="111">
        <v>54537.98</v>
      </c>
      <c r="E186" s="112">
        <v>15816.014199999998</v>
      </c>
      <c r="F186" s="112">
        <v>63264.056799999998</v>
      </c>
      <c r="G186" s="112">
        <v>79080.070999999996</v>
      </c>
      <c r="H186" s="254">
        <f t="shared" si="19"/>
        <v>13600</v>
      </c>
      <c r="I186" s="254">
        <v>68000</v>
      </c>
      <c r="J186" s="255">
        <f t="shared" si="20"/>
        <v>81600</v>
      </c>
      <c r="K186" s="141">
        <f>15816.0142-1000</f>
        <v>14816.0142</v>
      </c>
      <c r="L186" s="141">
        <v>63264.056799999998</v>
      </c>
      <c r="M186" s="142">
        <f t="shared" si="21"/>
        <v>78080.070999999996</v>
      </c>
      <c r="N186" s="99">
        <f t="shared" si="22"/>
        <v>13600</v>
      </c>
      <c r="O186" s="73">
        <f t="shared" si="23"/>
        <v>63264.056799999998</v>
      </c>
      <c r="P186" s="73">
        <f t="shared" si="24"/>
        <v>76864.056799999991</v>
      </c>
      <c r="Q186" s="301">
        <f t="shared" si="25"/>
        <v>12648</v>
      </c>
      <c r="R186" s="301">
        <f t="shared" si="26"/>
        <v>58835.572823999995</v>
      </c>
      <c r="S186" s="300">
        <f t="shared" si="27"/>
        <v>71483.572824000003</v>
      </c>
    </row>
    <row r="187" spans="1:19" ht="12" x14ac:dyDescent="0.2">
      <c r="A187" s="49">
        <v>174</v>
      </c>
      <c r="B187" s="53" t="s">
        <v>241</v>
      </c>
      <c r="C187" s="33" t="s">
        <v>153</v>
      </c>
      <c r="D187" s="111">
        <v>110686.88448231337</v>
      </c>
      <c r="E187" s="112">
        <v>32099.196499870872</v>
      </c>
      <c r="F187" s="112">
        <v>128396.7859994835</v>
      </c>
      <c r="G187" s="112">
        <v>160495.98249935437</v>
      </c>
      <c r="H187" s="254">
        <f t="shared" si="19"/>
        <v>26000</v>
      </c>
      <c r="I187" s="254">
        <v>130000</v>
      </c>
      <c r="J187" s="255">
        <f t="shared" si="20"/>
        <v>156000</v>
      </c>
      <c r="K187" s="141">
        <f>32099.1964998709-1000</f>
        <v>31099.196499870901</v>
      </c>
      <c r="L187" s="141">
        <v>128396.7859994835</v>
      </c>
      <c r="M187" s="142">
        <f t="shared" si="21"/>
        <v>159495.9824993544</v>
      </c>
      <c r="N187" s="99">
        <f t="shared" si="22"/>
        <v>26000</v>
      </c>
      <c r="O187" s="73">
        <f t="shared" si="23"/>
        <v>128396.7859994835</v>
      </c>
      <c r="P187" s="73">
        <f t="shared" si="24"/>
        <v>154396.78599948349</v>
      </c>
      <c r="Q187" s="301">
        <f t="shared" si="25"/>
        <v>24180</v>
      </c>
      <c r="R187" s="301">
        <f t="shared" si="26"/>
        <v>119409.01097951966</v>
      </c>
      <c r="S187" s="300">
        <f t="shared" si="27"/>
        <v>143589.01097951966</v>
      </c>
    </row>
    <row r="188" spans="1:19" ht="12" x14ac:dyDescent="0.2">
      <c r="A188" s="49">
        <v>175</v>
      </c>
      <c r="B188" s="47" t="s">
        <v>85</v>
      </c>
      <c r="C188" s="33" t="s">
        <v>153</v>
      </c>
      <c r="D188" s="111">
        <v>93810.047411510095</v>
      </c>
      <c r="E188" s="112">
        <v>27204.913749337924</v>
      </c>
      <c r="F188" s="112">
        <v>108819.6549973517</v>
      </c>
      <c r="G188" s="112">
        <v>136024.56874668962</v>
      </c>
      <c r="H188" s="254">
        <f t="shared" si="19"/>
        <v>22000</v>
      </c>
      <c r="I188" s="254">
        <v>110000</v>
      </c>
      <c r="J188" s="255">
        <f t="shared" si="20"/>
        <v>132000</v>
      </c>
      <c r="K188" s="141">
        <f>27204.9137493379-1000</f>
        <v>26204.913749337898</v>
      </c>
      <c r="L188" s="141">
        <v>108819.6549973517</v>
      </c>
      <c r="M188" s="142">
        <f t="shared" si="21"/>
        <v>135024.56874668959</v>
      </c>
      <c r="N188" s="99">
        <f t="shared" si="22"/>
        <v>22000</v>
      </c>
      <c r="O188" s="73">
        <f t="shared" si="23"/>
        <v>108819.6549973517</v>
      </c>
      <c r="P188" s="73">
        <f t="shared" si="24"/>
        <v>130819.6549973517</v>
      </c>
      <c r="Q188" s="301">
        <f t="shared" si="25"/>
        <v>20460</v>
      </c>
      <c r="R188" s="301">
        <f t="shared" si="26"/>
        <v>101202.27914753708</v>
      </c>
      <c r="S188" s="300">
        <f t="shared" si="27"/>
        <v>121662.27914753708</v>
      </c>
    </row>
    <row r="189" spans="1:19" ht="12" x14ac:dyDescent="0.2">
      <c r="A189" s="49">
        <v>176</v>
      </c>
      <c r="B189" s="47" t="s">
        <v>232</v>
      </c>
      <c r="C189" s="33" t="s">
        <v>153</v>
      </c>
      <c r="D189" s="111">
        <v>534792.42081454548</v>
      </c>
      <c r="E189" s="112">
        <v>155089.80203621811</v>
      </c>
      <c r="F189" s="112">
        <v>620359.2081448728</v>
      </c>
      <c r="G189" s="112">
        <v>775449.01018109091</v>
      </c>
      <c r="H189" s="254">
        <f t="shared" si="19"/>
        <v>126200</v>
      </c>
      <c r="I189" s="254">
        <v>631000</v>
      </c>
      <c r="J189" s="255">
        <f t="shared" si="20"/>
        <v>757200</v>
      </c>
      <c r="K189" s="141">
        <f>155089.802036218-1000</f>
        <v>154089.802036218</v>
      </c>
      <c r="L189" s="141">
        <v>620359.2081448728</v>
      </c>
      <c r="M189" s="142">
        <f t="shared" si="21"/>
        <v>774449.01018109079</v>
      </c>
      <c r="N189" s="99">
        <f t="shared" si="22"/>
        <v>126200</v>
      </c>
      <c r="O189" s="73">
        <f t="shared" si="23"/>
        <v>620359.2081448728</v>
      </c>
      <c r="P189" s="73">
        <f t="shared" si="24"/>
        <v>746559.2081448728</v>
      </c>
      <c r="Q189" s="301">
        <f t="shared" si="25"/>
        <v>117366</v>
      </c>
      <c r="R189" s="301">
        <f t="shared" si="26"/>
        <v>576934.0635747317</v>
      </c>
      <c r="S189" s="300">
        <f t="shared" si="27"/>
        <v>694300.0635747317</v>
      </c>
    </row>
    <row r="190" spans="1:19" ht="12" x14ac:dyDescent="0.2">
      <c r="A190" s="49">
        <v>177</v>
      </c>
      <c r="B190" s="47" t="s">
        <v>67</v>
      </c>
      <c r="C190" s="33" t="s">
        <v>153</v>
      </c>
      <c r="D190" s="111">
        <v>857509.62609866669</v>
      </c>
      <c r="E190" s="112">
        <v>248677.79156861326</v>
      </c>
      <c r="F190" s="112">
        <v>994711.1662744534</v>
      </c>
      <c r="G190" s="112">
        <v>1243388.9578430667</v>
      </c>
      <c r="H190" s="254">
        <f t="shared" si="19"/>
        <v>181600</v>
      </c>
      <c r="I190" s="254">
        <v>908000</v>
      </c>
      <c r="J190" s="255">
        <f t="shared" si="20"/>
        <v>1089600</v>
      </c>
      <c r="K190" s="141">
        <f>248677.791568613-1000</f>
        <v>247677.791568613</v>
      </c>
      <c r="L190" s="141">
        <v>994711.1662744534</v>
      </c>
      <c r="M190" s="142">
        <f t="shared" si="21"/>
        <v>1242388.9578430664</v>
      </c>
      <c r="N190" s="99">
        <f t="shared" si="22"/>
        <v>181600</v>
      </c>
      <c r="O190" s="73">
        <f t="shared" si="23"/>
        <v>908000</v>
      </c>
      <c r="P190" s="73">
        <f t="shared" si="24"/>
        <v>1089600</v>
      </c>
      <c r="Q190" s="301">
        <f t="shared" si="25"/>
        <v>168888</v>
      </c>
      <c r="R190" s="301">
        <f t="shared" si="26"/>
        <v>844440</v>
      </c>
      <c r="S190" s="300">
        <f t="shared" si="27"/>
        <v>1013328</v>
      </c>
    </row>
    <row r="191" spans="1:19" ht="12" x14ac:dyDescent="0.25">
      <c r="A191" s="49">
        <v>178</v>
      </c>
      <c r="B191" s="38" t="s">
        <v>237</v>
      </c>
      <c r="C191" s="33" t="s">
        <v>153</v>
      </c>
      <c r="D191" s="111">
        <v>534833.33652153064</v>
      </c>
      <c r="E191" s="112">
        <v>155101.66759124387</v>
      </c>
      <c r="F191" s="112">
        <v>620406.67036497558</v>
      </c>
      <c r="G191" s="112">
        <v>775508.33795621945</v>
      </c>
      <c r="H191" s="254">
        <f t="shared" si="19"/>
        <v>134000</v>
      </c>
      <c r="I191" s="254">
        <v>670000</v>
      </c>
      <c r="J191" s="255">
        <f t="shared" si="20"/>
        <v>804000</v>
      </c>
      <c r="K191" s="141">
        <f>155101.667591244-1000</f>
        <v>154101.66759124401</v>
      </c>
      <c r="L191" s="141">
        <v>620406.67036497558</v>
      </c>
      <c r="M191" s="142">
        <f t="shared" si="21"/>
        <v>774508.33795621956</v>
      </c>
      <c r="N191" s="99">
        <f t="shared" si="22"/>
        <v>134000</v>
      </c>
      <c r="O191" s="73">
        <f t="shared" si="23"/>
        <v>620406.67036497558</v>
      </c>
      <c r="P191" s="73">
        <f t="shared" si="24"/>
        <v>754406.67036497558</v>
      </c>
      <c r="Q191" s="301">
        <f t="shared" si="25"/>
        <v>124620</v>
      </c>
      <c r="R191" s="301">
        <f t="shared" si="26"/>
        <v>576978.20343942731</v>
      </c>
      <c r="S191" s="300">
        <f t="shared" si="27"/>
        <v>701598.20343942731</v>
      </c>
    </row>
    <row r="192" spans="1:19" ht="12" x14ac:dyDescent="0.25">
      <c r="A192" s="49">
        <v>179</v>
      </c>
      <c r="B192" s="38" t="s">
        <v>238</v>
      </c>
      <c r="C192" s="33" t="s">
        <v>153</v>
      </c>
      <c r="D192" s="111">
        <v>486080.31977038196</v>
      </c>
      <c r="E192" s="112">
        <v>140963.29273341072</v>
      </c>
      <c r="F192" s="112">
        <v>563853.17093364312</v>
      </c>
      <c r="G192" s="112">
        <v>704816.46366705385</v>
      </c>
      <c r="H192" s="254">
        <f t="shared" si="19"/>
        <v>123000</v>
      </c>
      <c r="I192" s="254">
        <v>615000</v>
      </c>
      <c r="J192" s="255">
        <f t="shared" si="20"/>
        <v>738000</v>
      </c>
      <c r="K192" s="141">
        <f>140963.292733411-1000</f>
        <v>139963.29273341101</v>
      </c>
      <c r="L192" s="141">
        <v>563853.17093364312</v>
      </c>
      <c r="M192" s="142">
        <f t="shared" si="21"/>
        <v>703816.46366705419</v>
      </c>
      <c r="N192" s="99">
        <f t="shared" si="22"/>
        <v>123000</v>
      </c>
      <c r="O192" s="73">
        <f t="shared" si="23"/>
        <v>563853.17093364312</v>
      </c>
      <c r="P192" s="73">
        <f t="shared" si="24"/>
        <v>686853.17093364312</v>
      </c>
      <c r="Q192" s="301">
        <f t="shared" si="25"/>
        <v>114390</v>
      </c>
      <c r="R192" s="301">
        <f t="shared" si="26"/>
        <v>524383.44896828814</v>
      </c>
      <c r="S192" s="300">
        <f t="shared" si="27"/>
        <v>638773.44896828814</v>
      </c>
    </row>
    <row r="193" spans="1:19" ht="12" x14ac:dyDescent="0.25">
      <c r="A193" s="49">
        <v>180</v>
      </c>
      <c r="B193" s="38" t="s">
        <v>233</v>
      </c>
      <c r="C193" s="33" t="s">
        <v>153</v>
      </c>
      <c r="D193" s="111">
        <v>515878.44542125665</v>
      </c>
      <c r="E193" s="112">
        <v>149604.74917216436</v>
      </c>
      <c r="F193" s="112">
        <v>598418.99668865779</v>
      </c>
      <c r="G193" s="112">
        <v>748023.74586082215</v>
      </c>
      <c r="H193" s="254">
        <f t="shared" si="19"/>
        <v>130600</v>
      </c>
      <c r="I193" s="254">
        <v>653000</v>
      </c>
      <c r="J193" s="255">
        <f t="shared" si="20"/>
        <v>783600</v>
      </c>
      <c r="K193" s="141">
        <f>149604.749172164-1000</f>
        <v>148604.74917216401</v>
      </c>
      <c r="L193" s="141">
        <v>598418.99668865779</v>
      </c>
      <c r="M193" s="142">
        <f t="shared" si="21"/>
        <v>747023.7458608218</v>
      </c>
      <c r="N193" s="99">
        <f t="shared" si="22"/>
        <v>130600</v>
      </c>
      <c r="O193" s="73">
        <f t="shared" si="23"/>
        <v>598418.99668865779</v>
      </c>
      <c r="P193" s="73">
        <f t="shared" si="24"/>
        <v>729018.99668865779</v>
      </c>
      <c r="Q193" s="301">
        <f t="shared" si="25"/>
        <v>121458</v>
      </c>
      <c r="R193" s="301">
        <f t="shared" si="26"/>
        <v>556529.66692045168</v>
      </c>
      <c r="S193" s="300">
        <f t="shared" si="27"/>
        <v>677987.66692045168</v>
      </c>
    </row>
    <row r="194" spans="1:19" ht="12" x14ac:dyDescent="0.25">
      <c r="A194" s="49">
        <v>181</v>
      </c>
      <c r="B194" s="38" t="s">
        <v>234</v>
      </c>
      <c r="C194" s="33" t="s">
        <v>153</v>
      </c>
      <c r="D194" s="111">
        <v>508938.8166880249</v>
      </c>
      <c r="E194" s="112">
        <v>147592.25683952717</v>
      </c>
      <c r="F194" s="112">
        <v>590369.0273581089</v>
      </c>
      <c r="G194" s="112">
        <v>737961.28419763607</v>
      </c>
      <c r="H194" s="254">
        <f t="shared" si="19"/>
        <v>128800</v>
      </c>
      <c r="I194" s="254">
        <v>644000</v>
      </c>
      <c r="J194" s="255">
        <f t="shared" si="20"/>
        <v>772800</v>
      </c>
      <c r="K194" s="141">
        <f>147592.256839527-1000</f>
        <v>146592.25683952699</v>
      </c>
      <c r="L194" s="141">
        <v>590369.0273581089</v>
      </c>
      <c r="M194" s="142">
        <f t="shared" si="21"/>
        <v>736961.28419763595</v>
      </c>
      <c r="N194" s="99">
        <f t="shared" si="22"/>
        <v>128800</v>
      </c>
      <c r="O194" s="73">
        <f t="shared" si="23"/>
        <v>590369.0273581089</v>
      </c>
      <c r="P194" s="73">
        <f t="shared" si="24"/>
        <v>719169.0273581089</v>
      </c>
      <c r="Q194" s="301">
        <f t="shared" si="25"/>
        <v>119784</v>
      </c>
      <c r="R194" s="301">
        <f t="shared" si="26"/>
        <v>549043.19544304127</v>
      </c>
      <c r="S194" s="300">
        <f t="shared" si="27"/>
        <v>668827.19544304127</v>
      </c>
    </row>
    <row r="195" spans="1:19" ht="12" x14ac:dyDescent="0.25">
      <c r="A195" s="49">
        <v>182</v>
      </c>
      <c r="B195" s="38" t="s">
        <v>235</v>
      </c>
      <c r="C195" s="33" t="s">
        <v>153</v>
      </c>
      <c r="D195" s="111">
        <v>1610386.9777084761</v>
      </c>
      <c r="E195" s="112">
        <v>467012.22353545809</v>
      </c>
      <c r="F195" s="112">
        <v>1868048.8941418324</v>
      </c>
      <c r="G195" s="112">
        <v>2335061.1176772905</v>
      </c>
      <c r="H195" s="254">
        <f t="shared" si="19"/>
        <v>362600</v>
      </c>
      <c r="I195" s="254">
        <v>1813000</v>
      </c>
      <c r="J195" s="255">
        <f t="shared" si="20"/>
        <v>2175600</v>
      </c>
      <c r="K195" s="141">
        <f>467012.223535458-1000</f>
        <v>466012.22353545798</v>
      </c>
      <c r="L195" s="141">
        <v>1868048.8941418324</v>
      </c>
      <c r="M195" s="142">
        <f t="shared" si="21"/>
        <v>2334061.1176772905</v>
      </c>
      <c r="N195" s="99">
        <f t="shared" si="22"/>
        <v>362600</v>
      </c>
      <c r="O195" s="73">
        <f t="shared" si="23"/>
        <v>1813000</v>
      </c>
      <c r="P195" s="73">
        <f t="shared" si="24"/>
        <v>2175600</v>
      </c>
      <c r="Q195" s="301">
        <f t="shared" si="25"/>
        <v>337218</v>
      </c>
      <c r="R195" s="301">
        <f t="shared" si="26"/>
        <v>1686090</v>
      </c>
      <c r="S195" s="300">
        <f t="shared" si="27"/>
        <v>2023308</v>
      </c>
    </row>
    <row r="196" spans="1:19" ht="12" x14ac:dyDescent="0.2">
      <c r="A196" s="49">
        <v>183</v>
      </c>
      <c r="B196" s="47" t="s">
        <v>84</v>
      </c>
      <c r="C196" s="33" t="s">
        <v>153</v>
      </c>
      <c r="D196" s="111">
        <v>856091.62454699434</v>
      </c>
      <c r="E196" s="112">
        <v>248266.57111862837</v>
      </c>
      <c r="F196" s="112">
        <v>993066.28447451349</v>
      </c>
      <c r="G196" s="112">
        <v>1241332.8555931419</v>
      </c>
      <c r="H196" s="254">
        <f t="shared" si="19"/>
        <v>196000</v>
      </c>
      <c r="I196" s="254">
        <v>980000</v>
      </c>
      <c r="J196" s="255">
        <f t="shared" si="20"/>
        <v>1176000</v>
      </c>
      <c r="K196" s="141">
        <f>248266.571118628-1000</f>
        <v>247266.571118628</v>
      </c>
      <c r="L196" s="141">
        <v>993066.28447451349</v>
      </c>
      <c r="M196" s="142">
        <f t="shared" si="21"/>
        <v>1240332.8555931414</v>
      </c>
      <c r="N196" s="99">
        <f t="shared" si="22"/>
        <v>196000</v>
      </c>
      <c r="O196" s="73">
        <f t="shared" si="23"/>
        <v>980000</v>
      </c>
      <c r="P196" s="73">
        <f t="shared" si="24"/>
        <v>1176000</v>
      </c>
      <c r="Q196" s="301">
        <f t="shared" si="25"/>
        <v>182280</v>
      </c>
      <c r="R196" s="301">
        <f t="shared" si="26"/>
        <v>911400</v>
      </c>
      <c r="S196" s="300">
        <f t="shared" si="27"/>
        <v>1093680</v>
      </c>
    </row>
    <row r="197" spans="1:19" ht="12" x14ac:dyDescent="0.2">
      <c r="A197" s="49">
        <v>184</v>
      </c>
      <c r="B197" s="47" t="s">
        <v>236</v>
      </c>
      <c r="C197" s="33" t="s">
        <v>153</v>
      </c>
      <c r="D197" s="111">
        <v>224687.33178826532</v>
      </c>
      <c r="E197" s="112">
        <v>65159.326218596922</v>
      </c>
      <c r="F197" s="112">
        <v>260637.30487438777</v>
      </c>
      <c r="G197" s="112">
        <v>325796.63109298469</v>
      </c>
      <c r="H197" s="254">
        <f t="shared" si="19"/>
        <v>56800</v>
      </c>
      <c r="I197" s="254">
        <v>284000</v>
      </c>
      <c r="J197" s="255">
        <f t="shared" si="20"/>
        <v>340800</v>
      </c>
      <c r="K197" s="141">
        <f>65159.3262185969-1000</f>
        <v>64159.3262185969</v>
      </c>
      <c r="L197" s="141">
        <v>260637.30487438777</v>
      </c>
      <c r="M197" s="142">
        <f t="shared" si="21"/>
        <v>324796.63109298469</v>
      </c>
      <c r="N197" s="99">
        <f t="shared" si="22"/>
        <v>56800</v>
      </c>
      <c r="O197" s="73">
        <f t="shared" si="23"/>
        <v>260637.30487438777</v>
      </c>
      <c r="P197" s="73">
        <f t="shared" si="24"/>
        <v>317437.3048743878</v>
      </c>
      <c r="Q197" s="301">
        <f t="shared" si="25"/>
        <v>52824</v>
      </c>
      <c r="R197" s="301">
        <f t="shared" si="26"/>
        <v>242392.69353318063</v>
      </c>
      <c r="S197" s="300">
        <f t="shared" si="27"/>
        <v>295216.69353318063</v>
      </c>
    </row>
    <row r="198" spans="1:19" ht="12" x14ac:dyDescent="0.2">
      <c r="A198" s="49">
        <v>185</v>
      </c>
      <c r="B198" s="53" t="s">
        <v>239</v>
      </c>
      <c r="C198" s="33" t="s">
        <v>153</v>
      </c>
      <c r="D198" s="111">
        <v>243029.15479138904</v>
      </c>
      <c r="E198" s="112">
        <v>70478.454889502784</v>
      </c>
      <c r="F198" s="112">
        <v>281913.81955801131</v>
      </c>
      <c r="G198" s="112">
        <v>352392.27444751409</v>
      </c>
      <c r="H198" s="254">
        <f t="shared" si="19"/>
        <v>61400</v>
      </c>
      <c r="I198" s="254">
        <v>307000</v>
      </c>
      <c r="J198" s="255">
        <f t="shared" si="20"/>
        <v>368400</v>
      </c>
      <c r="K198" s="141">
        <f>70478.4548895028-1000</f>
        <v>69478.454889502798</v>
      </c>
      <c r="L198" s="141">
        <v>281913.81955801131</v>
      </c>
      <c r="M198" s="142">
        <f t="shared" si="21"/>
        <v>351392.27444751409</v>
      </c>
      <c r="N198" s="99">
        <f t="shared" si="22"/>
        <v>61400</v>
      </c>
      <c r="O198" s="73">
        <f t="shared" si="23"/>
        <v>281913.81955801131</v>
      </c>
      <c r="P198" s="73">
        <f t="shared" si="24"/>
        <v>343313.81955801131</v>
      </c>
      <c r="Q198" s="301">
        <f t="shared" si="25"/>
        <v>57102</v>
      </c>
      <c r="R198" s="301">
        <f t="shared" si="26"/>
        <v>262179.85218895052</v>
      </c>
      <c r="S198" s="300">
        <f t="shared" si="27"/>
        <v>319281.85218895052</v>
      </c>
    </row>
    <row r="199" spans="1:19" ht="12" x14ac:dyDescent="0.2">
      <c r="A199" s="49">
        <v>186</v>
      </c>
      <c r="B199" s="53" t="s">
        <v>240</v>
      </c>
      <c r="C199" s="33" t="s">
        <v>153</v>
      </c>
      <c r="D199" s="111">
        <v>279344.79046329466</v>
      </c>
      <c r="E199" s="112">
        <v>81009.989234355453</v>
      </c>
      <c r="F199" s="112">
        <v>324039.95693742181</v>
      </c>
      <c r="G199" s="112">
        <v>405049.94617177726</v>
      </c>
      <c r="H199" s="254">
        <f t="shared" ref="H199:H262" si="29">+I199*20%</f>
        <v>70000</v>
      </c>
      <c r="I199" s="254">
        <v>350000</v>
      </c>
      <c r="J199" s="255">
        <f t="shared" ref="J199:J262" si="30">+I199+H199</f>
        <v>420000</v>
      </c>
      <c r="K199" s="141">
        <f>81009.9892343555-1000</f>
        <v>80009.989234355497</v>
      </c>
      <c r="L199" s="141">
        <v>324039.95693742181</v>
      </c>
      <c r="M199" s="142">
        <f t="shared" ref="M199:M257" si="31">K199+L199</f>
        <v>404049.94617177732</v>
      </c>
      <c r="N199" s="99">
        <f t="shared" ref="N199:N262" si="32">MIN(E199,H199,K199)</f>
        <v>70000</v>
      </c>
      <c r="O199" s="73">
        <f t="shared" ref="O199:O262" si="33">MIN(F199,I199,L199)</f>
        <v>324039.95693742181</v>
      </c>
      <c r="P199" s="73">
        <f t="shared" ref="P199:P262" si="34">O199+N199</f>
        <v>394039.95693742181</v>
      </c>
      <c r="Q199" s="301">
        <f t="shared" ref="Q199:Q262" si="35">N199-(N199*7%)</f>
        <v>65100</v>
      </c>
      <c r="R199" s="301">
        <f t="shared" ref="R199:R262" si="36">O199-(O199*7%)</f>
        <v>301357.15995180228</v>
      </c>
      <c r="S199" s="300">
        <f t="shared" ref="S199:S262" si="37">R199+Q199</f>
        <v>366457.15995180228</v>
      </c>
    </row>
    <row r="200" spans="1:19" ht="12" x14ac:dyDescent="0.2">
      <c r="A200" s="49">
        <v>187</v>
      </c>
      <c r="B200" s="53" t="s">
        <v>272</v>
      </c>
      <c r="C200" s="33" t="s">
        <v>153</v>
      </c>
      <c r="D200" s="111">
        <v>750000</v>
      </c>
      <c r="E200" s="112">
        <v>217500</v>
      </c>
      <c r="F200" s="112">
        <v>870000</v>
      </c>
      <c r="G200" s="112">
        <v>1087500</v>
      </c>
      <c r="H200" s="254">
        <f t="shared" si="29"/>
        <v>166400</v>
      </c>
      <c r="I200" s="254">
        <v>832000</v>
      </c>
      <c r="J200" s="255">
        <f t="shared" si="30"/>
        <v>998400</v>
      </c>
      <c r="K200" s="141">
        <f>217500-1000</f>
        <v>216500</v>
      </c>
      <c r="L200" s="141">
        <v>870000</v>
      </c>
      <c r="M200" s="142">
        <f t="shared" si="31"/>
        <v>1086500</v>
      </c>
      <c r="N200" s="99">
        <f t="shared" si="32"/>
        <v>166400</v>
      </c>
      <c r="O200" s="73">
        <f t="shared" si="33"/>
        <v>832000</v>
      </c>
      <c r="P200" s="73">
        <f t="shared" si="34"/>
        <v>998400</v>
      </c>
      <c r="Q200" s="301">
        <f t="shared" si="35"/>
        <v>154752</v>
      </c>
      <c r="R200" s="301">
        <f t="shared" si="36"/>
        <v>773760</v>
      </c>
      <c r="S200" s="300">
        <f t="shared" si="37"/>
        <v>928512</v>
      </c>
    </row>
    <row r="201" spans="1:19" ht="12" x14ac:dyDescent="0.2">
      <c r="A201" s="49">
        <v>188</v>
      </c>
      <c r="B201" s="53" t="s">
        <v>273</v>
      </c>
      <c r="C201" s="33" t="s">
        <v>153</v>
      </c>
      <c r="D201" s="111">
        <v>764929.48420000006</v>
      </c>
      <c r="E201" s="112">
        <v>221829.55041799997</v>
      </c>
      <c r="F201" s="112">
        <v>887318.20167200011</v>
      </c>
      <c r="G201" s="112">
        <v>1109147.7520900001</v>
      </c>
      <c r="H201" s="254">
        <f t="shared" si="29"/>
        <v>190000</v>
      </c>
      <c r="I201" s="254">
        <v>950000</v>
      </c>
      <c r="J201" s="255">
        <f t="shared" si="30"/>
        <v>1140000</v>
      </c>
      <c r="K201" s="141">
        <f>221829.550418-1000</f>
        <v>220829.550418</v>
      </c>
      <c r="L201" s="141">
        <v>887318.20167200011</v>
      </c>
      <c r="M201" s="142">
        <f t="shared" si="31"/>
        <v>1108147.7520900001</v>
      </c>
      <c r="N201" s="99">
        <f t="shared" si="32"/>
        <v>190000</v>
      </c>
      <c r="O201" s="73">
        <f t="shared" si="33"/>
        <v>887318.20167200011</v>
      </c>
      <c r="P201" s="73">
        <f t="shared" si="34"/>
        <v>1077318.2016720001</v>
      </c>
      <c r="Q201" s="301">
        <f t="shared" si="35"/>
        <v>176700</v>
      </c>
      <c r="R201" s="301">
        <f t="shared" si="36"/>
        <v>825205.92755496013</v>
      </c>
      <c r="S201" s="300">
        <f t="shared" si="37"/>
        <v>1001905.9275549601</v>
      </c>
    </row>
    <row r="202" spans="1:19" ht="12" x14ac:dyDescent="0.2">
      <c r="A202" s="49">
        <v>189</v>
      </c>
      <c r="B202" s="53" t="s">
        <v>94</v>
      </c>
      <c r="C202" s="33" t="s">
        <v>153</v>
      </c>
      <c r="D202" s="111">
        <v>281821.52350585599</v>
      </c>
      <c r="E202" s="112">
        <v>81728.241816698224</v>
      </c>
      <c r="F202" s="112">
        <v>326912.96726679296</v>
      </c>
      <c r="G202" s="112">
        <v>408641.20908349118</v>
      </c>
      <c r="H202" s="254">
        <f t="shared" si="29"/>
        <v>70000</v>
      </c>
      <c r="I202" s="254">
        <v>350000</v>
      </c>
      <c r="J202" s="255">
        <f t="shared" si="30"/>
        <v>420000</v>
      </c>
      <c r="K202" s="141">
        <f>81728.2418166982-1000</f>
        <v>80728.241816698195</v>
      </c>
      <c r="L202" s="141">
        <v>326912.96726679296</v>
      </c>
      <c r="M202" s="142">
        <f t="shared" si="31"/>
        <v>407641.20908349112</v>
      </c>
      <c r="N202" s="99">
        <f t="shared" si="32"/>
        <v>70000</v>
      </c>
      <c r="O202" s="73">
        <f t="shared" si="33"/>
        <v>326912.96726679296</v>
      </c>
      <c r="P202" s="73">
        <f t="shared" si="34"/>
        <v>396912.96726679296</v>
      </c>
      <c r="Q202" s="301">
        <f t="shared" si="35"/>
        <v>65100</v>
      </c>
      <c r="R202" s="301">
        <f t="shared" si="36"/>
        <v>304029.05955811747</v>
      </c>
      <c r="S202" s="300">
        <f t="shared" si="37"/>
        <v>369129.05955811747</v>
      </c>
    </row>
    <row r="203" spans="1:19" ht="12" x14ac:dyDescent="0.2">
      <c r="A203" s="49">
        <v>190</v>
      </c>
      <c r="B203" s="53" t="s">
        <v>250</v>
      </c>
      <c r="C203" s="33" t="s">
        <v>153</v>
      </c>
      <c r="D203" s="111">
        <v>167090.2254</v>
      </c>
      <c r="E203" s="112">
        <v>48456.165365999972</v>
      </c>
      <c r="F203" s="112">
        <v>193824.661464</v>
      </c>
      <c r="G203" s="112">
        <v>242280.82682999998</v>
      </c>
      <c r="H203" s="254">
        <f t="shared" si="29"/>
        <v>42200</v>
      </c>
      <c r="I203" s="254">
        <v>211000</v>
      </c>
      <c r="J203" s="255">
        <f t="shared" si="30"/>
        <v>253200</v>
      </c>
      <c r="K203" s="141">
        <f>48456.165366-1000</f>
        <v>47456.165366000001</v>
      </c>
      <c r="L203" s="141">
        <v>193824.661464</v>
      </c>
      <c r="M203" s="142">
        <f t="shared" si="31"/>
        <v>241280.82683000001</v>
      </c>
      <c r="N203" s="99">
        <f t="shared" si="32"/>
        <v>42200</v>
      </c>
      <c r="O203" s="73">
        <f t="shared" si="33"/>
        <v>193824.661464</v>
      </c>
      <c r="P203" s="73">
        <f t="shared" si="34"/>
        <v>236024.661464</v>
      </c>
      <c r="Q203" s="301">
        <f t="shared" si="35"/>
        <v>39246</v>
      </c>
      <c r="R203" s="301">
        <f t="shared" si="36"/>
        <v>180256.93516152</v>
      </c>
      <c r="S203" s="300">
        <f t="shared" si="37"/>
        <v>219502.93516152</v>
      </c>
    </row>
    <row r="204" spans="1:19" ht="12" x14ac:dyDescent="0.2">
      <c r="A204" s="49">
        <v>191</v>
      </c>
      <c r="B204" s="47" t="s">
        <v>120</v>
      </c>
      <c r="C204" s="33" t="s">
        <v>153</v>
      </c>
      <c r="D204" s="111">
        <v>5242405.2141552502</v>
      </c>
      <c r="E204" s="112">
        <v>1607321.4386599995</v>
      </c>
      <c r="F204" s="112">
        <v>6429285.754639999</v>
      </c>
      <c r="G204" s="112">
        <v>8036607.1932999985</v>
      </c>
      <c r="H204" s="254">
        <f t="shared" si="29"/>
        <v>1040000</v>
      </c>
      <c r="I204" s="254">
        <v>5200000</v>
      </c>
      <c r="J204" s="255">
        <f t="shared" si="30"/>
        <v>6240000</v>
      </c>
      <c r="K204" s="141">
        <f>1607321.43866-1000</f>
        <v>1606321.43866</v>
      </c>
      <c r="L204" s="141">
        <v>6429285.754639999</v>
      </c>
      <c r="M204" s="142">
        <f t="shared" si="31"/>
        <v>8035607.1932999995</v>
      </c>
      <c r="N204" s="99">
        <f t="shared" si="32"/>
        <v>1040000</v>
      </c>
      <c r="O204" s="73">
        <f t="shared" si="33"/>
        <v>5200000</v>
      </c>
      <c r="P204" s="73">
        <f t="shared" si="34"/>
        <v>6240000</v>
      </c>
      <c r="Q204" s="301">
        <f t="shared" si="35"/>
        <v>967200</v>
      </c>
      <c r="R204" s="301">
        <f t="shared" si="36"/>
        <v>4836000</v>
      </c>
      <c r="S204" s="300">
        <f t="shared" si="37"/>
        <v>5803200</v>
      </c>
    </row>
    <row r="205" spans="1:19" ht="12" x14ac:dyDescent="0.2">
      <c r="A205" s="49">
        <v>192</v>
      </c>
      <c r="B205" s="47" t="s">
        <v>242</v>
      </c>
      <c r="C205" s="33" t="s">
        <v>153</v>
      </c>
      <c r="D205" s="111">
        <v>121344.28377031042</v>
      </c>
      <c r="E205" s="112">
        <v>35189.842293390015</v>
      </c>
      <c r="F205" s="112">
        <v>140759.36917356009</v>
      </c>
      <c r="G205" s="112">
        <v>175949.2114669501</v>
      </c>
      <c r="H205" s="254">
        <f t="shared" si="29"/>
        <v>28000</v>
      </c>
      <c r="I205" s="254">
        <v>140000</v>
      </c>
      <c r="J205" s="255">
        <f t="shared" si="30"/>
        <v>168000</v>
      </c>
      <c r="K205" s="141">
        <f>35189.84229339-1000</f>
        <v>34189.84229339</v>
      </c>
      <c r="L205" s="141">
        <v>140759.36917356009</v>
      </c>
      <c r="M205" s="142">
        <f t="shared" si="31"/>
        <v>174949.21146695007</v>
      </c>
      <c r="N205" s="99">
        <f t="shared" si="32"/>
        <v>28000</v>
      </c>
      <c r="O205" s="73">
        <f t="shared" si="33"/>
        <v>140000</v>
      </c>
      <c r="P205" s="73">
        <f t="shared" si="34"/>
        <v>168000</v>
      </c>
      <c r="Q205" s="301">
        <f t="shared" si="35"/>
        <v>26040</v>
      </c>
      <c r="R205" s="301">
        <f t="shared" si="36"/>
        <v>130200</v>
      </c>
      <c r="S205" s="300">
        <f t="shared" si="37"/>
        <v>156240</v>
      </c>
    </row>
    <row r="206" spans="1:19" ht="12" x14ac:dyDescent="0.25">
      <c r="A206" s="49">
        <v>193</v>
      </c>
      <c r="B206" s="50" t="s">
        <v>230</v>
      </c>
      <c r="C206" s="33" t="s">
        <v>153</v>
      </c>
      <c r="D206" s="111">
        <v>608175.505</v>
      </c>
      <c r="E206" s="112">
        <v>176370.89645</v>
      </c>
      <c r="F206" s="112">
        <v>705483.5858</v>
      </c>
      <c r="G206" s="112">
        <v>881854.48225</v>
      </c>
      <c r="H206" s="254">
        <f t="shared" si="29"/>
        <v>122000</v>
      </c>
      <c r="I206" s="254">
        <v>610000</v>
      </c>
      <c r="J206" s="255">
        <f t="shared" si="30"/>
        <v>732000</v>
      </c>
      <c r="K206" s="141">
        <f>176370.89645-1000</f>
        <v>175370.89645</v>
      </c>
      <c r="L206" s="141">
        <v>705483.5858</v>
      </c>
      <c r="M206" s="142">
        <f t="shared" si="31"/>
        <v>880854.48225</v>
      </c>
      <c r="N206" s="99">
        <f t="shared" si="32"/>
        <v>122000</v>
      </c>
      <c r="O206" s="73">
        <f t="shared" si="33"/>
        <v>610000</v>
      </c>
      <c r="P206" s="73">
        <f t="shared" si="34"/>
        <v>732000</v>
      </c>
      <c r="Q206" s="301">
        <f t="shared" si="35"/>
        <v>113460</v>
      </c>
      <c r="R206" s="301">
        <f t="shared" si="36"/>
        <v>567300</v>
      </c>
      <c r="S206" s="300">
        <f t="shared" si="37"/>
        <v>680760</v>
      </c>
    </row>
    <row r="207" spans="1:19" ht="12" x14ac:dyDescent="0.25">
      <c r="A207" s="49">
        <v>194</v>
      </c>
      <c r="B207" s="50" t="s">
        <v>231</v>
      </c>
      <c r="C207" s="33" t="s">
        <v>153</v>
      </c>
      <c r="D207" s="111">
        <v>19419.059132000002</v>
      </c>
      <c r="E207" s="112">
        <v>5631.5271482799981</v>
      </c>
      <c r="F207" s="112">
        <v>22526.108593120003</v>
      </c>
      <c r="G207" s="112">
        <v>28157.635741400001</v>
      </c>
      <c r="H207" s="254">
        <f t="shared" si="29"/>
        <v>4000</v>
      </c>
      <c r="I207" s="254">
        <v>20000</v>
      </c>
      <c r="J207" s="255">
        <f t="shared" si="30"/>
        <v>24000</v>
      </c>
      <c r="K207" s="141">
        <f>5631.52714828-500</f>
        <v>5131.5271482799999</v>
      </c>
      <c r="L207" s="141">
        <v>22526.108593120003</v>
      </c>
      <c r="M207" s="142">
        <f t="shared" si="31"/>
        <v>27657.635741400001</v>
      </c>
      <c r="N207" s="99">
        <f t="shared" si="32"/>
        <v>4000</v>
      </c>
      <c r="O207" s="73">
        <f t="shared" si="33"/>
        <v>20000</v>
      </c>
      <c r="P207" s="73">
        <f t="shared" si="34"/>
        <v>24000</v>
      </c>
      <c r="Q207" s="301">
        <f t="shared" si="35"/>
        <v>3720</v>
      </c>
      <c r="R207" s="301">
        <f t="shared" si="36"/>
        <v>18600</v>
      </c>
      <c r="S207" s="300">
        <f t="shared" si="37"/>
        <v>22320</v>
      </c>
    </row>
    <row r="208" spans="1:19" ht="22.5" x14ac:dyDescent="0.25">
      <c r="A208" s="49"/>
      <c r="B208" s="29" t="s">
        <v>44</v>
      </c>
      <c r="C208" s="33" t="s">
        <v>153</v>
      </c>
      <c r="D208" s="111"/>
      <c r="E208" s="112"/>
      <c r="F208" s="112"/>
      <c r="G208" s="112"/>
      <c r="H208" s="254">
        <f t="shared" si="29"/>
        <v>0</v>
      </c>
      <c r="I208" s="254"/>
      <c r="J208" s="255">
        <f t="shared" si="30"/>
        <v>0</v>
      </c>
      <c r="K208" s="143"/>
      <c r="L208" s="144"/>
      <c r="M208" s="142">
        <f t="shared" si="31"/>
        <v>0</v>
      </c>
      <c r="N208" s="99">
        <f t="shared" si="32"/>
        <v>0</v>
      </c>
      <c r="O208" s="73">
        <f t="shared" si="33"/>
        <v>0</v>
      </c>
      <c r="P208" s="73">
        <f t="shared" si="34"/>
        <v>0</v>
      </c>
      <c r="Q208" s="301">
        <f t="shared" si="35"/>
        <v>0</v>
      </c>
      <c r="R208" s="301">
        <f t="shared" si="36"/>
        <v>0</v>
      </c>
      <c r="S208" s="300">
        <f t="shared" si="37"/>
        <v>0</v>
      </c>
    </row>
    <row r="209" spans="1:19" ht="12" x14ac:dyDescent="0.2">
      <c r="A209" s="49">
        <v>195</v>
      </c>
      <c r="B209" s="47" t="s">
        <v>86</v>
      </c>
      <c r="C209" s="33" t="s">
        <v>153</v>
      </c>
      <c r="D209" s="111">
        <v>99035.63348417508</v>
      </c>
      <c r="E209" s="112">
        <v>28720.333710410763</v>
      </c>
      <c r="F209" s="112">
        <v>114881.3348416431</v>
      </c>
      <c r="G209" s="112">
        <v>143601.66855205386</v>
      </c>
      <c r="H209" s="254">
        <f t="shared" si="29"/>
        <v>23200</v>
      </c>
      <c r="I209" s="254">
        <v>116000</v>
      </c>
      <c r="J209" s="255">
        <f t="shared" si="30"/>
        <v>139200</v>
      </c>
      <c r="K209" s="141">
        <f>28720.3337104108-1000</f>
        <v>27720.3337104108</v>
      </c>
      <c r="L209" s="141">
        <v>114881.3348416431</v>
      </c>
      <c r="M209" s="142">
        <f t="shared" si="31"/>
        <v>142601.66855205389</v>
      </c>
      <c r="N209" s="99">
        <f t="shared" si="32"/>
        <v>23200</v>
      </c>
      <c r="O209" s="73">
        <f t="shared" si="33"/>
        <v>114881.3348416431</v>
      </c>
      <c r="P209" s="73">
        <f t="shared" si="34"/>
        <v>138081.33484164311</v>
      </c>
      <c r="Q209" s="301">
        <f t="shared" si="35"/>
        <v>21576</v>
      </c>
      <c r="R209" s="301">
        <f t="shared" si="36"/>
        <v>106839.64140272808</v>
      </c>
      <c r="S209" s="300">
        <f t="shared" si="37"/>
        <v>128415.64140272808</v>
      </c>
    </row>
    <row r="210" spans="1:19" ht="12" x14ac:dyDescent="0.25">
      <c r="A210" s="49">
        <v>196</v>
      </c>
      <c r="B210" s="50" t="s">
        <v>45</v>
      </c>
      <c r="C210" s="33" t="s">
        <v>153</v>
      </c>
      <c r="D210" s="111">
        <v>608130.40539999993</v>
      </c>
      <c r="E210" s="112">
        <v>176357.81756599993</v>
      </c>
      <c r="F210" s="112">
        <v>705431.27026399993</v>
      </c>
      <c r="G210" s="112">
        <v>881789.08782999986</v>
      </c>
      <c r="H210" s="254">
        <f t="shared" si="29"/>
        <v>15200</v>
      </c>
      <c r="I210" s="254">
        <v>76000</v>
      </c>
      <c r="J210" s="255">
        <f t="shared" si="30"/>
        <v>91200</v>
      </c>
      <c r="K210" s="141">
        <f>176357.817566-1000</f>
        <v>175357.81756600001</v>
      </c>
      <c r="L210" s="141">
        <v>705431.27026399993</v>
      </c>
      <c r="M210" s="142">
        <f t="shared" si="31"/>
        <v>880789.08782999997</v>
      </c>
      <c r="N210" s="99">
        <f t="shared" si="32"/>
        <v>15200</v>
      </c>
      <c r="O210" s="73">
        <f t="shared" si="33"/>
        <v>76000</v>
      </c>
      <c r="P210" s="73">
        <f t="shared" si="34"/>
        <v>91200</v>
      </c>
      <c r="Q210" s="301">
        <f t="shared" si="35"/>
        <v>14136</v>
      </c>
      <c r="R210" s="301">
        <f t="shared" si="36"/>
        <v>70680</v>
      </c>
      <c r="S210" s="300">
        <f t="shared" si="37"/>
        <v>84816</v>
      </c>
    </row>
    <row r="211" spans="1:19" ht="12" x14ac:dyDescent="0.25">
      <c r="A211" s="49">
        <v>197</v>
      </c>
      <c r="B211" s="40" t="s">
        <v>243</v>
      </c>
      <c r="C211" s="33" t="s">
        <v>153</v>
      </c>
      <c r="D211" s="111">
        <v>360769.90210419084</v>
      </c>
      <c r="E211" s="112">
        <v>104623.27161021531</v>
      </c>
      <c r="F211" s="112">
        <v>418493.0864408614</v>
      </c>
      <c r="G211" s="112">
        <v>523116.35805107671</v>
      </c>
      <c r="H211" s="254">
        <f t="shared" si="29"/>
        <v>90000</v>
      </c>
      <c r="I211" s="254">
        <v>450000</v>
      </c>
      <c r="J211" s="255">
        <f t="shared" si="30"/>
        <v>540000</v>
      </c>
      <c r="K211" s="141">
        <f>104623.271610215-1000</f>
        <v>103623.271610215</v>
      </c>
      <c r="L211" s="141">
        <v>418493.0864408614</v>
      </c>
      <c r="M211" s="142">
        <f t="shared" si="31"/>
        <v>522116.35805107641</v>
      </c>
      <c r="N211" s="99">
        <f t="shared" si="32"/>
        <v>90000</v>
      </c>
      <c r="O211" s="73">
        <f t="shared" si="33"/>
        <v>418493.0864408614</v>
      </c>
      <c r="P211" s="73">
        <f t="shared" si="34"/>
        <v>508493.0864408614</v>
      </c>
      <c r="Q211" s="301">
        <f t="shared" si="35"/>
        <v>83700</v>
      </c>
      <c r="R211" s="301">
        <f t="shared" si="36"/>
        <v>389198.57039000111</v>
      </c>
      <c r="S211" s="300">
        <f t="shared" si="37"/>
        <v>472898.57039000111</v>
      </c>
    </row>
    <row r="212" spans="1:19" ht="12" x14ac:dyDescent="0.25">
      <c r="A212" s="49">
        <v>198</v>
      </c>
      <c r="B212" s="50" t="s">
        <v>46</v>
      </c>
      <c r="C212" s="33" t="s">
        <v>153</v>
      </c>
      <c r="D212" s="111">
        <v>68781.836261713892</v>
      </c>
      <c r="E212" s="112">
        <v>19946.73251589702</v>
      </c>
      <c r="F212" s="112">
        <v>79786.930063588123</v>
      </c>
      <c r="G212" s="112">
        <v>99733.662579485142</v>
      </c>
      <c r="H212" s="254">
        <f t="shared" si="29"/>
        <v>17400</v>
      </c>
      <c r="I212" s="254">
        <v>87000</v>
      </c>
      <c r="J212" s="255">
        <f t="shared" si="30"/>
        <v>104400</v>
      </c>
      <c r="K212" s="141">
        <f>19946.732515897-1000</f>
        <v>18946.732515897002</v>
      </c>
      <c r="L212" s="141">
        <v>79786.930063588123</v>
      </c>
      <c r="M212" s="142">
        <f t="shared" si="31"/>
        <v>98733.662579485128</v>
      </c>
      <c r="N212" s="99">
        <f t="shared" si="32"/>
        <v>17400</v>
      </c>
      <c r="O212" s="73">
        <f t="shared" si="33"/>
        <v>79786.930063588123</v>
      </c>
      <c r="P212" s="73">
        <f t="shared" si="34"/>
        <v>97186.930063588123</v>
      </c>
      <c r="Q212" s="301">
        <f t="shared" si="35"/>
        <v>16182</v>
      </c>
      <c r="R212" s="301">
        <f t="shared" si="36"/>
        <v>74201.844959136957</v>
      </c>
      <c r="S212" s="300">
        <f t="shared" si="37"/>
        <v>90383.844959136957</v>
      </c>
    </row>
    <row r="213" spans="1:19" ht="12" x14ac:dyDescent="0.2">
      <c r="A213" s="49">
        <v>199</v>
      </c>
      <c r="B213" s="47" t="s">
        <v>87</v>
      </c>
      <c r="C213" s="33" t="s">
        <v>153</v>
      </c>
      <c r="D213" s="111">
        <v>73367.292012494814</v>
      </c>
      <c r="E213" s="112">
        <v>21276.514683623493</v>
      </c>
      <c r="F213" s="112">
        <v>85106.058734493985</v>
      </c>
      <c r="G213" s="112">
        <v>106382.57341811748</v>
      </c>
      <c r="H213" s="254">
        <f t="shared" si="29"/>
        <v>18000</v>
      </c>
      <c r="I213" s="254">
        <v>90000</v>
      </c>
      <c r="J213" s="255">
        <f t="shared" si="30"/>
        <v>108000</v>
      </c>
      <c r="K213" s="141">
        <f>21276.5146836235-1000</f>
        <v>20276.5146836235</v>
      </c>
      <c r="L213" s="141">
        <v>85106.058734493985</v>
      </c>
      <c r="M213" s="142">
        <f t="shared" si="31"/>
        <v>105382.57341811748</v>
      </c>
      <c r="N213" s="99">
        <f t="shared" si="32"/>
        <v>18000</v>
      </c>
      <c r="O213" s="73">
        <f t="shared" si="33"/>
        <v>85106.058734493985</v>
      </c>
      <c r="P213" s="73">
        <f t="shared" si="34"/>
        <v>103106.05873449398</v>
      </c>
      <c r="Q213" s="301">
        <f t="shared" si="35"/>
        <v>16740</v>
      </c>
      <c r="R213" s="301">
        <f t="shared" si="36"/>
        <v>79148.634623079401</v>
      </c>
      <c r="S213" s="300">
        <f t="shared" si="37"/>
        <v>95888.634623079401</v>
      </c>
    </row>
    <row r="214" spans="1:19" ht="12" x14ac:dyDescent="0.25">
      <c r="A214" s="49">
        <v>200</v>
      </c>
      <c r="B214" s="46" t="s">
        <v>129</v>
      </c>
      <c r="C214" s="33" t="s">
        <v>153</v>
      </c>
      <c r="D214" s="111">
        <v>179783.339257593</v>
      </c>
      <c r="E214" s="112">
        <v>52137.168384701945</v>
      </c>
      <c r="F214" s="112">
        <v>208548.6735388079</v>
      </c>
      <c r="G214" s="112">
        <v>260685.84192350984</v>
      </c>
      <c r="H214" s="254">
        <f t="shared" si="29"/>
        <v>44000</v>
      </c>
      <c r="I214" s="254">
        <v>220000</v>
      </c>
      <c r="J214" s="255">
        <f t="shared" si="30"/>
        <v>264000</v>
      </c>
      <c r="K214" s="141">
        <f>52137.1683847019-1000</f>
        <v>51137.168384701901</v>
      </c>
      <c r="L214" s="141">
        <v>208548.6735388079</v>
      </c>
      <c r="M214" s="142">
        <f t="shared" si="31"/>
        <v>259685.84192350978</v>
      </c>
      <c r="N214" s="99">
        <f t="shared" si="32"/>
        <v>44000</v>
      </c>
      <c r="O214" s="73">
        <f t="shared" si="33"/>
        <v>208548.6735388079</v>
      </c>
      <c r="P214" s="73">
        <f t="shared" si="34"/>
        <v>252548.6735388079</v>
      </c>
      <c r="Q214" s="301">
        <f t="shared" si="35"/>
        <v>40920</v>
      </c>
      <c r="R214" s="301">
        <f t="shared" si="36"/>
        <v>193950.26639109134</v>
      </c>
      <c r="S214" s="300">
        <f t="shared" si="37"/>
        <v>234870.26639109134</v>
      </c>
    </row>
    <row r="215" spans="1:19" ht="22.5" x14ac:dyDescent="0.25">
      <c r="A215" s="49"/>
      <c r="B215" s="29" t="s">
        <v>59</v>
      </c>
      <c r="C215" s="33" t="s">
        <v>153</v>
      </c>
      <c r="D215" s="111"/>
      <c r="E215" s="112"/>
      <c r="F215" s="112"/>
      <c r="G215" s="112"/>
      <c r="H215" s="254">
        <f t="shared" si="29"/>
        <v>0</v>
      </c>
      <c r="I215" s="254"/>
      <c r="J215" s="255">
        <f t="shared" si="30"/>
        <v>0</v>
      </c>
      <c r="K215" s="143"/>
      <c r="L215" s="144"/>
      <c r="M215" s="142">
        <f t="shared" si="31"/>
        <v>0</v>
      </c>
      <c r="N215" s="99">
        <f t="shared" si="32"/>
        <v>0</v>
      </c>
      <c r="O215" s="73">
        <f t="shared" si="33"/>
        <v>0</v>
      </c>
      <c r="P215" s="73">
        <f t="shared" si="34"/>
        <v>0</v>
      </c>
      <c r="Q215" s="301">
        <f t="shared" si="35"/>
        <v>0</v>
      </c>
      <c r="R215" s="301">
        <f t="shared" si="36"/>
        <v>0</v>
      </c>
      <c r="S215" s="300">
        <f t="shared" si="37"/>
        <v>0</v>
      </c>
    </row>
    <row r="216" spans="1:19" ht="12" x14ac:dyDescent="0.25">
      <c r="A216" s="49">
        <v>201</v>
      </c>
      <c r="B216" s="50" t="s">
        <v>60</v>
      </c>
      <c r="C216" s="33" t="s">
        <v>153</v>
      </c>
      <c r="D216" s="111">
        <v>192610.42499999999</v>
      </c>
      <c r="E216" s="112">
        <v>55857.023249999969</v>
      </c>
      <c r="F216" s="112">
        <v>223428.09299999999</v>
      </c>
      <c r="G216" s="112">
        <v>279285.11624999996</v>
      </c>
      <c r="H216" s="254">
        <f t="shared" si="29"/>
        <v>44000</v>
      </c>
      <c r="I216" s="254">
        <v>220000</v>
      </c>
      <c r="J216" s="255">
        <f t="shared" si="30"/>
        <v>264000</v>
      </c>
      <c r="K216" s="141">
        <f>55857.02325-1000</f>
        <v>54857.023249999998</v>
      </c>
      <c r="L216" s="141">
        <v>223428.09299999999</v>
      </c>
      <c r="M216" s="142">
        <f t="shared" si="31"/>
        <v>278285.11624999996</v>
      </c>
      <c r="N216" s="99">
        <f t="shared" si="32"/>
        <v>44000</v>
      </c>
      <c r="O216" s="73">
        <f t="shared" si="33"/>
        <v>220000</v>
      </c>
      <c r="P216" s="73">
        <f t="shared" si="34"/>
        <v>264000</v>
      </c>
      <c r="Q216" s="301">
        <f t="shared" si="35"/>
        <v>40920</v>
      </c>
      <c r="R216" s="301">
        <f t="shared" si="36"/>
        <v>204600</v>
      </c>
      <c r="S216" s="300">
        <f t="shared" si="37"/>
        <v>245520</v>
      </c>
    </row>
    <row r="217" spans="1:19" ht="12" x14ac:dyDescent="0.25">
      <c r="A217" s="49">
        <v>202</v>
      </c>
      <c r="B217" s="50" t="s">
        <v>131</v>
      </c>
      <c r="C217" s="33" t="s">
        <v>153</v>
      </c>
      <c r="D217" s="111">
        <v>37412.2738472329</v>
      </c>
      <c r="E217" s="112">
        <v>10849.559415697535</v>
      </c>
      <c r="F217" s="112">
        <v>43398.237662790169</v>
      </c>
      <c r="G217" s="112">
        <v>54247.797078487703</v>
      </c>
      <c r="H217" s="254">
        <f t="shared" si="29"/>
        <v>8000</v>
      </c>
      <c r="I217" s="254">
        <v>40000</v>
      </c>
      <c r="J217" s="255">
        <f t="shared" si="30"/>
        <v>48000</v>
      </c>
      <c r="K217" s="141">
        <f>10849.5594156975-1000</f>
        <v>9849.5594156975003</v>
      </c>
      <c r="L217" s="141">
        <v>43398.237662790169</v>
      </c>
      <c r="M217" s="142">
        <f t="shared" si="31"/>
        <v>53247.797078487667</v>
      </c>
      <c r="N217" s="99">
        <f t="shared" si="32"/>
        <v>8000</v>
      </c>
      <c r="O217" s="73">
        <f t="shared" si="33"/>
        <v>40000</v>
      </c>
      <c r="P217" s="73">
        <f t="shared" si="34"/>
        <v>48000</v>
      </c>
      <c r="Q217" s="301">
        <f t="shared" si="35"/>
        <v>7440</v>
      </c>
      <c r="R217" s="301">
        <f t="shared" si="36"/>
        <v>37200</v>
      </c>
      <c r="S217" s="300">
        <f t="shared" si="37"/>
        <v>44640</v>
      </c>
    </row>
    <row r="218" spans="1:19" ht="12" x14ac:dyDescent="0.25">
      <c r="A218" s="49">
        <v>203</v>
      </c>
      <c r="B218" s="50" t="s">
        <v>244</v>
      </c>
      <c r="C218" s="33" t="s">
        <v>153</v>
      </c>
      <c r="D218" s="111">
        <v>200312.2254</v>
      </c>
      <c r="E218" s="112">
        <v>58090.545365999977</v>
      </c>
      <c r="F218" s="112">
        <v>232362.18146400002</v>
      </c>
      <c r="G218" s="112">
        <v>290452.72683</v>
      </c>
      <c r="H218" s="254">
        <f t="shared" si="29"/>
        <v>36000</v>
      </c>
      <c r="I218" s="254">
        <v>180000</v>
      </c>
      <c r="J218" s="255">
        <f t="shared" si="30"/>
        <v>216000</v>
      </c>
      <c r="K218" s="141">
        <f>58090.545366-1000</f>
        <v>57090.545365999998</v>
      </c>
      <c r="L218" s="141">
        <v>232362.18146400002</v>
      </c>
      <c r="M218" s="142">
        <f t="shared" si="31"/>
        <v>289452.72683</v>
      </c>
      <c r="N218" s="99">
        <f t="shared" si="32"/>
        <v>36000</v>
      </c>
      <c r="O218" s="73">
        <f t="shared" si="33"/>
        <v>180000</v>
      </c>
      <c r="P218" s="73">
        <f t="shared" si="34"/>
        <v>216000</v>
      </c>
      <c r="Q218" s="301">
        <f t="shared" si="35"/>
        <v>33480</v>
      </c>
      <c r="R218" s="301">
        <f t="shared" si="36"/>
        <v>167400</v>
      </c>
      <c r="S218" s="300">
        <f t="shared" si="37"/>
        <v>200880</v>
      </c>
    </row>
    <row r="219" spans="1:19" ht="12" x14ac:dyDescent="0.25">
      <c r="A219" s="49">
        <v>204</v>
      </c>
      <c r="B219" s="50" t="s">
        <v>319</v>
      </c>
      <c r="C219" s="33" t="s">
        <v>153</v>
      </c>
      <c r="D219" s="111">
        <v>82531.001311000015</v>
      </c>
      <c r="E219" s="112">
        <v>23933.990380189993</v>
      </c>
      <c r="F219" s="112">
        <v>95735.961520760029</v>
      </c>
      <c r="G219" s="112">
        <v>119669.95190095002</v>
      </c>
      <c r="H219" s="254">
        <f t="shared" si="29"/>
        <v>2000</v>
      </c>
      <c r="I219" s="254">
        <v>10000</v>
      </c>
      <c r="J219" s="255">
        <f t="shared" si="30"/>
        <v>12000</v>
      </c>
      <c r="K219" s="141">
        <f>23933.99038019-1000</f>
        <v>22933.99038019</v>
      </c>
      <c r="L219" s="141">
        <v>95735.961520760029</v>
      </c>
      <c r="M219" s="142">
        <f t="shared" si="31"/>
        <v>118669.95190095002</v>
      </c>
      <c r="N219" s="99">
        <f t="shared" si="32"/>
        <v>2000</v>
      </c>
      <c r="O219" s="73">
        <f t="shared" si="33"/>
        <v>10000</v>
      </c>
      <c r="P219" s="73">
        <f t="shared" si="34"/>
        <v>12000</v>
      </c>
      <c r="Q219" s="301">
        <f t="shared" si="35"/>
        <v>1860</v>
      </c>
      <c r="R219" s="301">
        <f t="shared" si="36"/>
        <v>9300</v>
      </c>
      <c r="S219" s="300">
        <f t="shared" si="37"/>
        <v>11160</v>
      </c>
    </row>
    <row r="220" spans="1:19" ht="12" x14ac:dyDescent="0.25">
      <c r="A220" s="49">
        <v>205</v>
      </c>
      <c r="B220" s="50" t="s">
        <v>320</v>
      </c>
      <c r="C220" s="33" t="s">
        <v>153</v>
      </c>
      <c r="D220" s="111">
        <v>112945.31360000001</v>
      </c>
      <c r="E220" s="112">
        <v>32754.140943999999</v>
      </c>
      <c r="F220" s="112">
        <v>131016.56377600001</v>
      </c>
      <c r="G220" s="112">
        <v>163770.70472000001</v>
      </c>
      <c r="H220" s="254">
        <f t="shared" si="29"/>
        <v>18000</v>
      </c>
      <c r="I220" s="254">
        <v>90000</v>
      </c>
      <c r="J220" s="255">
        <f t="shared" si="30"/>
        <v>108000</v>
      </c>
      <c r="K220" s="141">
        <f>32754.140944-1000</f>
        <v>31754.140943999999</v>
      </c>
      <c r="L220" s="141">
        <v>131016.56377600001</v>
      </c>
      <c r="M220" s="142">
        <f t="shared" si="31"/>
        <v>162770.70472000001</v>
      </c>
      <c r="N220" s="99">
        <f t="shared" si="32"/>
        <v>18000</v>
      </c>
      <c r="O220" s="73">
        <f t="shared" si="33"/>
        <v>90000</v>
      </c>
      <c r="P220" s="73">
        <f t="shared" si="34"/>
        <v>108000</v>
      </c>
      <c r="Q220" s="301">
        <f t="shared" si="35"/>
        <v>16740</v>
      </c>
      <c r="R220" s="301">
        <f t="shared" si="36"/>
        <v>83700</v>
      </c>
      <c r="S220" s="300">
        <f t="shared" si="37"/>
        <v>100440</v>
      </c>
    </row>
    <row r="221" spans="1:19" ht="12" x14ac:dyDescent="0.25">
      <c r="A221" s="49">
        <v>206</v>
      </c>
      <c r="B221" s="50" t="s">
        <v>61</v>
      </c>
      <c r="C221" s="33" t="s">
        <v>153</v>
      </c>
      <c r="D221" s="111">
        <v>54373.365569600013</v>
      </c>
      <c r="E221" s="112">
        <v>15768.276015184005</v>
      </c>
      <c r="F221" s="112">
        <v>63073.104060736019</v>
      </c>
      <c r="G221" s="112">
        <v>78841.380075920024</v>
      </c>
      <c r="H221" s="254">
        <f t="shared" si="29"/>
        <v>1200</v>
      </c>
      <c r="I221" s="254">
        <v>6000</v>
      </c>
      <c r="J221" s="255">
        <f t="shared" si="30"/>
        <v>7200</v>
      </c>
      <c r="K221" s="141">
        <f>15768.276015184-1000</f>
        <v>14768.276015183999</v>
      </c>
      <c r="L221" s="141">
        <v>63073.104060736019</v>
      </c>
      <c r="M221" s="142">
        <f t="shared" si="31"/>
        <v>77841.380075920024</v>
      </c>
      <c r="N221" s="99">
        <f t="shared" si="32"/>
        <v>1200</v>
      </c>
      <c r="O221" s="73">
        <f t="shared" si="33"/>
        <v>6000</v>
      </c>
      <c r="P221" s="73">
        <f t="shared" si="34"/>
        <v>7200</v>
      </c>
      <c r="Q221" s="301">
        <f t="shared" si="35"/>
        <v>1116</v>
      </c>
      <c r="R221" s="301">
        <f t="shared" si="36"/>
        <v>5580</v>
      </c>
      <c r="S221" s="300">
        <f t="shared" si="37"/>
        <v>6696</v>
      </c>
    </row>
    <row r="222" spans="1:19" ht="12" x14ac:dyDescent="0.25">
      <c r="A222" s="49">
        <v>207</v>
      </c>
      <c r="B222" s="50" t="s">
        <v>118</v>
      </c>
      <c r="C222" s="33" t="s">
        <v>153</v>
      </c>
      <c r="D222" s="111">
        <v>171912.1292</v>
      </c>
      <c r="E222" s="112">
        <v>49854.517467999976</v>
      </c>
      <c r="F222" s="112">
        <v>199418.06987200002</v>
      </c>
      <c r="G222" s="112">
        <v>249272.58734</v>
      </c>
      <c r="H222" s="254">
        <f t="shared" si="29"/>
        <v>36000</v>
      </c>
      <c r="I222" s="254">
        <v>180000</v>
      </c>
      <c r="J222" s="255">
        <f t="shared" si="30"/>
        <v>216000</v>
      </c>
      <c r="K222" s="141">
        <f>49854.517468-1000</f>
        <v>48854.517467999998</v>
      </c>
      <c r="L222" s="141">
        <v>199418.06987200002</v>
      </c>
      <c r="M222" s="142">
        <f t="shared" si="31"/>
        <v>248272.58734000003</v>
      </c>
      <c r="N222" s="99">
        <f t="shared" si="32"/>
        <v>36000</v>
      </c>
      <c r="O222" s="73">
        <f t="shared" si="33"/>
        <v>180000</v>
      </c>
      <c r="P222" s="73">
        <f t="shared" si="34"/>
        <v>216000</v>
      </c>
      <c r="Q222" s="301">
        <f t="shared" si="35"/>
        <v>33480</v>
      </c>
      <c r="R222" s="301">
        <f t="shared" si="36"/>
        <v>167400</v>
      </c>
      <c r="S222" s="300">
        <f t="shared" si="37"/>
        <v>200880</v>
      </c>
    </row>
    <row r="223" spans="1:19" ht="12" x14ac:dyDescent="0.25">
      <c r="A223" s="49">
        <v>208</v>
      </c>
      <c r="B223" s="50" t="s">
        <v>321</v>
      </c>
      <c r="C223" s="33" t="s">
        <v>153</v>
      </c>
      <c r="D223" s="111">
        <v>137626.57440000001</v>
      </c>
      <c r="E223" s="112">
        <v>39911.706575999997</v>
      </c>
      <c r="F223" s="112">
        <v>159646.82630400002</v>
      </c>
      <c r="G223" s="112">
        <v>199558.53288000001</v>
      </c>
      <c r="H223" s="254">
        <f t="shared" si="29"/>
        <v>34000</v>
      </c>
      <c r="I223" s="254">
        <v>170000</v>
      </c>
      <c r="J223" s="255">
        <f t="shared" si="30"/>
        <v>204000</v>
      </c>
      <c r="K223" s="141">
        <f>39911.706576-1000</f>
        <v>38911.706575999997</v>
      </c>
      <c r="L223" s="141">
        <v>159646.82630400002</v>
      </c>
      <c r="M223" s="142">
        <f t="shared" si="31"/>
        <v>198558.53288000001</v>
      </c>
      <c r="N223" s="99">
        <f t="shared" si="32"/>
        <v>34000</v>
      </c>
      <c r="O223" s="73">
        <f t="shared" si="33"/>
        <v>159646.82630400002</v>
      </c>
      <c r="P223" s="73">
        <f t="shared" si="34"/>
        <v>193646.82630400002</v>
      </c>
      <c r="Q223" s="301">
        <f t="shared" si="35"/>
        <v>31620</v>
      </c>
      <c r="R223" s="301">
        <f t="shared" si="36"/>
        <v>148471.54846272001</v>
      </c>
      <c r="S223" s="300">
        <f t="shared" si="37"/>
        <v>180091.54846272001</v>
      </c>
    </row>
    <row r="224" spans="1:19" ht="12" x14ac:dyDescent="0.25">
      <c r="A224" s="49">
        <v>209</v>
      </c>
      <c r="B224" s="50" t="s">
        <v>104</v>
      </c>
      <c r="C224" s="33" t="s">
        <v>153</v>
      </c>
      <c r="D224" s="111">
        <v>137626.57440000001</v>
      </c>
      <c r="E224" s="112">
        <v>39911.706575999997</v>
      </c>
      <c r="F224" s="112">
        <v>159646.82630400002</v>
      </c>
      <c r="G224" s="112">
        <v>199558.53288000001</v>
      </c>
      <c r="H224" s="254">
        <f t="shared" si="29"/>
        <v>34000</v>
      </c>
      <c r="I224" s="254">
        <v>170000</v>
      </c>
      <c r="J224" s="255">
        <f t="shared" si="30"/>
        <v>204000</v>
      </c>
      <c r="K224" s="141">
        <f>39911.706576-1000</f>
        <v>38911.706575999997</v>
      </c>
      <c r="L224" s="141">
        <v>159646.82630400002</v>
      </c>
      <c r="M224" s="142">
        <f t="shared" si="31"/>
        <v>198558.53288000001</v>
      </c>
      <c r="N224" s="99">
        <f t="shared" si="32"/>
        <v>34000</v>
      </c>
      <c r="O224" s="73">
        <f t="shared" si="33"/>
        <v>159646.82630400002</v>
      </c>
      <c r="P224" s="73">
        <f t="shared" si="34"/>
        <v>193646.82630400002</v>
      </c>
      <c r="Q224" s="301">
        <f t="shared" si="35"/>
        <v>31620</v>
      </c>
      <c r="R224" s="301">
        <f t="shared" si="36"/>
        <v>148471.54846272001</v>
      </c>
      <c r="S224" s="300">
        <f t="shared" si="37"/>
        <v>180091.54846272001</v>
      </c>
    </row>
    <row r="225" spans="1:19" ht="12" x14ac:dyDescent="0.25">
      <c r="A225" s="49">
        <v>210</v>
      </c>
      <c r="B225" s="50" t="s">
        <v>247</v>
      </c>
      <c r="C225" s="33" t="s">
        <v>153</v>
      </c>
      <c r="D225" s="111">
        <v>15000</v>
      </c>
      <c r="E225" s="112">
        <v>4350</v>
      </c>
      <c r="F225" s="112">
        <v>17400</v>
      </c>
      <c r="G225" s="112">
        <v>21750</v>
      </c>
      <c r="H225" s="254">
        <f t="shared" si="29"/>
        <v>3000</v>
      </c>
      <c r="I225" s="254">
        <v>15000</v>
      </c>
      <c r="J225" s="255">
        <f t="shared" si="30"/>
        <v>18000</v>
      </c>
      <c r="K225" s="141">
        <f>4350-200</f>
        <v>4150</v>
      </c>
      <c r="L225" s="141">
        <v>17400</v>
      </c>
      <c r="M225" s="142">
        <f t="shared" si="31"/>
        <v>21550</v>
      </c>
      <c r="N225" s="99">
        <f t="shared" si="32"/>
        <v>3000</v>
      </c>
      <c r="O225" s="73">
        <f t="shared" si="33"/>
        <v>15000</v>
      </c>
      <c r="P225" s="73">
        <f t="shared" si="34"/>
        <v>18000</v>
      </c>
      <c r="Q225" s="301">
        <f t="shared" si="35"/>
        <v>2790</v>
      </c>
      <c r="R225" s="301">
        <f t="shared" si="36"/>
        <v>13950</v>
      </c>
      <c r="S225" s="300">
        <f t="shared" si="37"/>
        <v>16740</v>
      </c>
    </row>
    <row r="226" spans="1:19" ht="12" x14ac:dyDescent="0.25">
      <c r="A226" s="49">
        <v>211</v>
      </c>
      <c r="B226" s="50" t="s">
        <v>248</v>
      </c>
      <c r="C226" s="33" t="s">
        <v>153</v>
      </c>
      <c r="D226" s="111">
        <v>29494.789702487076</v>
      </c>
      <c r="E226" s="112">
        <v>8553.4890137212496</v>
      </c>
      <c r="F226" s="112">
        <v>34213.956054885013</v>
      </c>
      <c r="G226" s="112">
        <v>42767.445068606263</v>
      </c>
      <c r="H226" s="254">
        <f t="shared" si="29"/>
        <v>6400</v>
      </c>
      <c r="I226" s="254">
        <v>32000</v>
      </c>
      <c r="J226" s="255">
        <f t="shared" si="30"/>
        <v>38400</v>
      </c>
      <c r="K226" s="141">
        <f>8553.48901372125-500</f>
        <v>8053.4890137212496</v>
      </c>
      <c r="L226" s="141">
        <v>34213.956054885013</v>
      </c>
      <c r="M226" s="142">
        <f t="shared" si="31"/>
        <v>42267.445068606263</v>
      </c>
      <c r="N226" s="99">
        <f t="shared" si="32"/>
        <v>6400</v>
      </c>
      <c r="O226" s="73">
        <f t="shared" si="33"/>
        <v>32000</v>
      </c>
      <c r="P226" s="73">
        <f t="shared" si="34"/>
        <v>38400</v>
      </c>
      <c r="Q226" s="301">
        <f t="shared" si="35"/>
        <v>5952</v>
      </c>
      <c r="R226" s="301">
        <f t="shared" si="36"/>
        <v>29760</v>
      </c>
      <c r="S226" s="300">
        <f t="shared" si="37"/>
        <v>35712</v>
      </c>
    </row>
    <row r="227" spans="1:19" ht="12" x14ac:dyDescent="0.25">
      <c r="A227" s="49">
        <v>212</v>
      </c>
      <c r="B227" s="50" t="s">
        <v>249</v>
      </c>
      <c r="C227" s="33" t="s">
        <v>153</v>
      </c>
      <c r="D227" s="111">
        <v>24445.600200000001</v>
      </c>
      <c r="E227" s="112">
        <v>7089.2240579999998</v>
      </c>
      <c r="F227" s="112">
        <v>28356.896231999999</v>
      </c>
      <c r="G227" s="112">
        <v>35446.120289999999</v>
      </c>
      <c r="H227" s="254">
        <f t="shared" si="29"/>
        <v>6000</v>
      </c>
      <c r="I227" s="254">
        <v>30000</v>
      </c>
      <c r="J227" s="255">
        <f t="shared" si="30"/>
        <v>36000</v>
      </c>
      <c r="K227" s="141">
        <f>7089.224058-1000</f>
        <v>6089.2240579999998</v>
      </c>
      <c r="L227" s="141">
        <v>28356.896231999999</v>
      </c>
      <c r="M227" s="142">
        <f t="shared" si="31"/>
        <v>34446.120289999999</v>
      </c>
      <c r="N227" s="99">
        <f t="shared" si="32"/>
        <v>6000</v>
      </c>
      <c r="O227" s="73">
        <f t="shared" si="33"/>
        <v>28356.896231999999</v>
      </c>
      <c r="P227" s="73">
        <f t="shared" si="34"/>
        <v>34356.896231999999</v>
      </c>
      <c r="Q227" s="301">
        <f t="shared" si="35"/>
        <v>5580</v>
      </c>
      <c r="R227" s="301">
        <f t="shared" si="36"/>
        <v>26371.91349576</v>
      </c>
      <c r="S227" s="300">
        <f t="shared" si="37"/>
        <v>31951.91349576</v>
      </c>
    </row>
    <row r="228" spans="1:19" ht="22.5" x14ac:dyDescent="0.25">
      <c r="A228" s="49"/>
      <c r="B228" s="41" t="s">
        <v>47</v>
      </c>
      <c r="C228" s="33" t="s">
        <v>153</v>
      </c>
      <c r="D228" s="111"/>
      <c r="E228" s="112"/>
      <c r="F228" s="112"/>
      <c r="G228" s="112"/>
      <c r="H228" s="254">
        <f t="shared" si="29"/>
        <v>0</v>
      </c>
      <c r="I228" s="254"/>
      <c r="J228" s="255">
        <f t="shared" si="30"/>
        <v>0</v>
      </c>
      <c r="K228" s="143"/>
      <c r="L228" s="144"/>
      <c r="M228" s="142">
        <f t="shared" si="31"/>
        <v>0</v>
      </c>
      <c r="N228" s="99">
        <f t="shared" si="32"/>
        <v>0</v>
      </c>
      <c r="O228" s="73">
        <f t="shared" si="33"/>
        <v>0</v>
      </c>
      <c r="P228" s="73">
        <f t="shared" si="34"/>
        <v>0</v>
      </c>
      <c r="Q228" s="301">
        <f t="shared" si="35"/>
        <v>0</v>
      </c>
      <c r="R228" s="301">
        <f t="shared" si="36"/>
        <v>0</v>
      </c>
      <c r="S228" s="300">
        <f t="shared" si="37"/>
        <v>0</v>
      </c>
    </row>
    <row r="229" spans="1:19" ht="12" x14ac:dyDescent="0.25">
      <c r="A229" s="49">
        <v>213</v>
      </c>
      <c r="B229" s="50" t="s">
        <v>48</v>
      </c>
      <c r="C229" s="33" t="s">
        <v>153</v>
      </c>
      <c r="D229" s="111">
        <v>680640.29817350442</v>
      </c>
      <c r="E229" s="112">
        <v>197385.68647031626</v>
      </c>
      <c r="F229" s="112">
        <v>789542.74588126515</v>
      </c>
      <c r="G229" s="112">
        <v>986928.4323515814</v>
      </c>
      <c r="H229" s="254">
        <f t="shared" si="29"/>
        <v>16000</v>
      </c>
      <c r="I229" s="254">
        <v>80000</v>
      </c>
      <c r="J229" s="255">
        <f t="shared" si="30"/>
        <v>96000</v>
      </c>
      <c r="K229" s="141">
        <f>197385.686470316-1000</f>
        <v>196385.686470316</v>
      </c>
      <c r="L229" s="141">
        <v>789542.74588126515</v>
      </c>
      <c r="M229" s="142">
        <f t="shared" si="31"/>
        <v>985928.43235158117</v>
      </c>
      <c r="N229" s="99">
        <f t="shared" si="32"/>
        <v>16000</v>
      </c>
      <c r="O229" s="73">
        <f t="shared" si="33"/>
        <v>80000</v>
      </c>
      <c r="P229" s="73">
        <f t="shared" si="34"/>
        <v>96000</v>
      </c>
      <c r="Q229" s="301">
        <f t="shared" si="35"/>
        <v>14880</v>
      </c>
      <c r="R229" s="301">
        <f t="shared" si="36"/>
        <v>74400</v>
      </c>
      <c r="S229" s="300">
        <f t="shared" si="37"/>
        <v>89280</v>
      </c>
    </row>
    <row r="230" spans="1:19" ht="12" x14ac:dyDescent="0.25">
      <c r="A230" s="49">
        <v>214</v>
      </c>
      <c r="B230" s="50" t="s">
        <v>49</v>
      </c>
      <c r="C230" s="33" t="s">
        <v>153</v>
      </c>
      <c r="D230" s="111">
        <v>411751.23360000004</v>
      </c>
      <c r="E230" s="112">
        <v>119407.85774399998</v>
      </c>
      <c r="F230" s="112">
        <v>477631.43097600009</v>
      </c>
      <c r="G230" s="112">
        <v>597039.28872000007</v>
      </c>
      <c r="H230" s="254">
        <f t="shared" si="29"/>
        <v>100000</v>
      </c>
      <c r="I230" s="254">
        <v>500000</v>
      </c>
      <c r="J230" s="255">
        <f t="shared" si="30"/>
        <v>600000</v>
      </c>
      <c r="K230" s="141">
        <f>119407.857744-1000</f>
        <v>118407.85774399999</v>
      </c>
      <c r="L230" s="141">
        <v>477631.43097600009</v>
      </c>
      <c r="M230" s="142">
        <f t="shared" si="31"/>
        <v>596039.28872000007</v>
      </c>
      <c r="N230" s="99">
        <f t="shared" si="32"/>
        <v>100000</v>
      </c>
      <c r="O230" s="73">
        <f t="shared" si="33"/>
        <v>477631.43097600009</v>
      </c>
      <c r="P230" s="73">
        <f t="shared" si="34"/>
        <v>577631.43097600015</v>
      </c>
      <c r="Q230" s="301">
        <f t="shared" si="35"/>
        <v>93000</v>
      </c>
      <c r="R230" s="301">
        <f t="shared" si="36"/>
        <v>444197.23080768005</v>
      </c>
      <c r="S230" s="300">
        <f t="shared" si="37"/>
        <v>537197.23080768005</v>
      </c>
    </row>
    <row r="231" spans="1:19" ht="12" x14ac:dyDescent="0.25">
      <c r="A231" s="49">
        <v>215</v>
      </c>
      <c r="B231" s="50" t="s">
        <v>322</v>
      </c>
      <c r="C231" s="33" t="s">
        <v>153</v>
      </c>
      <c r="D231" s="111">
        <v>46481.4</v>
      </c>
      <c r="E231" s="112">
        <v>13479.606</v>
      </c>
      <c r="F231" s="112">
        <v>53918.423999999999</v>
      </c>
      <c r="G231" s="112">
        <v>67398.03</v>
      </c>
      <c r="H231" s="254">
        <f t="shared" si="29"/>
        <v>11000</v>
      </c>
      <c r="I231" s="254">
        <v>55000</v>
      </c>
      <c r="J231" s="255">
        <f t="shared" si="30"/>
        <v>66000</v>
      </c>
      <c r="K231" s="141">
        <f>13479.606-1000</f>
        <v>12479.606</v>
      </c>
      <c r="L231" s="141">
        <v>53918.423999999999</v>
      </c>
      <c r="M231" s="142">
        <f t="shared" si="31"/>
        <v>66398.03</v>
      </c>
      <c r="N231" s="99">
        <f t="shared" si="32"/>
        <v>11000</v>
      </c>
      <c r="O231" s="73">
        <f t="shared" si="33"/>
        <v>53918.423999999999</v>
      </c>
      <c r="P231" s="73">
        <f t="shared" si="34"/>
        <v>64918.423999999999</v>
      </c>
      <c r="Q231" s="301">
        <f t="shared" si="35"/>
        <v>10230</v>
      </c>
      <c r="R231" s="301">
        <f t="shared" si="36"/>
        <v>50144.134319999997</v>
      </c>
      <c r="S231" s="300">
        <f t="shared" si="37"/>
        <v>60374.134319999997</v>
      </c>
    </row>
    <row r="232" spans="1:19" ht="12" x14ac:dyDescent="0.25">
      <c r="A232" s="49">
        <v>216</v>
      </c>
      <c r="B232" s="50" t="s">
        <v>50</v>
      </c>
      <c r="C232" s="33" t="s">
        <v>153</v>
      </c>
      <c r="D232" s="111">
        <v>137033.58432849517</v>
      </c>
      <c r="E232" s="112">
        <v>39739.739455263596</v>
      </c>
      <c r="F232" s="112">
        <v>158958.95782105438</v>
      </c>
      <c r="G232" s="112">
        <v>198698.69727631798</v>
      </c>
      <c r="H232" s="254">
        <f t="shared" si="29"/>
        <v>32000</v>
      </c>
      <c r="I232" s="254">
        <v>160000</v>
      </c>
      <c r="J232" s="255">
        <f t="shared" si="30"/>
        <v>192000</v>
      </c>
      <c r="K232" s="141">
        <f>39739.7394552635-1000</f>
        <v>38739.739455263501</v>
      </c>
      <c r="L232" s="141">
        <v>158958.95782105438</v>
      </c>
      <c r="M232" s="142">
        <f t="shared" si="31"/>
        <v>197698.69727631789</v>
      </c>
      <c r="N232" s="99">
        <f t="shared" si="32"/>
        <v>32000</v>
      </c>
      <c r="O232" s="73">
        <f t="shared" si="33"/>
        <v>158958.95782105438</v>
      </c>
      <c r="P232" s="73">
        <f t="shared" si="34"/>
        <v>190958.95782105438</v>
      </c>
      <c r="Q232" s="301">
        <f t="shared" si="35"/>
        <v>29760</v>
      </c>
      <c r="R232" s="301">
        <f t="shared" si="36"/>
        <v>147831.83077358059</v>
      </c>
      <c r="S232" s="300">
        <f t="shared" si="37"/>
        <v>177591.83077358059</v>
      </c>
    </row>
    <row r="233" spans="1:19" ht="12" x14ac:dyDescent="0.25">
      <c r="A233" s="49">
        <v>217</v>
      </c>
      <c r="B233" s="50" t="s">
        <v>51</v>
      </c>
      <c r="C233" s="33" t="s">
        <v>153</v>
      </c>
      <c r="D233" s="111">
        <v>232225.05066183329</v>
      </c>
      <c r="E233" s="112">
        <v>67345.264691931661</v>
      </c>
      <c r="F233" s="112">
        <v>269381.05876772659</v>
      </c>
      <c r="G233" s="112">
        <v>336726.32345965825</v>
      </c>
      <c r="H233" s="254">
        <f t="shared" si="29"/>
        <v>54000</v>
      </c>
      <c r="I233" s="254">
        <v>270000</v>
      </c>
      <c r="J233" s="255">
        <f t="shared" si="30"/>
        <v>324000</v>
      </c>
      <c r="K233" s="141">
        <f>67345.2646919317-1000</f>
        <v>66345.264691931705</v>
      </c>
      <c r="L233" s="141">
        <v>269381.05876772659</v>
      </c>
      <c r="M233" s="142">
        <f t="shared" si="31"/>
        <v>335726.32345965831</v>
      </c>
      <c r="N233" s="99">
        <f t="shared" si="32"/>
        <v>54000</v>
      </c>
      <c r="O233" s="73">
        <f t="shared" si="33"/>
        <v>269381.05876772659</v>
      </c>
      <c r="P233" s="73">
        <f t="shared" si="34"/>
        <v>323381.05876772659</v>
      </c>
      <c r="Q233" s="301">
        <f t="shared" si="35"/>
        <v>50220</v>
      </c>
      <c r="R233" s="301">
        <f t="shared" si="36"/>
        <v>250524.38465398573</v>
      </c>
      <c r="S233" s="300">
        <f t="shared" si="37"/>
        <v>300744.38465398573</v>
      </c>
    </row>
    <row r="234" spans="1:19" ht="12" x14ac:dyDescent="0.25">
      <c r="A234" s="49">
        <v>218</v>
      </c>
      <c r="B234" s="50" t="s">
        <v>52</v>
      </c>
      <c r="C234" s="33" t="s">
        <v>153</v>
      </c>
      <c r="D234" s="111">
        <v>343612.02960000001</v>
      </c>
      <c r="E234" s="112">
        <v>99647.488583999977</v>
      </c>
      <c r="F234" s="112">
        <v>398589.95433600002</v>
      </c>
      <c r="G234" s="112">
        <v>498237.44292</v>
      </c>
      <c r="H234" s="254">
        <f t="shared" si="29"/>
        <v>86000</v>
      </c>
      <c r="I234" s="254">
        <v>430000</v>
      </c>
      <c r="J234" s="255">
        <f t="shared" si="30"/>
        <v>516000</v>
      </c>
      <c r="K234" s="141">
        <f>99647.488584-1000</f>
        <v>98647.488584000006</v>
      </c>
      <c r="L234" s="141">
        <v>398589.95433600002</v>
      </c>
      <c r="M234" s="142">
        <f t="shared" si="31"/>
        <v>497237.44292000006</v>
      </c>
      <c r="N234" s="99">
        <f t="shared" si="32"/>
        <v>86000</v>
      </c>
      <c r="O234" s="73">
        <f t="shared" si="33"/>
        <v>398589.95433600002</v>
      </c>
      <c r="P234" s="73">
        <f t="shared" si="34"/>
        <v>484589.95433600002</v>
      </c>
      <c r="Q234" s="301">
        <f t="shared" si="35"/>
        <v>79980</v>
      </c>
      <c r="R234" s="301">
        <f t="shared" si="36"/>
        <v>370688.65753248002</v>
      </c>
      <c r="S234" s="300">
        <f t="shared" si="37"/>
        <v>450668.65753248002</v>
      </c>
    </row>
    <row r="235" spans="1:19" ht="12" x14ac:dyDescent="0.25">
      <c r="A235" s="49">
        <v>219</v>
      </c>
      <c r="B235" s="50" t="s">
        <v>53</v>
      </c>
      <c r="C235" s="33" t="s">
        <v>153</v>
      </c>
      <c r="D235" s="111">
        <v>342728.54934295762</v>
      </c>
      <c r="E235" s="112">
        <v>99391.279309457692</v>
      </c>
      <c r="F235" s="112">
        <v>397565.11723783083</v>
      </c>
      <c r="G235" s="112">
        <v>496956.39654728852</v>
      </c>
      <c r="H235" s="254">
        <f t="shared" si="29"/>
        <v>86000</v>
      </c>
      <c r="I235" s="254">
        <v>430000</v>
      </c>
      <c r="J235" s="255">
        <f t="shared" si="30"/>
        <v>516000</v>
      </c>
      <c r="K235" s="141">
        <f>99391.2793094577-1000</f>
        <v>98391.279309457706</v>
      </c>
      <c r="L235" s="141">
        <v>397565.11723783083</v>
      </c>
      <c r="M235" s="142">
        <f t="shared" si="31"/>
        <v>495956.39654728852</v>
      </c>
      <c r="N235" s="99">
        <f t="shared" si="32"/>
        <v>86000</v>
      </c>
      <c r="O235" s="73">
        <f t="shared" si="33"/>
        <v>397565.11723783083</v>
      </c>
      <c r="P235" s="73">
        <f t="shared" si="34"/>
        <v>483565.11723783083</v>
      </c>
      <c r="Q235" s="301">
        <f t="shared" si="35"/>
        <v>79980</v>
      </c>
      <c r="R235" s="301">
        <f t="shared" si="36"/>
        <v>369735.55903118267</v>
      </c>
      <c r="S235" s="300">
        <f t="shared" si="37"/>
        <v>449715.55903118267</v>
      </c>
    </row>
    <row r="236" spans="1:19" ht="12" x14ac:dyDescent="0.25">
      <c r="A236" s="49">
        <v>220</v>
      </c>
      <c r="B236" s="50" t="s">
        <v>54</v>
      </c>
      <c r="C236" s="33" t="s">
        <v>153</v>
      </c>
      <c r="D236" s="111">
        <v>471257.745</v>
      </c>
      <c r="E236" s="112">
        <v>136664.74604999996</v>
      </c>
      <c r="F236" s="112">
        <v>546658.98420000006</v>
      </c>
      <c r="G236" s="112">
        <v>683323.73025000002</v>
      </c>
      <c r="H236" s="254">
        <f t="shared" si="29"/>
        <v>116000</v>
      </c>
      <c r="I236" s="254">
        <v>580000</v>
      </c>
      <c r="J236" s="255">
        <f t="shared" si="30"/>
        <v>696000</v>
      </c>
      <c r="K236" s="141">
        <f>136664.74605-1000</f>
        <v>135664.74604999999</v>
      </c>
      <c r="L236" s="141">
        <v>546658.98420000006</v>
      </c>
      <c r="M236" s="142">
        <f t="shared" si="31"/>
        <v>682323.73025000002</v>
      </c>
      <c r="N236" s="99">
        <f t="shared" si="32"/>
        <v>116000</v>
      </c>
      <c r="O236" s="73">
        <f t="shared" si="33"/>
        <v>546658.98420000006</v>
      </c>
      <c r="P236" s="73">
        <f t="shared" si="34"/>
        <v>662658.98420000006</v>
      </c>
      <c r="Q236" s="301">
        <f t="shared" si="35"/>
        <v>107880</v>
      </c>
      <c r="R236" s="301">
        <f t="shared" si="36"/>
        <v>508392.85530600004</v>
      </c>
      <c r="S236" s="300">
        <f t="shared" si="37"/>
        <v>616272.85530599998</v>
      </c>
    </row>
    <row r="237" spans="1:19" ht="12" x14ac:dyDescent="0.25">
      <c r="A237" s="49">
        <v>221</v>
      </c>
      <c r="B237" s="50" t="s">
        <v>251</v>
      </c>
      <c r="C237" s="33" t="s">
        <v>153</v>
      </c>
      <c r="D237" s="111">
        <v>706130.42500000005</v>
      </c>
      <c r="E237" s="112">
        <v>204777.82325000002</v>
      </c>
      <c r="F237" s="112">
        <v>819111.29300000006</v>
      </c>
      <c r="G237" s="112">
        <v>1023889.1162500001</v>
      </c>
      <c r="H237" s="254">
        <f t="shared" si="29"/>
        <v>168000</v>
      </c>
      <c r="I237" s="254">
        <v>840000</v>
      </c>
      <c r="J237" s="255">
        <f t="shared" si="30"/>
        <v>1008000</v>
      </c>
      <c r="K237" s="141">
        <f>204777.82325-1000</f>
        <v>203777.82324999999</v>
      </c>
      <c r="L237" s="141">
        <v>819111.29300000006</v>
      </c>
      <c r="M237" s="142">
        <f t="shared" si="31"/>
        <v>1022889.1162500001</v>
      </c>
      <c r="N237" s="99">
        <f t="shared" si="32"/>
        <v>168000</v>
      </c>
      <c r="O237" s="73">
        <f t="shared" si="33"/>
        <v>819111.29300000006</v>
      </c>
      <c r="P237" s="73">
        <f t="shared" si="34"/>
        <v>987111.29300000006</v>
      </c>
      <c r="Q237" s="301">
        <f t="shared" si="35"/>
        <v>156240</v>
      </c>
      <c r="R237" s="301">
        <f t="shared" si="36"/>
        <v>761773.5024900001</v>
      </c>
      <c r="S237" s="300">
        <f t="shared" si="37"/>
        <v>918013.5024900001</v>
      </c>
    </row>
    <row r="238" spans="1:19" ht="12" x14ac:dyDescent="0.25">
      <c r="A238" s="49">
        <v>222</v>
      </c>
      <c r="B238" s="50" t="s">
        <v>252</v>
      </c>
      <c r="C238" s="33" t="s">
        <v>153</v>
      </c>
      <c r="D238" s="111">
        <v>706130.42500000005</v>
      </c>
      <c r="E238" s="112">
        <v>204777.82325000002</v>
      </c>
      <c r="F238" s="112">
        <v>819111.29300000006</v>
      </c>
      <c r="G238" s="112">
        <v>1023889.1162500001</v>
      </c>
      <c r="H238" s="254">
        <f t="shared" si="29"/>
        <v>170000</v>
      </c>
      <c r="I238" s="254">
        <v>850000</v>
      </c>
      <c r="J238" s="255">
        <f t="shared" si="30"/>
        <v>1020000</v>
      </c>
      <c r="K238" s="141">
        <f>204777.82325-1000</f>
        <v>203777.82324999999</v>
      </c>
      <c r="L238" s="141">
        <v>819111.29300000006</v>
      </c>
      <c r="M238" s="142">
        <f t="shared" si="31"/>
        <v>1022889.1162500001</v>
      </c>
      <c r="N238" s="99">
        <f t="shared" si="32"/>
        <v>170000</v>
      </c>
      <c r="O238" s="73">
        <f t="shared" si="33"/>
        <v>819111.29300000006</v>
      </c>
      <c r="P238" s="73">
        <f t="shared" si="34"/>
        <v>989111.29300000006</v>
      </c>
      <c r="Q238" s="301">
        <f t="shared" si="35"/>
        <v>158100</v>
      </c>
      <c r="R238" s="301">
        <f t="shared" si="36"/>
        <v>761773.5024900001</v>
      </c>
      <c r="S238" s="300">
        <f t="shared" si="37"/>
        <v>919873.5024900001</v>
      </c>
    </row>
    <row r="239" spans="1:19" ht="12" x14ac:dyDescent="0.25">
      <c r="A239" s="49">
        <v>223</v>
      </c>
      <c r="B239" s="48" t="s">
        <v>58</v>
      </c>
      <c r="C239" s="33" t="s">
        <v>153</v>
      </c>
      <c r="D239" s="111">
        <v>355446</v>
      </c>
      <c r="E239" s="112">
        <v>103079.33999999997</v>
      </c>
      <c r="F239" s="112">
        <v>412317.36000000004</v>
      </c>
      <c r="G239" s="112">
        <v>515396.7</v>
      </c>
      <c r="H239" s="254">
        <f t="shared" si="29"/>
        <v>84000</v>
      </c>
      <c r="I239" s="254">
        <v>420000</v>
      </c>
      <c r="J239" s="255">
        <f t="shared" si="30"/>
        <v>504000</v>
      </c>
      <c r="K239" s="141">
        <f>103079.34-1000</f>
        <v>102079.34</v>
      </c>
      <c r="L239" s="141">
        <v>412317.36000000004</v>
      </c>
      <c r="M239" s="142">
        <f t="shared" si="31"/>
        <v>514396.70000000007</v>
      </c>
      <c r="N239" s="99">
        <f t="shared" si="32"/>
        <v>84000</v>
      </c>
      <c r="O239" s="73">
        <f t="shared" si="33"/>
        <v>412317.36000000004</v>
      </c>
      <c r="P239" s="73">
        <f t="shared" si="34"/>
        <v>496317.36000000004</v>
      </c>
      <c r="Q239" s="301">
        <f t="shared" si="35"/>
        <v>78120</v>
      </c>
      <c r="R239" s="301">
        <f t="shared" si="36"/>
        <v>383455.14480000001</v>
      </c>
      <c r="S239" s="300">
        <f t="shared" si="37"/>
        <v>461575.14480000001</v>
      </c>
    </row>
    <row r="240" spans="1:19" ht="12" x14ac:dyDescent="0.25">
      <c r="A240" s="49">
        <v>224</v>
      </c>
      <c r="B240" s="48" t="s">
        <v>136</v>
      </c>
      <c r="C240" s="33" t="s">
        <v>153</v>
      </c>
      <c r="D240" s="111">
        <v>5106158.5526000001</v>
      </c>
      <c r="E240" s="112">
        <v>1565548.2122271592</v>
      </c>
      <c r="F240" s="112">
        <v>6262192.8489086404</v>
      </c>
      <c r="G240" s="112">
        <v>7827741.0611357996</v>
      </c>
      <c r="H240" s="254">
        <f t="shared" si="29"/>
        <v>1080000</v>
      </c>
      <c r="I240" s="254">
        <v>5400000</v>
      </c>
      <c r="J240" s="255">
        <f t="shared" si="30"/>
        <v>6480000</v>
      </c>
      <c r="K240" s="141">
        <f>1565548.21222716-120000</f>
        <v>1445548.2122271601</v>
      </c>
      <c r="L240" s="141">
        <v>6262192.8489086404</v>
      </c>
      <c r="M240" s="142">
        <f t="shared" si="31"/>
        <v>7707741.0611358006</v>
      </c>
      <c r="N240" s="99">
        <f t="shared" si="32"/>
        <v>1080000</v>
      </c>
      <c r="O240" s="73">
        <f t="shared" si="33"/>
        <v>5400000</v>
      </c>
      <c r="P240" s="73">
        <f t="shared" si="34"/>
        <v>6480000</v>
      </c>
      <c r="Q240" s="301">
        <f t="shared" si="35"/>
        <v>1004400</v>
      </c>
      <c r="R240" s="301">
        <f t="shared" si="36"/>
        <v>5022000</v>
      </c>
      <c r="S240" s="300">
        <f t="shared" si="37"/>
        <v>6026400</v>
      </c>
    </row>
    <row r="241" spans="1:19" ht="12" x14ac:dyDescent="0.2">
      <c r="A241" s="49">
        <v>225</v>
      </c>
      <c r="B241" s="47" t="s">
        <v>88</v>
      </c>
      <c r="C241" s="33" t="s">
        <v>153</v>
      </c>
      <c r="D241" s="111">
        <v>274930.81700000004</v>
      </c>
      <c r="E241" s="112">
        <v>79729.936929999967</v>
      </c>
      <c r="F241" s="112">
        <v>318919.7477200001</v>
      </c>
      <c r="G241" s="112">
        <v>398649.68465000007</v>
      </c>
      <c r="H241" s="254">
        <f t="shared" si="29"/>
        <v>68000</v>
      </c>
      <c r="I241" s="254">
        <v>340000</v>
      </c>
      <c r="J241" s="255">
        <f t="shared" si="30"/>
        <v>408000</v>
      </c>
      <c r="K241" s="141">
        <f>79729.93693-1000</f>
        <v>78729.936929999996</v>
      </c>
      <c r="L241" s="141">
        <v>318919.7477200001</v>
      </c>
      <c r="M241" s="142">
        <f t="shared" si="31"/>
        <v>397649.68465000007</v>
      </c>
      <c r="N241" s="99">
        <f t="shared" si="32"/>
        <v>68000</v>
      </c>
      <c r="O241" s="73">
        <f t="shared" si="33"/>
        <v>318919.7477200001</v>
      </c>
      <c r="P241" s="73">
        <f t="shared" si="34"/>
        <v>386919.7477200001</v>
      </c>
      <c r="Q241" s="301">
        <f t="shared" si="35"/>
        <v>63240</v>
      </c>
      <c r="R241" s="301">
        <f t="shared" si="36"/>
        <v>296595.36537960009</v>
      </c>
      <c r="S241" s="300">
        <f t="shared" si="37"/>
        <v>359835.36537960009</v>
      </c>
    </row>
    <row r="242" spans="1:19" ht="12" x14ac:dyDescent="0.2">
      <c r="A242" s="49">
        <v>226</v>
      </c>
      <c r="B242" s="47" t="s">
        <v>330</v>
      </c>
      <c r="C242" s="33" t="s">
        <v>153</v>
      </c>
      <c r="D242" s="111">
        <v>43701.63</v>
      </c>
      <c r="E242" s="112">
        <v>12673.472699999998</v>
      </c>
      <c r="F242" s="112">
        <v>50693.890799999994</v>
      </c>
      <c r="G242" s="112">
        <v>63367.363499999992</v>
      </c>
      <c r="H242" s="254">
        <f t="shared" si="29"/>
        <v>11000</v>
      </c>
      <c r="I242" s="254">
        <v>55000</v>
      </c>
      <c r="J242" s="255">
        <f t="shared" si="30"/>
        <v>66000</v>
      </c>
      <c r="K242" s="141">
        <f>12673.4727-500</f>
        <v>12173.4727</v>
      </c>
      <c r="L242" s="141">
        <v>50693.890799999994</v>
      </c>
      <c r="M242" s="142">
        <f t="shared" si="31"/>
        <v>62867.363499999992</v>
      </c>
      <c r="N242" s="99">
        <f t="shared" si="32"/>
        <v>11000</v>
      </c>
      <c r="O242" s="73">
        <f t="shared" si="33"/>
        <v>50693.890799999994</v>
      </c>
      <c r="P242" s="73">
        <f t="shared" si="34"/>
        <v>61693.890799999994</v>
      </c>
      <c r="Q242" s="301">
        <f t="shared" si="35"/>
        <v>10230</v>
      </c>
      <c r="R242" s="301">
        <f t="shared" si="36"/>
        <v>47145.318443999997</v>
      </c>
      <c r="S242" s="300">
        <f t="shared" si="37"/>
        <v>57375.318443999997</v>
      </c>
    </row>
    <row r="243" spans="1:19" ht="12" x14ac:dyDescent="0.2">
      <c r="A243" s="49">
        <v>227</v>
      </c>
      <c r="B243" s="47" t="s">
        <v>331</v>
      </c>
      <c r="C243" s="33" t="s">
        <v>153</v>
      </c>
      <c r="D243" s="111">
        <v>43701.63</v>
      </c>
      <c r="E243" s="112">
        <v>12673.472699999998</v>
      </c>
      <c r="F243" s="112">
        <v>50693.890799999994</v>
      </c>
      <c r="G243" s="112">
        <v>63367.363499999992</v>
      </c>
      <c r="H243" s="254">
        <f t="shared" si="29"/>
        <v>11000</v>
      </c>
      <c r="I243" s="254">
        <v>55000</v>
      </c>
      <c r="J243" s="255">
        <f t="shared" si="30"/>
        <v>66000</v>
      </c>
      <c r="K243" s="141">
        <f>12673.4727-500</f>
        <v>12173.4727</v>
      </c>
      <c r="L243" s="141">
        <v>50693.890799999994</v>
      </c>
      <c r="M243" s="142">
        <f t="shared" si="31"/>
        <v>62867.363499999992</v>
      </c>
      <c r="N243" s="99">
        <f t="shared" si="32"/>
        <v>11000</v>
      </c>
      <c r="O243" s="73">
        <f t="shared" si="33"/>
        <v>50693.890799999994</v>
      </c>
      <c r="P243" s="73">
        <f t="shared" si="34"/>
        <v>61693.890799999994</v>
      </c>
      <c r="Q243" s="301">
        <f t="shared" si="35"/>
        <v>10230</v>
      </c>
      <c r="R243" s="301">
        <f t="shared" si="36"/>
        <v>47145.318443999997</v>
      </c>
      <c r="S243" s="300">
        <f t="shared" si="37"/>
        <v>57375.318443999997</v>
      </c>
    </row>
    <row r="244" spans="1:19" ht="22.5" x14ac:dyDescent="0.25">
      <c r="A244" s="49"/>
      <c r="B244" s="29" t="s">
        <v>98</v>
      </c>
      <c r="C244" s="33" t="s">
        <v>153</v>
      </c>
      <c r="D244" s="111"/>
      <c r="E244" s="112"/>
      <c r="F244" s="112"/>
      <c r="G244" s="112"/>
      <c r="H244" s="254">
        <f t="shared" si="29"/>
        <v>0</v>
      </c>
      <c r="I244" s="254"/>
      <c r="J244" s="255">
        <f t="shared" si="30"/>
        <v>0</v>
      </c>
      <c r="K244" s="143"/>
      <c r="L244" s="144"/>
      <c r="M244" s="142">
        <f t="shared" si="31"/>
        <v>0</v>
      </c>
      <c r="N244" s="99">
        <f t="shared" si="32"/>
        <v>0</v>
      </c>
      <c r="O244" s="73">
        <f t="shared" si="33"/>
        <v>0</v>
      </c>
      <c r="P244" s="73">
        <f t="shared" si="34"/>
        <v>0</v>
      </c>
      <c r="Q244" s="301">
        <f t="shared" si="35"/>
        <v>0</v>
      </c>
      <c r="R244" s="301">
        <f t="shared" si="36"/>
        <v>0</v>
      </c>
      <c r="S244" s="300">
        <f t="shared" si="37"/>
        <v>0</v>
      </c>
    </row>
    <row r="245" spans="1:19" ht="12" x14ac:dyDescent="0.25">
      <c r="A245" s="63">
        <v>228</v>
      </c>
      <c r="B245" s="50" t="s">
        <v>253</v>
      </c>
      <c r="C245" s="33" t="s">
        <v>153</v>
      </c>
      <c r="D245" s="111">
        <v>314436.92</v>
      </c>
      <c r="E245" s="112">
        <v>91186.706799999985</v>
      </c>
      <c r="F245" s="112">
        <v>364746.8272</v>
      </c>
      <c r="G245" s="112">
        <v>455933.53399999999</v>
      </c>
      <c r="H245" s="254">
        <f t="shared" si="29"/>
        <v>58000</v>
      </c>
      <c r="I245" s="254">
        <v>290000</v>
      </c>
      <c r="J245" s="255">
        <f t="shared" si="30"/>
        <v>348000</v>
      </c>
      <c r="K245" s="141">
        <f>91186.7068-1000</f>
        <v>90186.7068</v>
      </c>
      <c r="L245" s="141">
        <v>364746.8272</v>
      </c>
      <c r="M245" s="142">
        <f t="shared" si="31"/>
        <v>454933.53399999999</v>
      </c>
      <c r="N245" s="99">
        <f t="shared" si="32"/>
        <v>58000</v>
      </c>
      <c r="O245" s="73">
        <f t="shared" si="33"/>
        <v>290000</v>
      </c>
      <c r="P245" s="73">
        <f t="shared" si="34"/>
        <v>348000</v>
      </c>
      <c r="Q245" s="301">
        <f t="shared" si="35"/>
        <v>53940</v>
      </c>
      <c r="R245" s="301">
        <f t="shared" si="36"/>
        <v>269700</v>
      </c>
      <c r="S245" s="300">
        <f t="shared" si="37"/>
        <v>323640</v>
      </c>
    </row>
    <row r="246" spans="1:19" ht="12" x14ac:dyDescent="0.25">
      <c r="A246" s="49">
        <v>229</v>
      </c>
      <c r="B246" s="50" t="s">
        <v>254</v>
      </c>
      <c r="C246" s="33" t="s">
        <v>153</v>
      </c>
      <c r="D246" s="111">
        <v>83289.630491899414</v>
      </c>
      <c r="E246" s="112">
        <v>24153.992842650827</v>
      </c>
      <c r="F246" s="112">
        <v>96615.971370603322</v>
      </c>
      <c r="G246" s="112">
        <v>120769.96421325415</v>
      </c>
      <c r="H246" s="254">
        <f t="shared" si="29"/>
        <v>16000</v>
      </c>
      <c r="I246" s="254">
        <v>80000</v>
      </c>
      <c r="J246" s="255">
        <f t="shared" si="30"/>
        <v>96000</v>
      </c>
      <c r="K246" s="141">
        <f>24153.9928426508-1000</f>
        <v>23153.992842650801</v>
      </c>
      <c r="L246" s="141">
        <v>96615.971370603322</v>
      </c>
      <c r="M246" s="142">
        <f t="shared" si="31"/>
        <v>119769.96421325412</v>
      </c>
      <c r="N246" s="99">
        <f t="shared" si="32"/>
        <v>16000</v>
      </c>
      <c r="O246" s="73">
        <f t="shared" si="33"/>
        <v>80000</v>
      </c>
      <c r="P246" s="73">
        <f t="shared" si="34"/>
        <v>96000</v>
      </c>
      <c r="Q246" s="301">
        <f t="shared" si="35"/>
        <v>14880</v>
      </c>
      <c r="R246" s="301">
        <f t="shared" si="36"/>
        <v>74400</v>
      </c>
      <c r="S246" s="300">
        <f t="shared" si="37"/>
        <v>89280</v>
      </c>
    </row>
    <row r="247" spans="1:19" ht="12" x14ac:dyDescent="0.25">
      <c r="A247" s="63">
        <v>230</v>
      </c>
      <c r="B247" s="39" t="s">
        <v>453</v>
      </c>
      <c r="C247" s="33" t="s">
        <v>153</v>
      </c>
      <c r="D247" s="111">
        <v>804130.52299999993</v>
      </c>
      <c r="E247" s="112">
        <v>233197.85166999989</v>
      </c>
      <c r="F247" s="112">
        <v>932791.4066799999</v>
      </c>
      <c r="G247" s="112">
        <v>1165989.2583499998</v>
      </c>
      <c r="H247" s="254">
        <f t="shared" si="29"/>
        <v>180000</v>
      </c>
      <c r="I247" s="254">
        <v>900000</v>
      </c>
      <c r="J247" s="255">
        <f t="shared" si="30"/>
        <v>1080000</v>
      </c>
      <c r="K247" s="141">
        <f>233197.85167-1000</f>
        <v>232197.85167</v>
      </c>
      <c r="L247" s="141">
        <v>932791.4066799999</v>
      </c>
      <c r="M247" s="142">
        <f t="shared" si="31"/>
        <v>1164989.2583499998</v>
      </c>
      <c r="N247" s="99">
        <f t="shared" si="32"/>
        <v>180000</v>
      </c>
      <c r="O247" s="73">
        <f t="shared" si="33"/>
        <v>900000</v>
      </c>
      <c r="P247" s="73">
        <f t="shared" si="34"/>
        <v>1080000</v>
      </c>
      <c r="Q247" s="301">
        <f t="shared" si="35"/>
        <v>167400</v>
      </c>
      <c r="R247" s="301">
        <f t="shared" si="36"/>
        <v>837000</v>
      </c>
      <c r="S247" s="300">
        <f t="shared" si="37"/>
        <v>1004400</v>
      </c>
    </row>
    <row r="248" spans="1:19" ht="12" x14ac:dyDescent="0.25">
      <c r="A248" s="49">
        <v>231</v>
      </c>
      <c r="B248" s="39" t="s">
        <v>256</v>
      </c>
      <c r="C248" s="33" t="s">
        <v>153</v>
      </c>
      <c r="D248" s="111">
        <v>412172.565</v>
      </c>
      <c r="E248" s="112">
        <v>119530.04384999996</v>
      </c>
      <c r="F248" s="112">
        <v>478120.17540000001</v>
      </c>
      <c r="G248" s="112">
        <v>597650.21924999997</v>
      </c>
      <c r="H248" s="254">
        <f t="shared" si="29"/>
        <v>90000</v>
      </c>
      <c r="I248" s="254">
        <v>450000</v>
      </c>
      <c r="J248" s="255">
        <f t="shared" si="30"/>
        <v>540000</v>
      </c>
      <c r="K248" s="141">
        <f>119530.04385-1000</f>
        <v>118530.04385</v>
      </c>
      <c r="L248" s="141">
        <v>478120.17540000001</v>
      </c>
      <c r="M248" s="142">
        <f t="shared" si="31"/>
        <v>596650.21924999997</v>
      </c>
      <c r="N248" s="99">
        <f t="shared" si="32"/>
        <v>90000</v>
      </c>
      <c r="O248" s="73">
        <f t="shared" si="33"/>
        <v>450000</v>
      </c>
      <c r="P248" s="73">
        <f t="shared" si="34"/>
        <v>540000</v>
      </c>
      <c r="Q248" s="301">
        <f t="shared" si="35"/>
        <v>83700</v>
      </c>
      <c r="R248" s="301">
        <f t="shared" si="36"/>
        <v>418500</v>
      </c>
      <c r="S248" s="300">
        <f t="shared" si="37"/>
        <v>502200</v>
      </c>
    </row>
    <row r="249" spans="1:19" ht="12" x14ac:dyDescent="0.2">
      <c r="A249" s="63">
        <v>232</v>
      </c>
      <c r="B249" s="47" t="s">
        <v>69</v>
      </c>
      <c r="C249" s="33" t="s">
        <v>153</v>
      </c>
      <c r="D249" s="111">
        <v>81191.365692057778</v>
      </c>
      <c r="E249" s="112">
        <v>23545.496050696747</v>
      </c>
      <c r="F249" s="112">
        <v>94181.984202787033</v>
      </c>
      <c r="G249" s="112">
        <v>117727.48025348378</v>
      </c>
      <c r="H249" s="254">
        <f t="shared" si="29"/>
        <v>20000</v>
      </c>
      <c r="I249" s="254">
        <v>100000</v>
      </c>
      <c r="J249" s="255">
        <f t="shared" si="30"/>
        <v>120000</v>
      </c>
      <c r="K249" s="141">
        <f>23545.4960506967-1000</f>
        <v>22545.4960506967</v>
      </c>
      <c r="L249" s="141">
        <v>94181.984202787033</v>
      </c>
      <c r="M249" s="142">
        <f t="shared" si="31"/>
        <v>116727.48025348374</v>
      </c>
      <c r="N249" s="99">
        <f t="shared" si="32"/>
        <v>20000</v>
      </c>
      <c r="O249" s="73">
        <f t="shared" si="33"/>
        <v>94181.984202787033</v>
      </c>
      <c r="P249" s="73">
        <f t="shared" si="34"/>
        <v>114181.98420278703</v>
      </c>
      <c r="Q249" s="301">
        <f t="shared" si="35"/>
        <v>18600</v>
      </c>
      <c r="R249" s="301">
        <f t="shared" si="36"/>
        <v>87589.245308591941</v>
      </c>
      <c r="S249" s="300">
        <f t="shared" si="37"/>
        <v>106189.24530859194</v>
      </c>
    </row>
    <row r="250" spans="1:19" ht="12" x14ac:dyDescent="0.2">
      <c r="A250" s="49">
        <v>233</v>
      </c>
      <c r="B250" s="47" t="s">
        <v>70</v>
      </c>
      <c r="C250" s="33" t="s">
        <v>153</v>
      </c>
      <c r="D250" s="111">
        <v>592970.64831278147</v>
      </c>
      <c r="E250" s="112">
        <v>171961.48801070661</v>
      </c>
      <c r="F250" s="112">
        <v>687845.95204282645</v>
      </c>
      <c r="G250" s="112">
        <v>859807.44005353306</v>
      </c>
      <c r="H250" s="254">
        <f t="shared" si="29"/>
        <v>150000</v>
      </c>
      <c r="I250" s="254">
        <v>750000</v>
      </c>
      <c r="J250" s="255">
        <f t="shared" si="30"/>
        <v>900000</v>
      </c>
      <c r="K250" s="141">
        <f>171961.488010707-1000</f>
        <v>170961.48801070699</v>
      </c>
      <c r="L250" s="141">
        <v>687845.95204282645</v>
      </c>
      <c r="M250" s="142">
        <f t="shared" si="31"/>
        <v>858807.44005353341</v>
      </c>
      <c r="N250" s="99">
        <f t="shared" si="32"/>
        <v>150000</v>
      </c>
      <c r="O250" s="73">
        <f t="shared" si="33"/>
        <v>687845.95204282645</v>
      </c>
      <c r="P250" s="73">
        <f t="shared" si="34"/>
        <v>837845.95204282645</v>
      </c>
      <c r="Q250" s="301">
        <f t="shared" si="35"/>
        <v>139500</v>
      </c>
      <c r="R250" s="301">
        <f t="shared" si="36"/>
        <v>639696.73539982864</v>
      </c>
      <c r="S250" s="300">
        <f t="shared" si="37"/>
        <v>779196.73539982864</v>
      </c>
    </row>
    <row r="251" spans="1:19" ht="12" x14ac:dyDescent="0.2">
      <c r="A251" s="63">
        <v>234</v>
      </c>
      <c r="B251" s="47" t="s">
        <v>1</v>
      </c>
      <c r="C251" s="33" t="s">
        <v>153</v>
      </c>
      <c r="D251" s="111">
        <v>144304.48483932688</v>
      </c>
      <c r="E251" s="112">
        <v>41848.300603404787</v>
      </c>
      <c r="F251" s="112">
        <v>167393.20241361918</v>
      </c>
      <c r="G251" s="112">
        <v>209241.50301702396</v>
      </c>
      <c r="H251" s="254">
        <f t="shared" si="29"/>
        <v>34000</v>
      </c>
      <c r="I251" s="254">
        <v>170000</v>
      </c>
      <c r="J251" s="255">
        <f t="shared" si="30"/>
        <v>204000</v>
      </c>
      <c r="K251" s="141">
        <f>41848.3006034048-1000</f>
        <v>40848.300603404801</v>
      </c>
      <c r="L251" s="141">
        <v>167393.20241361918</v>
      </c>
      <c r="M251" s="142">
        <f t="shared" si="31"/>
        <v>208241.50301702396</v>
      </c>
      <c r="N251" s="99">
        <f t="shared" si="32"/>
        <v>34000</v>
      </c>
      <c r="O251" s="73">
        <f t="shared" si="33"/>
        <v>167393.20241361918</v>
      </c>
      <c r="P251" s="73">
        <f t="shared" si="34"/>
        <v>201393.20241361918</v>
      </c>
      <c r="Q251" s="301">
        <f t="shared" si="35"/>
        <v>31620</v>
      </c>
      <c r="R251" s="301">
        <f t="shared" si="36"/>
        <v>155675.67824466585</v>
      </c>
      <c r="S251" s="300">
        <f t="shared" si="37"/>
        <v>187295.67824466585</v>
      </c>
    </row>
    <row r="252" spans="1:19" ht="12" x14ac:dyDescent="0.25">
      <c r="A252" s="49">
        <v>235</v>
      </c>
      <c r="B252" s="50" t="s">
        <v>56</v>
      </c>
      <c r="C252" s="33" t="s">
        <v>153</v>
      </c>
      <c r="D252" s="111">
        <v>74825.94</v>
      </c>
      <c r="E252" s="112">
        <v>21699.522599999997</v>
      </c>
      <c r="F252" s="112">
        <v>86798.090400000001</v>
      </c>
      <c r="G252" s="112">
        <v>108497.613</v>
      </c>
      <c r="H252" s="254">
        <f t="shared" si="29"/>
        <v>18800</v>
      </c>
      <c r="I252" s="254">
        <v>94000</v>
      </c>
      <c r="J252" s="255">
        <f t="shared" si="30"/>
        <v>112800</v>
      </c>
      <c r="K252" s="141">
        <f>21699.5226-1000</f>
        <v>20699.5226</v>
      </c>
      <c r="L252" s="141">
        <v>86798.090400000001</v>
      </c>
      <c r="M252" s="142">
        <f t="shared" si="31"/>
        <v>107497.613</v>
      </c>
      <c r="N252" s="99">
        <f t="shared" si="32"/>
        <v>18800</v>
      </c>
      <c r="O252" s="73">
        <f t="shared" si="33"/>
        <v>86798.090400000001</v>
      </c>
      <c r="P252" s="73">
        <f t="shared" si="34"/>
        <v>105598.0904</v>
      </c>
      <c r="Q252" s="301">
        <f t="shared" si="35"/>
        <v>17484</v>
      </c>
      <c r="R252" s="301">
        <f t="shared" si="36"/>
        <v>80722.224071999997</v>
      </c>
      <c r="S252" s="300">
        <f t="shared" si="37"/>
        <v>98206.224071999997</v>
      </c>
    </row>
    <row r="253" spans="1:19" ht="12" x14ac:dyDescent="0.25">
      <c r="A253" s="63">
        <v>236</v>
      </c>
      <c r="B253" s="50" t="s">
        <v>57</v>
      </c>
      <c r="C253" s="33" t="s">
        <v>153</v>
      </c>
      <c r="D253" s="111">
        <v>28891.38</v>
      </c>
      <c r="E253" s="112">
        <v>8378.5001999999949</v>
      </c>
      <c r="F253" s="112">
        <v>33514.000800000002</v>
      </c>
      <c r="G253" s="112">
        <v>41892.500999999997</v>
      </c>
      <c r="H253" s="254">
        <f t="shared" si="29"/>
        <v>7000</v>
      </c>
      <c r="I253" s="254">
        <v>35000</v>
      </c>
      <c r="J253" s="255">
        <f t="shared" si="30"/>
        <v>42000</v>
      </c>
      <c r="K253" s="141">
        <f>8378.50019999999-1000</f>
        <v>7378.5001999999895</v>
      </c>
      <c r="L253" s="141">
        <v>33514.000800000002</v>
      </c>
      <c r="M253" s="142">
        <f t="shared" si="31"/>
        <v>40892.500999999989</v>
      </c>
      <c r="N253" s="99">
        <f t="shared" si="32"/>
        <v>7000</v>
      </c>
      <c r="O253" s="73">
        <f t="shared" si="33"/>
        <v>33514.000800000002</v>
      </c>
      <c r="P253" s="73">
        <f t="shared" si="34"/>
        <v>40514.000800000002</v>
      </c>
      <c r="Q253" s="301">
        <f t="shared" si="35"/>
        <v>6510</v>
      </c>
      <c r="R253" s="301">
        <f t="shared" si="36"/>
        <v>31168.020744000001</v>
      </c>
      <c r="S253" s="300">
        <f t="shared" si="37"/>
        <v>37678.020744000001</v>
      </c>
    </row>
    <row r="254" spans="1:19" ht="12" x14ac:dyDescent="0.25">
      <c r="A254" s="49">
        <v>237</v>
      </c>
      <c r="B254" s="39" t="s">
        <v>257</v>
      </c>
      <c r="C254" s="33" t="s">
        <v>153</v>
      </c>
      <c r="D254" s="111">
        <v>118531.38219999999</v>
      </c>
      <c r="E254" s="112">
        <v>34374.100837999984</v>
      </c>
      <c r="F254" s="112">
        <v>137496.40335199999</v>
      </c>
      <c r="G254" s="112">
        <v>171870.50418999998</v>
      </c>
      <c r="H254" s="254">
        <f t="shared" si="29"/>
        <v>30000</v>
      </c>
      <c r="I254" s="254">
        <v>150000</v>
      </c>
      <c r="J254" s="255">
        <f t="shared" si="30"/>
        <v>180000</v>
      </c>
      <c r="K254" s="141">
        <f>34374.100838-1000</f>
        <v>33374.100837999998</v>
      </c>
      <c r="L254" s="141">
        <v>137496.40335199999</v>
      </c>
      <c r="M254" s="142">
        <f t="shared" si="31"/>
        <v>170870.50419000001</v>
      </c>
      <c r="N254" s="99">
        <f t="shared" si="32"/>
        <v>30000</v>
      </c>
      <c r="O254" s="73">
        <f t="shared" si="33"/>
        <v>137496.40335199999</v>
      </c>
      <c r="P254" s="73">
        <f t="shared" si="34"/>
        <v>167496.40335199999</v>
      </c>
      <c r="Q254" s="301">
        <f t="shared" si="35"/>
        <v>27900</v>
      </c>
      <c r="R254" s="301">
        <f t="shared" si="36"/>
        <v>127871.65511735999</v>
      </c>
      <c r="S254" s="300">
        <f t="shared" si="37"/>
        <v>155771.65511736</v>
      </c>
    </row>
    <row r="255" spans="1:19" ht="12" x14ac:dyDescent="0.25">
      <c r="A255" s="63">
        <v>238</v>
      </c>
      <c r="B255" s="50" t="s">
        <v>258</v>
      </c>
      <c r="C255" s="33" t="s">
        <v>153</v>
      </c>
      <c r="D255" s="111">
        <v>100254</v>
      </c>
      <c r="E255" s="112">
        <v>29073.659999999989</v>
      </c>
      <c r="F255" s="112">
        <v>116294.64</v>
      </c>
      <c r="G255" s="112">
        <v>145368.29999999999</v>
      </c>
      <c r="H255" s="254">
        <f t="shared" si="29"/>
        <v>24000</v>
      </c>
      <c r="I255" s="254">
        <v>120000</v>
      </c>
      <c r="J255" s="255">
        <f t="shared" si="30"/>
        <v>144000</v>
      </c>
      <c r="K255" s="141">
        <f>29073.66-1000</f>
        <v>28073.66</v>
      </c>
      <c r="L255" s="141">
        <v>116294.64</v>
      </c>
      <c r="M255" s="142">
        <f t="shared" si="31"/>
        <v>144368.29999999999</v>
      </c>
      <c r="N255" s="99">
        <f t="shared" si="32"/>
        <v>24000</v>
      </c>
      <c r="O255" s="73">
        <f t="shared" si="33"/>
        <v>116294.64</v>
      </c>
      <c r="P255" s="73">
        <f t="shared" si="34"/>
        <v>140294.64000000001</v>
      </c>
      <c r="Q255" s="301">
        <f t="shared" si="35"/>
        <v>22320</v>
      </c>
      <c r="R255" s="301">
        <f t="shared" si="36"/>
        <v>108154.01519999999</v>
      </c>
      <c r="S255" s="300">
        <f t="shared" si="37"/>
        <v>130474.01519999999</v>
      </c>
    </row>
    <row r="256" spans="1:19" ht="12" x14ac:dyDescent="0.25">
      <c r="A256" s="49">
        <v>239</v>
      </c>
      <c r="B256" s="50" t="s">
        <v>259</v>
      </c>
      <c r="C256" s="33" t="s">
        <v>153</v>
      </c>
      <c r="D256" s="111">
        <v>25970</v>
      </c>
      <c r="E256" s="112">
        <v>7531.2999999999993</v>
      </c>
      <c r="F256" s="112">
        <v>30125.200000000001</v>
      </c>
      <c r="G256" s="112">
        <v>37656.5</v>
      </c>
      <c r="H256" s="254">
        <f t="shared" si="29"/>
        <v>6000</v>
      </c>
      <c r="I256" s="254">
        <v>30000</v>
      </c>
      <c r="J256" s="255">
        <f t="shared" si="30"/>
        <v>36000</v>
      </c>
      <c r="K256" s="141">
        <f>7531.3-1000</f>
        <v>6531.3</v>
      </c>
      <c r="L256" s="141">
        <v>30125.200000000001</v>
      </c>
      <c r="M256" s="142">
        <f t="shared" si="31"/>
        <v>36656.5</v>
      </c>
      <c r="N256" s="99">
        <f t="shared" si="32"/>
        <v>6000</v>
      </c>
      <c r="O256" s="73">
        <f t="shared" si="33"/>
        <v>30000</v>
      </c>
      <c r="P256" s="73">
        <f t="shared" si="34"/>
        <v>36000</v>
      </c>
      <c r="Q256" s="301">
        <f t="shared" si="35"/>
        <v>5580</v>
      </c>
      <c r="R256" s="301">
        <f t="shared" si="36"/>
        <v>27900</v>
      </c>
      <c r="S256" s="300">
        <f t="shared" si="37"/>
        <v>33480</v>
      </c>
    </row>
    <row r="257" spans="1:19" ht="12" x14ac:dyDescent="0.25">
      <c r="A257" s="63">
        <v>240</v>
      </c>
      <c r="B257" s="46" t="s">
        <v>260</v>
      </c>
      <c r="C257" s="33" t="s">
        <v>153</v>
      </c>
      <c r="D257" s="111">
        <v>29415.944599999999</v>
      </c>
      <c r="E257" s="112">
        <v>8530.6239339999956</v>
      </c>
      <c r="F257" s="112">
        <v>34122.495736000004</v>
      </c>
      <c r="G257" s="112">
        <v>42653.11967</v>
      </c>
      <c r="H257" s="254">
        <f t="shared" si="29"/>
        <v>7000</v>
      </c>
      <c r="I257" s="254">
        <v>35000</v>
      </c>
      <c r="J257" s="255">
        <f t="shared" si="30"/>
        <v>42000</v>
      </c>
      <c r="K257" s="141">
        <f>8530.623934-1000</f>
        <v>7530.6239339999993</v>
      </c>
      <c r="L257" s="141">
        <v>34122.495736000004</v>
      </c>
      <c r="M257" s="142">
        <f t="shared" si="31"/>
        <v>41653.11967</v>
      </c>
      <c r="N257" s="99">
        <f t="shared" si="32"/>
        <v>7000</v>
      </c>
      <c r="O257" s="73">
        <f t="shared" si="33"/>
        <v>34122.495736000004</v>
      </c>
      <c r="P257" s="73">
        <f t="shared" si="34"/>
        <v>41122.495736000004</v>
      </c>
      <c r="Q257" s="301">
        <f t="shared" si="35"/>
        <v>6510</v>
      </c>
      <c r="R257" s="301">
        <f t="shared" si="36"/>
        <v>31733.921034480005</v>
      </c>
      <c r="S257" s="300">
        <f t="shared" si="37"/>
        <v>38243.921034480009</v>
      </c>
    </row>
    <row r="258" spans="1:19" ht="12" x14ac:dyDescent="0.25">
      <c r="A258" s="49">
        <v>241</v>
      </c>
      <c r="B258" s="42" t="s">
        <v>261</v>
      </c>
      <c r="C258" s="33" t="s">
        <v>153</v>
      </c>
      <c r="D258" s="111">
        <v>205800</v>
      </c>
      <c r="E258" s="112">
        <v>59682</v>
      </c>
      <c r="F258" s="112">
        <v>238728</v>
      </c>
      <c r="G258" s="112">
        <v>298410</v>
      </c>
      <c r="H258" s="254">
        <f t="shared" si="29"/>
        <v>52000</v>
      </c>
      <c r="I258" s="254">
        <v>260000</v>
      </c>
      <c r="J258" s="255">
        <f t="shared" si="30"/>
        <v>312000</v>
      </c>
      <c r="K258" s="141">
        <f>59682-1000</f>
        <v>58682</v>
      </c>
      <c r="L258" s="141">
        <v>238728</v>
      </c>
      <c r="M258" s="142">
        <f>K258+L258</f>
        <v>297410</v>
      </c>
      <c r="N258" s="99">
        <f t="shared" si="32"/>
        <v>52000</v>
      </c>
      <c r="O258" s="73">
        <f t="shared" si="33"/>
        <v>238728</v>
      </c>
      <c r="P258" s="73">
        <f t="shared" si="34"/>
        <v>290728</v>
      </c>
      <c r="Q258" s="301">
        <f t="shared" si="35"/>
        <v>48360</v>
      </c>
      <c r="R258" s="301">
        <f t="shared" si="36"/>
        <v>222017.04</v>
      </c>
      <c r="S258" s="300">
        <f t="shared" si="37"/>
        <v>270377.04000000004</v>
      </c>
    </row>
    <row r="259" spans="1:19" ht="12" x14ac:dyDescent="0.25">
      <c r="A259" s="63">
        <v>242</v>
      </c>
      <c r="B259" s="46" t="s">
        <v>263</v>
      </c>
      <c r="C259" s="33" t="s">
        <v>153</v>
      </c>
      <c r="D259" s="111">
        <v>510041.63700000005</v>
      </c>
      <c r="E259" s="112">
        <v>147912.07472999999</v>
      </c>
      <c r="F259" s="112">
        <v>591648.29892000009</v>
      </c>
      <c r="G259" s="112">
        <v>739560.37365000008</v>
      </c>
      <c r="H259" s="254">
        <f t="shared" si="29"/>
        <v>108000</v>
      </c>
      <c r="I259" s="254">
        <v>540000</v>
      </c>
      <c r="J259" s="255">
        <f t="shared" si="30"/>
        <v>648000</v>
      </c>
      <c r="K259" s="141">
        <f>147912.07473-1000</f>
        <v>146912.07472999999</v>
      </c>
      <c r="L259" s="141">
        <v>591648.29892000009</v>
      </c>
      <c r="M259" s="142">
        <f t="shared" ref="M259:M267" si="38">K259+L259</f>
        <v>738560.37365000008</v>
      </c>
      <c r="N259" s="99">
        <f t="shared" si="32"/>
        <v>108000</v>
      </c>
      <c r="O259" s="73">
        <f t="shared" si="33"/>
        <v>540000</v>
      </c>
      <c r="P259" s="73">
        <f t="shared" si="34"/>
        <v>648000</v>
      </c>
      <c r="Q259" s="301">
        <f t="shared" si="35"/>
        <v>100440</v>
      </c>
      <c r="R259" s="301">
        <f t="shared" si="36"/>
        <v>502200</v>
      </c>
      <c r="S259" s="300">
        <f t="shared" si="37"/>
        <v>602640</v>
      </c>
    </row>
    <row r="260" spans="1:19" ht="12" x14ac:dyDescent="0.25">
      <c r="A260" s="49">
        <v>243</v>
      </c>
      <c r="B260" s="46" t="s">
        <v>262</v>
      </c>
      <c r="C260" s="33" t="s">
        <v>153</v>
      </c>
      <c r="D260" s="111">
        <v>580000</v>
      </c>
      <c r="E260" s="112">
        <v>168200</v>
      </c>
      <c r="F260" s="112">
        <v>672800</v>
      </c>
      <c r="G260" s="112">
        <v>841000</v>
      </c>
      <c r="H260" s="254">
        <f t="shared" si="29"/>
        <v>112000</v>
      </c>
      <c r="I260" s="254">
        <v>560000</v>
      </c>
      <c r="J260" s="255">
        <f t="shared" si="30"/>
        <v>672000</v>
      </c>
      <c r="K260" s="141">
        <f>168200-1000</f>
        <v>167200</v>
      </c>
      <c r="L260" s="141">
        <v>672800</v>
      </c>
      <c r="M260" s="142">
        <f t="shared" si="38"/>
        <v>840000</v>
      </c>
      <c r="N260" s="99">
        <f t="shared" si="32"/>
        <v>112000</v>
      </c>
      <c r="O260" s="73">
        <f t="shared" si="33"/>
        <v>560000</v>
      </c>
      <c r="P260" s="73">
        <f t="shared" si="34"/>
        <v>672000</v>
      </c>
      <c r="Q260" s="301">
        <f t="shared" si="35"/>
        <v>104160</v>
      </c>
      <c r="R260" s="301">
        <f t="shared" si="36"/>
        <v>520800</v>
      </c>
      <c r="S260" s="300">
        <f t="shared" si="37"/>
        <v>624960</v>
      </c>
    </row>
    <row r="261" spans="1:19" ht="22.5" x14ac:dyDescent="0.25">
      <c r="A261" s="56"/>
      <c r="B261" s="29" t="s">
        <v>62</v>
      </c>
      <c r="C261" s="33" t="s">
        <v>153</v>
      </c>
      <c r="D261" s="111"/>
      <c r="E261" s="112"/>
      <c r="F261" s="112"/>
      <c r="G261" s="112"/>
      <c r="H261" s="254">
        <f t="shared" si="29"/>
        <v>0</v>
      </c>
      <c r="I261" s="254"/>
      <c r="J261" s="255">
        <f t="shared" si="30"/>
        <v>0</v>
      </c>
      <c r="K261" s="143"/>
      <c r="L261" s="144"/>
      <c r="M261" s="142">
        <f t="shared" si="38"/>
        <v>0</v>
      </c>
      <c r="N261" s="99">
        <f t="shared" si="32"/>
        <v>0</v>
      </c>
      <c r="O261" s="73">
        <f t="shared" si="33"/>
        <v>0</v>
      </c>
      <c r="P261" s="73">
        <f t="shared" si="34"/>
        <v>0</v>
      </c>
      <c r="Q261" s="301">
        <f t="shared" si="35"/>
        <v>0</v>
      </c>
      <c r="R261" s="301">
        <f t="shared" si="36"/>
        <v>0</v>
      </c>
      <c r="S261" s="300">
        <f t="shared" si="37"/>
        <v>0</v>
      </c>
    </row>
    <row r="262" spans="1:19" ht="22.5" x14ac:dyDescent="0.25">
      <c r="A262" s="56">
        <v>244</v>
      </c>
      <c r="B262" s="50" t="s">
        <v>384</v>
      </c>
      <c r="C262" s="33" t="s">
        <v>153</v>
      </c>
      <c r="D262" s="111">
        <v>160338.31648814105</v>
      </c>
      <c r="E262" s="114">
        <v>414144.70211928501</v>
      </c>
      <c r="F262" s="114">
        <v>456578.80847713898</v>
      </c>
      <c r="G262" s="114">
        <f t="shared" ref="G262:G264" si="39">E262+F262</f>
        <v>870723.51059642399</v>
      </c>
      <c r="H262" s="254">
        <f t="shared" si="29"/>
        <v>40000</v>
      </c>
      <c r="I262" s="254">
        <v>200000</v>
      </c>
      <c r="J262" s="255">
        <f t="shared" si="30"/>
        <v>240000</v>
      </c>
      <c r="K262" s="145">
        <f>414144.702119285-1000</f>
        <v>413144.70211928501</v>
      </c>
      <c r="L262" s="145">
        <v>456578.80847713898</v>
      </c>
      <c r="M262" s="142">
        <f t="shared" si="38"/>
        <v>869723.51059642399</v>
      </c>
      <c r="N262" s="99">
        <f t="shared" si="32"/>
        <v>40000</v>
      </c>
      <c r="O262" s="73">
        <f t="shared" si="33"/>
        <v>200000</v>
      </c>
      <c r="P262" s="73">
        <f t="shared" si="34"/>
        <v>240000</v>
      </c>
      <c r="Q262" s="301">
        <f t="shared" si="35"/>
        <v>37200</v>
      </c>
      <c r="R262" s="301">
        <f t="shared" si="36"/>
        <v>186000</v>
      </c>
      <c r="S262" s="300">
        <f t="shared" si="37"/>
        <v>223200</v>
      </c>
    </row>
    <row r="263" spans="1:19" ht="12" x14ac:dyDescent="0.25">
      <c r="A263" s="56">
        <v>245</v>
      </c>
      <c r="B263" s="50" t="s">
        <v>63</v>
      </c>
      <c r="C263" s="33" t="s">
        <v>153</v>
      </c>
      <c r="D263" s="111">
        <v>1637007.7030287909</v>
      </c>
      <c r="E263" s="114">
        <v>575214.20119880885</v>
      </c>
      <c r="F263" s="114">
        <v>2300856.8047952363</v>
      </c>
      <c r="G263" s="114">
        <f t="shared" si="39"/>
        <v>2876071.0059940452</v>
      </c>
      <c r="H263" s="254">
        <f t="shared" ref="H263:H267" si="40">+I263*20%</f>
        <v>380000</v>
      </c>
      <c r="I263" s="254">
        <v>1900000</v>
      </c>
      <c r="J263" s="255">
        <f t="shared" ref="J263:J267" si="41">+I263+H263</f>
        <v>2280000</v>
      </c>
      <c r="K263" s="145">
        <f>575214.201198809-1000</f>
        <v>574214.20119880897</v>
      </c>
      <c r="L263" s="145">
        <v>2300856.8047952363</v>
      </c>
      <c r="M263" s="142">
        <f t="shared" si="38"/>
        <v>2875071.0059940452</v>
      </c>
      <c r="N263" s="99">
        <f t="shared" ref="N263:N267" si="42">MIN(E263,H263,K263)</f>
        <v>380000</v>
      </c>
      <c r="O263" s="73">
        <f t="shared" ref="O263:O267" si="43">MIN(F263,I263,L263)</f>
        <v>1900000</v>
      </c>
      <c r="P263" s="73">
        <f t="shared" ref="P263:P267" si="44">O263+N263</f>
        <v>2280000</v>
      </c>
      <c r="Q263" s="301">
        <f t="shared" ref="Q263:Q269" si="45">N263-(N263*7%)</f>
        <v>353400</v>
      </c>
      <c r="R263" s="301">
        <f t="shared" ref="R263:R269" si="46">O263-(O263*7%)</f>
        <v>1767000</v>
      </c>
      <c r="S263" s="300">
        <f t="shared" ref="S263:S269" si="47">R263+Q263</f>
        <v>2120400</v>
      </c>
    </row>
    <row r="264" spans="1:19" ht="12" x14ac:dyDescent="0.25">
      <c r="A264" s="56">
        <v>246</v>
      </c>
      <c r="B264" s="50" t="s">
        <v>134</v>
      </c>
      <c r="C264" s="33" t="s">
        <v>153</v>
      </c>
      <c r="D264" s="111">
        <v>176890.44100000002</v>
      </c>
      <c r="E264" s="114">
        <v>54319.44</v>
      </c>
      <c r="F264" s="114">
        <v>217277.76</v>
      </c>
      <c r="G264" s="114">
        <f t="shared" si="39"/>
        <v>271597.2</v>
      </c>
      <c r="H264" s="254">
        <f t="shared" si="40"/>
        <v>44000</v>
      </c>
      <c r="I264" s="254">
        <v>220000</v>
      </c>
      <c r="J264" s="255">
        <f t="shared" si="41"/>
        <v>264000</v>
      </c>
      <c r="K264" s="145">
        <f>54319.44-1000</f>
        <v>53319.44</v>
      </c>
      <c r="L264" s="145">
        <v>217277.76</v>
      </c>
      <c r="M264" s="142">
        <f t="shared" si="38"/>
        <v>270597.2</v>
      </c>
      <c r="N264" s="99">
        <f t="shared" si="42"/>
        <v>44000</v>
      </c>
      <c r="O264" s="73">
        <f t="shared" si="43"/>
        <v>217277.76</v>
      </c>
      <c r="P264" s="73">
        <f t="shared" si="44"/>
        <v>261277.76</v>
      </c>
      <c r="Q264" s="301">
        <f t="shared" si="45"/>
        <v>40920</v>
      </c>
      <c r="R264" s="301">
        <f t="shared" si="46"/>
        <v>202068.3168</v>
      </c>
      <c r="S264" s="300">
        <f t="shared" si="47"/>
        <v>242988.3168</v>
      </c>
    </row>
    <row r="265" spans="1:19" ht="12" x14ac:dyDescent="0.25">
      <c r="A265" s="56">
        <v>247</v>
      </c>
      <c r="B265" s="57" t="s">
        <v>264</v>
      </c>
      <c r="C265" s="33" t="s">
        <v>153</v>
      </c>
      <c r="D265" s="111">
        <v>168943.13947300456</v>
      </c>
      <c r="E265" s="114">
        <v>525754</v>
      </c>
      <c r="F265" s="114">
        <v>249826.14048749101</v>
      </c>
      <c r="G265" s="114">
        <f>E265+F265</f>
        <v>775580.14048749104</v>
      </c>
      <c r="H265" s="254">
        <f t="shared" si="40"/>
        <v>43000</v>
      </c>
      <c r="I265" s="254">
        <v>215000</v>
      </c>
      <c r="J265" s="255">
        <f t="shared" si="41"/>
        <v>258000</v>
      </c>
      <c r="K265" s="145">
        <f>525754-1000</f>
        <v>524754</v>
      </c>
      <c r="L265" s="145">
        <v>249826.14048749101</v>
      </c>
      <c r="M265" s="142">
        <f t="shared" si="38"/>
        <v>774580.14048749104</v>
      </c>
      <c r="N265" s="99">
        <f t="shared" si="42"/>
        <v>43000</v>
      </c>
      <c r="O265" s="73">
        <f t="shared" si="43"/>
        <v>215000</v>
      </c>
      <c r="P265" s="73">
        <f t="shared" si="44"/>
        <v>258000</v>
      </c>
      <c r="Q265" s="301">
        <f t="shared" si="45"/>
        <v>39990</v>
      </c>
      <c r="R265" s="301">
        <f t="shared" si="46"/>
        <v>199950</v>
      </c>
      <c r="S265" s="300">
        <f t="shared" si="47"/>
        <v>239940</v>
      </c>
    </row>
    <row r="266" spans="1:19" ht="12" x14ac:dyDescent="0.2">
      <c r="A266" s="56">
        <v>248</v>
      </c>
      <c r="B266" s="47" t="s">
        <v>73</v>
      </c>
      <c r="C266" s="33" t="s">
        <v>153</v>
      </c>
      <c r="D266" s="111">
        <v>63798</v>
      </c>
      <c r="E266" s="114">
        <v>19139.399999999994</v>
      </c>
      <c r="F266" s="114">
        <v>76557.600000000006</v>
      </c>
      <c r="G266" s="114">
        <v>95697</v>
      </c>
      <c r="H266" s="254">
        <f t="shared" si="40"/>
        <v>14000</v>
      </c>
      <c r="I266" s="254">
        <v>70000</v>
      </c>
      <c r="J266" s="255">
        <f t="shared" si="41"/>
        <v>84000</v>
      </c>
      <c r="K266" s="145">
        <f>19139.4-1000</f>
        <v>18139.400000000001</v>
      </c>
      <c r="L266" s="145">
        <v>76557.600000000006</v>
      </c>
      <c r="M266" s="142">
        <f t="shared" si="38"/>
        <v>94697</v>
      </c>
      <c r="N266" s="99">
        <f t="shared" si="42"/>
        <v>14000</v>
      </c>
      <c r="O266" s="73">
        <f t="shared" si="43"/>
        <v>70000</v>
      </c>
      <c r="P266" s="73">
        <f t="shared" si="44"/>
        <v>84000</v>
      </c>
      <c r="Q266" s="301">
        <f t="shared" si="45"/>
        <v>13020</v>
      </c>
      <c r="R266" s="301">
        <f t="shared" si="46"/>
        <v>65100</v>
      </c>
      <c r="S266" s="300">
        <f t="shared" si="47"/>
        <v>78120</v>
      </c>
    </row>
    <row r="267" spans="1:19" ht="12" x14ac:dyDescent="0.2">
      <c r="A267" s="100">
        <v>249</v>
      </c>
      <c r="B267" s="101" t="s">
        <v>72</v>
      </c>
      <c r="C267" s="102" t="s">
        <v>153</v>
      </c>
      <c r="D267" s="118">
        <v>793858.72347257542</v>
      </c>
      <c r="E267" s="119">
        <v>296879.58264021482</v>
      </c>
      <c r="F267" s="119">
        <v>1187518.3305608598</v>
      </c>
      <c r="G267" s="119">
        <v>1484397.9132010746</v>
      </c>
      <c r="H267" s="254">
        <f t="shared" si="40"/>
        <v>200000</v>
      </c>
      <c r="I267" s="254">
        <v>1000000</v>
      </c>
      <c r="J267" s="255">
        <f t="shared" si="41"/>
        <v>1200000</v>
      </c>
      <c r="K267" s="145">
        <f>296879.582640215-1000</f>
        <v>295879.582640215</v>
      </c>
      <c r="L267" s="145">
        <v>1187518.3305608598</v>
      </c>
      <c r="M267" s="142">
        <f t="shared" si="38"/>
        <v>1483397.9132010748</v>
      </c>
      <c r="N267" s="99">
        <f t="shared" si="42"/>
        <v>200000</v>
      </c>
      <c r="O267" s="73">
        <f t="shared" si="43"/>
        <v>1000000</v>
      </c>
      <c r="P267" s="73">
        <f t="shared" si="44"/>
        <v>1200000</v>
      </c>
      <c r="Q267" s="301">
        <f t="shared" si="45"/>
        <v>186000</v>
      </c>
      <c r="R267" s="301">
        <f t="shared" si="46"/>
        <v>930000</v>
      </c>
      <c r="S267" s="300">
        <f t="shared" si="47"/>
        <v>1116000</v>
      </c>
    </row>
    <row r="268" spans="1:19" x14ac:dyDescent="0.25">
      <c r="A268" s="273" t="s">
        <v>491</v>
      </c>
      <c r="B268" s="273"/>
      <c r="C268" s="273"/>
      <c r="D268" s="34">
        <f t="shared" ref="D268:P268" si="48">SUM(D6:D267)</f>
        <v>153580300.81845108</v>
      </c>
      <c r="E268" s="66">
        <f t="shared" si="48"/>
        <v>46578798.390781023</v>
      </c>
      <c r="F268" s="66">
        <f t="shared" si="48"/>
        <v>183262003.70361164</v>
      </c>
      <c r="G268" s="66">
        <f t="shared" si="48"/>
        <v>229840802.09439281</v>
      </c>
      <c r="H268" s="66">
        <f t="shared" ref="H268:J268" si="49">SUM(H6:H267)</f>
        <v>37165400</v>
      </c>
      <c r="I268" s="66">
        <f t="shared" si="49"/>
        <v>185827000</v>
      </c>
      <c r="J268" s="66">
        <f t="shared" si="49"/>
        <v>222992400</v>
      </c>
      <c r="K268" s="66">
        <f t="shared" si="48"/>
        <v>47695098.390781015</v>
      </c>
      <c r="L268" s="66">
        <f t="shared" si="48"/>
        <v>191400854.07373962</v>
      </c>
      <c r="M268" s="66">
        <f t="shared" si="48"/>
        <v>239095952.46452084</v>
      </c>
      <c r="N268" s="72">
        <f t="shared" si="48"/>
        <v>35313413.345444828</v>
      </c>
      <c r="O268" s="66">
        <f t="shared" si="48"/>
        <v>170919839.06242016</v>
      </c>
      <c r="P268" s="136">
        <f t="shared" si="48"/>
        <v>206233252.40786499</v>
      </c>
      <c r="Q268" s="301">
        <f t="shared" si="45"/>
        <v>32841474.411263689</v>
      </c>
      <c r="R268" s="301">
        <f t="shared" si="46"/>
        <v>158955450.32805073</v>
      </c>
      <c r="S268" s="300">
        <f t="shared" si="47"/>
        <v>191796924.73931444</v>
      </c>
    </row>
    <row r="269" spans="1:19" x14ac:dyDescent="0.25">
      <c r="A269" s="273" t="s">
        <v>492</v>
      </c>
      <c r="B269" s="273"/>
      <c r="C269" s="273"/>
      <c r="D269" s="113">
        <v>1</v>
      </c>
      <c r="E269" s="109">
        <f>+E268/G268</f>
        <v>0.20265678663813433</v>
      </c>
      <c r="F269" s="109">
        <f>+F268/G268</f>
        <v>0.79734321336186509</v>
      </c>
      <c r="G269" s="109">
        <f>+E269+F269</f>
        <v>0.99999999999999944</v>
      </c>
      <c r="H269" s="109">
        <f>+H268/J268</f>
        <v>0.16666666666666666</v>
      </c>
      <c r="I269" s="109">
        <f>+I268/J268</f>
        <v>0.83333333333333337</v>
      </c>
      <c r="J269" s="109">
        <f>+H269+I269</f>
        <v>1</v>
      </c>
      <c r="K269" s="109">
        <f t="shared" ref="K269" si="50">+K268/M268</f>
        <v>0.19948099455116636</v>
      </c>
      <c r="L269" s="109">
        <f t="shared" ref="L269" si="51">+L268/M268</f>
        <v>0.80051900544883281</v>
      </c>
      <c r="M269" s="109">
        <f t="shared" ref="M269" si="52">+K269+L269</f>
        <v>0.99999999999999911</v>
      </c>
      <c r="N269" s="109">
        <f t="shared" ref="N269" si="53">+N268/P268</f>
        <v>0.17123045354299082</v>
      </c>
      <c r="O269" s="109">
        <f t="shared" ref="O269" si="54">+O268/P268</f>
        <v>0.82876954645700918</v>
      </c>
      <c r="P269" s="109">
        <f t="shared" ref="P269" si="55">+N269+O269</f>
        <v>1</v>
      </c>
      <c r="Q269" s="301"/>
      <c r="R269" s="301"/>
      <c r="S269" s="300"/>
    </row>
    <row r="270" spans="1:19" x14ac:dyDescent="0.25">
      <c r="D270" s="26"/>
      <c r="E270" s="44"/>
    </row>
    <row r="271" spans="1:19" x14ac:dyDescent="0.25">
      <c r="D271" s="26"/>
      <c r="E271" s="44"/>
    </row>
    <row r="272" spans="1:19" x14ac:dyDescent="0.25">
      <c r="D272" s="26"/>
      <c r="E272" s="44"/>
    </row>
    <row r="273" spans="4:5" x14ac:dyDescent="0.25">
      <c r="D273" s="26"/>
      <c r="E273" s="44"/>
    </row>
    <row r="274" spans="4:5" x14ac:dyDescent="0.25">
      <c r="D274" s="26"/>
      <c r="E274" s="44"/>
    </row>
    <row r="275" spans="4:5" x14ac:dyDescent="0.25">
      <c r="D275" s="26"/>
      <c r="E275" s="44"/>
    </row>
    <row r="276" spans="4:5" x14ac:dyDescent="0.25">
      <c r="D276" s="26"/>
      <c r="E276" s="44"/>
    </row>
    <row r="277" spans="4:5" x14ac:dyDescent="0.25">
      <c r="D277" s="26"/>
      <c r="E277" s="44"/>
    </row>
    <row r="278" spans="4:5" x14ac:dyDescent="0.25">
      <c r="D278" s="26"/>
      <c r="E278" s="44"/>
    </row>
    <row r="279" spans="4:5" x14ac:dyDescent="0.25">
      <c r="D279" s="26"/>
      <c r="E279" s="44"/>
    </row>
    <row r="280" spans="4:5" x14ac:dyDescent="0.25">
      <c r="D280" s="26"/>
      <c r="E280" s="44"/>
    </row>
    <row r="281" spans="4:5" x14ac:dyDescent="0.25">
      <c r="D281" s="26"/>
      <c r="E281" s="44"/>
    </row>
    <row r="282" spans="4:5" x14ac:dyDescent="0.25">
      <c r="D282" s="26"/>
      <c r="E282" s="44"/>
    </row>
    <row r="283" spans="4:5" x14ac:dyDescent="0.25">
      <c r="D283" s="26"/>
      <c r="E283" s="44"/>
    </row>
    <row r="284" spans="4:5" x14ac:dyDescent="0.25">
      <c r="D284" s="26"/>
      <c r="E284" s="44"/>
    </row>
  </sheetData>
  <mergeCells count="8">
    <mergeCell ref="Q4:S4"/>
    <mergeCell ref="N4:P4"/>
    <mergeCell ref="K4:M4"/>
    <mergeCell ref="A268:C268"/>
    <mergeCell ref="A269:C269"/>
    <mergeCell ref="A3:C3"/>
    <mergeCell ref="E4:G4"/>
    <mergeCell ref="H4:J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8">
    <tabColor rgb="FF00B0F0"/>
  </sheetPr>
  <dimension ref="A2:S261"/>
  <sheetViews>
    <sheetView topLeftCell="J236" zoomScaleNormal="100" zoomScaleSheetLayoutView="145" workbookViewId="0">
      <selection activeCell="V253" sqref="V253"/>
    </sheetView>
  </sheetViews>
  <sheetFormatPr baseColWidth="10" defaultColWidth="9.140625" defaultRowHeight="11.25" x14ac:dyDescent="0.2"/>
  <cols>
    <col min="1" max="1" width="4.7109375" style="27" customWidth="1"/>
    <col min="2" max="2" width="56.7109375" style="61" customWidth="1"/>
    <col min="3" max="3" width="8.7109375" style="27" customWidth="1"/>
    <col min="4" max="4" width="13.7109375" style="26" customWidth="1"/>
    <col min="5" max="16" width="13.7109375" style="44" customWidth="1"/>
    <col min="17" max="17" width="13.85546875" style="27" customWidth="1"/>
    <col min="18" max="18" width="18.42578125" style="27" customWidth="1"/>
    <col min="19" max="19" width="13.85546875" style="27" customWidth="1"/>
    <col min="20" max="16384" width="9.140625" style="27"/>
  </cols>
  <sheetData>
    <row r="2" spans="1:19" x14ac:dyDescent="0.25">
      <c r="A2" s="279" t="s">
        <v>477</v>
      </c>
      <c r="B2" s="279"/>
      <c r="C2" s="279"/>
    </row>
    <row r="3" spans="1:19" x14ac:dyDescent="0.25">
      <c r="A3" s="28"/>
      <c r="B3" s="27"/>
      <c r="E3" s="269" t="s">
        <v>473</v>
      </c>
      <c r="F3" s="269"/>
      <c r="G3" s="269"/>
      <c r="H3" s="278" t="s">
        <v>571</v>
      </c>
      <c r="I3" s="278"/>
      <c r="J3" s="278"/>
      <c r="K3" s="277" t="s">
        <v>490</v>
      </c>
      <c r="L3" s="277"/>
      <c r="M3" s="277"/>
      <c r="N3" s="266" t="s">
        <v>480</v>
      </c>
      <c r="O3" s="266"/>
      <c r="P3" s="266"/>
      <c r="Q3" s="295" t="s">
        <v>576</v>
      </c>
      <c r="R3" s="296"/>
      <c r="S3" s="297"/>
    </row>
    <row r="4" spans="1:19" ht="45" x14ac:dyDescent="0.25">
      <c r="A4" s="29" t="s">
        <v>0</v>
      </c>
      <c r="B4" s="30" t="s">
        <v>91</v>
      </c>
      <c r="C4" s="45" t="s">
        <v>152</v>
      </c>
      <c r="D4" s="110" t="s">
        <v>472</v>
      </c>
      <c r="E4" s="89" t="s">
        <v>469</v>
      </c>
      <c r="F4" s="89" t="s">
        <v>470</v>
      </c>
      <c r="G4" s="90" t="s">
        <v>471</v>
      </c>
      <c r="H4" s="233" t="s">
        <v>469</v>
      </c>
      <c r="I4" s="233" t="s">
        <v>470</v>
      </c>
      <c r="J4" s="231" t="s">
        <v>471</v>
      </c>
      <c r="K4" s="115" t="s">
        <v>469</v>
      </c>
      <c r="L4" s="115" t="s">
        <v>470</v>
      </c>
      <c r="M4" s="116" t="s">
        <v>471</v>
      </c>
      <c r="N4" s="97" t="s">
        <v>469</v>
      </c>
      <c r="O4" s="97" t="s">
        <v>470</v>
      </c>
      <c r="P4" s="98" t="s">
        <v>471</v>
      </c>
      <c r="Q4" s="298" t="s">
        <v>574</v>
      </c>
      <c r="R4" s="298" t="s">
        <v>575</v>
      </c>
      <c r="S4" s="299" t="s">
        <v>471</v>
      </c>
    </row>
    <row r="5" spans="1:19" ht="33.75" x14ac:dyDescent="0.25">
      <c r="A5" s="36">
        <v>1</v>
      </c>
      <c r="B5" s="32" t="s">
        <v>276</v>
      </c>
      <c r="C5" s="33" t="s">
        <v>153</v>
      </c>
      <c r="D5" s="111">
        <v>5470022.1675692499</v>
      </c>
      <c r="E5" s="131">
        <v>1679296.80544376</v>
      </c>
      <c r="F5" s="131">
        <v>6717187.22177504</v>
      </c>
      <c r="G5" s="131">
        <f>F5+E5</f>
        <v>8396484.0272188</v>
      </c>
      <c r="H5" s="254">
        <f>+I5*20%</f>
        <v>1400000</v>
      </c>
      <c r="I5" s="254">
        <v>7000000</v>
      </c>
      <c r="J5" s="256">
        <f>+I5+H5</f>
        <v>8400000</v>
      </c>
      <c r="K5" s="146">
        <v>2199500</v>
      </c>
      <c r="L5" s="146">
        <v>6507045.2427784922</v>
      </c>
      <c r="M5" s="146">
        <v>8706545.2427784912</v>
      </c>
      <c r="N5" s="99">
        <f>MIN(E5,H5,K5)</f>
        <v>1400000</v>
      </c>
      <c r="O5" s="73">
        <f>MIN(F5,I5,L5)</f>
        <v>6507045.2427784922</v>
      </c>
      <c r="P5" s="73">
        <f>O5+N5</f>
        <v>7907045.2427784922</v>
      </c>
      <c r="Q5" s="301">
        <f>N5-(N5*7%)</f>
        <v>1302000</v>
      </c>
      <c r="R5" s="301">
        <f>O5-(O5*7%)</f>
        <v>6051552.0757839978</v>
      </c>
      <c r="S5" s="300">
        <f>R5+Q5</f>
        <v>7353552.0757839978</v>
      </c>
    </row>
    <row r="6" spans="1:19" ht="12" x14ac:dyDescent="0.25">
      <c r="A6" s="49">
        <v>2</v>
      </c>
      <c r="B6" s="46" t="s">
        <v>277</v>
      </c>
      <c r="C6" s="33" t="s">
        <v>153</v>
      </c>
      <c r="D6" s="111">
        <v>997955.87485691288</v>
      </c>
      <c r="E6" s="131">
        <v>306372.45358107216</v>
      </c>
      <c r="F6" s="131">
        <v>1225489.8143242893</v>
      </c>
      <c r="G6" s="131">
        <f t="shared" ref="G6:G69" si="0">F6+E6</f>
        <v>1531862.2679053615</v>
      </c>
      <c r="H6" s="254">
        <f t="shared" ref="H6:H69" si="1">+I6*20%</f>
        <v>220000</v>
      </c>
      <c r="I6" s="254">
        <v>1100000</v>
      </c>
      <c r="J6" s="256">
        <f t="shared" ref="J6:J69" si="2">+I6+H6</f>
        <v>1320000</v>
      </c>
      <c r="K6" s="146">
        <v>149500</v>
      </c>
      <c r="L6" s="146">
        <v>1118472.7170579729</v>
      </c>
      <c r="M6" s="146">
        <v>1267972.7170579729</v>
      </c>
      <c r="N6" s="99">
        <f t="shared" ref="N6:N69" si="3">MIN(E6,H6,K6)</f>
        <v>149500</v>
      </c>
      <c r="O6" s="73">
        <f t="shared" ref="O6:O69" si="4">MIN(F6,I6,L6)</f>
        <v>1100000</v>
      </c>
      <c r="P6" s="73">
        <f t="shared" ref="P6:P69" si="5">O6+N6</f>
        <v>1249500</v>
      </c>
      <c r="Q6" s="301">
        <f t="shared" ref="Q6:Q69" si="6">N6-(N6*7%)</f>
        <v>139035</v>
      </c>
      <c r="R6" s="301">
        <f t="shared" ref="R6:R69" si="7">O6-(O6*7%)</f>
        <v>1023000</v>
      </c>
      <c r="S6" s="300">
        <f t="shared" ref="S6:S69" si="8">R6+Q6</f>
        <v>1162035</v>
      </c>
    </row>
    <row r="7" spans="1:19" ht="12" x14ac:dyDescent="0.25">
      <c r="A7" s="36">
        <v>3</v>
      </c>
      <c r="B7" s="46" t="s">
        <v>156</v>
      </c>
      <c r="C7" s="33" t="s">
        <v>153</v>
      </c>
      <c r="D7" s="111">
        <v>330121.88627032033</v>
      </c>
      <c r="E7" s="131">
        <v>101347.4190849883</v>
      </c>
      <c r="F7" s="131">
        <v>405389.67633995344</v>
      </c>
      <c r="G7" s="131">
        <f t="shared" si="0"/>
        <v>506737.09542494174</v>
      </c>
      <c r="H7" s="254">
        <f t="shared" si="1"/>
        <v>78000</v>
      </c>
      <c r="I7" s="254">
        <v>390000</v>
      </c>
      <c r="J7" s="256">
        <f t="shared" si="2"/>
        <v>468000</v>
      </c>
      <c r="K7" s="146">
        <v>649500</v>
      </c>
      <c r="L7" s="146">
        <v>293308.47878058511</v>
      </c>
      <c r="M7" s="146">
        <v>942808.47878058511</v>
      </c>
      <c r="N7" s="99">
        <f t="shared" si="3"/>
        <v>78000</v>
      </c>
      <c r="O7" s="73">
        <f t="shared" si="4"/>
        <v>293308.47878058511</v>
      </c>
      <c r="P7" s="73">
        <f t="shared" si="5"/>
        <v>371308.47878058511</v>
      </c>
      <c r="Q7" s="301">
        <f t="shared" si="6"/>
        <v>72540</v>
      </c>
      <c r="R7" s="301">
        <f t="shared" si="7"/>
        <v>272776.88526594418</v>
      </c>
      <c r="S7" s="300">
        <f t="shared" si="8"/>
        <v>345316.88526594418</v>
      </c>
    </row>
    <row r="8" spans="1:19" ht="12" x14ac:dyDescent="0.25">
      <c r="A8" s="49">
        <v>4</v>
      </c>
      <c r="B8" s="46" t="s">
        <v>133</v>
      </c>
      <c r="C8" s="33" t="s">
        <v>153</v>
      </c>
      <c r="D8" s="111">
        <v>2762655.2570162499</v>
      </c>
      <c r="E8" s="131">
        <v>848135.1639039889</v>
      </c>
      <c r="F8" s="131">
        <v>3392540.6556159556</v>
      </c>
      <c r="G8" s="131">
        <f t="shared" si="0"/>
        <v>4240675.8195199445</v>
      </c>
      <c r="H8" s="254">
        <f t="shared" si="1"/>
        <v>680000</v>
      </c>
      <c r="I8" s="254">
        <v>3400000</v>
      </c>
      <c r="J8" s="256">
        <f t="shared" si="2"/>
        <v>4080000</v>
      </c>
      <c r="K8" s="146">
        <v>1699500</v>
      </c>
      <c r="L8" s="146">
        <v>3618970.4088076339</v>
      </c>
      <c r="M8" s="146">
        <v>5318470.4088076334</v>
      </c>
      <c r="N8" s="99">
        <f t="shared" si="3"/>
        <v>680000</v>
      </c>
      <c r="O8" s="73">
        <f t="shared" si="4"/>
        <v>3392540.6556159556</v>
      </c>
      <c r="P8" s="73">
        <f t="shared" si="5"/>
        <v>4072540.6556159556</v>
      </c>
      <c r="Q8" s="301">
        <f t="shared" si="6"/>
        <v>632400</v>
      </c>
      <c r="R8" s="301">
        <f t="shared" si="7"/>
        <v>3155062.8097228389</v>
      </c>
      <c r="S8" s="300">
        <f t="shared" si="8"/>
        <v>3787462.8097228389</v>
      </c>
    </row>
    <row r="9" spans="1:19" ht="12" x14ac:dyDescent="0.25">
      <c r="A9" s="36">
        <v>5</v>
      </c>
      <c r="B9" s="46" t="s">
        <v>4</v>
      </c>
      <c r="C9" s="33" t="s">
        <v>153</v>
      </c>
      <c r="D9" s="111">
        <v>1470236.7778</v>
      </c>
      <c r="E9" s="131">
        <v>451362.6907846001</v>
      </c>
      <c r="F9" s="131">
        <v>1805450.7631384004</v>
      </c>
      <c r="G9" s="131">
        <f t="shared" si="0"/>
        <v>2256813.4539230005</v>
      </c>
      <c r="H9" s="254">
        <f t="shared" si="1"/>
        <v>340000</v>
      </c>
      <c r="I9" s="254">
        <v>1700000</v>
      </c>
      <c r="J9" s="256">
        <f t="shared" si="2"/>
        <v>2040000</v>
      </c>
      <c r="K9" s="146">
        <v>1699500</v>
      </c>
      <c r="L9" s="146">
        <v>1324513.7268581453</v>
      </c>
      <c r="M9" s="146">
        <v>3024013.7268581456</v>
      </c>
      <c r="N9" s="99">
        <f t="shared" si="3"/>
        <v>340000</v>
      </c>
      <c r="O9" s="73">
        <f t="shared" si="4"/>
        <v>1324513.7268581453</v>
      </c>
      <c r="P9" s="73">
        <f t="shared" si="5"/>
        <v>1664513.7268581453</v>
      </c>
      <c r="Q9" s="301">
        <f t="shared" si="6"/>
        <v>316200</v>
      </c>
      <c r="R9" s="301">
        <f t="shared" si="7"/>
        <v>1231797.7659780751</v>
      </c>
      <c r="S9" s="300">
        <f t="shared" si="8"/>
        <v>1547997.7659780751</v>
      </c>
    </row>
    <row r="10" spans="1:19" ht="12" x14ac:dyDescent="0.25">
      <c r="A10" s="49">
        <v>6</v>
      </c>
      <c r="B10" s="46" t="s">
        <v>96</v>
      </c>
      <c r="C10" s="33" t="s">
        <v>153</v>
      </c>
      <c r="D10" s="111">
        <v>968166.61323381006</v>
      </c>
      <c r="E10" s="131">
        <v>297227.15026277956</v>
      </c>
      <c r="F10" s="131">
        <v>1188908.6010511189</v>
      </c>
      <c r="G10" s="131">
        <f t="shared" si="0"/>
        <v>1486135.7513138985</v>
      </c>
      <c r="H10" s="254">
        <f t="shared" si="1"/>
        <v>200000</v>
      </c>
      <c r="I10" s="254">
        <v>1000000</v>
      </c>
      <c r="J10" s="256">
        <f t="shared" si="2"/>
        <v>1200000</v>
      </c>
      <c r="K10" s="146">
        <v>899500</v>
      </c>
      <c r="L10" s="146">
        <v>1085071.0688915811</v>
      </c>
      <c r="M10" s="146">
        <v>1984571.0688915811</v>
      </c>
      <c r="N10" s="99">
        <f t="shared" si="3"/>
        <v>200000</v>
      </c>
      <c r="O10" s="73">
        <f t="shared" si="4"/>
        <v>1000000</v>
      </c>
      <c r="P10" s="73">
        <f t="shared" si="5"/>
        <v>1200000</v>
      </c>
      <c r="Q10" s="301">
        <f t="shared" si="6"/>
        <v>186000</v>
      </c>
      <c r="R10" s="301">
        <f t="shared" si="7"/>
        <v>930000</v>
      </c>
      <c r="S10" s="300">
        <f t="shared" si="8"/>
        <v>1116000</v>
      </c>
    </row>
    <row r="11" spans="1:19" ht="12" x14ac:dyDescent="0.25">
      <c r="A11" s="36">
        <v>7</v>
      </c>
      <c r="B11" s="46" t="s">
        <v>8</v>
      </c>
      <c r="C11" s="33" t="s">
        <v>153</v>
      </c>
      <c r="D11" s="111">
        <v>157694.2892</v>
      </c>
      <c r="E11" s="131">
        <v>48412.146784399985</v>
      </c>
      <c r="F11" s="131">
        <v>193648.58713760003</v>
      </c>
      <c r="G11" s="131">
        <f t="shared" si="0"/>
        <v>242060.73392200001</v>
      </c>
      <c r="H11" s="254">
        <f t="shared" si="1"/>
        <v>39000</v>
      </c>
      <c r="I11" s="254">
        <v>195000</v>
      </c>
      <c r="J11" s="256">
        <f t="shared" si="2"/>
        <v>234000</v>
      </c>
      <c r="K11" s="146">
        <v>499500</v>
      </c>
      <c r="L11" s="146">
        <v>149955.12079354169</v>
      </c>
      <c r="M11" s="146">
        <v>649455.12079354166</v>
      </c>
      <c r="N11" s="99">
        <f t="shared" si="3"/>
        <v>39000</v>
      </c>
      <c r="O11" s="73">
        <f t="shared" si="4"/>
        <v>149955.12079354169</v>
      </c>
      <c r="P11" s="73">
        <f t="shared" si="5"/>
        <v>188955.12079354169</v>
      </c>
      <c r="Q11" s="301">
        <f t="shared" si="6"/>
        <v>36270</v>
      </c>
      <c r="R11" s="301">
        <f t="shared" si="7"/>
        <v>139458.26233799377</v>
      </c>
      <c r="S11" s="300">
        <f t="shared" si="8"/>
        <v>175728.26233799377</v>
      </c>
    </row>
    <row r="12" spans="1:19" ht="12" x14ac:dyDescent="0.25">
      <c r="A12" s="49">
        <v>8</v>
      </c>
      <c r="B12" s="46" t="s">
        <v>157</v>
      </c>
      <c r="C12" s="33" t="s">
        <v>153</v>
      </c>
      <c r="D12" s="111">
        <v>217350.8968125</v>
      </c>
      <c r="E12" s="131">
        <v>66726.725321437465</v>
      </c>
      <c r="F12" s="131">
        <v>266906.90128575003</v>
      </c>
      <c r="G12" s="131">
        <f t="shared" si="0"/>
        <v>333633.6266071875</v>
      </c>
      <c r="H12" s="254">
        <f t="shared" si="1"/>
        <v>48000</v>
      </c>
      <c r="I12" s="254">
        <v>240000</v>
      </c>
      <c r="J12" s="256">
        <f t="shared" si="2"/>
        <v>288000</v>
      </c>
      <c r="K12" s="146">
        <v>849500</v>
      </c>
      <c r="L12" s="146">
        <v>192942.298163125</v>
      </c>
      <c r="M12" s="146">
        <v>1042442.2981631251</v>
      </c>
      <c r="N12" s="99">
        <f t="shared" si="3"/>
        <v>48000</v>
      </c>
      <c r="O12" s="73">
        <f t="shared" si="4"/>
        <v>192942.298163125</v>
      </c>
      <c r="P12" s="73">
        <f t="shared" si="5"/>
        <v>240942.298163125</v>
      </c>
      <c r="Q12" s="301">
        <f t="shared" si="6"/>
        <v>44640</v>
      </c>
      <c r="R12" s="301">
        <f t="shared" si="7"/>
        <v>179436.33729170624</v>
      </c>
      <c r="S12" s="300">
        <f t="shared" si="8"/>
        <v>224076.33729170624</v>
      </c>
    </row>
    <row r="13" spans="1:19" ht="12" x14ac:dyDescent="0.25">
      <c r="A13" s="36">
        <v>9</v>
      </c>
      <c r="B13" s="46" t="s">
        <v>10</v>
      </c>
      <c r="C13" s="33" t="s">
        <v>153</v>
      </c>
      <c r="D13" s="111">
        <v>170396.27472688223</v>
      </c>
      <c r="E13" s="131">
        <v>52311.656341152848</v>
      </c>
      <c r="F13" s="131">
        <v>209246.62536461139</v>
      </c>
      <c r="G13" s="131">
        <f t="shared" si="0"/>
        <v>261558.28170576424</v>
      </c>
      <c r="H13" s="254">
        <f t="shared" si="1"/>
        <v>40000</v>
      </c>
      <c r="I13" s="254">
        <v>200000</v>
      </c>
      <c r="J13" s="256">
        <f t="shared" si="2"/>
        <v>240000</v>
      </c>
      <c r="K13" s="146">
        <v>349500</v>
      </c>
      <c r="L13" s="146">
        <v>151152.68450692517</v>
      </c>
      <c r="M13" s="146">
        <v>500652.68450692517</v>
      </c>
      <c r="N13" s="99">
        <f t="shared" si="3"/>
        <v>40000</v>
      </c>
      <c r="O13" s="73">
        <f t="shared" si="4"/>
        <v>151152.68450692517</v>
      </c>
      <c r="P13" s="73">
        <f t="shared" si="5"/>
        <v>191152.68450692517</v>
      </c>
      <c r="Q13" s="301">
        <f t="shared" si="6"/>
        <v>37200</v>
      </c>
      <c r="R13" s="301">
        <f t="shared" si="7"/>
        <v>140571.9965914404</v>
      </c>
      <c r="S13" s="300">
        <f t="shared" si="8"/>
        <v>177771.9965914404</v>
      </c>
    </row>
    <row r="14" spans="1:19" ht="12" x14ac:dyDescent="0.25">
      <c r="A14" s="49">
        <v>10</v>
      </c>
      <c r="B14" s="46" t="s">
        <v>65</v>
      </c>
      <c r="C14" s="33" t="s">
        <v>153</v>
      </c>
      <c r="D14" s="111">
        <v>646051.10359999991</v>
      </c>
      <c r="E14" s="131">
        <v>198337.68880519993</v>
      </c>
      <c r="F14" s="131">
        <v>793350.75522080006</v>
      </c>
      <c r="G14" s="131">
        <f t="shared" si="0"/>
        <v>991688.44402599998</v>
      </c>
      <c r="H14" s="254">
        <f t="shared" si="1"/>
        <v>162000</v>
      </c>
      <c r="I14" s="254">
        <v>810000</v>
      </c>
      <c r="J14" s="256">
        <f t="shared" si="2"/>
        <v>972000</v>
      </c>
      <c r="K14" s="146">
        <v>749500</v>
      </c>
      <c r="L14" s="146">
        <v>650445.11221191415</v>
      </c>
      <c r="M14" s="146">
        <v>1399945.1122119143</v>
      </c>
      <c r="N14" s="99">
        <f t="shared" si="3"/>
        <v>162000</v>
      </c>
      <c r="O14" s="73">
        <f t="shared" si="4"/>
        <v>650445.11221191415</v>
      </c>
      <c r="P14" s="73">
        <f t="shared" si="5"/>
        <v>812445.11221191415</v>
      </c>
      <c r="Q14" s="301">
        <f t="shared" si="6"/>
        <v>150660</v>
      </c>
      <c r="R14" s="301">
        <f t="shared" si="7"/>
        <v>604913.95435708016</v>
      </c>
      <c r="S14" s="300">
        <f t="shared" si="8"/>
        <v>755573.95435708016</v>
      </c>
    </row>
    <row r="15" spans="1:19" ht="12" x14ac:dyDescent="0.25">
      <c r="A15" s="36">
        <v>11</v>
      </c>
      <c r="B15" s="46" t="s">
        <v>9</v>
      </c>
      <c r="C15" s="33" t="s">
        <v>153</v>
      </c>
      <c r="D15" s="111">
        <v>250049.76917496609</v>
      </c>
      <c r="E15" s="131">
        <v>76765.279136714584</v>
      </c>
      <c r="F15" s="131">
        <v>307061.11654685839</v>
      </c>
      <c r="G15" s="131">
        <f t="shared" si="0"/>
        <v>383826.39568357298</v>
      </c>
      <c r="H15" s="254">
        <f t="shared" si="1"/>
        <v>58000</v>
      </c>
      <c r="I15" s="254">
        <v>290000</v>
      </c>
      <c r="J15" s="256">
        <f t="shared" si="2"/>
        <v>348000</v>
      </c>
      <c r="K15" s="146">
        <v>449500</v>
      </c>
      <c r="L15" s="146">
        <v>222044.29456571981</v>
      </c>
      <c r="M15" s="146">
        <v>671544.29456571979</v>
      </c>
      <c r="N15" s="99">
        <f t="shared" si="3"/>
        <v>58000</v>
      </c>
      <c r="O15" s="73">
        <f t="shared" si="4"/>
        <v>222044.29456571981</v>
      </c>
      <c r="P15" s="73">
        <f t="shared" si="5"/>
        <v>280044.29456571979</v>
      </c>
      <c r="Q15" s="301">
        <f t="shared" si="6"/>
        <v>53940</v>
      </c>
      <c r="R15" s="301">
        <f t="shared" si="7"/>
        <v>206501.19394611943</v>
      </c>
      <c r="S15" s="300">
        <f t="shared" si="8"/>
        <v>260441.19394611943</v>
      </c>
    </row>
    <row r="16" spans="1:19" ht="12" x14ac:dyDescent="0.25">
      <c r="A16" s="49">
        <v>12</v>
      </c>
      <c r="B16" s="46" t="s">
        <v>324</v>
      </c>
      <c r="C16" s="33" t="s">
        <v>153</v>
      </c>
      <c r="D16" s="111">
        <v>1290236.0612958157</v>
      </c>
      <c r="E16" s="131">
        <v>396102.47081781528</v>
      </c>
      <c r="F16" s="131">
        <v>1584409.883271262</v>
      </c>
      <c r="G16" s="131">
        <f t="shared" si="0"/>
        <v>1980512.3540890773</v>
      </c>
      <c r="H16" s="254">
        <f t="shared" si="1"/>
        <v>300000</v>
      </c>
      <c r="I16" s="254">
        <v>1500000</v>
      </c>
      <c r="J16" s="256">
        <f t="shared" si="2"/>
        <v>1800000</v>
      </c>
      <c r="K16" s="146">
        <v>397500</v>
      </c>
      <c r="L16" s="146">
        <v>1147810.094553276</v>
      </c>
      <c r="M16" s="146">
        <v>1545310.094553276</v>
      </c>
      <c r="N16" s="99">
        <f t="shared" si="3"/>
        <v>300000</v>
      </c>
      <c r="O16" s="73">
        <f t="shared" si="4"/>
        <v>1147810.094553276</v>
      </c>
      <c r="P16" s="73">
        <f t="shared" si="5"/>
        <v>1447810.094553276</v>
      </c>
      <c r="Q16" s="301">
        <f t="shared" si="6"/>
        <v>279000</v>
      </c>
      <c r="R16" s="301">
        <f t="shared" si="7"/>
        <v>1067463.3879345467</v>
      </c>
      <c r="S16" s="300">
        <f t="shared" si="8"/>
        <v>1346463.3879345467</v>
      </c>
    </row>
    <row r="17" spans="1:19" ht="12" x14ac:dyDescent="0.2">
      <c r="A17" s="36">
        <v>13</v>
      </c>
      <c r="B17" s="47" t="s">
        <v>158</v>
      </c>
      <c r="C17" s="33" t="s">
        <v>153</v>
      </c>
      <c r="D17" s="111">
        <v>3896941.8841664996</v>
      </c>
      <c r="E17" s="131">
        <v>1196361.1584391156</v>
      </c>
      <c r="F17" s="131">
        <v>4785444.6337564616</v>
      </c>
      <c r="G17" s="131">
        <f t="shared" si="0"/>
        <v>5981805.7921955772</v>
      </c>
      <c r="H17" s="254">
        <f t="shared" si="1"/>
        <v>960000</v>
      </c>
      <c r="I17" s="254">
        <v>4800000</v>
      </c>
      <c r="J17" s="256">
        <f t="shared" si="2"/>
        <v>5760000</v>
      </c>
      <c r="K17" s="146">
        <v>999500</v>
      </c>
      <c r="L17" s="146">
        <v>4492675.7054559682</v>
      </c>
      <c r="M17" s="146">
        <v>5492175.7054559682</v>
      </c>
      <c r="N17" s="99">
        <f t="shared" si="3"/>
        <v>960000</v>
      </c>
      <c r="O17" s="73">
        <f t="shared" si="4"/>
        <v>4492675.7054559682</v>
      </c>
      <c r="P17" s="73">
        <f t="shared" si="5"/>
        <v>5452675.7054559682</v>
      </c>
      <c r="Q17" s="301">
        <f t="shared" si="6"/>
        <v>892800</v>
      </c>
      <c r="R17" s="301">
        <f t="shared" si="7"/>
        <v>4178188.4060740503</v>
      </c>
      <c r="S17" s="300">
        <f t="shared" si="8"/>
        <v>5070988.4060740508</v>
      </c>
    </row>
    <row r="18" spans="1:19" ht="12" x14ac:dyDescent="0.25">
      <c r="A18" s="49">
        <v>14</v>
      </c>
      <c r="B18" s="46" t="s">
        <v>2</v>
      </c>
      <c r="C18" s="33" t="s">
        <v>153</v>
      </c>
      <c r="D18" s="111">
        <v>510078.23019999999</v>
      </c>
      <c r="E18" s="131">
        <v>156594.01667139994</v>
      </c>
      <c r="F18" s="131">
        <v>626376.06668560009</v>
      </c>
      <c r="G18" s="131">
        <f t="shared" si="0"/>
        <v>782970.08335700002</v>
      </c>
      <c r="H18" s="254">
        <f t="shared" si="1"/>
        <v>123000</v>
      </c>
      <c r="I18" s="254">
        <v>615000</v>
      </c>
      <c r="J18" s="256">
        <f t="shared" si="2"/>
        <v>738000</v>
      </c>
      <c r="K18" s="146">
        <v>749500</v>
      </c>
      <c r="L18" s="146">
        <v>462602.17450280418</v>
      </c>
      <c r="M18" s="146">
        <v>1212102.1745028042</v>
      </c>
      <c r="N18" s="99">
        <f t="shared" si="3"/>
        <v>123000</v>
      </c>
      <c r="O18" s="73">
        <f t="shared" si="4"/>
        <v>462602.17450280418</v>
      </c>
      <c r="P18" s="73">
        <f t="shared" si="5"/>
        <v>585602.17450280418</v>
      </c>
      <c r="Q18" s="301">
        <f t="shared" si="6"/>
        <v>114390</v>
      </c>
      <c r="R18" s="301">
        <f t="shared" si="7"/>
        <v>430220.02228760789</v>
      </c>
      <c r="S18" s="300">
        <f t="shared" si="8"/>
        <v>544610.02228760789</v>
      </c>
    </row>
    <row r="19" spans="1:19" ht="12" x14ac:dyDescent="0.25">
      <c r="A19" s="36">
        <v>15</v>
      </c>
      <c r="B19" s="46" t="s">
        <v>3</v>
      </c>
      <c r="C19" s="33" t="s">
        <v>153</v>
      </c>
      <c r="D19" s="111">
        <v>510078.23019999999</v>
      </c>
      <c r="E19" s="131">
        <v>156594.01667139994</v>
      </c>
      <c r="F19" s="131">
        <v>626376.06668560009</v>
      </c>
      <c r="G19" s="131">
        <f t="shared" si="0"/>
        <v>782970.08335700002</v>
      </c>
      <c r="H19" s="254">
        <f t="shared" si="1"/>
        <v>123000</v>
      </c>
      <c r="I19" s="254">
        <v>615000</v>
      </c>
      <c r="J19" s="256">
        <f t="shared" si="2"/>
        <v>738000</v>
      </c>
      <c r="K19" s="146">
        <v>749500</v>
      </c>
      <c r="L19" s="146">
        <v>462602.17450280418</v>
      </c>
      <c r="M19" s="146">
        <v>1212102.1745028042</v>
      </c>
      <c r="N19" s="99">
        <f t="shared" si="3"/>
        <v>123000</v>
      </c>
      <c r="O19" s="73">
        <f t="shared" si="4"/>
        <v>462602.17450280418</v>
      </c>
      <c r="P19" s="73">
        <f t="shared" si="5"/>
        <v>585602.17450280418</v>
      </c>
      <c r="Q19" s="301">
        <f t="shared" si="6"/>
        <v>114390</v>
      </c>
      <c r="R19" s="301">
        <f t="shared" si="7"/>
        <v>430220.02228760789</v>
      </c>
      <c r="S19" s="300">
        <f t="shared" si="8"/>
        <v>544610.02228760789</v>
      </c>
    </row>
    <row r="20" spans="1:19" ht="12" x14ac:dyDescent="0.25">
      <c r="A20" s="49">
        <v>16</v>
      </c>
      <c r="B20" s="46" t="s">
        <v>15</v>
      </c>
      <c r="C20" s="33" t="s">
        <v>153</v>
      </c>
      <c r="D20" s="111">
        <v>2062813.8195366361</v>
      </c>
      <c r="E20" s="131">
        <v>633283.84259774722</v>
      </c>
      <c r="F20" s="131">
        <v>2533135.3703909894</v>
      </c>
      <c r="G20" s="131">
        <f t="shared" si="0"/>
        <v>3166419.2129887366</v>
      </c>
      <c r="H20" s="254">
        <f t="shared" si="1"/>
        <v>520000</v>
      </c>
      <c r="I20" s="254">
        <v>2600000</v>
      </c>
      <c r="J20" s="256">
        <f t="shared" si="2"/>
        <v>3120000</v>
      </c>
      <c r="K20" s="146">
        <v>999500</v>
      </c>
      <c r="L20" s="146">
        <v>2312460.3648684365</v>
      </c>
      <c r="M20" s="146">
        <v>3311960.3648684365</v>
      </c>
      <c r="N20" s="99">
        <f t="shared" si="3"/>
        <v>520000</v>
      </c>
      <c r="O20" s="73">
        <f t="shared" si="4"/>
        <v>2312460.3648684365</v>
      </c>
      <c r="P20" s="73">
        <f t="shared" si="5"/>
        <v>2832460.3648684365</v>
      </c>
      <c r="Q20" s="301">
        <f t="shared" si="6"/>
        <v>483600</v>
      </c>
      <c r="R20" s="301">
        <f t="shared" si="7"/>
        <v>2150588.1393276458</v>
      </c>
      <c r="S20" s="300">
        <f t="shared" si="8"/>
        <v>2634188.1393276458</v>
      </c>
    </row>
    <row r="21" spans="1:19" ht="12" x14ac:dyDescent="0.25">
      <c r="A21" s="36">
        <v>17</v>
      </c>
      <c r="B21" s="46" t="s">
        <v>105</v>
      </c>
      <c r="C21" s="33" t="s">
        <v>153</v>
      </c>
      <c r="D21" s="111">
        <v>391050.03271924757</v>
      </c>
      <c r="E21" s="131">
        <v>120052.360044809</v>
      </c>
      <c r="F21" s="131">
        <v>480209.44017923606</v>
      </c>
      <c r="G21" s="131">
        <f t="shared" si="0"/>
        <v>600261.80022404506</v>
      </c>
      <c r="H21" s="254">
        <f t="shared" si="1"/>
        <v>92000</v>
      </c>
      <c r="I21" s="254">
        <v>460000</v>
      </c>
      <c r="J21" s="256">
        <f t="shared" si="2"/>
        <v>552000</v>
      </c>
      <c r="K21" s="146">
        <v>749500</v>
      </c>
      <c r="L21" s="146">
        <v>347534.52912013035</v>
      </c>
      <c r="M21" s="146">
        <v>1097034.5291201305</v>
      </c>
      <c r="N21" s="99">
        <f t="shared" si="3"/>
        <v>92000</v>
      </c>
      <c r="O21" s="73">
        <f t="shared" si="4"/>
        <v>347534.52912013035</v>
      </c>
      <c r="P21" s="73">
        <f t="shared" si="5"/>
        <v>439534.52912013035</v>
      </c>
      <c r="Q21" s="301">
        <f t="shared" si="6"/>
        <v>85560</v>
      </c>
      <c r="R21" s="301">
        <f t="shared" si="7"/>
        <v>323207.11208172119</v>
      </c>
      <c r="S21" s="300">
        <f t="shared" si="8"/>
        <v>408767.11208172119</v>
      </c>
    </row>
    <row r="22" spans="1:19" ht="12" x14ac:dyDescent="0.25">
      <c r="A22" s="49">
        <v>18</v>
      </c>
      <c r="B22" s="46" t="s">
        <v>106</v>
      </c>
      <c r="C22" s="33" t="s">
        <v>153</v>
      </c>
      <c r="D22" s="111">
        <v>560833.82598904928</v>
      </c>
      <c r="E22" s="131">
        <v>172175.9845786381</v>
      </c>
      <c r="F22" s="131">
        <v>688703.93831455265</v>
      </c>
      <c r="G22" s="131">
        <f t="shared" si="0"/>
        <v>860879.92289319076</v>
      </c>
      <c r="H22" s="254">
        <f t="shared" si="1"/>
        <v>134000</v>
      </c>
      <c r="I22" s="254">
        <v>670000</v>
      </c>
      <c r="J22" s="256">
        <f t="shared" si="2"/>
        <v>804000</v>
      </c>
      <c r="K22" s="146">
        <v>749500</v>
      </c>
      <c r="L22" s="146">
        <v>498642.10513025383</v>
      </c>
      <c r="M22" s="146">
        <v>1248142.1051302538</v>
      </c>
      <c r="N22" s="99">
        <f t="shared" si="3"/>
        <v>134000</v>
      </c>
      <c r="O22" s="73">
        <f t="shared" si="4"/>
        <v>498642.10513025383</v>
      </c>
      <c r="P22" s="73">
        <f t="shared" si="5"/>
        <v>632642.10513025383</v>
      </c>
      <c r="Q22" s="301">
        <f t="shared" si="6"/>
        <v>124620</v>
      </c>
      <c r="R22" s="301">
        <f t="shared" si="7"/>
        <v>463737.15777113603</v>
      </c>
      <c r="S22" s="300">
        <f t="shared" si="8"/>
        <v>588357.15777113603</v>
      </c>
    </row>
    <row r="23" spans="1:19" ht="12" x14ac:dyDescent="0.25">
      <c r="A23" s="36">
        <v>19</v>
      </c>
      <c r="B23" s="46" t="s">
        <v>6</v>
      </c>
      <c r="C23" s="33" t="s">
        <v>153</v>
      </c>
      <c r="D23" s="111">
        <v>259883.18706386921</v>
      </c>
      <c r="E23" s="131">
        <v>79784.138428607839</v>
      </c>
      <c r="F23" s="131">
        <v>319136.55371443141</v>
      </c>
      <c r="G23" s="131">
        <f t="shared" si="0"/>
        <v>398920.69214303925</v>
      </c>
      <c r="H23" s="254">
        <f t="shared" si="1"/>
        <v>62000</v>
      </c>
      <c r="I23" s="254">
        <v>310000</v>
      </c>
      <c r="J23" s="256">
        <f t="shared" si="2"/>
        <v>372000</v>
      </c>
      <c r="K23" s="146">
        <v>474500</v>
      </c>
      <c r="L23" s="146">
        <v>230796.0364868436</v>
      </c>
      <c r="M23" s="146">
        <v>705296.0364868436</v>
      </c>
      <c r="N23" s="99">
        <f t="shared" si="3"/>
        <v>62000</v>
      </c>
      <c r="O23" s="73">
        <f t="shared" si="4"/>
        <v>230796.0364868436</v>
      </c>
      <c r="P23" s="73">
        <f t="shared" si="5"/>
        <v>292796.0364868436</v>
      </c>
      <c r="Q23" s="301">
        <f t="shared" si="6"/>
        <v>57660</v>
      </c>
      <c r="R23" s="301">
        <f t="shared" si="7"/>
        <v>214640.31393276455</v>
      </c>
      <c r="S23" s="300">
        <f t="shared" si="8"/>
        <v>272300.31393276458</v>
      </c>
    </row>
    <row r="24" spans="1:19" ht="12" x14ac:dyDescent="0.25">
      <c r="A24" s="49">
        <v>20</v>
      </c>
      <c r="B24" s="46" t="s">
        <v>159</v>
      </c>
      <c r="C24" s="33" t="s">
        <v>153</v>
      </c>
      <c r="D24" s="111">
        <v>1862852.6196000001</v>
      </c>
      <c r="E24" s="131">
        <v>571895.75421719998</v>
      </c>
      <c r="F24" s="131">
        <v>2287583.0168688004</v>
      </c>
      <c r="G24" s="131">
        <f t="shared" si="0"/>
        <v>2859478.7710860004</v>
      </c>
      <c r="H24" s="254">
        <f t="shared" si="1"/>
        <v>460000</v>
      </c>
      <c r="I24" s="254">
        <v>2300000</v>
      </c>
      <c r="J24" s="256">
        <f t="shared" si="2"/>
        <v>2760000</v>
      </c>
      <c r="K24" s="146">
        <v>649500</v>
      </c>
      <c r="L24" s="146">
        <v>1899878.2457297412</v>
      </c>
      <c r="M24" s="146">
        <v>2549378.2457297412</v>
      </c>
      <c r="N24" s="99">
        <f t="shared" si="3"/>
        <v>460000</v>
      </c>
      <c r="O24" s="73">
        <f t="shared" si="4"/>
        <v>1899878.2457297412</v>
      </c>
      <c r="P24" s="73">
        <f t="shared" si="5"/>
        <v>2359878.2457297412</v>
      </c>
      <c r="Q24" s="301">
        <f t="shared" si="6"/>
        <v>427800</v>
      </c>
      <c r="R24" s="301">
        <f t="shared" si="7"/>
        <v>1766886.7685286594</v>
      </c>
      <c r="S24" s="300">
        <f t="shared" si="8"/>
        <v>2194686.7685286594</v>
      </c>
    </row>
    <row r="25" spans="1:19" ht="11.25" customHeight="1" x14ac:dyDescent="0.25">
      <c r="A25" s="36">
        <v>21</v>
      </c>
      <c r="B25" s="46" t="s">
        <v>160</v>
      </c>
      <c r="C25" s="33" t="s">
        <v>153</v>
      </c>
      <c r="D25" s="111">
        <v>350000</v>
      </c>
      <c r="E25" s="131">
        <v>107450</v>
      </c>
      <c r="F25" s="131">
        <v>429800</v>
      </c>
      <c r="G25" s="131">
        <f t="shared" si="0"/>
        <v>537250</v>
      </c>
      <c r="H25" s="254">
        <f t="shared" si="1"/>
        <v>68000</v>
      </c>
      <c r="I25" s="254">
        <v>340000</v>
      </c>
      <c r="J25" s="256">
        <f t="shared" si="2"/>
        <v>408000</v>
      </c>
      <c r="K25" s="146">
        <v>349500</v>
      </c>
      <c r="L25" s="146">
        <v>311000</v>
      </c>
      <c r="M25" s="146">
        <v>660500</v>
      </c>
      <c r="N25" s="99">
        <f t="shared" si="3"/>
        <v>68000</v>
      </c>
      <c r="O25" s="73">
        <f t="shared" si="4"/>
        <v>311000</v>
      </c>
      <c r="P25" s="73">
        <f t="shared" si="5"/>
        <v>379000</v>
      </c>
      <c r="Q25" s="301">
        <f t="shared" si="6"/>
        <v>63240</v>
      </c>
      <c r="R25" s="301">
        <f t="shared" si="7"/>
        <v>289230</v>
      </c>
      <c r="S25" s="300">
        <f t="shared" si="8"/>
        <v>352470</v>
      </c>
    </row>
    <row r="26" spans="1:19" ht="12" x14ac:dyDescent="0.25">
      <c r="A26" s="49">
        <v>22</v>
      </c>
      <c r="B26" s="46" t="s">
        <v>5</v>
      </c>
      <c r="C26" s="33" t="s">
        <v>153</v>
      </c>
      <c r="D26" s="111">
        <v>118427.21800000001</v>
      </c>
      <c r="E26" s="131">
        <v>36357.155926000007</v>
      </c>
      <c r="F26" s="131">
        <v>145428.62370400003</v>
      </c>
      <c r="G26" s="131">
        <f t="shared" si="0"/>
        <v>181785.77963000003</v>
      </c>
      <c r="H26" s="254">
        <f t="shared" si="1"/>
        <v>30000</v>
      </c>
      <c r="I26" s="254">
        <v>150000</v>
      </c>
      <c r="J26" s="256">
        <f t="shared" si="2"/>
        <v>180000</v>
      </c>
      <c r="K26" s="146">
        <v>164500</v>
      </c>
      <c r="L26" s="146">
        <v>168283.59419310209</v>
      </c>
      <c r="M26" s="146">
        <v>332783.59419310209</v>
      </c>
      <c r="N26" s="99">
        <f t="shared" si="3"/>
        <v>30000</v>
      </c>
      <c r="O26" s="73">
        <f t="shared" si="4"/>
        <v>145428.62370400003</v>
      </c>
      <c r="P26" s="73">
        <f t="shared" si="5"/>
        <v>175428.62370400003</v>
      </c>
      <c r="Q26" s="301">
        <f t="shared" si="6"/>
        <v>27900</v>
      </c>
      <c r="R26" s="301">
        <f t="shared" si="7"/>
        <v>135248.62004472001</v>
      </c>
      <c r="S26" s="300">
        <f t="shared" si="8"/>
        <v>163148.62004472001</v>
      </c>
    </row>
    <row r="27" spans="1:19" ht="12" x14ac:dyDescent="0.2">
      <c r="A27" s="36">
        <v>23</v>
      </c>
      <c r="B27" s="47" t="s">
        <v>132</v>
      </c>
      <c r="C27" s="33" t="s">
        <v>153</v>
      </c>
      <c r="D27" s="111">
        <v>887397.13054828777</v>
      </c>
      <c r="E27" s="131">
        <v>272430.91907832422</v>
      </c>
      <c r="F27" s="131">
        <v>1089723.6763132976</v>
      </c>
      <c r="G27" s="131">
        <f t="shared" si="0"/>
        <v>1362154.5953916218</v>
      </c>
      <c r="H27" s="254">
        <f t="shared" si="1"/>
        <v>212000</v>
      </c>
      <c r="I27" s="254">
        <v>1060000</v>
      </c>
      <c r="J27" s="256">
        <f t="shared" si="2"/>
        <v>1272000</v>
      </c>
      <c r="K27" s="146">
        <v>424500</v>
      </c>
      <c r="L27" s="146">
        <v>789283.44618797617</v>
      </c>
      <c r="M27" s="146">
        <v>1213783.4461879763</v>
      </c>
      <c r="N27" s="99">
        <f t="shared" si="3"/>
        <v>212000</v>
      </c>
      <c r="O27" s="73">
        <f t="shared" si="4"/>
        <v>789283.44618797617</v>
      </c>
      <c r="P27" s="73">
        <f t="shared" si="5"/>
        <v>1001283.4461879762</v>
      </c>
      <c r="Q27" s="301">
        <f t="shared" si="6"/>
        <v>197160</v>
      </c>
      <c r="R27" s="301">
        <f t="shared" si="7"/>
        <v>734033.6049548178</v>
      </c>
      <c r="S27" s="300">
        <f t="shared" si="8"/>
        <v>931193.6049548178</v>
      </c>
    </row>
    <row r="28" spans="1:19" ht="12" x14ac:dyDescent="0.2">
      <c r="A28" s="49">
        <v>24</v>
      </c>
      <c r="B28" s="47" t="s">
        <v>149</v>
      </c>
      <c r="C28" s="33" t="s">
        <v>153</v>
      </c>
      <c r="D28" s="111">
        <v>417018.39538057341</v>
      </c>
      <c r="E28" s="131">
        <v>128024.64738183602</v>
      </c>
      <c r="F28" s="131">
        <v>512098.58952734416</v>
      </c>
      <c r="G28" s="131">
        <f t="shared" si="0"/>
        <v>640123.23690918018</v>
      </c>
      <c r="H28" s="254">
        <f t="shared" si="1"/>
        <v>98000</v>
      </c>
      <c r="I28" s="254">
        <v>490000</v>
      </c>
      <c r="J28" s="256">
        <f t="shared" si="2"/>
        <v>588000</v>
      </c>
      <c r="K28" s="146">
        <v>420500</v>
      </c>
      <c r="L28" s="146">
        <v>370646.3718887103</v>
      </c>
      <c r="M28" s="146">
        <v>791146.3718887103</v>
      </c>
      <c r="N28" s="99">
        <f t="shared" si="3"/>
        <v>98000</v>
      </c>
      <c r="O28" s="73">
        <f t="shared" si="4"/>
        <v>370646.3718887103</v>
      </c>
      <c r="P28" s="73">
        <f t="shared" si="5"/>
        <v>468646.3718887103</v>
      </c>
      <c r="Q28" s="301">
        <f t="shared" si="6"/>
        <v>91140</v>
      </c>
      <c r="R28" s="301">
        <f t="shared" si="7"/>
        <v>344701.12585650058</v>
      </c>
      <c r="S28" s="300">
        <f t="shared" si="8"/>
        <v>435841.12585650058</v>
      </c>
    </row>
    <row r="29" spans="1:19" ht="12" x14ac:dyDescent="0.25">
      <c r="A29" s="36">
        <v>25</v>
      </c>
      <c r="B29" s="46" t="s">
        <v>11</v>
      </c>
      <c r="C29" s="33" t="s">
        <v>153</v>
      </c>
      <c r="D29" s="111">
        <v>164525.92800000001</v>
      </c>
      <c r="E29" s="131">
        <v>50509.459895999986</v>
      </c>
      <c r="F29" s="131">
        <v>202037.83958400006</v>
      </c>
      <c r="G29" s="131">
        <f t="shared" si="0"/>
        <v>252547.29948000005</v>
      </c>
      <c r="H29" s="254">
        <f t="shared" si="1"/>
        <v>42000</v>
      </c>
      <c r="I29" s="254">
        <v>210000</v>
      </c>
      <c r="J29" s="256">
        <f t="shared" si="2"/>
        <v>252000</v>
      </c>
      <c r="K29" s="146">
        <v>164500</v>
      </c>
      <c r="L29" s="146">
        <v>233324.03965320246</v>
      </c>
      <c r="M29" s="146">
        <v>397824.03965320246</v>
      </c>
      <c r="N29" s="99">
        <f t="shared" si="3"/>
        <v>42000</v>
      </c>
      <c r="O29" s="73">
        <f t="shared" si="4"/>
        <v>202037.83958400006</v>
      </c>
      <c r="P29" s="73">
        <f t="shared" si="5"/>
        <v>244037.83958400006</v>
      </c>
      <c r="Q29" s="301">
        <f t="shared" si="6"/>
        <v>39060</v>
      </c>
      <c r="R29" s="301">
        <f t="shared" si="7"/>
        <v>187895.19081312005</v>
      </c>
      <c r="S29" s="300">
        <f t="shared" si="8"/>
        <v>226955.19081312005</v>
      </c>
    </row>
    <row r="30" spans="1:19" ht="12" x14ac:dyDescent="0.2">
      <c r="A30" s="49">
        <v>26</v>
      </c>
      <c r="B30" s="47" t="s">
        <v>66</v>
      </c>
      <c r="C30" s="33" t="s">
        <v>153</v>
      </c>
      <c r="D30" s="111">
        <v>372930.90519999998</v>
      </c>
      <c r="E30" s="131">
        <v>114489.78789639997</v>
      </c>
      <c r="F30" s="131">
        <v>457959.15158560011</v>
      </c>
      <c r="G30" s="131">
        <f t="shared" si="0"/>
        <v>572448.93948200007</v>
      </c>
      <c r="H30" s="254">
        <f t="shared" si="1"/>
        <v>94000</v>
      </c>
      <c r="I30" s="254">
        <v>470000</v>
      </c>
      <c r="J30" s="256">
        <f t="shared" si="2"/>
        <v>564000</v>
      </c>
      <c r="K30" s="146">
        <v>164500</v>
      </c>
      <c r="L30" s="146">
        <v>368323.409533075</v>
      </c>
      <c r="M30" s="146">
        <v>532823.40953307506</v>
      </c>
      <c r="N30" s="99">
        <f t="shared" si="3"/>
        <v>94000</v>
      </c>
      <c r="O30" s="73">
        <f t="shared" si="4"/>
        <v>368323.409533075</v>
      </c>
      <c r="P30" s="73">
        <f t="shared" si="5"/>
        <v>462323.409533075</v>
      </c>
      <c r="Q30" s="301">
        <f t="shared" si="6"/>
        <v>87420</v>
      </c>
      <c r="R30" s="301">
        <f t="shared" si="7"/>
        <v>342540.77086575975</v>
      </c>
      <c r="S30" s="300">
        <f t="shared" si="8"/>
        <v>429960.77086575975</v>
      </c>
    </row>
    <row r="31" spans="1:19" ht="12" x14ac:dyDescent="0.25">
      <c r="A31" s="36">
        <v>27</v>
      </c>
      <c r="B31" s="46" t="s">
        <v>13</v>
      </c>
      <c r="C31" s="33" t="s">
        <v>153</v>
      </c>
      <c r="D31" s="111">
        <v>1076008.2896501913</v>
      </c>
      <c r="E31" s="131">
        <v>330334.54492260865</v>
      </c>
      <c r="F31" s="131">
        <v>1321338.1796904353</v>
      </c>
      <c r="G31" s="131">
        <f t="shared" si="0"/>
        <v>1651672.7246130439</v>
      </c>
      <c r="H31" s="254">
        <f t="shared" si="1"/>
        <v>260000</v>
      </c>
      <c r="I31" s="254">
        <v>1300000</v>
      </c>
      <c r="J31" s="256">
        <f t="shared" si="2"/>
        <v>1560000</v>
      </c>
      <c r="K31" s="146">
        <v>424500</v>
      </c>
      <c r="L31" s="146">
        <v>1205990.1362692115</v>
      </c>
      <c r="M31" s="146">
        <v>1630490.1362692115</v>
      </c>
      <c r="N31" s="99">
        <f t="shared" si="3"/>
        <v>260000</v>
      </c>
      <c r="O31" s="73">
        <f t="shared" si="4"/>
        <v>1205990.1362692115</v>
      </c>
      <c r="P31" s="73">
        <f t="shared" si="5"/>
        <v>1465990.1362692115</v>
      </c>
      <c r="Q31" s="301">
        <f t="shared" si="6"/>
        <v>241800</v>
      </c>
      <c r="R31" s="301">
        <f t="shared" si="7"/>
        <v>1121570.8267303668</v>
      </c>
      <c r="S31" s="300">
        <f t="shared" si="8"/>
        <v>1363370.8267303668</v>
      </c>
    </row>
    <row r="32" spans="1:19" ht="12" x14ac:dyDescent="0.25">
      <c r="A32" s="49">
        <v>28</v>
      </c>
      <c r="B32" s="46" t="s">
        <v>14</v>
      </c>
      <c r="C32" s="33" t="s">
        <v>153</v>
      </c>
      <c r="D32" s="111">
        <v>441607.92340000003</v>
      </c>
      <c r="E32" s="131">
        <v>135573.63248379994</v>
      </c>
      <c r="F32" s="131">
        <v>542294.52993520012</v>
      </c>
      <c r="G32" s="131">
        <f t="shared" si="0"/>
        <v>677868.16241900006</v>
      </c>
      <c r="H32" s="254">
        <f t="shared" si="1"/>
        <v>106000</v>
      </c>
      <c r="I32" s="254">
        <v>530000</v>
      </c>
      <c r="J32" s="256">
        <f t="shared" si="2"/>
        <v>636000</v>
      </c>
      <c r="K32" s="146">
        <v>384500</v>
      </c>
      <c r="L32" s="146">
        <v>399280.749537125</v>
      </c>
      <c r="M32" s="146">
        <v>783780.749537125</v>
      </c>
      <c r="N32" s="99">
        <f t="shared" si="3"/>
        <v>106000</v>
      </c>
      <c r="O32" s="73">
        <f t="shared" si="4"/>
        <v>399280.749537125</v>
      </c>
      <c r="P32" s="73">
        <f t="shared" si="5"/>
        <v>505280.749537125</v>
      </c>
      <c r="Q32" s="301">
        <f t="shared" si="6"/>
        <v>98580</v>
      </c>
      <c r="R32" s="301">
        <f t="shared" si="7"/>
        <v>371331.09706952627</v>
      </c>
      <c r="S32" s="300">
        <f t="shared" si="8"/>
        <v>469911.09706952627</v>
      </c>
    </row>
    <row r="33" spans="1:19" ht="12" x14ac:dyDescent="0.25">
      <c r="A33" s="36">
        <v>29</v>
      </c>
      <c r="B33" s="46" t="s">
        <v>280</v>
      </c>
      <c r="C33" s="33" t="s">
        <v>153</v>
      </c>
      <c r="D33" s="111">
        <v>43701.63</v>
      </c>
      <c r="E33" s="131">
        <v>13416.400409999995</v>
      </c>
      <c r="F33" s="131">
        <v>53665.601640000001</v>
      </c>
      <c r="G33" s="131">
        <f t="shared" si="0"/>
        <v>67082.002049999996</v>
      </c>
      <c r="H33" s="254">
        <f t="shared" si="1"/>
        <v>10000</v>
      </c>
      <c r="I33" s="254">
        <v>50000</v>
      </c>
      <c r="J33" s="256">
        <f t="shared" si="2"/>
        <v>60000</v>
      </c>
      <c r="K33" s="146">
        <v>79500</v>
      </c>
      <c r="L33" s="146">
        <v>75150</v>
      </c>
      <c r="M33" s="146">
        <v>154650</v>
      </c>
      <c r="N33" s="99">
        <f t="shared" si="3"/>
        <v>10000</v>
      </c>
      <c r="O33" s="73">
        <f t="shared" si="4"/>
        <v>50000</v>
      </c>
      <c r="P33" s="73">
        <f t="shared" si="5"/>
        <v>60000</v>
      </c>
      <c r="Q33" s="301">
        <f t="shared" si="6"/>
        <v>9300</v>
      </c>
      <c r="R33" s="301">
        <f t="shared" si="7"/>
        <v>46500</v>
      </c>
      <c r="S33" s="300">
        <f t="shared" si="8"/>
        <v>55800</v>
      </c>
    </row>
    <row r="34" spans="1:19" ht="12" x14ac:dyDescent="0.25">
      <c r="A34" s="49">
        <v>30</v>
      </c>
      <c r="B34" s="46" t="s">
        <v>163</v>
      </c>
      <c r="C34" s="33" t="s">
        <v>153</v>
      </c>
      <c r="D34" s="111">
        <v>118848.16063083215</v>
      </c>
      <c r="E34" s="131">
        <v>36486.385313665465</v>
      </c>
      <c r="F34" s="131">
        <v>145945.54125466189</v>
      </c>
      <c r="G34" s="131">
        <f t="shared" si="0"/>
        <v>182431.92656832736</v>
      </c>
      <c r="H34" s="254">
        <f t="shared" si="1"/>
        <v>30000</v>
      </c>
      <c r="I34" s="254">
        <v>150000</v>
      </c>
      <c r="J34" s="256">
        <f t="shared" si="2"/>
        <v>180000</v>
      </c>
      <c r="K34" s="146">
        <v>119500</v>
      </c>
      <c r="L34" s="146">
        <v>132760.24984570834</v>
      </c>
      <c r="M34" s="146">
        <v>252260.24984570834</v>
      </c>
      <c r="N34" s="99">
        <f t="shared" si="3"/>
        <v>30000</v>
      </c>
      <c r="O34" s="73">
        <f t="shared" si="4"/>
        <v>132760.24984570834</v>
      </c>
      <c r="P34" s="73">
        <f t="shared" si="5"/>
        <v>162760.24984570834</v>
      </c>
      <c r="Q34" s="301">
        <f t="shared" si="6"/>
        <v>27900</v>
      </c>
      <c r="R34" s="301">
        <f t="shared" si="7"/>
        <v>123467.03235650876</v>
      </c>
      <c r="S34" s="300">
        <f t="shared" si="8"/>
        <v>151367.03235650877</v>
      </c>
    </row>
    <row r="35" spans="1:19" ht="12" x14ac:dyDescent="0.25">
      <c r="A35" s="36">
        <v>31</v>
      </c>
      <c r="B35" s="46" t="s">
        <v>281</v>
      </c>
      <c r="C35" s="33" t="s">
        <v>153</v>
      </c>
      <c r="D35" s="111">
        <v>109368</v>
      </c>
      <c r="E35" s="131">
        <v>33575.975999999995</v>
      </c>
      <c r="F35" s="131">
        <v>134303.90400000001</v>
      </c>
      <c r="G35" s="131">
        <f t="shared" si="0"/>
        <v>167879.88</v>
      </c>
      <c r="H35" s="254">
        <f t="shared" si="1"/>
        <v>26000</v>
      </c>
      <c r="I35" s="254">
        <v>130000</v>
      </c>
      <c r="J35" s="256">
        <f t="shared" si="2"/>
        <v>156000</v>
      </c>
      <c r="K35" s="146">
        <v>184500</v>
      </c>
      <c r="L35" s="146">
        <v>106300</v>
      </c>
      <c r="M35" s="146">
        <v>290800</v>
      </c>
      <c r="N35" s="99">
        <f t="shared" si="3"/>
        <v>26000</v>
      </c>
      <c r="O35" s="73">
        <f t="shared" si="4"/>
        <v>106300</v>
      </c>
      <c r="P35" s="73">
        <f t="shared" si="5"/>
        <v>132300</v>
      </c>
      <c r="Q35" s="301">
        <f t="shared" si="6"/>
        <v>24180</v>
      </c>
      <c r="R35" s="301">
        <f t="shared" si="7"/>
        <v>98859</v>
      </c>
      <c r="S35" s="300">
        <f t="shared" si="8"/>
        <v>123039</v>
      </c>
    </row>
    <row r="36" spans="1:19" ht="12" x14ac:dyDescent="0.25">
      <c r="A36" s="49">
        <v>32</v>
      </c>
      <c r="B36" s="46" t="s">
        <v>7</v>
      </c>
      <c r="C36" s="33" t="s">
        <v>153</v>
      </c>
      <c r="D36" s="111">
        <v>331428.39376421168</v>
      </c>
      <c r="E36" s="131">
        <v>101748.51688561297</v>
      </c>
      <c r="F36" s="131">
        <v>406994.06754245202</v>
      </c>
      <c r="G36" s="131">
        <f t="shared" si="0"/>
        <v>508742.58442806499</v>
      </c>
      <c r="H36" s="254">
        <f t="shared" si="1"/>
        <v>84000</v>
      </c>
      <c r="I36" s="254">
        <v>420000</v>
      </c>
      <c r="J36" s="256">
        <f t="shared" si="2"/>
        <v>504000</v>
      </c>
      <c r="K36" s="146">
        <v>424500</v>
      </c>
      <c r="L36" s="146">
        <v>371118.96595245111</v>
      </c>
      <c r="M36" s="146">
        <v>795618.96595245111</v>
      </c>
      <c r="N36" s="99">
        <f t="shared" si="3"/>
        <v>84000</v>
      </c>
      <c r="O36" s="73">
        <f t="shared" si="4"/>
        <v>371118.96595245111</v>
      </c>
      <c r="P36" s="73">
        <f t="shared" si="5"/>
        <v>455118.96595245111</v>
      </c>
      <c r="Q36" s="301">
        <f t="shared" si="6"/>
        <v>78120</v>
      </c>
      <c r="R36" s="301">
        <f t="shared" si="7"/>
        <v>345140.63833577954</v>
      </c>
      <c r="S36" s="300">
        <f t="shared" si="8"/>
        <v>423260.63833577954</v>
      </c>
    </row>
    <row r="37" spans="1:19" ht="12" x14ac:dyDescent="0.2">
      <c r="A37" s="36">
        <v>33</v>
      </c>
      <c r="B37" s="47" t="s">
        <v>353</v>
      </c>
      <c r="C37" s="33" t="s">
        <v>153</v>
      </c>
      <c r="D37" s="111">
        <v>287535.87249394879</v>
      </c>
      <c r="E37" s="131">
        <v>88273.512855642242</v>
      </c>
      <c r="F37" s="131">
        <v>353094.0514225692</v>
      </c>
      <c r="G37" s="131">
        <f t="shared" si="0"/>
        <v>441367.56427821144</v>
      </c>
      <c r="H37" s="254">
        <f t="shared" si="1"/>
        <v>72000</v>
      </c>
      <c r="I37" s="254">
        <v>360000</v>
      </c>
      <c r="J37" s="256">
        <f t="shared" si="2"/>
        <v>432000</v>
      </c>
      <c r="K37" s="146">
        <v>109500</v>
      </c>
      <c r="L37" s="146">
        <v>321903.83027187502</v>
      </c>
      <c r="M37" s="146">
        <v>431403.83027187502</v>
      </c>
      <c r="N37" s="99">
        <f t="shared" si="3"/>
        <v>72000</v>
      </c>
      <c r="O37" s="73">
        <f t="shared" si="4"/>
        <v>321903.83027187502</v>
      </c>
      <c r="P37" s="73">
        <f t="shared" si="5"/>
        <v>393903.83027187502</v>
      </c>
      <c r="Q37" s="301">
        <f t="shared" si="6"/>
        <v>66960</v>
      </c>
      <c r="R37" s="301">
        <f t="shared" si="7"/>
        <v>299370.56215284375</v>
      </c>
      <c r="S37" s="300">
        <f t="shared" si="8"/>
        <v>366330.56215284375</v>
      </c>
    </row>
    <row r="38" spans="1:19" ht="12" x14ac:dyDescent="0.2">
      <c r="A38" s="49">
        <v>34</v>
      </c>
      <c r="B38" s="47" t="s">
        <v>109</v>
      </c>
      <c r="C38" s="33" t="s">
        <v>153</v>
      </c>
      <c r="D38" s="111">
        <v>498395.51232284453</v>
      </c>
      <c r="E38" s="131">
        <v>153007.42228311324</v>
      </c>
      <c r="F38" s="131">
        <v>612029.68913245318</v>
      </c>
      <c r="G38" s="131">
        <f t="shared" si="0"/>
        <v>765037.11141556641</v>
      </c>
      <c r="H38" s="254">
        <f t="shared" si="1"/>
        <v>126000</v>
      </c>
      <c r="I38" s="254">
        <v>630000</v>
      </c>
      <c r="J38" s="256">
        <f t="shared" si="2"/>
        <v>756000</v>
      </c>
      <c r="K38" s="146">
        <v>784500</v>
      </c>
      <c r="L38" s="146">
        <v>558333.30580458348</v>
      </c>
      <c r="M38" s="146">
        <v>1342833.3058045835</v>
      </c>
      <c r="N38" s="99">
        <f t="shared" si="3"/>
        <v>126000</v>
      </c>
      <c r="O38" s="73">
        <f t="shared" si="4"/>
        <v>558333.30580458348</v>
      </c>
      <c r="P38" s="73">
        <f t="shared" si="5"/>
        <v>684333.30580458348</v>
      </c>
      <c r="Q38" s="301">
        <f t="shared" si="6"/>
        <v>117180</v>
      </c>
      <c r="R38" s="301">
        <f t="shared" si="7"/>
        <v>519249.97439826262</v>
      </c>
      <c r="S38" s="300">
        <f t="shared" si="8"/>
        <v>636429.97439826257</v>
      </c>
    </row>
    <row r="39" spans="1:19" ht="12" x14ac:dyDescent="0.25">
      <c r="A39" s="36">
        <v>35</v>
      </c>
      <c r="B39" s="48" t="s">
        <v>89</v>
      </c>
      <c r="C39" s="33" t="s">
        <v>153</v>
      </c>
      <c r="D39" s="111">
        <v>350730.13962817629</v>
      </c>
      <c r="E39" s="131">
        <v>107674.15286585013</v>
      </c>
      <c r="F39" s="131">
        <v>430696.61146340054</v>
      </c>
      <c r="G39" s="131">
        <f t="shared" si="0"/>
        <v>538370.76432925067</v>
      </c>
      <c r="H39" s="254">
        <f t="shared" si="1"/>
        <v>90000</v>
      </c>
      <c r="I39" s="254">
        <v>450000</v>
      </c>
      <c r="J39" s="256">
        <f t="shared" si="2"/>
        <v>540000</v>
      </c>
      <c r="K39" s="146">
        <v>124500</v>
      </c>
      <c r="L39" s="146">
        <v>392761.33267178095</v>
      </c>
      <c r="M39" s="146">
        <v>517261.33267178095</v>
      </c>
      <c r="N39" s="99">
        <f t="shared" si="3"/>
        <v>90000</v>
      </c>
      <c r="O39" s="73">
        <f t="shared" si="4"/>
        <v>392761.33267178095</v>
      </c>
      <c r="P39" s="73">
        <f t="shared" si="5"/>
        <v>482761.33267178095</v>
      </c>
      <c r="Q39" s="301">
        <f t="shared" si="6"/>
        <v>83700</v>
      </c>
      <c r="R39" s="301">
        <f t="shared" si="7"/>
        <v>365268.0393847563</v>
      </c>
      <c r="S39" s="300">
        <f t="shared" si="8"/>
        <v>448968.0393847563</v>
      </c>
    </row>
    <row r="40" spans="1:19" ht="12" x14ac:dyDescent="0.25">
      <c r="A40" s="49">
        <v>36</v>
      </c>
      <c r="B40" s="46" t="s">
        <v>137</v>
      </c>
      <c r="C40" s="33" t="s">
        <v>153</v>
      </c>
      <c r="D40" s="111">
        <v>206281.38195366357</v>
      </c>
      <c r="E40" s="131">
        <v>63328.384259774699</v>
      </c>
      <c r="F40" s="131">
        <v>253313.53703909891</v>
      </c>
      <c r="G40" s="131">
        <f t="shared" si="0"/>
        <v>316641.92129887361</v>
      </c>
      <c r="H40" s="254">
        <f t="shared" si="1"/>
        <v>52000</v>
      </c>
      <c r="I40" s="254">
        <v>260000</v>
      </c>
      <c r="J40" s="256">
        <f t="shared" si="2"/>
        <v>312000</v>
      </c>
      <c r="K40" s="146">
        <v>124500</v>
      </c>
      <c r="L40" s="146">
        <v>871700</v>
      </c>
      <c r="M40" s="146">
        <v>996200</v>
      </c>
      <c r="N40" s="99">
        <f t="shared" si="3"/>
        <v>52000</v>
      </c>
      <c r="O40" s="73">
        <f t="shared" si="4"/>
        <v>253313.53703909891</v>
      </c>
      <c r="P40" s="73">
        <f t="shared" si="5"/>
        <v>305313.53703909891</v>
      </c>
      <c r="Q40" s="301">
        <f t="shared" si="6"/>
        <v>48360</v>
      </c>
      <c r="R40" s="301">
        <f t="shared" si="7"/>
        <v>235581.58944636199</v>
      </c>
      <c r="S40" s="300">
        <f t="shared" si="8"/>
        <v>283941.58944636199</v>
      </c>
    </row>
    <row r="41" spans="1:19" ht="12" x14ac:dyDescent="0.25">
      <c r="A41" s="36">
        <v>37</v>
      </c>
      <c r="B41" s="46" t="s">
        <v>138</v>
      </c>
      <c r="C41" s="33" t="s">
        <v>153</v>
      </c>
      <c r="D41" s="111">
        <v>833441.2156</v>
      </c>
      <c r="E41" s="131">
        <v>255866.45318920002</v>
      </c>
      <c r="F41" s="131">
        <v>1023465.8127568001</v>
      </c>
      <c r="G41" s="131">
        <f t="shared" si="0"/>
        <v>1279332.2659460001</v>
      </c>
      <c r="H41" s="254">
        <f t="shared" si="1"/>
        <v>194000</v>
      </c>
      <c r="I41" s="254">
        <v>970000</v>
      </c>
      <c r="J41" s="256">
        <f t="shared" si="2"/>
        <v>1164000</v>
      </c>
      <c r="K41" s="251">
        <v>255866.45318920002</v>
      </c>
      <c r="L41" s="251">
        <v>1023465.8127568001</v>
      </c>
      <c r="M41" s="146">
        <v>1279332.2659460001</v>
      </c>
      <c r="N41" s="99">
        <f t="shared" si="3"/>
        <v>194000</v>
      </c>
      <c r="O41" s="73">
        <f t="shared" si="4"/>
        <v>970000</v>
      </c>
      <c r="P41" s="73">
        <f t="shared" si="5"/>
        <v>1164000</v>
      </c>
      <c r="Q41" s="301">
        <f t="shared" si="6"/>
        <v>180420</v>
      </c>
      <c r="R41" s="301">
        <f t="shared" si="7"/>
        <v>902100</v>
      </c>
      <c r="S41" s="300">
        <f t="shared" si="8"/>
        <v>1082520</v>
      </c>
    </row>
    <row r="42" spans="1:19" ht="22.5" x14ac:dyDescent="0.25">
      <c r="A42" s="49">
        <v>38</v>
      </c>
      <c r="B42" s="46" t="s">
        <v>333</v>
      </c>
      <c r="C42" s="33" t="s">
        <v>153</v>
      </c>
      <c r="D42" s="111">
        <v>607943.2156</v>
      </c>
      <c r="E42" s="131">
        <v>186638.56718919997</v>
      </c>
      <c r="F42" s="131">
        <v>746554.2687568001</v>
      </c>
      <c r="G42" s="131">
        <f t="shared" si="0"/>
        <v>933192.83594600006</v>
      </c>
      <c r="H42" s="254">
        <f t="shared" si="1"/>
        <v>156000</v>
      </c>
      <c r="I42" s="254">
        <v>780000</v>
      </c>
      <c r="J42" s="256">
        <f t="shared" si="2"/>
        <v>936000</v>
      </c>
      <c r="K42" s="146">
        <v>449500</v>
      </c>
      <c r="L42" s="146">
        <v>738879.45075683331</v>
      </c>
      <c r="M42" s="146">
        <v>1188379.4507568334</v>
      </c>
      <c r="N42" s="99">
        <f t="shared" si="3"/>
        <v>156000</v>
      </c>
      <c r="O42" s="73">
        <f t="shared" si="4"/>
        <v>738879.45075683331</v>
      </c>
      <c r="P42" s="73">
        <f t="shared" si="5"/>
        <v>894879.45075683331</v>
      </c>
      <c r="Q42" s="301">
        <f t="shared" si="6"/>
        <v>145080</v>
      </c>
      <c r="R42" s="301">
        <f t="shared" si="7"/>
        <v>687157.88920385495</v>
      </c>
      <c r="S42" s="300">
        <f t="shared" si="8"/>
        <v>832237.88920385495</v>
      </c>
    </row>
    <row r="43" spans="1:19" ht="22.5" x14ac:dyDescent="0.25">
      <c r="A43" s="49"/>
      <c r="B43" s="30" t="s">
        <v>22</v>
      </c>
      <c r="C43" s="33"/>
      <c r="D43" s="111"/>
      <c r="E43" s="131">
        <v>0</v>
      </c>
      <c r="F43" s="131">
        <v>0</v>
      </c>
      <c r="G43" s="131">
        <f t="shared" si="0"/>
        <v>0</v>
      </c>
      <c r="H43" s="254">
        <f t="shared" si="1"/>
        <v>0</v>
      </c>
      <c r="I43" s="254"/>
      <c r="J43" s="256">
        <f t="shared" si="2"/>
        <v>0</v>
      </c>
      <c r="K43" s="146"/>
      <c r="L43" s="146"/>
      <c r="M43" s="146">
        <v>0</v>
      </c>
      <c r="N43" s="99">
        <f t="shared" si="3"/>
        <v>0</v>
      </c>
      <c r="O43" s="73">
        <f t="shared" si="4"/>
        <v>0</v>
      </c>
      <c r="P43" s="73">
        <f t="shared" si="5"/>
        <v>0</v>
      </c>
      <c r="Q43" s="301">
        <f t="shared" si="6"/>
        <v>0</v>
      </c>
      <c r="R43" s="301">
        <f t="shared" si="7"/>
        <v>0</v>
      </c>
      <c r="S43" s="300">
        <f t="shared" si="8"/>
        <v>0</v>
      </c>
    </row>
    <row r="44" spans="1:19" ht="12" x14ac:dyDescent="0.25">
      <c r="A44" s="49">
        <v>39</v>
      </c>
      <c r="B44" s="46" t="s">
        <v>23</v>
      </c>
      <c r="C44" s="33" t="s">
        <v>153</v>
      </c>
      <c r="D44" s="111">
        <v>770296.59766021045</v>
      </c>
      <c r="E44" s="131">
        <v>236481.05548168463</v>
      </c>
      <c r="F44" s="131">
        <v>945924.22192673851</v>
      </c>
      <c r="G44" s="131">
        <f t="shared" si="0"/>
        <v>1182405.2774084231</v>
      </c>
      <c r="H44" s="254">
        <f t="shared" si="1"/>
        <v>180000</v>
      </c>
      <c r="I44" s="254">
        <v>900000</v>
      </c>
      <c r="J44" s="256">
        <f t="shared" si="2"/>
        <v>1080000</v>
      </c>
      <c r="K44" s="146">
        <v>324500</v>
      </c>
      <c r="L44" s="146">
        <v>685063.97191758733</v>
      </c>
      <c r="M44" s="146">
        <v>1009563.9719175873</v>
      </c>
      <c r="N44" s="99">
        <f t="shared" si="3"/>
        <v>180000</v>
      </c>
      <c r="O44" s="73">
        <f t="shared" si="4"/>
        <v>685063.97191758733</v>
      </c>
      <c r="P44" s="73">
        <f t="shared" si="5"/>
        <v>865063.97191758733</v>
      </c>
      <c r="Q44" s="301">
        <f t="shared" si="6"/>
        <v>167400</v>
      </c>
      <c r="R44" s="301">
        <f t="shared" si="7"/>
        <v>637109.49388335622</v>
      </c>
      <c r="S44" s="300">
        <f t="shared" si="8"/>
        <v>804509.49388335622</v>
      </c>
    </row>
    <row r="45" spans="1:19" ht="12" x14ac:dyDescent="0.25">
      <c r="A45" s="49">
        <v>40</v>
      </c>
      <c r="B45" s="46" t="s">
        <v>167</v>
      </c>
      <c r="C45" s="33" t="s">
        <v>153</v>
      </c>
      <c r="D45" s="111">
        <v>160000</v>
      </c>
      <c r="E45" s="131">
        <v>49120</v>
      </c>
      <c r="F45" s="131">
        <v>196480.00000000003</v>
      </c>
      <c r="G45" s="131">
        <f t="shared" si="0"/>
        <v>245600.00000000003</v>
      </c>
      <c r="H45" s="254">
        <f t="shared" si="1"/>
        <v>38000</v>
      </c>
      <c r="I45" s="254">
        <v>190000</v>
      </c>
      <c r="J45" s="256">
        <f t="shared" si="2"/>
        <v>228000</v>
      </c>
      <c r="K45" s="146">
        <v>324500</v>
      </c>
      <c r="L45" s="146">
        <v>141900</v>
      </c>
      <c r="M45" s="146">
        <v>466400</v>
      </c>
      <c r="N45" s="99">
        <f t="shared" si="3"/>
        <v>38000</v>
      </c>
      <c r="O45" s="73">
        <f t="shared" si="4"/>
        <v>141900</v>
      </c>
      <c r="P45" s="73">
        <f t="shared" si="5"/>
        <v>179900</v>
      </c>
      <c r="Q45" s="301">
        <f t="shared" si="6"/>
        <v>35340</v>
      </c>
      <c r="R45" s="301">
        <f t="shared" si="7"/>
        <v>131967</v>
      </c>
      <c r="S45" s="300">
        <f t="shared" si="8"/>
        <v>167307</v>
      </c>
    </row>
    <row r="46" spans="1:19" ht="12" x14ac:dyDescent="0.25">
      <c r="A46" s="49">
        <v>41</v>
      </c>
      <c r="B46" s="46" t="s">
        <v>24</v>
      </c>
      <c r="C46" s="33" t="s">
        <v>153</v>
      </c>
      <c r="D46" s="111">
        <v>116151.26583742056</v>
      </c>
      <c r="E46" s="131">
        <v>35658.438612088125</v>
      </c>
      <c r="F46" s="131">
        <v>142633.75444835247</v>
      </c>
      <c r="G46" s="131">
        <f t="shared" si="0"/>
        <v>178292.19306044059</v>
      </c>
      <c r="H46" s="254">
        <f t="shared" si="1"/>
        <v>28000</v>
      </c>
      <c r="I46" s="254">
        <v>140000</v>
      </c>
      <c r="J46" s="256">
        <f t="shared" si="2"/>
        <v>168000</v>
      </c>
      <c r="K46" s="146">
        <v>84500</v>
      </c>
      <c r="L46" s="146">
        <v>129736.31685364502</v>
      </c>
      <c r="M46" s="146">
        <v>214236.31685364502</v>
      </c>
      <c r="N46" s="99">
        <f t="shared" si="3"/>
        <v>28000</v>
      </c>
      <c r="O46" s="73">
        <f t="shared" si="4"/>
        <v>129736.31685364502</v>
      </c>
      <c r="P46" s="73">
        <f t="shared" si="5"/>
        <v>157736.31685364502</v>
      </c>
      <c r="Q46" s="301">
        <f t="shared" si="6"/>
        <v>26040</v>
      </c>
      <c r="R46" s="301">
        <f t="shared" si="7"/>
        <v>120654.77467388987</v>
      </c>
      <c r="S46" s="300">
        <f t="shared" si="8"/>
        <v>146694.77467388986</v>
      </c>
    </row>
    <row r="47" spans="1:19" ht="12" x14ac:dyDescent="0.25">
      <c r="A47" s="49">
        <v>42</v>
      </c>
      <c r="B47" s="46" t="s">
        <v>25</v>
      </c>
      <c r="C47" s="33" t="s">
        <v>153</v>
      </c>
      <c r="D47" s="111">
        <v>355894.03741079883</v>
      </c>
      <c r="E47" s="131">
        <v>109259.46948511526</v>
      </c>
      <c r="F47" s="131">
        <v>437037.87794046104</v>
      </c>
      <c r="G47" s="131">
        <f t="shared" si="0"/>
        <v>546297.3474255763</v>
      </c>
      <c r="H47" s="254">
        <f t="shared" si="1"/>
        <v>90000</v>
      </c>
      <c r="I47" s="254">
        <v>450000</v>
      </c>
      <c r="J47" s="256">
        <f t="shared" si="2"/>
        <v>540000</v>
      </c>
      <c r="K47" s="146">
        <v>124500</v>
      </c>
      <c r="L47" s="146">
        <v>398551.42908587272</v>
      </c>
      <c r="M47" s="146">
        <v>523051.42908587272</v>
      </c>
      <c r="N47" s="99">
        <f t="shared" si="3"/>
        <v>90000</v>
      </c>
      <c r="O47" s="73">
        <f t="shared" si="4"/>
        <v>398551.42908587272</v>
      </c>
      <c r="P47" s="73">
        <f t="shared" si="5"/>
        <v>488551.42908587272</v>
      </c>
      <c r="Q47" s="301">
        <f t="shared" si="6"/>
        <v>83700</v>
      </c>
      <c r="R47" s="301">
        <f t="shared" si="7"/>
        <v>370652.82904986164</v>
      </c>
      <c r="S47" s="300">
        <f t="shared" si="8"/>
        <v>454352.82904986164</v>
      </c>
    </row>
    <row r="48" spans="1:19" ht="12" x14ac:dyDescent="0.25">
      <c r="A48" s="49">
        <v>43</v>
      </c>
      <c r="B48" s="46" t="s">
        <v>283</v>
      </c>
      <c r="C48" s="33" t="s">
        <v>153</v>
      </c>
      <c r="D48" s="111">
        <v>985087.75701625005</v>
      </c>
      <c r="E48" s="131">
        <v>302421.94140398875</v>
      </c>
      <c r="F48" s="131">
        <v>1209687.7656159552</v>
      </c>
      <c r="G48" s="131">
        <f t="shared" si="0"/>
        <v>1512109.707019944</v>
      </c>
      <c r="H48" s="254">
        <f t="shared" si="1"/>
        <v>25200</v>
      </c>
      <c r="I48" s="254">
        <v>126000</v>
      </c>
      <c r="J48" s="256">
        <f t="shared" si="2"/>
        <v>151200</v>
      </c>
      <c r="K48" s="146">
        <v>1649500</v>
      </c>
      <c r="L48" s="146">
        <v>1601500</v>
      </c>
      <c r="M48" s="146">
        <v>3251000</v>
      </c>
      <c r="N48" s="99">
        <f t="shared" si="3"/>
        <v>25200</v>
      </c>
      <c r="O48" s="73">
        <f t="shared" si="4"/>
        <v>126000</v>
      </c>
      <c r="P48" s="73">
        <f t="shared" si="5"/>
        <v>151200</v>
      </c>
      <c r="Q48" s="301">
        <f t="shared" si="6"/>
        <v>23436</v>
      </c>
      <c r="R48" s="301">
        <f t="shared" si="7"/>
        <v>117180</v>
      </c>
      <c r="S48" s="300">
        <f t="shared" si="8"/>
        <v>140616</v>
      </c>
    </row>
    <row r="49" spans="1:19" ht="12" x14ac:dyDescent="0.25">
      <c r="A49" s="49">
        <v>44</v>
      </c>
      <c r="B49" s="46" t="s">
        <v>332</v>
      </c>
      <c r="C49" s="33" t="s">
        <v>153</v>
      </c>
      <c r="D49" s="111">
        <v>250000</v>
      </c>
      <c r="E49" s="131">
        <v>76750</v>
      </c>
      <c r="F49" s="131">
        <v>307000.00000000006</v>
      </c>
      <c r="G49" s="131">
        <f t="shared" si="0"/>
        <v>383750.00000000006</v>
      </c>
      <c r="H49" s="254">
        <f t="shared" si="1"/>
        <v>58000</v>
      </c>
      <c r="I49" s="254">
        <v>290000</v>
      </c>
      <c r="J49" s="256">
        <f t="shared" si="2"/>
        <v>348000</v>
      </c>
      <c r="K49" s="146">
        <v>949500</v>
      </c>
      <c r="L49" s="146">
        <v>222000</v>
      </c>
      <c r="M49" s="146">
        <v>1171500</v>
      </c>
      <c r="N49" s="99">
        <f t="shared" si="3"/>
        <v>58000</v>
      </c>
      <c r="O49" s="73">
        <f t="shared" si="4"/>
        <v>222000</v>
      </c>
      <c r="P49" s="73">
        <f t="shared" si="5"/>
        <v>280000</v>
      </c>
      <c r="Q49" s="301">
        <f t="shared" si="6"/>
        <v>53940</v>
      </c>
      <c r="R49" s="301">
        <f t="shared" si="7"/>
        <v>206460</v>
      </c>
      <c r="S49" s="300">
        <f t="shared" si="8"/>
        <v>260400</v>
      </c>
    </row>
    <row r="50" spans="1:19" ht="12" x14ac:dyDescent="0.25">
      <c r="A50" s="49">
        <v>45</v>
      </c>
      <c r="B50" s="46" t="s">
        <v>92</v>
      </c>
      <c r="C50" s="33" t="s">
        <v>153</v>
      </c>
      <c r="D50" s="111">
        <v>1078530.2094000001</v>
      </c>
      <c r="E50" s="131">
        <v>331108.77428580006</v>
      </c>
      <c r="F50" s="131">
        <v>1324435.0971432002</v>
      </c>
      <c r="G50" s="131">
        <f t="shared" si="0"/>
        <v>1655543.8714290003</v>
      </c>
      <c r="H50" s="254">
        <f t="shared" si="1"/>
        <v>260000</v>
      </c>
      <c r="I50" s="254">
        <v>1300000</v>
      </c>
      <c r="J50" s="256">
        <f t="shared" si="2"/>
        <v>1560000</v>
      </c>
      <c r="K50" s="146">
        <v>749500</v>
      </c>
      <c r="L50" s="146">
        <v>1020552.7241325768</v>
      </c>
      <c r="M50" s="146">
        <v>1770052.724132577</v>
      </c>
      <c r="N50" s="99">
        <f t="shared" si="3"/>
        <v>260000</v>
      </c>
      <c r="O50" s="73">
        <f t="shared" si="4"/>
        <v>1020552.7241325768</v>
      </c>
      <c r="P50" s="73">
        <f t="shared" si="5"/>
        <v>1280552.724132577</v>
      </c>
      <c r="Q50" s="301">
        <f t="shared" si="6"/>
        <v>241800</v>
      </c>
      <c r="R50" s="301">
        <f t="shared" si="7"/>
        <v>949114.03344329644</v>
      </c>
      <c r="S50" s="300">
        <f t="shared" si="8"/>
        <v>1190914.0334432963</v>
      </c>
    </row>
    <row r="51" spans="1:19" ht="22.5" x14ac:dyDescent="0.25">
      <c r="A51" s="49"/>
      <c r="B51" s="30" t="s">
        <v>97</v>
      </c>
      <c r="C51" s="33"/>
      <c r="D51" s="111"/>
      <c r="E51" s="131">
        <v>0</v>
      </c>
      <c r="F51" s="131">
        <v>0</v>
      </c>
      <c r="G51" s="131">
        <f t="shared" si="0"/>
        <v>0</v>
      </c>
      <c r="H51" s="254">
        <f t="shared" si="1"/>
        <v>0</v>
      </c>
      <c r="I51" s="254"/>
      <c r="J51" s="256">
        <f t="shared" si="2"/>
        <v>0</v>
      </c>
      <c r="K51" s="146"/>
      <c r="L51" s="146"/>
      <c r="M51" s="146">
        <v>0</v>
      </c>
      <c r="N51" s="99">
        <f t="shared" si="3"/>
        <v>0</v>
      </c>
      <c r="O51" s="73">
        <f t="shared" si="4"/>
        <v>0</v>
      </c>
      <c r="P51" s="73">
        <f t="shared" si="5"/>
        <v>0</v>
      </c>
      <c r="Q51" s="301">
        <f t="shared" si="6"/>
        <v>0</v>
      </c>
      <c r="R51" s="301">
        <f t="shared" si="7"/>
        <v>0</v>
      </c>
      <c r="S51" s="300">
        <f t="shared" si="8"/>
        <v>0</v>
      </c>
    </row>
    <row r="52" spans="1:19" ht="12" x14ac:dyDescent="0.25">
      <c r="A52" s="49">
        <v>46</v>
      </c>
      <c r="B52" s="46" t="s">
        <v>169</v>
      </c>
      <c r="C52" s="33" t="s">
        <v>153</v>
      </c>
      <c r="D52" s="111">
        <v>1329547.5224924639</v>
      </c>
      <c r="E52" s="131">
        <v>408171.08940518647</v>
      </c>
      <c r="F52" s="131">
        <v>1632684.3576207459</v>
      </c>
      <c r="G52" s="131">
        <f t="shared" si="0"/>
        <v>2040855.4470259324</v>
      </c>
      <c r="H52" s="254">
        <f t="shared" si="1"/>
        <v>340000</v>
      </c>
      <c r="I52" s="254">
        <v>1700000</v>
      </c>
      <c r="J52" s="256">
        <f t="shared" si="2"/>
        <v>2040000</v>
      </c>
      <c r="K52" s="146">
        <v>749500</v>
      </c>
      <c r="L52" s="146">
        <v>1490274.7338171636</v>
      </c>
      <c r="M52" s="146">
        <v>2239774.7338171639</v>
      </c>
      <c r="N52" s="99">
        <f t="shared" si="3"/>
        <v>340000</v>
      </c>
      <c r="O52" s="73">
        <f t="shared" si="4"/>
        <v>1490274.7338171636</v>
      </c>
      <c r="P52" s="73">
        <f t="shared" si="5"/>
        <v>1830274.7338171636</v>
      </c>
      <c r="Q52" s="301">
        <f t="shared" si="6"/>
        <v>316200</v>
      </c>
      <c r="R52" s="301">
        <f t="shared" si="7"/>
        <v>1385955.5024499621</v>
      </c>
      <c r="S52" s="300">
        <f t="shared" si="8"/>
        <v>1702155.5024499621</v>
      </c>
    </row>
    <row r="53" spans="1:19" ht="12" x14ac:dyDescent="0.25">
      <c r="A53" s="49">
        <v>47</v>
      </c>
      <c r="B53" s="46" t="s">
        <v>170</v>
      </c>
      <c r="C53" s="33" t="s">
        <v>153</v>
      </c>
      <c r="D53" s="111">
        <v>833833.31359999999</v>
      </c>
      <c r="E53" s="131">
        <v>255986.82727519993</v>
      </c>
      <c r="F53" s="131">
        <v>1023947.3091008001</v>
      </c>
      <c r="G53" s="131">
        <f t="shared" si="0"/>
        <v>1279934.136376</v>
      </c>
      <c r="H53" s="254">
        <f t="shared" si="1"/>
        <v>2000</v>
      </c>
      <c r="I53" s="254">
        <v>10000</v>
      </c>
      <c r="J53" s="256">
        <f t="shared" si="2"/>
        <v>12000</v>
      </c>
      <c r="K53" s="146">
        <v>679500</v>
      </c>
      <c r="L53" s="146">
        <v>2135500</v>
      </c>
      <c r="M53" s="146">
        <v>2815000</v>
      </c>
      <c r="N53" s="99">
        <f t="shared" si="3"/>
        <v>2000</v>
      </c>
      <c r="O53" s="73">
        <f t="shared" si="4"/>
        <v>10000</v>
      </c>
      <c r="P53" s="73">
        <f t="shared" si="5"/>
        <v>12000</v>
      </c>
      <c r="Q53" s="301">
        <f t="shared" si="6"/>
        <v>1860</v>
      </c>
      <c r="R53" s="301">
        <f t="shared" si="7"/>
        <v>9300</v>
      </c>
      <c r="S53" s="300">
        <f t="shared" si="8"/>
        <v>11160</v>
      </c>
    </row>
    <row r="54" spans="1:19" ht="12" x14ac:dyDescent="0.25">
      <c r="A54" s="49">
        <v>48</v>
      </c>
      <c r="B54" s="46" t="s">
        <v>211</v>
      </c>
      <c r="C54" s="33" t="s">
        <v>153</v>
      </c>
      <c r="D54" s="111">
        <v>450000</v>
      </c>
      <c r="E54" s="131">
        <v>138150</v>
      </c>
      <c r="F54" s="131">
        <v>552600.00000000012</v>
      </c>
      <c r="G54" s="131">
        <f t="shared" si="0"/>
        <v>690750.00000000012</v>
      </c>
      <c r="H54" s="254">
        <f t="shared" si="1"/>
        <v>106000</v>
      </c>
      <c r="I54" s="254">
        <v>530000</v>
      </c>
      <c r="J54" s="256">
        <f t="shared" si="2"/>
        <v>636000</v>
      </c>
      <c r="K54" s="146">
        <v>574500</v>
      </c>
      <c r="L54" s="146">
        <v>400000</v>
      </c>
      <c r="M54" s="146">
        <v>974500</v>
      </c>
      <c r="N54" s="99">
        <f t="shared" si="3"/>
        <v>106000</v>
      </c>
      <c r="O54" s="73">
        <f t="shared" si="4"/>
        <v>400000</v>
      </c>
      <c r="P54" s="73">
        <f t="shared" si="5"/>
        <v>506000</v>
      </c>
      <c r="Q54" s="301">
        <f t="shared" si="6"/>
        <v>98580</v>
      </c>
      <c r="R54" s="301">
        <f t="shared" si="7"/>
        <v>372000</v>
      </c>
      <c r="S54" s="300">
        <f t="shared" si="8"/>
        <v>470580</v>
      </c>
    </row>
    <row r="55" spans="1:19" ht="12" x14ac:dyDescent="0.25">
      <c r="A55" s="49">
        <v>49</v>
      </c>
      <c r="B55" s="46" t="s">
        <v>291</v>
      </c>
      <c r="C55" s="33" t="s">
        <v>153</v>
      </c>
      <c r="D55" s="111">
        <v>550000</v>
      </c>
      <c r="E55" s="131">
        <v>168850</v>
      </c>
      <c r="F55" s="131">
        <v>675400.00000000012</v>
      </c>
      <c r="G55" s="131">
        <f t="shared" si="0"/>
        <v>844250.00000000012</v>
      </c>
      <c r="H55" s="254">
        <f t="shared" si="1"/>
        <v>130000</v>
      </c>
      <c r="I55" s="254">
        <v>650000</v>
      </c>
      <c r="J55" s="256">
        <f t="shared" si="2"/>
        <v>780000</v>
      </c>
      <c r="K55" s="146">
        <v>649500</v>
      </c>
      <c r="L55" s="146">
        <v>489000</v>
      </c>
      <c r="M55" s="146">
        <v>1138500</v>
      </c>
      <c r="N55" s="99">
        <f t="shared" si="3"/>
        <v>130000</v>
      </c>
      <c r="O55" s="73">
        <f t="shared" si="4"/>
        <v>489000</v>
      </c>
      <c r="P55" s="73">
        <f t="shared" si="5"/>
        <v>619000</v>
      </c>
      <c r="Q55" s="301">
        <f t="shared" si="6"/>
        <v>120900</v>
      </c>
      <c r="R55" s="301">
        <f t="shared" si="7"/>
        <v>454770</v>
      </c>
      <c r="S55" s="300">
        <f t="shared" si="8"/>
        <v>575670</v>
      </c>
    </row>
    <row r="56" spans="1:19" ht="12" x14ac:dyDescent="0.25">
      <c r="A56" s="49">
        <v>50</v>
      </c>
      <c r="B56" s="46" t="s">
        <v>17</v>
      </c>
      <c r="C56" s="33" t="s">
        <v>153</v>
      </c>
      <c r="D56" s="111">
        <v>293726.09000000003</v>
      </c>
      <c r="E56" s="131">
        <v>90173.909630000009</v>
      </c>
      <c r="F56" s="131">
        <v>360695.6385200001</v>
      </c>
      <c r="G56" s="131">
        <f t="shared" si="0"/>
        <v>450869.5481500001</v>
      </c>
      <c r="H56" s="254">
        <f t="shared" si="1"/>
        <v>74000</v>
      </c>
      <c r="I56" s="254">
        <v>370000</v>
      </c>
      <c r="J56" s="256">
        <f t="shared" si="2"/>
        <v>444000</v>
      </c>
      <c r="K56" s="146">
        <v>264500</v>
      </c>
      <c r="L56" s="146">
        <v>404639.13446831889</v>
      </c>
      <c r="M56" s="146">
        <v>669139.13446831889</v>
      </c>
      <c r="N56" s="99">
        <f t="shared" si="3"/>
        <v>74000</v>
      </c>
      <c r="O56" s="73">
        <f t="shared" si="4"/>
        <v>360695.6385200001</v>
      </c>
      <c r="P56" s="73">
        <f t="shared" si="5"/>
        <v>434695.6385200001</v>
      </c>
      <c r="Q56" s="301">
        <f t="shared" si="6"/>
        <v>68820</v>
      </c>
      <c r="R56" s="301">
        <f t="shared" si="7"/>
        <v>335446.94382360007</v>
      </c>
      <c r="S56" s="300">
        <f t="shared" si="8"/>
        <v>404266.94382360007</v>
      </c>
    </row>
    <row r="57" spans="1:19" ht="12" x14ac:dyDescent="0.25">
      <c r="A57" s="49">
        <v>51</v>
      </c>
      <c r="B57" s="46" t="s">
        <v>16</v>
      </c>
      <c r="C57" s="33" t="s">
        <v>153</v>
      </c>
      <c r="D57" s="111">
        <v>668039.13898905623</v>
      </c>
      <c r="E57" s="131">
        <v>205088.01566964027</v>
      </c>
      <c r="F57" s="131">
        <v>820352.06267856108</v>
      </c>
      <c r="G57" s="131">
        <f t="shared" si="0"/>
        <v>1025440.0783482014</v>
      </c>
      <c r="H57" s="254">
        <f t="shared" si="1"/>
        <v>158000</v>
      </c>
      <c r="I57" s="254">
        <v>790000</v>
      </c>
      <c r="J57" s="256">
        <f t="shared" si="2"/>
        <v>948000</v>
      </c>
      <c r="K57" s="146">
        <v>264500</v>
      </c>
      <c r="L57" s="146">
        <v>594054.83370026003</v>
      </c>
      <c r="M57" s="146">
        <v>858554.83370026003</v>
      </c>
      <c r="N57" s="99">
        <f t="shared" si="3"/>
        <v>158000</v>
      </c>
      <c r="O57" s="73">
        <f t="shared" si="4"/>
        <v>594054.83370026003</v>
      </c>
      <c r="P57" s="73">
        <f t="shared" si="5"/>
        <v>752054.83370026003</v>
      </c>
      <c r="Q57" s="301">
        <f t="shared" si="6"/>
        <v>146940</v>
      </c>
      <c r="R57" s="301">
        <f t="shared" si="7"/>
        <v>552470.99534124183</v>
      </c>
      <c r="S57" s="300">
        <f t="shared" si="8"/>
        <v>699410.99534124183</v>
      </c>
    </row>
    <row r="58" spans="1:19" ht="12" x14ac:dyDescent="0.2">
      <c r="A58" s="49">
        <v>52</v>
      </c>
      <c r="B58" s="47" t="s">
        <v>75</v>
      </c>
      <c r="C58" s="33" t="s">
        <v>153</v>
      </c>
      <c r="D58" s="111">
        <v>305013.22408906638</v>
      </c>
      <c r="E58" s="131">
        <v>93639.059795343375</v>
      </c>
      <c r="F58" s="131">
        <v>374556.23918137356</v>
      </c>
      <c r="G58" s="131">
        <f t="shared" si="0"/>
        <v>468195.29897671693</v>
      </c>
      <c r="H58" s="254">
        <f t="shared" si="1"/>
        <v>78000</v>
      </c>
      <c r="I58" s="254">
        <v>390000</v>
      </c>
      <c r="J58" s="256">
        <f t="shared" si="2"/>
        <v>468000</v>
      </c>
      <c r="K58" s="146">
        <v>679500</v>
      </c>
      <c r="L58" s="146">
        <v>341500.56805767177</v>
      </c>
      <c r="M58" s="146">
        <v>1021000.5680576718</v>
      </c>
      <c r="N58" s="99">
        <f t="shared" si="3"/>
        <v>78000</v>
      </c>
      <c r="O58" s="73">
        <f t="shared" si="4"/>
        <v>341500.56805767177</v>
      </c>
      <c r="P58" s="73">
        <f t="shared" si="5"/>
        <v>419500.56805767177</v>
      </c>
      <c r="Q58" s="301">
        <f t="shared" si="6"/>
        <v>72540</v>
      </c>
      <c r="R58" s="301">
        <f t="shared" si="7"/>
        <v>317595.52829363476</v>
      </c>
      <c r="S58" s="300">
        <f t="shared" si="8"/>
        <v>390135.52829363476</v>
      </c>
    </row>
    <row r="59" spans="1:19" ht="12" x14ac:dyDescent="0.2">
      <c r="A59" s="49">
        <v>53</v>
      </c>
      <c r="B59" s="47" t="s">
        <v>76</v>
      </c>
      <c r="C59" s="33" t="s">
        <v>153</v>
      </c>
      <c r="D59" s="111">
        <v>109368</v>
      </c>
      <c r="E59" s="131">
        <v>33575.975999999995</v>
      </c>
      <c r="F59" s="131">
        <v>134303.90400000001</v>
      </c>
      <c r="G59" s="131">
        <f t="shared" si="0"/>
        <v>167879.88</v>
      </c>
      <c r="H59" s="254">
        <f t="shared" si="1"/>
        <v>28000</v>
      </c>
      <c r="I59" s="254">
        <v>140000</v>
      </c>
      <c r="J59" s="256">
        <f t="shared" si="2"/>
        <v>168000</v>
      </c>
      <c r="K59" s="146">
        <v>749500</v>
      </c>
      <c r="L59" s="146">
        <v>290996.33869092527</v>
      </c>
      <c r="M59" s="146">
        <v>1040496.3386909253</v>
      </c>
      <c r="N59" s="99">
        <f t="shared" si="3"/>
        <v>28000</v>
      </c>
      <c r="O59" s="73">
        <f t="shared" si="4"/>
        <v>134303.90400000001</v>
      </c>
      <c r="P59" s="73">
        <f t="shared" si="5"/>
        <v>162303.90400000001</v>
      </c>
      <c r="Q59" s="301">
        <f t="shared" si="6"/>
        <v>26040</v>
      </c>
      <c r="R59" s="301">
        <f t="shared" si="7"/>
        <v>124902.63072000002</v>
      </c>
      <c r="S59" s="300">
        <f t="shared" si="8"/>
        <v>150942.63072000002</v>
      </c>
    </row>
    <row r="60" spans="1:19" ht="12" x14ac:dyDescent="0.25">
      <c r="A60" s="49">
        <v>54</v>
      </c>
      <c r="B60" s="46" t="s">
        <v>18</v>
      </c>
      <c r="C60" s="33" t="s">
        <v>153</v>
      </c>
      <c r="D60" s="111">
        <v>373674</v>
      </c>
      <c r="E60" s="131">
        <v>114717.91800000001</v>
      </c>
      <c r="F60" s="131">
        <v>458871.67200000008</v>
      </c>
      <c r="G60" s="131">
        <f t="shared" si="0"/>
        <v>573589.59000000008</v>
      </c>
      <c r="H60" s="254">
        <f t="shared" si="1"/>
        <v>94000</v>
      </c>
      <c r="I60" s="254">
        <v>470000</v>
      </c>
      <c r="J60" s="256">
        <f t="shared" si="2"/>
        <v>564000</v>
      </c>
      <c r="K60" s="146">
        <v>474500</v>
      </c>
      <c r="L60" s="146">
        <v>772986.37397971353</v>
      </c>
      <c r="M60" s="146">
        <v>1247486.3739797135</v>
      </c>
      <c r="N60" s="99">
        <f t="shared" si="3"/>
        <v>94000</v>
      </c>
      <c r="O60" s="73">
        <f t="shared" si="4"/>
        <v>458871.67200000008</v>
      </c>
      <c r="P60" s="73">
        <f t="shared" si="5"/>
        <v>552871.67200000002</v>
      </c>
      <c r="Q60" s="301">
        <f t="shared" si="6"/>
        <v>87420</v>
      </c>
      <c r="R60" s="301">
        <f t="shared" si="7"/>
        <v>426750.65496000007</v>
      </c>
      <c r="S60" s="300">
        <f t="shared" si="8"/>
        <v>514170.65496000007</v>
      </c>
    </row>
    <row r="61" spans="1:19" ht="12" x14ac:dyDescent="0.25">
      <c r="A61" s="49">
        <v>55</v>
      </c>
      <c r="B61" s="46" t="s">
        <v>21</v>
      </c>
      <c r="C61" s="33" t="s">
        <v>153</v>
      </c>
      <c r="D61" s="111">
        <v>490411.91360000003</v>
      </c>
      <c r="E61" s="131">
        <v>150556.45747519995</v>
      </c>
      <c r="F61" s="131">
        <v>602225.82990080013</v>
      </c>
      <c r="G61" s="131">
        <f t="shared" si="0"/>
        <v>752782.28737600008</v>
      </c>
      <c r="H61" s="254">
        <f t="shared" si="1"/>
        <v>118000</v>
      </c>
      <c r="I61" s="254">
        <v>590000</v>
      </c>
      <c r="J61" s="256">
        <f t="shared" si="2"/>
        <v>708000</v>
      </c>
      <c r="K61" s="146">
        <v>439500</v>
      </c>
      <c r="L61" s="146">
        <v>446731.51207541698</v>
      </c>
      <c r="M61" s="146">
        <v>886231.51207541698</v>
      </c>
      <c r="N61" s="99">
        <f t="shared" si="3"/>
        <v>118000</v>
      </c>
      <c r="O61" s="73">
        <f t="shared" si="4"/>
        <v>446731.51207541698</v>
      </c>
      <c r="P61" s="73">
        <f t="shared" si="5"/>
        <v>564731.51207541698</v>
      </c>
      <c r="Q61" s="301">
        <f t="shared" si="6"/>
        <v>109740</v>
      </c>
      <c r="R61" s="301">
        <f t="shared" si="7"/>
        <v>415460.30623013776</v>
      </c>
      <c r="S61" s="300">
        <f t="shared" si="8"/>
        <v>525200.30623013782</v>
      </c>
    </row>
    <row r="62" spans="1:19" ht="12" x14ac:dyDescent="0.25">
      <c r="A62" s="49">
        <v>56</v>
      </c>
      <c r="B62" s="46" t="s">
        <v>20</v>
      </c>
      <c r="C62" s="33" t="s">
        <v>153</v>
      </c>
      <c r="D62" s="111">
        <v>183007.93445343984</v>
      </c>
      <c r="E62" s="131">
        <v>56183.435877206037</v>
      </c>
      <c r="F62" s="131">
        <v>224733.74350882415</v>
      </c>
      <c r="G62" s="131">
        <f t="shared" si="0"/>
        <v>280917.17938603018</v>
      </c>
      <c r="H62" s="254">
        <f t="shared" si="1"/>
        <v>46000</v>
      </c>
      <c r="I62" s="254">
        <v>230000</v>
      </c>
      <c r="J62" s="256">
        <f t="shared" si="2"/>
        <v>276000</v>
      </c>
      <c r="K62" s="146">
        <v>439500</v>
      </c>
      <c r="L62" s="146">
        <v>204700.34083460306</v>
      </c>
      <c r="M62" s="146">
        <v>644200.34083460306</v>
      </c>
      <c r="N62" s="99">
        <f t="shared" si="3"/>
        <v>46000</v>
      </c>
      <c r="O62" s="73">
        <f t="shared" si="4"/>
        <v>204700.34083460306</v>
      </c>
      <c r="P62" s="73">
        <f t="shared" si="5"/>
        <v>250700.34083460306</v>
      </c>
      <c r="Q62" s="301">
        <f t="shared" si="6"/>
        <v>42780</v>
      </c>
      <c r="R62" s="301">
        <f t="shared" si="7"/>
        <v>190371.31697618085</v>
      </c>
      <c r="S62" s="300">
        <f t="shared" si="8"/>
        <v>233151.31697618085</v>
      </c>
    </row>
    <row r="63" spans="1:19" ht="22.5" x14ac:dyDescent="0.25">
      <c r="A63" s="49">
        <v>57</v>
      </c>
      <c r="B63" s="46" t="s">
        <v>172</v>
      </c>
      <c r="C63" s="33" t="s">
        <v>153</v>
      </c>
      <c r="D63" s="111">
        <v>2744529.4449999998</v>
      </c>
      <c r="E63" s="131">
        <v>842570.53961499967</v>
      </c>
      <c r="F63" s="131">
        <v>3370282.1584600005</v>
      </c>
      <c r="G63" s="131">
        <f t="shared" si="0"/>
        <v>4212852.6980750002</v>
      </c>
      <c r="H63" s="254">
        <f t="shared" si="1"/>
        <v>640000</v>
      </c>
      <c r="I63" s="254">
        <v>3200000</v>
      </c>
      <c r="J63" s="256">
        <f t="shared" si="2"/>
        <v>3840000</v>
      </c>
      <c r="K63" s="146">
        <v>649500</v>
      </c>
      <c r="L63" s="146">
        <v>2647994.255698903</v>
      </c>
      <c r="M63" s="146">
        <v>3297494.255698903</v>
      </c>
      <c r="N63" s="99">
        <f t="shared" si="3"/>
        <v>640000</v>
      </c>
      <c r="O63" s="73">
        <f t="shared" si="4"/>
        <v>2647994.255698903</v>
      </c>
      <c r="P63" s="73">
        <f t="shared" si="5"/>
        <v>3287994.255698903</v>
      </c>
      <c r="Q63" s="301">
        <f t="shared" si="6"/>
        <v>595200</v>
      </c>
      <c r="R63" s="301">
        <f t="shared" si="7"/>
        <v>2462634.6577999797</v>
      </c>
      <c r="S63" s="300">
        <f t="shared" si="8"/>
        <v>3057834.6577999797</v>
      </c>
    </row>
    <row r="64" spans="1:19" ht="12" x14ac:dyDescent="0.25">
      <c r="A64" s="49">
        <v>58</v>
      </c>
      <c r="B64" s="46" t="s">
        <v>294</v>
      </c>
      <c r="C64" s="33" t="s">
        <v>153</v>
      </c>
      <c r="D64" s="111">
        <v>608137.56920000003</v>
      </c>
      <c r="E64" s="131">
        <v>186698.23374439997</v>
      </c>
      <c r="F64" s="131">
        <v>746792.93497760012</v>
      </c>
      <c r="G64" s="131">
        <f t="shared" si="0"/>
        <v>933491.16872200009</v>
      </c>
      <c r="H64" s="254">
        <f t="shared" si="1"/>
        <v>156000</v>
      </c>
      <c r="I64" s="254">
        <v>780000</v>
      </c>
      <c r="J64" s="256">
        <f t="shared" si="2"/>
        <v>936000</v>
      </c>
      <c r="K64" s="146">
        <v>679500</v>
      </c>
      <c r="L64" s="146">
        <v>1112000</v>
      </c>
      <c r="M64" s="146">
        <v>1791500</v>
      </c>
      <c r="N64" s="99">
        <f t="shared" si="3"/>
        <v>156000</v>
      </c>
      <c r="O64" s="73">
        <f t="shared" si="4"/>
        <v>746792.93497760012</v>
      </c>
      <c r="P64" s="73">
        <f t="shared" si="5"/>
        <v>902792.93497760012</v>
      </c>
      <c r="Q64" s="301">
        <f t="shared" si="6"/>
        <v>145080</v>
      </c>
      <c r="R64" s="301">
        <f t="shared" si="7"/>
        <v>694517.42952916806</v>
      </c>
      <c r="S64" s="300">
        <f t="shared" si="8"/>
        <v>839597.42952916806</v>
      </c>
    </row>
    <row r="65" spans="1:19" ht="12" x14ac:dyDescent="0.2">
      <c r="A65" s="49">
        <v>59</v>
      </c>
      <c r="B65" s="47" t="s">
        <v>292</v>
      </c>
      <c r="C65" s="33" t="s">
        <v>153</v>
      </c>
      <c r="D65" s="111">
        <v>233694.23555229374</v>
      </c>
      <c r="E65" s="131">
        <v>71744.130314554146</v>
      </c>
      <c r="F65" s="131">
        <v>286976.52125821676</v>
      </c>
      <c r="G65" s="131">
        <f t="shared" si="0"/>
        <v>358720.6515727709</v>
      </c>
      <c r="H65" s="254">
        <f t="shared" si="1"/>
        <v>54000</v>
      </c>
      <c r="I65" s="254">
        <v>270000</v>
      </c>
      <c r="J65" s="256">
        <f t="shared" si="2"/>
        <v>324000</v>
      </c>
      <c r="K65" s="146">
        <v>679500</v>
      </c>
      <c r="L65" s="146">
        <v>207487.86964154145</v>
      </c>
      <c r="M65" s="146">
        <v>886987.8696415415</v>
      </c>
      <c r="N65" s="99">
        <f t="shared" si="3"/>
        <v>54000</v>
      </c>
      <c r="O65" s="73">
        <f t="shared" si="4"/>
        <v>207487.86964154145</v>
      </c>
      <c r="P65" s="73">
        <f t="shared" si="5"/>
        <v>261487.86964154145</v>
      </c>
      <c r="Q65" s="301">
        <f t="shared" si="6"/>
        <v>50220</v>
      </c>
      <c r="R65" s="301">
        <f t="shared" si="7"/>
        <v>192963.71876663354</v>
      </c>
      <c r="S65" s="300">
        <f t="shared" si="8"/>
        <v>243183.71876663354</v>
      </c>
    </row>
    <row r="66" spans="1:19" ht="12" x14ac:dyDescent="0.2">
      <c r="A66" s="49">
        <v>60</v>
      </c>
      <c r="B66" s="47" t="s">
        <v>110</v>
      </c>
      <c r="C66" s="33" t="s">
        <v>153</v>
      </c>
      <c r="D66" s="111">
        <v>513276.12539152696</v>
      </c>
      <c r="E66" s="131">
        <v>157575.77049519878</v>
      </c>
      <c r="F66" s="131">
        <v>630303.08198079513</v>
      </c>
      <c r="G66" s="131">
        <f t="shared" si="0"/>
        <v>787878.85247599392</v>
      </c>
      <c r="H66" s="254">
        <f t="shared" si="1"/>
        <v>130000</v>
      </c>
      <c r="I66" s="254">
        <v>650000</v>
      </c>
      <c r="J66" s="256">
        <f t="shared" si="2"/>
        <v>780000</v>
      </c>
      <c r="K66" s="146">
        <v>749500</v>
      </c>
      <c r="L66" s="146">
        <v>575018.41228721151</v>
      </c>
      <c r="M66" s="146">
        <v>1324518.4122872115</v>
      </c>
      <c r="N66" s="99">
        <f t="shared" si="3"/>
        <v>130000</v>
      </c>
      <c r="O66" s="73">
        <f t="shared" si="4"/>
        <v>575018.41228721151</v>
      </c>
      <c r="P66" s="73">
        <f t="shared" si="5"/>
        <v>705018.41228721151</v>
      </c>
      <c r="Q66" s="301">
        <f t="shared" si="6"/>
        <v>120900</v>
      </c>
      <c r="R66" s="301">
        <f t="shared" si="7"/>
        <v>534767.12342710665</v>
      </c>
      <c r="S66" s="300">
        <f t="shared" si="8"/>
        <v>655667.12342710665</v>
      </c>
    </row>
    <row r="67" spans="1:19" ht="12" x14ac:dyDescent="0.25">
      <c r="A67" s="49">
        <v>61</v>
      </c>
      <c r="B67" s="46" t="s">
        <v>293</v>
      </c>
      <c r="C67" s="33" t="s">
        <v>153</v>
      </c>
      <c r="D67" s="111">
        <v>725292.12</v>
      </c>
      <c r="E67" s="131">
        <v>222664.68083999993</v>
      </c>
      <c r="F67" s="131">
        <v>890658.72336000006</v>
      </c>
      <c r="G67" s="131">
        <f t="shared" si="0"/>
        <v>1113323.4042</v>
      </c>
      <c r="H67" s="254">
        <f t="shared" si="1"/>
        <v>186000</v>
      </c>
      <c r="I67" s="254">
        <v>930000</v>
      </c>
      <c r="J67" s="256">
        <f t="shared" si="2"/>
        <v>1116000</v>
      </c>
      <c r="K67" s="146">
        <v>649500</v>
      </c>
      <c r="L67" s="146">
        <v>845000</v>
      </c>
      <c r="M67" s="146">
        <v>1494500</v>
      </c>
      <c r="N67" s="99">
        <f t="shared" si="3"/>
        <v>186000</v>
      </c>
      <c r="O67" s="73">
        <f t="shared" si="4"/>
        <v>845000</v>
      </c>
      <c r="P67" s="73">
        <f t="shared" si="5"/>
        <v>1031000</v>
      </c>
      <c r="Q67" s="301">
        <f t="shared" si="6"/>
        <v>172980</v>
      </c>
      <c r="R67" s="301">
        <f t="shared" si="7"/>
        <v>785850</v>
      </c>
      <c r="S67" s="300">
        <f t="shared" si="8"/>
        <v>958830</v>
      </c>
    </row>
    <row r="68" spans="1:19" ht="22.5" x14ac:dyDescent="0.25">
      <c r="A68" s="49"/>
      <c r="B68" s="30" t="s">
        <v>124</v>
      </c>
      <c r="C68" s="33"/>
      <c r="D68" s="111"/>
      <c r="E68" s="131">
        <v>0</v>
      </c>
      <c r="F68" s="131">
        <v>0</v>
      </c>
      <c r="G68" s="131">
        <f t="shared" si="0"/>
        <v>0</v>
      </c>
      <c r="H68" s="254">
        <f t="shared" si="1"/>
        <v>0</v>
      </c>
      <c r="I68" s="254"/>
      <c r="J68" s="256">
        <f t="shared" si="2"/>
        <v>0</v>
      </c>
      <c r="K68" s="146"/>
      <c r="L68" s="146"/>
      <c r="M68" s="146">
        <v>0</v>
      </c>
      <c r="N68" s="99">
        <f t="shared" si="3"/>
        <v>0</v>
      </c>
      <c r="O68" s="73">
        <f t="shared" si="4"/>
        <v>0</v>
      </c>
      <c r="P68" s="73">
        <f t="shared" si="5"/>
        <v>0</v>
      </c>
      <c r="Q68" s="301">
        <f t="shared" si="6"/>
        <v>0</v>
      </c>
      <c r="R68" s="301">
        <f t="shared" si="7"/>
        <v>0</v>
      </c>
      <c r="S68" s="300">
        <f t="shared" si="8"/>
        <v>0</v>
      </c>
    </row>
    <row r="69" spans="1:19" ht="22.5" x14ac:dyDescent="0.25">
      <c r="A69" s="49">
        <v>62</v>
      </c>
      <c r="B69" s="46" t="s">
        <v>296</v>
      </c>
      <c r="C69" s="33" t="s">
        <v>153</v>
      </c>
      <c r="D69" s="111">
        <v>2619068.1358843516</v>
      </c>
      <c r="E69" s="131">
        <v>804053.91771649569</v>
      </c>
      <c r="F69" s="131">
        <v>3216215.6708659842</v>
      </c>
      <c r="G69" s="131">
        <f t="shared" si="0"/>
        <v>4020269.5885824799</v>
      </c>
      <c r="H69" s="254">
        <f t="shared" si="1"/>
        <v>626000</v>
      </c>
      <c r="I69" s="254">
        <v>3130000</v>
      </c>
      <c r="J69" s="256">
        <f t="shared" si="2"/>
        <v>3756000</v>
      </c>
      <c r="K69" s="146">
        <v>824500</v>
      </c>
      <c r="L69" s="146">
        <v>2330470.6409370727</v>
      </c>
      <c r="M69" s="146">
        <v>3154970.6409370727</v>
      </c>
      <c r="N69" s="99">
        <f t="shared" si="3"/>
        <v>626000</v>
      </c>
      <c r="O69" s="73">
        <f t="shared" si="4"/>
        <v>2330470.6409370727</v>
      </c>
      <c r="P69" s="73">
        <f t="shared" si="5"/>
        <v>2956470.6409370727</v>
      </c>
      <c r="Q69" s="301">
        <f t="shared" si="6"/>
        <v>582180</v>
      </c>
      <c r="R69" s="301">
        <f t="shared" si="7"/>
        <v>2167337.6960714776</v>
      </c>
      <c r="S69" s="300">
        <f t="shared" si="8"/>
        <v>2749517.6960714776</v>
      </c>
    </row>
    <row r="70" spans="1:19" ht="12" x14ac:dyDescent="0.25">
      <c r="A70" s="49">
        <v>63</v>
      </c>
      <c r="B70" s="46" t="s">
        <v>125</v>
      </c>
      <c r="C70" s="33" t="s">
        <v>153</v>
      </c>
      <c r="D70" s="111">
        <v>2254530.6112000002</v>
      </c>
      <c r="E70" s="131">
        <v>692140.89763840009</v>
      </c>
      <c r="F70" s="131">
        <v>2768563.5905536003</v>
      </c>
      <c r="G70" s="131">
        <f t="shared" ref="G70:G133" si="9">F70+E70</f>
        <v>3460704.4881920004</v>
      </c>
      <c r="H70" s="254">
        <f t="shared" ref="H70:H133" si="10">+I70*20%</f>
        <v>560000</v>
      </c>
      <c r="I70" s="254">
        <v>2800000</v>
      </c>
      <c r="J70" s="256">
        <f t="shared" ref="J70:J133" si="11">+I70+H70</f>
        <v>3360000</v>
      </c>
      <c r="K70" s="146">
        <v>779500</v>
      </c>
      <c r="L70" s="146">
        <v>2261965.296381521</v>
      </c>
      <c r="M70" s="146">
        <v>3041465.296381521</v>
      </c>
      <c r="N70" s="99">
        <f t="shared" ref="N70:N133" si="12">MIN(E70,H70,K70)</f>
        <v>560000</v>
      </c>
      <c r="O70" s="73">
        <f t="shared" ref="O70:O133" si="13">MIN(F70,I70,L70)</f>
        <v>2261965.296381521</v>
      </c>
      <c r="P70" s="73">
        <f t="shared" ref="P70:P133" si="14">O70+N70</f>
        <v>2821965.296381521</v>
      </c>
      <c r="Q70" s="301">
        <f t="shared" ref="Q70:Q133" si="15">N70-(N70*7%)</f>
        <v>520800</v>
      </c>
      <c r="R70" s="301">
        <f t="shared" ref="R70:R133" si="16">O70-(O70*7%)</f>
        <v>2103627.7256348147</v>
      </c>
      <c r="S70" s="300">
        <f t="shared" ref="S70:S133" si="17">R70+Q70</f>
        <v>2624427.7256348147</v>
      </c>
    </row>
    <row r="71" spans="1:19" ht="12" x14ac:dyDescent="0.2">
      <c r="A71" s="49">
        <v>64</v>
      </c>
      <c r="B71" s="47" t="s">
        <v>126</v>
      </c>
      <c r="C71" s="33" t="s">
        <v>153</v>
      </c>
      <c r="D71" s="111">
        <v>274909.92340000003</v>
      </c>
      <c r="E71" s="131">
        <v>84397.346483799978</v>
      </c>
      <c r="F71" s="131">
        <v>337589.38593520009</v>
      </c>
      <c r="G71" s="131">
        <f t="shared" si="9"/>
        <v>421986.73241900007</v>
      </c>
      <c r="H71" s="254">
        <f t="shared" si="10"/>
        <v>70000</v>
      </c>
      <c r="I71" s="254">
        <v>350000</v>
      </c>
      <c r="J71" s="256">
        <f t="shared" si="11"/>
        <v>420000</v>
      </c>
      <c r="K71" s="146">
        <v>799500</v>
      </c>
      <c r="L71" s="146">
        <v>278362.00164702471</v>
      </c>
      <c r="M71" s="146">
        <v>1077862.0016470246</v>
      </c>
      <c r="N71" s="99">
        <f t="shared" si="12"/>
        <v>70000</v>
      </c>
      <c r="O71" s="73">
        <f t="shared" si="13"/>
        <v>278362.00164702471</v>
      </c>
      <c r="P71" s="73">
        <f t="shared" si="14"/>
        <v>348362.00164702471</v>
      </c>
      <c r="Q71" s="301">
        <f t="shared" si="15"/>
        <v>65100</v>
      </c>
      <c r="R71" s="301">
        <f t="shared" si="16"/>
        <v>258876.66153173297</v>
      </c>
      <c r="S71" s="300">
        <f t="shared" si="17"/>
        <v>323976.661531733</v>
      </c>
    </row>
    <row r="72" spans="1:19" ht="12" x14ac:dyDescent="0.25">
      <c r="A72" s="49">
        <v>65</v>
      </c>
      <c r="B72" s="46" t="s">
        <v>127</v>
      </c>
      <c r="C72" s="33" t="s">
        <v>153</v>
      </c>
      <c r="D72" s="111">
        <v>105230.94401774519</v>
      </c>
      <c r="E72" s="131">
        <v>32305.899813447773</v>
      </c>
      <c r="F72" s="131">
        <v>129223.59925379111</v>
      </c>
      <c r="G72" s="131">
        <f t="shared" si="9"/>
        <v>161529.49906723888</v>
      </c>
      <c r="H72" s="254">
        <f t="shared" si="10"/>
        <v>25000</v>
      </c>
      <c r="I72" s="254">
        <v>125000</v>
      </c>
      <c r="J72" s="256">
        <f t="shared" si="11"/>
        <v>150000</v>
      </c>
      <c r="K72" s="146">
        <v>849500</v>
      </c>
      <c r="L72" s="146">
        <v>93155.540175793227</v>
      </c>
      <c r="M72" s="146">
        <v>942655.54017579323</v>
      </c>
      <c r="N72" s="99">
        <f t="shared" si="12"/>
        <v>25000</v>
      </c>
      <c r="O72" s="73">
        <f t="shared" si="13"/>
        <v>93155.540175793227</v>
      </c>
      <c r="P72" s="73">
        <f t="shared" si="14"/>
        <v>118155.54017579323</v>
      </c>
      <c r="Q72" s="301">
        <f t="shared" si="15"/>
        <v>23250</v>
      </c>
      <c r="R72" s="301">
        <f t="shared" si="16"/>
        <v>86634.652363487694</v>
      </c>
      <c r="S72" s="300">
        <f t="shared" si="17"/>
        <v>109884.65236348769</v>
      </c>
    </row>
    <row r="73" spans="1:19" ht="12" x14ac:dyDescent="0.2">
      <c r="A73" s="49">
        <v>66</v>
      </c>
      <c r="B73" s="47" t="s">
        <v>297</v>
      </c>
      <c r="C73" s="33" t="s">
        <v>153</v>
      </c>
      <c r="D73" s="111">
        <v>1123251.6496276169</v>
      </c>
      <c r="E73" s="131">
        <v>344838.25643567834</v>
      </c>
      <c r="F73" s="131">
        <v>1379353.0257427136</v>
      </c>
      <c r="G73" s="131">
        <f t="shared" si="9"/>
        <v>1724191.2821783919</v>
      </c>
      <c r="H73" s="254">
        <f t="shared" si="10"/>
        <v>268000</v>
      </c>
      <c r="I73" s="254">
        <v>1340000</v>
      </c>
      <c r="J73" s="256">
        <f t="shared" si="11"/>
        <v>1608000</v>
      </c>
      <c r="K73" s="146">
        <v>649500</v>
      </c>
      <c r="L73" s="146">
        <v>999193.96816857904</v>
      </c>
      <c r="M73" s="146">
        <v>1648693.968168579</v>
      </c>
      <c r="N73" s="99">
        <f t="shared" si="12"/>
        <v>268000</v>
      </c>
      <c r="O73" s="73">
        <f t="shared" si="13"/>
        <v>999193.96816857904</v>
      </c>
      <c r="P73" s="73">
        <f t="shared" si="14"/>
        <v>1267193.968168579</v>
      </c>
      <c r="Q73" s="301">
        <f t="shared" si="15"/>
        <v>249240</v>
      </c>
      <c r="R73" s="301">
        <f t="shared" si="16"/>
        <v>929250.39039677847</v>
      </c>
      <c r="S73" s="300">
        <f t="shared" si="17"/>
        <v>1178490.3903967785</v>
      </c>
    </row>
    <row r="74" spans="1:19" ht="12" x14ac:dyDescent="0.25">
      <c r="A74" s="49">
        <v>67</v>
      </c>
      <c r="B74" s="46" t="s">
        <v>326</v>
      </c>
      <c r="C74" s="33" t="s">
        <v>153</v>
      </c>
      <c r="D74" s="111">
        <v>568802.32920000004</v>
      </c>
      <c r="E74" s="131">
        <v>174622.31506439997</v>
      </c>
      <c r="F74" s="131">
        <v>698489.26025760022</v>
      </c>
      <c r="G74" s="131">
        <f t="shared" si="9"/>
        <v>873111.57532200019</v>
      </c>
      <c r="H74" s="254">
        <f t="shared" si="10"/>
        <v>144000</v>
      </c>
      <c r="I74" s="254">
        <v>720000</v>
      </c>
      <c r="J74" s="256">
        <f t="shared" si="11"/>
        <v>864000</v>
      </c>
      <c r="K74" s="146">
        <v>264500</v>
      </c>
      <c r="L74" s="146">
        <v>551962.4560931623</v>
      </c>
      <c r="M74" s="146">
        <v>816462.4560931623</v>
      </c>
      <c r="N74" s="99">
        <f t="shared" si="12"/>
        <v>144000</v>
      </c>
      <c r="O74" s="73">
        <f t="shared" si="13"/>
        <v>551962.4560931623</v>
      </c>
      <c r="P74" s="73">
        <f t="shared" si="14"/>
        <v>695962.4560931623</v>
      </c>
      <c r="Q74" s="301">
        <f t="shared" si="15"/>
        <v>133920</v>
      </c>
      <c r="R74" s="301">
        <f t="shared" si="16"/>
        <v>513325.08416664094</v>
      </c>
      <c r="S74" s="300">
        <f t="shared" si="17"/>
        <v>647245.08416664088</v>
      </c>
    </row>
    <row r="75" spans="1:19" ht="12" x14ac:dyDescent="0.25">
      <c r="A75" s="49">
        <v>68</v>
      </c>
      <c r="B75" s="46" t="s">
        <v>123</v>
      </c>
      <c r="C75" s="33" t="s">
        <v>153</v>
      </c>
      <c r="D75" s="111">
        <v>228384.99180000002</v>
      </c>
      <c r="E75" s="131">
        <v>70114.192482599989</v>
      </c>
      <c r="F75" s="131">
        <v>280456.76993040007</v>
      </c>
      <c r="G75" s="131">
        <f t="shared" si="9"/>
        <v>350570.96241300006</v>
      </c>
      <c r="H75" s="254">
        <f t="shared" si="10"/>
        <v>58600</v>
      </c>
      <c r="I75" s="254">
        <v>293000</v>
      </c>
      <c r="J75" s="256">
        <f t="shared" si="11"/>
        <v>351600</v>
      </c>
      <c r="K75" s="146">
        <v>284500</v>
      </c>
      <c r="L75" s="146">
        <v>356557.96125910792</v>
      </c>
      <c r="M75" s="146">
        <v>641057.96125910792</v>
      </c>
      <c r="N75" s="99">
        <f t="shared" si="12"/>
        <v>58600</v>
      </c>
      <c r="O75" s="73">
        <f t="shared" si="13"/>
        <v>280456.76993040007</v>
      </c>
      <c r="P75" s="73">
        <f t="shared" si="14"/>
        <v>339056.76993040007</v>
      </c>
      <c r="Q75" s="301">
        <f t="shared" si="15"/>
        <v>54498</v>
      </c>
      <c r="R75" s="301">
        <f t="shared" si="16"/>
        <v>260824.79603527207</v>
      </c>
      <c r="S75" s="300">
        <f t="shared" si="17"/>
        <v>315322.79603527207</v>
      </c>
    </row>
    <row r="76" spans="1:19" ht="12" x14ac:dyDescent="0.25">
      <c r="A76" s="49">
        <v>69</v>
      </c>
      <c r="B76" s="46" t="s">
        <v>298</v>
      </c>
      <c r="C76" s="33" t="s">
        <v>153</v>
      </c>
      <c r="D76" s="111">
        <v>176985.58920000002</v>
      </c>
      <c r="E76" s="131">
        <v>54334.575884399994</v>
      </c>
      <c r="F76" s="131">
        <v>217338.30353760003</v>
      </c>
      <c r="G76" s="131">
        <f t="shared" si="9"/>
        <v>271672.87942200003</v>
      </c>
      <c r="H76" s="254">
        <f t="shared" si="10"/>
        <v>45400</v>
      </c>
      <c r="I76" s="254">
        <v>227000</v>
      </c>
      <c r="J76" s="256">
        <f t="shared" si="11"/>
        <v>272400</v>
      </c>
      <c r="K76" s="146">
        <v>224500</v>
      </c>
      <c r="L76" s="146">
        <v>188058.01751775239</v>
      </c>
      <c r="M76" s="146">
        <v>412558.01751775236</v>
      </c>
      <c r="N76" s="99">
        <f t="shared" si="12"/>
        <v>45400</v>
      </c>
      <c r="O76" s="73">
        <f t="shared" si="13"/>
        <v>188058.01751775239</v>
      </c>
      <c r="P76" s="73">
        <f t="shared" si="14"/>
        <v>233458.01751775239</v>
      </c>
      <c r="Q76" s="301">
        <f t="shared" si="15"/>
        <v>42222</v>
      </c>
      <c r="R76" s="301">
        <f t="shared" si="16"/>
        <v>174893.95629150973</v>
      </c>
      <c r="S76" s="300">
        <f t="shared" si="17"/>
        <v>217115.95629150973</v>
      </c>
    </row>
    <row r="77" spans="1:19" ht="12" x14ac:dyDescent="0.25">
      <c r="A77" s="49">
        <v>70</v>
      </c>
      <c r="B77" s="46" t="s">
        <v>177</v>
      </c>
      <c r="C77" s="33" t="s">
        <v>153</v>
      </c>
      <c r="D77" s="111">
        <v>543832.38</v>
      </c>
      <c r="E77" s="131">
        <v>166956.54065999994</v>
      </c>
      <c r="F77" s="131">
        <v>667826.16264000011</v>
      </c>
      <c r="G77" s="131">
        <f t="shared" si="9"/>
        <v>834782.70330000005</v>
      </c>
      <c r="H77" s="254">
        <f t="shared" si="10"/>
        <v>138000</v>
      </c>
      <c r="I77" s="254">
        <v>690000</v>
      </c>
      <c r="J77" s="256">
        <f t="shared" si="11"/>
        <v>828000</v>
      </c>
      <c r="K77" s="146">
        <v>564500</v>
      </c>
      <c r="L77" s="146">
        <v>1468000</v>
      </c>
      <c r="M77" s="146">
        <v>2032500</v>
      </c>
      <c r="N77" s="99">
        <f t="shared" si="12"/>
        <v>138000</v>
      </c>
      <c r="O77" s="73">
        <f t="shared" si="13"/>
        <v>667826.16264000011</v>
      </c>
      <c r="P77" s="73">
        <f t="shared" si="14"/>
        <v>805826.16264000011</v>
      </c>
      <c r="Q77" s="301">
        <f t="shared" si="15"/>
        <v>128340</v>
      </c>
      <c r="R77" s="301">
        <f t="shared" si="16"/>
        <v>621078.33125520009</v>
      </c>
      <c r="S77" s="300">
        <f t="shared" si="17"/>
        <v>749418.33125520009</v>
      </c>
    </row>
    <row r="78" spans="1:19" ht="12" x14ac:dyDescent="0.25">
      <c r="A78" s="49">
        <v>71</v>
      </c>
      <c r="B78" s="35" t="s">
        <v>102</v>
      </c>
      <c r="C78" s="33" t="s">
        <v>153</v>
      </c>
      <c r="D78" s="111">
        <v>1642378.8989411271</v>
      </c>
      <c r="E78" s="131">
        <v>504210.32197492593</v>
      </c>
      <c r="F78" s="131">
        <v>2016841.2878997044</v>
      </c>
      <c r="G78" s="131">
        <f t="shared" si="9"/>
        <v>2521051.6098746303</v>
      </c>
      <c r="H78" s="254">
        <f t="shared" si="10"/>
        <v>420000</v>
      </c>
      <c r="I78" s="254">
        <v>2100000</v>
      </c>
      <c r="J78" s="256">
        <f t="shared" si="11"/>
        <v>2520000</v>
      </c>
      <c r="K78" s="146">
        <v>649500</v>
      </c>
      <c r="L78" s="146">
        <v>1841041.5203105405</v>
      </c>
      <c r="M78" s="146">
        <v>2490541.5203105407</v>
      </c>
      <c r="N78" s="99">
        <f t="shared" si="12"/>
        <v>420000</v>
      </c>
      <c r="O78" s="73">
        <f t="shared" si="13"/>
        <v>1841041.5203105405</v>
      </c>
      <c r="P78" s="73">
        <f t="shared" si="14"/>
        <v>2261041.5203105407</v>
      </c>
      <c r="Q78" s="301">
        <f t="shared" si="15"/>
        <v>390600</v>
      </c>
      <c r="R78" s="301">
        <f t="shared" si="16"/>
        <v>1712168.6138888027</v>
      </c>
      <c r="S78" s="300">
        <f t="shared" si="17"/>
        <v>2102768.6138888029</v>
      </c>
    </row>
    <row r="79" spans="1:19" ht="12" x14ac:dyDescent="0.2">
      <c r="A79" s="49">
        <v>72</v>
      </c>
      <c r="B79" s="47" t="s">
        <v>112</v>
      </c>
      <c r="C79" s="33" t="s">
        <v>153</v>
      </c>
      <c r="D79" s="111">
        <v>342553.31320772076</v>
      </c>
      <c r="E79" s="131">
        <v>105163.86715477024</v>
      </c>
      <c r="F79" s="131">
        <v>420655.46861908113</v>
      </c>
      <c r="G79" s="131">
        <f t="shared" si="9"/>
        <v>525819.33577385137</v>
      </c>
      <c r="H79" s="254">
        <f t="shared" si="10"/>
        <v>86000</v>
      </c>
      <c r="I79" s="254">
        <v>430000</v>
      </c>
      <c r="J79" s="256">
        <f t="shared" si="11"/>
        <v>516000</v>
      </c>
      <c r="K79" s="146">
        <v>294500</v>
      </c>
      <c r="L79" s="146">
        <v>383592.94566476985</v>
      </c>
      <c r="M79" s="146">
        <v>678092.94566476985</v>
      </c>
      <c r="N79" s="99">
        <f t="shared" si="12"/>
        <v>86000</v>
      </c>
      <c r="O79" s="73">
        <f t="shared" si="13"/>
        <v>383592.94566476985</v>
      </c>
      <c r="P79" s="73">
        <f t="shared" si="14"/>
        <v>469592.94566476985</v>
      </c>
      <c r="Q79" s="301">
        <f t="shared" si="15"/>
        <v>79980</v>
      </c>
      <c r="R79" s="301">
        <f t="shared" si="16"/>
        <v>356741.43946823594</v>
      </c>
      <c r="S79" s="300">
        <f t="shared" si="17"/>
        <v>436721.43946823594</v>
      </c>
    </row>
    <row r="80" spans="1:19" ht="12" x14ac:dyDescent="0.2">
      <c r="A80" s="49">
        <v>73</v>
      </c>
      <c r="B80" s="47" t="s">
        <v>78</v>
      </c>
      <c r="C80" s="33" t="s">
        <v>153</v>
      </c>
      <c r="D80" s="111">
        <v>353329.69</v>
      </c>
      <c r="E80" s="131">
        <v>108472.21482999995</v>
      </c>
      <c r="F80" s="131">
        <v>433888.85932000005</v>
      </c>
      <c r="G80" s="131">
        <f t="shared" si="9"/>
        <v>542361.07415</v>
      </c>
      <c r="H80" s="254">
        <f t="shared" si="10"/>
        <v>88000</v>
      </c>
      <c r="I80" s="254">
        <v>440000</v>
      </c>
      <c r="J80" s="256">
        <f t="shared" si="11"/>
        <v>528000</v>
      </c>
      <c r="K80" s="146">
        <v>294500</v>
      </c>
      <c r="L80" s="146">
        <v>341500.56805767177</v>
      </c>
      <c r="M80" s="146">
        <v>636000.56805767177</v>
      </c>
      <c r="N80" s="99">
        <f t="shared" si="12"/>
        <v>88000</v>
      </c>
      <c r="O80" s="73">
        <f t="shared" si="13"/>
        <v>341500.56805767177</v>
      </c>
      <c r="P80" s="73">
        <f t="shared" si="14"/>
        <v>429500.56805767177</v>
      </c>
      <c r="Q80" s="301">
        <f t="shared" si="15"/>
        <v>81840</v>
      </c>
      <c r="R80" s="301">
        <f t="shared" si="16"/>
        <v>317595.52829363476</v>
      </c>
      <c r="S80" s="300">
        <f t="shared" si="17"/>
        <v>399435.52829363476</v>
      </c>
    </row>
    <row r="81" spans="1:19" ht="11.25" customHeight="1" x14ac:dyDescent="0.25">
      <c r="A81" s="49">
        <v>74</v>
      </c>
      <c r="B81" s="46" t="s">
        <v>299</v>
      </c>
      <c r="C81" s="33" t="s">
        <v>153</v>
      </c>
      <c r="D81" s="111">
        <v>2548007.6894184365</v>
      </c>
      <c r="E81" s="131">
        <v>782238.36065146001</v>
      </c>
      <c r="F81" s="131">
        <v>3128953.4426058405</v>
      </c>
      <c r="G81" s="131">
        <f t="shared" si="9"/>
        <v>3911191.8032573005</v>
      </c>
      <c r="H81" s="254">
        <f t="shared" si="10"/>
        <v>608000</v>
      </c>
      <c r="I81" s="254">
        <v>3040000</v>
      </c>
      <c r="J81" s="256">
        <f t="shared" si="11"/>
        <v>3648000</v>
      </c>
      <c r="K81" s="146">
        <v>824500</v>
      </c>
      <c r="L81" s="146">
        <v>2267226.8435824085</v>
      </c>
      <c r="M81" s="146">
        <v>3091726.8435824085</v>
      </c>
      <c r="N81" s="99">
        <f t="shared" si="12"/>
        <v>608000</v>
      </c>
      <c r="O81" s="73">
        <f t="shared" si="13"/>
        <v>2267226.8435824085</v>
      </c>
      <c r="P81" s="73">
        <f t="shared" si="14"/>
        <v>2875226.8435824085</v>
      </c>
      <c r="Q81" s="301">
        <f t="shared" si="15"/>
        <v>565440</v>
      </c>
      <c r="R81" s="301">
        <f t="shared" si="16"/>
        <v>2108520.9645316401</v>
      </c>
      <c r="S81" s="300">
        <f t="shared" si="17"/>
        <v>2673960.9645316401</v>
      </c>
    </row>
    <row r="82" spans="1:19" ht="12" x14ac:dyDescent="0.2">
      <c r="A82" s="49">
        <v>75</v>
      </c>
      <c r="B82" s="47" t="s">
        <v>111</v>
      </c>
      <c r="C82" s="33" t="s">
        <v>153</v>
      </c>
      <c r="D82" s="111">
        <v>294640.92</v>
      </c>
      <c r="E82" s="131">
        <v>90454.762439999962</v>
      </c>
      <c r="F82" s="131">
        <v>361819.04976000008</v>
      </c>
      <c r="G82" s="131">
        <f t="shared" si="9"/>
        <v>452273.81220000004</v>
      </c>
      <c r="H82" s="254">
        <f t="shared" si="10"/>
        <v>70600</v>
      </c>
      <c r="I82" s="254">
        <v>353000</v>
      </c>
      <c r="J82" s="256">
        <f t="shared" si="11"/>
        <v>423600</v>
      </c>
      <c r="K82" s="146">
        <v>489500</v>
      </c>
      <c r="L82" s="146">
        <v>262577.3600443629</v>
      </c>
      <c r="M82" s="146">
        <v>752077.36004436295</v>
      </c>
      <c r="N82" s="99">
        <f t="shared" si="12"/>
        <v>70600</v>
      </c>
      <c r="O82" s="73">
        <f t="shared" si="13"/>
        <v>262577.3600443629</v>
      </c>
      <c r="P82" s="73">
        <f t="shared" si="14"/>
        <v>333177.3600443629</v>
      </c>
      <c r="Q82" s="301">
        <f t="shared" si="15"/>
        <v>65658</v>
      </c>
      <c r="R82" s="301">
        <f t="shared" si="16"/>
        <v>244196.9448412575</v>
      </c>
      <c r="S82" s="300">
        <f t="shared" si="17"/>
        <v>309854.94484125753</v>
      </c>
    </row>
    <row r="83" spans="1:19" ht="12" x14ac:dyDescent="0.2">
      <c r="A83" s="49">
        <v>76</v>
      </c>
      <c r="B83" s="47" t="s">
        <v>300</v>
      </c>
      <c r="C83" s="33" t="s">
        <v>153</v>
      </c>
      <c r="D83" s="111">
        <v>1435910.7</v>
      </c>
      <c r="E83" s="131">
        <v>440824.5848999999</v>
      </c>
      <c r="F83" s="131">
        <v>1763298.3396000003</v>
      </c>
      <c r="G83" s="131">
        <f t="shared" si="9"/>
        <v>2204122.9245000002</v>
      </c>
      <c r="H83" s="254">
        <f t="shared" si="10"/>
        <v>358000</v>
      </c>
      <c r="I83" s="254">
        <v>1790000</v>
      </c>
      <c r="J83" s="256">
        <f t="shared" si="11"/>
        <v>2148000</v>
      </c>
      <c r="K83" s="146">
        <v>394500</v>
      </c>
      <c r="L83" s="146">
        <v>2046500</v>
      </c>
      <c r="M83" s="146">
        <v>2441000</v>
      </c>
      <c r="N83" s="99">
        <f t="shared" si="12"/>
        <v>358000</v>
      </c>
      <c r="O83" s="73">
        <f t="shared" si="13"/>
        <v>1763298.3396000003</v>
      </c>
      <c r="P83" s="73">
        <f t="shared" si="14"/>
        <v>2121298.3396000005</v>
      </c>
      <c r="Q83" s="301">
        <f t="shared" si="15"/>
        <v>332940</v>
      </c>
      <c r="R83" s="301">
        <f t="shared" si="16"/>
        <v>1639867.4558280003</v>
      </c>
      <c r="S83" s="300">
        <f t="shared" si="17"/>
        <v>1972807.4558280003</v>
      </c>
    </row>
    <row r="84" spans="1:19" ht="22.5" x14ac:dyDescent="0.25">
      <c r="A84" s="49"/>
      <c r="B84" s="30" t="s">
        <v>31</v>
      </c>
      <c r="C84" s="33"/>
      <c r="D84" s="111"/>
      <c r="E84" s="131">
        <v>0</v>
      </c>
      <c r="F84" s="131">
        <v>0</v>
      </c>
      <c r="G84" s="131">
        <f t="shared" si="9"/>
        <v>0</v>
      </c>
      <c r="H84" s="254">
        <f t="shared" si="10"/>
        <v>0</v>
      </c>
      <c r="I84" s="254"/>
      <c r="J84" s="256">
        <f t="shared" si="11"/>
        <v>0</v>
      </c>
      <c r="K84" s="146"/>
      <c r="L84" s="146"/>
      <c r="M84" s="146">
        <v>0</v>
      </c>
      <c r="N84" s="99">
        <f t="shared" si="12"/>
        <v>0</v>
      </c>
      <c r="O84" s="73">
        <f t="shared" si="13"/>
        <v>0</v>
      </c>
      <c r="P84" s="73">
        <f t="shared" si="14"/>
        <v>0</v>
      </c>
      <c r="Q84" s="301">
        <f t="shared" si="15"/>
        <v>0</v>
      </c>
      <c r="R84" s="301">
        <f t="shared" si="16"/>
        <v>0</v>
      </c>
      <c r="S84" s="300">
        <f t="shared" si="17"/>
        <v>0</v>
      </c>
    </row>
    <row r="85" spans="1:19" ht="12" x14ac:dyDescent="0.25">
      <c r="A85" s="49">
        <v>77</v>
      </c>
      <c r="B85" s="46" t="s">
        <v>323</v>
      </c>
      <c r="C85" s="33" t="s">
        <v>153</v>
      </c>
      <c r="D85" s="111">
        <v>2017779.7901276702</v>
      </c>
      <c r="E85" s="131">
        <v>619458.39556919457</v>
      </c>
      <c r="F85" s="131">
        <v>2477833.5822767792</v>
      </c>
      <c r="G85" s="131">
        <f t="shared" si="9"/>
        <v>3097291.9778459738</v>
      </c>
      <c r="H85" s="254">
        <f t="shared" si="10"/>
        <v>500000</v>
      </c>
      <c r="I85" s="254">
        <v>2500000</v>
      </c>
      <c r="J85" s="256">
        <f t="shared" si="11"/>
        <v>3000000</v>
      </c>
      <c r="K85" s="146">
        <v>649500</v>
      </c>
      <c r="L85" s="146">
        <v>2261965.296381521</v>
      </c>
      <c r="M85" s="146">
        <v>2911465.296381521</v>
      </c>
      <c r="N85" s="99">
        <f t="shared" si="12"/>
        <v>500000</v>
      </c>
      <c r="O85" s="73">
        <f t="shared" si="13"/>
        <v>2261965.296381521</v>
      </c>
      <c r="P85" s="73">
        <f t="shared" si="14"/>
        <v>2761965.296381521</v>
      </c>
      <c r="Q85" s="301">
        <f t="shared" si="15"/>
        <v>465000</v>
      </c>
      <c r="R85" s="301">
        <f t="shared" si="16"/>
        <v>2103627.7256348147</v>
      </c>
      <c r="S85" s="300">
        <f t="shared" si="17"/>
        <v>2568627.7256348147</v>
      </c>
    </row>
    <row r="86" spans="1:19" ht="12" x14ac:dyDescent="0.25">
      <c r="A86" s="49">
        <v>78</v>
      </c>
      <c r="B86" s="46" t="s">
        <v>178</v>
      </c>
      <c r="C86" s="33" t="s">
        <v>153</v>
      </c>
      <c r="D86" s="111">
        <v>1176537.3144</v>
      </c>
      <c r="E86" s="131">
        <v>361196.95552079985</v>
      </c>
      <c r="F86" s="131">
        <v>1444787.8220832003</v>
      </c>
      <c r="G86" s="131">
        <f t="shared" si="9"/>
        <v>1805984.7776040002</v>
      </c>
      <c r="H86" s="254">
        <f t="shared" si="10"/>
        <v>294000</v>
      </c>
      <c r="I86" s="254">
        <v>1470000</v>
      </c>
      <c r="J86" s="256">
        <f t="shared" si="11"/>
        <v>1764000</v>
      </c>
      <c r="K86" s="146">
        <v>734500</v>
      </c>
      <c r="L86" s="146">
        <v>1117573.5186413412</v>
      </c>
      <c r="M86" s="146">
        <v>1852073.5186413412</v>
      </c>
      <c r="N86" s="99">
        <f t="shared" si="12"/>
        <v>294000</v>
      </c>
      <c r="O86" s="73">
        <f t="shared" si="13"/>
        <v>1117573.5186413412</v>
      </c>
      <c r="P86" s="73">
        <f t="shared" si="14"/>
        <v>1411573.5186413412</v>
      </c>
      <c r="Q86" s="301">
        <f t="shared" si="15"/>
        <v>273420</v>
      </c>
      <c r="R86" s="301">
        <f t="shared" si="16"/>
        <v>1039343.3723364474</v>
      </c>
      <c r="S86" s="300">
        <f t="shared" si="17"/>
        <v>1312763.3723364472</v>
      </c>
    </row>
    <row r="87" spans="1:19" ht="12" x14ac:dyDescent="0.25">
      <c r="A87" s="49">
        <v>79</v>
      </c>
      <c r="B87" s="46" t="s">
        <v>301</v>
      </c>
      <c r="C87" s="33" t="s">
        <v>153</v>
      </c>
      <c r="D87" s="111">
        <v>1067568.3899999999</v>
      </c>
      <c r="E87" s="131">
        <v>327743.49572999985</v>
      </c>
      <c r="F87" s="131">
        <v>1310973.9829200001</v>
      </c>
      <c r="G87" s="131">
        <f t="shared" si="9"/>
        <v>1638717.4786499999</v>
      </c>
      <c r="H87" s="254">
        <f t="shared" si="10"/>
        <v>274000</v>
      </c>
      <c r="I87" s="254">
        <v>1370000</v>
      </c>
      <c r="J87" s="256">
        <f t="shared" si="11"/>
        <v>1644000</v>
      </c>
      <c r="K87" s="146">
        <v>374500</v>
      </c>
      <c r="L87" s="146">
        <v>1735000</v>
      </c>
      <c r="M87" s="146">
        <v>2109500</v>
      </c>
      <c r="N87" s="99">
        <f t="shared" si="12"/>
        <v>274000</v>
      </c>
      <c r="O87" s="73">
        <f t="shared" si="13"/>
        <v>1310973.9829200001</v>
      </c>
      <c r="P87" s="73">
        <f t="shared" si="14"/>
        <v>1584973.9829200001</v>
      </c>
      <c r="Q87" s="301">
        <f t="shared" si="15"/>
        <v>254820</v>
      </c>
      <c r="R87" s="301">
        <f t="shared" si="16"/>
        <v>1219205.8041156002</v>
      </c>
      <c r="S87" s="300">
        <f t="shared" si="17"/>
        <v>1474025.8041156002</v>
      </c>
    </row>
    <row r="88" spans="1:19" ht="12" x14ac:dyDescent="0.2">
      <c r="A88" s="49">
        <v>80</v>
      </c>
      <c r="B88" s="47" t="s">
        <v>79</v>
      </c>
      <c r="C88" s="33" t="s">
        <v>153</v>
      </c>
      <c r="D88" s="111">
        <v>157330.98360000001</v>
      </c>
      <c r="E88" s="131">
        <v>48300.611965199991</v>
      </c>
      <c r="F88" s="131">
        <v>193202.44786080005</v>
      </c>
      <c r="G88" s="131">
        <f t="shared" si="9"/>
        <v>241503.05982600004</v>
      </c>
      <c r="H88" s="254">
        <f t="shared" si="10"/>
        <v>40000</v>
      </c>
      <c r="I88" s="254">
        <v>200000</v>
      </c>
      <c r="J88" s="256">
        <f t="shared" si="11"/>
        <v>240000</v>
      </c>
      <c r="K88" s="146">
        <v>357500</v>
      </c>
      <c r="L88" s="146">
        <v>191020.31811229617</v>
      </c>
      <c r="M88" s="146">
        <v>548520.31811229617</v>
      </c>
      <c r="N88" s="99">
        <f t="shared" si="12"/>
        <v>40000</v>
      </c>
      <c r="O88" s="73">
        <f t="shared" si="13"/>
        <v>191020.31811229617</v>
      </c>
      <c r="P88" s="73">
        <f t="shared" si="14"/>
        <v>231020.31811229617</v>
      </c>
      <c r="Q88" s="301">
        <f t="shared" si="15"/>
        <v>37200</v>
      </c>
      <c r="R88" s="301">
        <f t="shared" si="16"/>
        <v>177648.89584443544</v>
      </c>
      <c r="S88" s="300">
        <f t="shared" si="17"/>
        <v>214848.89584443544</v>
      </c>
    </row>
    <row r="89" spans="1:19" ht="12" x14ac:dyDescent="0.25">
      <c r="A89" s="49">
        <v>81</v>
      </c>
      <c r="B89" s="46" t="s">
        <v>32</v>
      </c>
      <c r="C89" s="33" t="s">
        <v>153</v>
      </c>
      <c r="D89" s="111">
        <v>183267.37441292693</v>
      </c>
      <c r="E89" s="131">
        <v>56263.083944768558</v>
      </c>
      <c r="F89" s="131">
        <v>225052.33577907432</v>
      </c>
      <c r="G89" s="131">
        <f t="shared" si="9"/>
        <v>281315.41972384288</v>
      </c>
      <c r="H89" s="254">
        <f t="shared" si="10"/>
        <v>43600</v>
      </c>
      <c r="I89" s="254">
        <v>218000</v>
      </c>
      <c r="J89" s="256">
        <f t="shared" si="11"/>
        <v>261600</v>
      </c>
      <c r="K89" s="146">
        <v>224500</v>
      </c>
      <c r="L89" s="146">
        <v>162607.96322750498</v>
      </c>
      <c r="M89" s="146">
        <v>387107.96322750498</v>
      </c>
      <c r="N89" s="99">
        <f t="shared" si="12"/>
        <v>43600</v>
      </c>
      <c r="O89" s="73">
        <f t="shared" si="13"/>
        <v>162607.96322750498</v>
      </c>
      <c r="P89" s="73">
        <f t="shared" si="14"/>
        <v>206207.96322750498</v>
      </c>
      <c r="Q89" s="301">
        <f t="shared" si="15"/>
        <v>40548</v>
      </c>
      <c r="R89" s="301">
        <f t="shared" si="16"/>
        <v>151225.40580157962</v>
      </c>
      <c r="S89" s="300">
        <f t="shared" si="17"/>
        <v>191773.40580157962</v>
      </c>
    </row>
    <row r="90" spans="1:19" ht="12" x14ac:dyDescent="0.2">
      <c r="A90" s="49">
        <v>82</v>
      </c>
      <c r="B90" s="47" t="s">
        <v>77</v>
      </c>
      <c r="C90" s="33" t="s">
        <v>153</v>
      </c>
      <c r="D90" s="111">
        <v>370708.38004671154</v>
      </c>
      <c r="E90" s="131">
        <v>113807.47267434042</v>
      </c>
      <c r="F90" s="131">
        <v>455229.89069736184</v>
      </c>
      <c r="G90" s="131">
        <f t="shared" si="9"/>
        <v>569037.36337170226</v>
      </c>
      <c r="H90" s="254">
        <f t="shared" si="10"/>
        <v>94000</v>
      </c>
      <c r="I90" s="254">
        <v>470000</v>
      </c>
      <c r="J90" s="256">
        <f t="shared" si="11"/>
        <v>564000</v>
      </c>
      <c r="K90" s="146">
        <v>124500</v>
      </c>
      <c r="L90" s="146">
        <v>415162.22887009336</v>
      </c>
      <c r="M90" s="146">
        <v>539662.22887009336</v>
      </c>
      <c r="N90" s="99">
        <f t="shared" si="12"/>
        <v>94000</v>
      </c>
      <c r="O90" s="73">
        <f t="shared" si="13"/>
        <v>415162.22887009336</v>
      </c>
      <c r="P90" s="73">
        <f t="shared" si="14"/>
        <v>509162.22887009336</v>
      </c>
      <c r="Q90" s="301">
        <f t="shared" si="15"/>
        <v>87420</v>
      </c>
      <c r="R90" s="301">
        <f t="shared" si="16"/>
        <v>386100.87284918682</v>
      </c>
      <c r="S90" s="300">
        <f t="shared" si="17"/>
        <v>473520.87284918682</v>
      </c>
    </row>
    <row r="91" spans="1:19" ht="12" x14ac:dyDescent="0.2">
      <c r="A91" s="49">
        <v>83</v>
      </c>
      <c r="B91" s="47" t="s">
        <v>302</v>
      </c>
      <c r="C91" s="33" t="s">
        <v>153</v>
      </c>
      <c r="D91" s="111">
        <v>372804.0442</v>
      </c>
      <c r="E91" s="131">
        <v>114450.84156939999</v>
      </c>
      <c r="F91" s="131">
        <v>457803.36627760011</v>
      </c>
      <c r="G91" s="131">
        <f t="shared" si="9"/>
        <v>572254.2078470001</v>
      </c>
      <c r="H91" s="254">
        <f t="shared" si="10"/>
        <v>95000</v>
      </c>
      <c r="I91" s="254">
        <v>475000</v>
      </c>
      <c r="J91" s="256">
        <f t="shared" si="11"/>
        <v>570000</v>
      </c>
      <c r="K91" s="146">
        <v>649500</v>
      </c>
      <c r="L91" s="146">
        <v>1423500</v>
      </c>
      <c r="M91" s="146">
        <v>2073000</v>
      </c>
      <c r="N91" s="99">
        <f t="shared" si="12"/>
        <v>95000</v>
      </c>
      <c r="O91" s="73">
        <f t="shared" si="13"/>
        <v>457803.36627760011</v>
      </c>
      <c r="P91" s="73">
        <f t="shared" si="14"/>
        <v>552803.36627760017</v>
      </c>
      <c r="Q91" s="301">
        <f t="shared" si="15"/>
        <v>88350</v>
      </c>
      <c r="R91" s="301">
        <f t="shared" si="16"/>
        <v>425757.13063816808</v>
      </c>
      <c r="S91" s="300">
        <f t="shared" si="17"/>
        <v>514107.13063816808</v>
      </c>
    </row>
    <row r="92" spans="1:19" ht="22.5" x14ac:dyDescent="0.25">
      <c r="A92" s="49"/>
      <c r="B92" s="30" t="s">
        <v>90</v>
      </c>
      <c r="C92" s="33"/>
      <c r="D92" s="111"/>
      <c r="E92" s="131">
        <v>0</v>
      </c>
      <c r="F92" s="131">
        <v>0</v>
      </c>
      <c r="G92" s="131">
        <f t="shared" si="9"/>
        <v>0</v>
      </c>
      <c r="H92" s="254">
        <f t="shared" si="10"/>
        <v>0</v>
      </c>
      <c r="I92" s="254"/>
      <c r="J92" s="256">
        <f t="shared" si="11"/>
        <v>0</v>
      </c>
      <c r="K92" s="146"/>
      <c r="L92" s="146"/>
      <c r="M92" s="146">
        <v>0</v>
      </c>
      <c r="N92" s="99">
        <f t="shared" si="12"/>
        <v>0</v>
      </c>
      <c r="O92" s="73">
        <f t="shared" si="13"/>
        <v>0</v>
      </c>
      <c r="P92" s="73">
        <f t="shared" si="14"/>
        <v>0</v>
      </c>
      <c r="Q92" s="301">
        <f t="shared" si="15"/>
        <v>0</v>
      </c>
      <c r="R92" s="301">
        <f t="shared" si="16"/>
        <v>0</v>
      </c>
      <c r="S92" s="300">
        <f t="shared" si="17"/>
        <v>0</v>
      </c>
    </row>
    <row r="93" spans="1:19" ht="12" x14ac:dyDescent="0.25">
      <c r="A93" s="49">
        <v>84</v>
      </c>
      <c r="B93" s="46" t="s">
        <v>481</v>
      </c>
      <c r="C93" s="33" t="s">
        <v>153</v>
      </c>
      <c r="D93" s="111">
        <v>86940.358725000013</v>
      </c>
      <c r="E93" s="131">
        <v>26690.690128575006</v>
      </c>
      <c r="F93" s="131">
        <v>106762.76051430004</v>
      </c>
      <c r="G93" s="131">
        <f t="shared" si="9"/>
        <v>133453.45064287505</v>
      </c>
      <c r="H93" s="254">
        <f t="shared" si="10"/>
        <v>20000</v>
      </c>
      <c r="I93" s="254">
        <v>100000</v>
      </c>
      <c r="J93" s="256">
        <f t="shared" si="11"/>
        <v>120000</v>
      </c>
      <c r="K93" s="146">
        <v>164500</v>
      </c>
      <c r="L93" s="146">
        <v>76876.919265250006</v>
      </c>
      <c r="M93" s="146">
        <v>241376.91926525001</v>
      </c>
      <c r="N93" s="99">
        <f t="shared" si="12"/>
        <v>20000</v>
      </c>
      <c r="O93" s="73">
        <f t="shared" si="13"/>
        <v>76876.919265250006</v>
      </c>
      <c r="P93" s="73">
        <f t="shared" si="14"/>
        <v>96876.919265250006</v>
      </c>
      <c r="Q93" s="301">
        <f t="shared" si="15"/>
        <v>18600</v>
      </c>
      <c r="R93" s="301">
        <f t="shared" si="16"/>
        <v>71495.534916682504</v>
      </c>
      <c r="S93" s="300">
        <f t="shared" si="17"/>
        <v>90095.534916682504</v>
      </c>
    </row>
    <row r="94" spans="1:19" ht="12" x14ac:dyDescent="0.25">
      <c r="A94" s="49">
        <v>85</v>
      </c>
      <c r="B94" s="46" t="s">
        <v>181</v>
      </c>
      <c r="C94" s="33" t="s">
        <v>153</v>
      </c>
      <c r="D94" s="111">
        <v>518522.30809413485</v>
      </c>
      <c r="E94" s="131">
        <v>159186.34858489933</v>
      </c>
      <c r="F94" s="131">
        <v>636745.39433959778</v>
      </c>
      <c r="G94" s="131">
        <f t="shared" si="9"/>
        <v>795931.74292449711</v>
      </c>
      <c r="H94" s="254">
        <f t="shared" si="10"/>
        <v>124000</v>
      </c>
      <c r="I94" s="254">
        <v>620000</v>
      </c>
      <c r="J94" s="256">
        <f t="shared" si="11"/>
        <v>744000</v>
      </c>
      <c r="K94" s="146">
        <v>219500</v>
      </c>
      <c r="L94" s="146">
        <v>460984.85420378001</v>
      </c>
      <c r="M94" s="146">
        <v>680484.85420377995</v>
      </c>
      <c r="N94" s="99">
        <f t="shared" si="12"/>
        <v>124000</v>
      </c>
      <c r="O94" s="73">
        <f t="shared" si="13"/>
        <v>460984.85420378001</v>
      </c>
      <c r="P94" s="73">
        <f t="shared" si="14"/>
        <v>584984.85420377995</v>
      </c>
      <c r="Q94" s="301">
        <f t="shared" si="15"/>
        <v>115320</v>
      </c>
      <c r="R94" s="301">
        <f t="shared" si="16"/>
        <v>428715.91440951539</v>
      </c>
      <c r="S94" s="300">
        <f t="shared" si="17"/>
        <v>544035.91440951545</v>
      </c>
    </row>
    <row r="95" spans="1:19" ht="12" x14ac:dyDescent="0.2">
      <c r="A95" s="49">
        <v>86</v>
      </c>
      <c r="B95" s="47" t="s">
        <v>303</v>
      </c>
      <c r="C95" s="33" t="s">
        <v>153</v>
      </c>
      <c r="D95" s="111">
        <v>912624.30163920717</v>
      </c>
      <c r="E95" s="131">
        <v>280175.66060323664</v>
      </c>
      <c r="F95" s="131">
        <v>1120702.6424129466</v>
      </c>
      <c r="G95" s="131">
        <f t="shared" si="9"/>
        <v>1400878.3030161832</v>
      </c>
      <c r="H95" s="254">
        <f t="shared" si="10"/>
        <v>220000</v>
      </c>
      <c r="I95" s="254">
        <v>1100000</v>
      </c>
      <c r="J95" s="256">
        <f t="shared" si="11"/>
        <v>1320000</v>
      </c>
      <c r="K95" s="146">
        <v>219500</v>
      </c>
      <c r="L95" s="146">
        <v>1022793.4342961594</v>
      </c>
      <c r="M95" s="146">
        <v>1242293.4342961595</v>
      </c>
      <c r="N95" s="99">
        <f t="shared" si="12"/>
        <v>219500</v>
      </c>
      <c r="O95" s="73">
        <f t="shared" si="13"/>
        <v>1022793.4342961594</v>
      </c>
      <c r="P95" s="73">
        <f t="shared" si="14"/>
        <v>1242293.4342961595</v>
      </c>
      <c r="Q95" s="301">
        <f t="shared" si="15"/>
        <v>204135</v>
      </c>
      <c r="R95" s="301">
        <f t="shared" si="16"/>
        <v>951197.89389542828</v>
      </c>
      <c r="S95" s="300">
        <f t="shared" si="17"/>
        <v>1155332.8938954282</v>
      </c>
    </row>
    <row r="96" spans="1:19" ht="12" x14ac:dyDescent="0.2">
      <c r="A96" s="49">
        <v>87</v>
      </c>
      <c r="B96" s="47" t="s">
        <v>304</v>
      </c>
      <c r="C96" s="33" t="s">
        <v>153</v>
      </c>
      <c r="D96" s="111">
        <v>390899.46</v>
      </c>
      <c r="E96" s="131">
        <v>120006.13422000001</v>
      </c>
      <c r="F96" s="131">
        <v>480024.53688000003</v>
      </c>
      <c r="G96" s="131">
        <f t="shared" si="9"/>
        <v>600030.67110000004</v>
      </c>
      <c r="H96" s="254">
        <f t="shared" si="10"/>
        <v>100000</v>
      </c>
      <c r="I96" s="254">
        <v>500000</v>
      </c>
      <c r="J96" s="256">
        <f t="shared" si="11"/>
        <v>600000</v>
      </c>
      <c r="K96" s="146">
        <v>134500</v>
      </c>
      <c r="L96" s="146">
        <v>871700</v>
      </c>
      <c r="M96" s="146">
        <v>1006200</v>
      </c>
      <c r="N96" s="99">
        <f t="shared" si="12"/>
        <v>100000</v>
      </c>
      <c r="O96" s="73">
        <f t="shared" si="13"/>
        <v>480024.53688000003</v>
      </c>
      <c r="P96" s="73">
        <f t="shared" si="14"/>
        <v>580024.53688000003</v>
      </c>
      <c r="Q96" s="301">
        <f t="shared" si="15"/>
        <v>93000</v>
      </c>
      <c r="R96" s="301">
        <f t="shared" si="16"/>
        <v>446422.81929840002</v>
      </c>
      <c r="S96" s="300">
        <f t="shared" si="17"/>
        <v>539422.81929840008</v>
      </c>
    </row>
    <row r="97" spans="1:19" ht="12" x14ac:dyDescent="0.2">
      <c r="A97" s="49">
        <v>88</v>
      </c>
      <c r="B97" s="47" t="s">
        <v>80</v>
      </c>
      <c r="C97" s="33" t="s">
        <v>153</v>
      </c>
      <c r="D97" s="111">
        <v>470932.7182</v>
      </c>
      <c r="E97" s="131">
        <v>144576.34448740003</v>
      </c>
      <c r="F97" s="131">
        <v>578305.37794959999</v>
      </c>
      <c r="G97" s="131">
        <f t="shared" si="9"/>
        <v>722881.72243700002</v>
      </c>
      <c r="H97" s="254">
        <f t="shared" si="10"/>
        <v>116000</v>
      </c>
      <c r="I97" s="254">
        <v>580000</v>
      </c>
      <c r="J97" s="256">
        <f t="shared" si="11"/>
        <v>696000</v>
      </c>
      <c r="K97" s="146">
        <v>124500</v>
      </c>
      <c r="L97" s="146">
        <v>520393.17288783856</v>
      </c>
      <c r="M97" s="146">
        <v>644893.17288783856</v>
      </c>
      <c r="N97" s="99">
        <f t="shared" si="12"/>
        <v>116000</v>
      </c>
      <c r="O97" s="73">
        <f t="shared" si="13"/>
        <v>520393.17288783856</v>
      </c>
      <c r="P97" s="73">
        <f t="shared" si="14"/>
        <v>636393.17288783856</v>
      </c>
      <c r="Q97" s="301">
        <f t="shared" si="15"/>
        <v>107880</v>
      </c>
      <c r="R97" s="301">
        <f t="shared" si="16"/>
        <v>483965.65078568988</v>
      </c>
      <c r="S97" s="300">
        <f t="shared" si="17"/>
        <v>591845.65078568994</v>
      </c>
    </row>
    <row r="98" spans="1:19" ht="12" x14ac:dyDescent="0.2">
      <c r="A98" s="49">
        <v>89</v>
      </c>
      <c r="B98" s="47" t="s">
        <v>184</v>
      </c>
      <c r="C98" s="33" t="s">
        <v>153</v>
      </c>
      <c r="D98" s="111">
        <v>292114.63679999998</v>
      </c>
      <c r="E98" s="131">
        <v>89679.193497599976</v>
      </c>
      <c r="F98" s="131">
        <v>358716.77399040002</v>
      </c>
      <c r="G98" s="131">
        <f t="shared" si="9"/>
        <v>448395.96748799999</v>
      </c>
      <c r="H98" s="254">
        <f t="shared" si="10"/>
        <v>74000</v>
      </c>
      <c r="I98" s="254">
        <v>370000</v>
      </c>
      <c r="J98" s="256">
        <f t="shared" si="11"/>
        <v>444000</v>
      </c>
      <c r="K98" s="146">
        <v>234500</v>
      </c>
      <c r="L98" s="146">
        <v>544346.29496283596</v>
      </c>
      <c r="M98" s="146">
        <v>778846.29496283596</v>
      </c>
      <c r="N98" s="99">
        <f t="shared" si="12"/>
        <v>74000</v>
      </c>
      <c r="O98" s="73">
        <f t="shared" si="13"/>
        <v>358716.77399040002</v>
      </c>
      <c r="P98" s="73">
        <f t="shared" si="14"/>
        <v>432716.77399040002</v>
      </c>
      <c r="Q98" s="301">
        <f t="shared" si="15"/>
        <v>68820</v>
      </c>
      <c r="R98" s="301">
        <f t="shared" si="16"/>
        <v>333606.599811072</v>
      </c>
      <c r="S98" s="300">
        <f t="shared" si="17"/>
        <v>402426.599811072</v>
      </c>
    </row>
    <row r="99" spans="1:19" ht="12" x14ac:dyDescent="0.25">
      <c r="A99" s="49">
        <v>90</v>
      </c>
      <c r="B99" s="35" t="s">
        <v>305</v>
      </c>
      <c r="C99" s="33" t="s">
        <v>153</v>
      </c>
      <c r="D99" s="111">
        <v>558582.82495217235</v>
      </c>
      <c r="E99" s="131">
        <v>171484.92726031691</v>
      </c>
      <c r="F99" s="131">
        <v>685939.70904126775</v>
      </c>
      <c r="G99" s="131">
        <f t="shared" si="9"/>
        <v>857424.63630158466</v>
      </c>
      <c r="H99" s="254">
        <f t="shared" si="10"/>
        <v>132000</v>
      </c>
      <c r="I99" s="254">
        <v>660000</v>
      </c>
      <c r="J99" s="256">
        <f t="shared" si="11"/>
        <v>792000</v>
      </c>
      <c r="K99" s="146">
        <v>199500</v>
      </c>
      <c r="L99" s="146">
        <v>496638.7142074334</v>
      </c>
      <c r="M99" s="146">
        <v>696138.7142074334</v>
      </c>
      <c r="N99" s="99">
        <f t="shared" si="12"/>
        <v>132000</v>
      </c>
      <c r="O99" s="73">
        <f t="shared" si="13"/>
        <v>496638.7142074334</v>
      </c>
      <c r="P99" s="73">
        <f t="shared" si="14"/>
        <v>628638.7142074334</v>
      </c>
      <c r="Q99" s="301">
        <f t="shared" si="15"/>
        <v>122760</v>
      </c>
      <c r="R99" s="301">
        <f t="shared" si="16"/>
        <v>461874.00421291305</v>
      </c>
      <c r="S99" s="300">
        <f t="shared" si="17"/>
        <v>584634.0042129131</v>
      </c>
    </row>
    <row r="100" spans="1:19" ht="12" x14ac:dyDescent="0.2">
      <c r="A100" s="49">
        <v>91</v>
      </c>
      <c r="B100" s="47" t="s">
        <v>99</v>
      </c>
      <c r="C100" s="33" t="s">
        <v>153</v>
      </c>
      <c r="D100" s="111">
        <v>245837.01800000001</v>
      </c>
      <c r="E100" s="131">
        <v>75471.964526000025</v>
      </c>
      <c r="F100" s="131">
        <v>301887.85810400004</v>
      </c>
      <c r="G100" s="131">
        <f t="shared" si="9"/>
        <v>377359.82263000007</v>
      </c>
      <c r="H100" s="254">
        <f t="shared" si="10"/>
        <v>62000</v>
      </c>
      <c r="I100" s="254">
        <v>310000</v>
      </c>
      <c r="J100" s="256">
        <f t="shared" si="11"/>
        <v>372000</v>
      </c>
      <c r="K100" s="146">
        <v>284500</v>
      </c>
      <c r="L100" s="146">
        <v>246792.71844170112</v>
      </c>
      <c r="M100" s="146">
        <v>531292.71844170114</v>
      </c>
      <c r="N100" s="99">
        <f t="shared" si="12"/>
        <v>62000</v>
      </c>
      <c r="O100" s="73">
        <f t="shared" si="13"/>
        <v>246792.71844170112</v>
      </c>
      <c r="P100" s="73">
        <f t="shared" si="14"/>
        <v>308792.71844170114</v>
      </c>
      <c r="Q100" s="301">
        <f t="shared" si="15"/>
        <v>57660</v>
      </c>
      <c r="R100" s="301">
        <f t="shared" si="16"/>
        <v>229517.22815078203</v>
      </c>
      <c r="S100" s="300">
        <f t="shared" si="17"/>
        <v>287177.22815078206</v>
      </c>
    </row>
    <row r="101" spans="1:19" ht="12" x14ac:dyDescent="0.25">
      <c r="A101" s="49">
        <v>92</v>
      </c>
      <c r="B101" s="46" t="s">
        <v>139</v>
      </c>
      <c r="C101" s="33" t="s">
        <v>153</v>
      </c>
      <c r="D101" s="111">
        <v>515715.69</v>
      </c>
      <c r="E101" s="131">
        <v>158324.71682999993</v>
      </c>
      <c r="F101" s="131">
        <v>633298.86732000019</v>
      </c>
      <c r="G101" s="131">
        <f t="shared" si="9"/>
        <v>791623.58415000013</v>
      </c>
      <c r="H101" s="254">
        <f t="shared" si="10"/>
        <v>132000</v>
      </c>
      <c r="I101" s="254">
        <v>660000</v>
      </c>
      <c r="J101" s="256">
        <f t="shared" si="11"/>
        <v>792000</v>
      </c>
      <c r="K101" s="146">
        <v>234500</v>
      </c>
      <c r="L101" s="146">
        <v>583890.04644813645</v>
      </c>
      <c r="M101" s="146">
        <v>818390.04644813645</v>
      </c>
      <c r="N101" s="99">
        <f t="shared" si="12"/>
        <v>132000</v>
      </c>
      <c r="O101" s="73">
        <f t="shared" si="13"/>
        <v>583890.04644813645</v>
      </c>
      <c r="P101" s="73">
        <f t="shared" si="14"/>
        <v>715890.04644813645</v>
      </c>
      <c r="Q101" s="301">
        <f t="shared" si="15"/>
        <v>122760</v>
      </c>
      <c r="R101" s="301">
        <f t="shared" si="16"/>
        <v>543017.74319676694</v>
      </c>
      <c r="S101" s="300">
        <f t="shared" si="17"/>
        <v>665777.74319676694</v>
      </c>
    </row>
    <row r="102" spans="1:19" ht="12" x14ac:dyDescent="0.25">
      <c r="A102" s="49">
        <v>93</v>
      </c>
      <c r="B102" s="46" t="s">
        <v>140</v>
      </c>
      <c r="C102" s="33" t="s">
        <v>153</v>
      </c>
      <c r="D102" s="111">
        <v>539249.77260000003</v>
      </c>
      <c r="E102" s="131">
        <v>165549.68018819997</v>
      </c>
      <c r="F102" s="131">
        <v>662198.72075280012</v>
      </c>
      <c r="G102" s="131">
        <f t="shared" si="9"/>
        <v>827748.40094100009</v>
      </c>
      <c r="H102" s="254">
        <f t="shared" si="10"/>
        <v>130000</v>
      </c>
      <c r="I102" s="254">
        <v>650000</v>
      </c>
      <c r="J102" s="256">
        <f t="shared" si="11"/>
        <v>780000</v>
      </c>
      <c r="K102" s="146">
        <v>124500</v>
      </c>
      <c r="L102" s="146">
        <v>803360.2168112084</v>
      </c>
      <c r="M102" s="146">
        <v>927860.2168112084</v>
      </c>
      <c r="N102" s="99">
        <f t="shared" si="12"/>
        <v>124500</v>
      </c>
      <c r="O102" s="73">
        <f t="shared" si="13"/>
        <v>650000</v>
      </c>
      <c r="P102" s="73">
        <f t="shared" si="14"/>
        <v>774500</v>
      </c>
      <c r="Q102" s="301">
        <f t="shared" si="15"/>
        <v>115785</v>
      </c>
      <c r="R102" s="301">
        <f t="shared" si="16"/>
        <v>604500</v>
      </c>
      <c r="S102" s="300">
        <f t="shared" si="17"/>
        <v>720285</v>
      </c>
    </row>
    <row r="103" spans="1:19" ht="12" x14ac:dyDescent="0.25">
      <c r="A103" s="49">
        <v>94</v>
      </c>
      <c r="B103" s="46" t="s">
        <v>27</v>
      </c>
      <c r="C103" s="33" t="s">
        <v>153</v>
      </c>
      <c r="D103" s="111">
        <v>353765.52539999998</v>
      </c>
      <c r="E103" s="131">
        <v>108606.0162978</v>
      </c>
      <c r="F103" s="131">
        <v>434424.0651912</v>
      </c>
      <c r="G103" s="131">
        <f t="shared" si="9"/>
        <v>543030.081489</v>
      </c>
      <c r="H103" s="254">
        <f t="shared" si="10"/>
        <v>90000</v>
      </c>
      <c r="I103" s="254">
        <v>450000</v>
      </c>
      <c r="J103" s="256">
        <f t="shared" si="11"/>
        <v>540000</v>
      </c>
      <c r="K103" s="146">
        <v>219500</v>
      </c>
      <c r="L103" s="146">
        <v>400495.69551228423</v>
      </c>
      <c r="M103" s="146">
        <v>619995.69551228429</v>
      </c>
      <c r="N103" s="99">
        <f t="shared" si="12"/>
        <v>90000</v>
      </c>
      <c r="O103" s="73">
        <f t="shared" si="13"/>
        <v>400495.69551228423</v>
      </c>
      <c r="P103" s="73">
        <f t="shared" si="14"/>
        <v>490495.69551228423</v>
      </c>
      <c r="Q103" s="301">
        <f t="shared" si="15"/>
        <v>83700</v>
      </c>
      <c r="R103" s="301">
        <f t="shared" si="16"/>
        <v>372460.99682642432</v>
      </c>
      <c r="S103" s="300">
        <f t="shared" si="17"/>
        <v>456160.99682642432</v>
      </c>
    </row>
    <row r="104" spans="1:19" ht="12" x14ac:dyDescent="0.2">
      <c r="A104" s="49">
        <v>95</v>
      </c>
      <c r="B104" s="47" t="s">
        <v>306</v>
      </c>
      <c r="C104" s="33" t="s">
        <v>153</v>
      </c>
      <c r="D104" s="111">
        <v>707057.35418664722</v>
      </c>
      <c r="E104" s="131">
        <v>217066.60773530067</v>
      </c>
      <c r="F104" s="131">
        <v>868266.43094120291</v>
      </c>
      <c r="G104" s="131">
        <f t="shared" si="9"/>
        <v>1085333.0386765036</v>
      </c>
      <c r="H104" s="254">
        <f t="shared" si="10"/>
        <v>168000</v>
      </c>
      <c r="I104" s="254">
        <v>840000</v>
      </c>
      <c r="J104" s="256">
        <f t="shared" si="11"/>
        <v>1008000</v>
      </c>
      <c r="K104" s="146">
        <v>224500</v>
      </c>
      <c r="L104" s="146">
        <v>628781.04522611597</v>
      </c>
      <c r="M104" s="146">
        <v>853281.04522611597</v>
      </c>
      <c r="N104" s="99">
        <f t="shared" si="12"/>
        <v>168000</v>
      </c>
      <c r="O104" s="73">
        <f t="shared" si="13"/>
        <v>628781.04522611597</v>
      </c>
      <c r="P104" s="73">
        <f t="shared" si="14"/>
        <v>796781.04522611597</v>
      </c>
      <c r="Q104" s="301">
        <f t="shared" si="15"/>
        <v>156240</v>
      </c>
      <c r="R104" s="301">
        <f t="shared" si="16"/>
        <v>584766.37206028786</v>
      </c>
      <c r="S104" s="300">
        <f t="shared" si="17"/>
        <v>741006.37206028786</v>
      </c>
    </row>
    <row r="105" spans="1:19" ht="12" x14ac:dyDescent="0.2">
      <c r="A105" s="49">
        <v>96</v>
      </c>
      <c r="B105" s="47" t="s">
        <v>103</v>
      </c>
      <c r="C105" s="33" t="s">
        <v>153</v>
      </c>
      <c r="D105" s="111">
        <v>109580.35620000001</v>
      </c>
      <c r="E105" s="131">
        <v>33641.169353400008</v>
      </c>
      <c r="F105" s="131">
        <v>134564.67741360003</v>
      </c>
      <c r="G105" s="131">
        <f t="shared" si="9"/>
        <v>168205.84676700004</v>
      </c>
      <c r="H105" s="254">
        <f t="shared" si="10"/>
        <v>28000</v>
      </c>
      <c r="I105" s="254">
        <v>140000</v>
      </c>
      <c r="J105" s="256">
        <f t="shared" si="11"/>
        <v>168000</v>
      </c>
      <c r="K105" s="146">
        <v>124500</v>
      </c>
      <c r="L105" s="146">
        <v>137752.31743804511</v>
      </c>
      <c r="M105" s="146">
        <v>262252.31743804511</v>
      </c>
      <c r="N105" s="99">
        <f t="shared" si="12"/>
        <v>28000</v>
      </c>
      <c r="O105" s="73">
        <f t="shared" si="13"/>
        <v>134564.67741360003</v>
      </c>
      <c r="P105" s="73">
        <f t="shared" si="14"/>
        <v>162564.67741360003</v>
      </c>
      <c r="Q105" s="301">
        <f t="shared" si="15"/>
        <v>26040</v>
      </c>
      <c r="R105" s="301">
        <f t="shared" si="16"/>
        <v>125145.14999464803</v>
      </c>
      <c r="S105" s="300">
        <f t="shared" si="17"/>
        <v>151185.14999464803</v>
      </c>
    </row>
    <row r="106" spans="1:19" ht="12" x14ac:dyDescent="0.25">
      <c r="A106" s="49">
        <v>97</v>
      </c>
      <c r="B106" s="46" t="s">
        <v>307</v>
      </c>
      <c r="C106" s="33" t="s">
        <v>153</v>
      </c>
      <c r="D106" s="111">
        <v>510370.48580000002</v>
      </c>
      <c r="E106" s="131">
        <v>156683.73914059997</v>
      </c>
      <c r="F106" s="131">
        <v>626734.9565624001</v>
      </c>
      <c r="G106" s="131">
        <f t="shared" si="9"/>
        <v>783418.69570300006</v>
      </c>
      <c r="H106" s="254">
        <f t="shared" si="10"/>
        <v>130000</v>
      </c>
      <c r="I106" s="254">
        <v>650000</v>
      </c>
      <c r="J106" s="256">
        <f t="shared" si="11"/>
        <v>780000</v>
      </c>
      <c r="K106" s="146">
        <v>259500</v>
      </c>
      <c r="L106" s="146">
        <v>565510.65362430504</v>
      </c>
      <c r="M106" s="146">
        <v>825010.65362430504</v>
      </c>
      <c r="N106" s="99">
        <f t="shared" si="12"/>
        <v>130000</v>
      </c>
      <c r="O106" s="73">
        <f t="shared" si="13"/>
        <v>565510.65362430504</v>
      </c>
      <c r="P106" s="73">
        <f t="shared" si="14"/>
        <v>695510.65362430504</v>
      </c>
      <c r="Q106" s="301">
        <f t="shared" si="15"/>
        <v>120900</v>
      </c>
      <c r="R106" s="301">
        <f t="shared" si="16"/>
        <v>525924.90787060373</v>
      </c>
      <c r="S106" s="300">
        <f t="shared" si="17"/>
        <v>646824.90787060373</v>
      </c>
    </row>
    <row r="107" spans="1:19" ht="12" x14ac:dyDescent="0.25">
      <c r="A107" s="49">
        <v>98</v>
      </c>
      <c r="B107" s="50" t="s">
        <v>312</v>
      </c>
      <c r="C107" s="33" t="s">
        <v>153</v>
      </c>
      <c r="D107" s="111">
        <v>220784.25854984653</v>
      </c>
      <c r="E107" s="131">
        <v>67780.767374802905</v>
      </c>
      <c r="F107" s="131">
        <v>271123.06949921156</v>
      </c>
      <c r="G107" s="131">
        <f t="shared" si="9"/>
        <v>338903.83687401447</v>
      </c>
      <c r="H107" s="254">
        <f t="shared" si="10"/>
        <v>52000</v>
      </c>
      <c r="I107" s="254">
        <v>260000</v>
      </c>
      <c r="J107" s="256">
        <f t="shared" si="11"/>
        <v>312000</v>
      </c>
      <c r="K107" s="146">
        <v>134500</v>
      </c>
      <c r="L107" s="146">
        <v>195997.99010936343</v>
      </c>
      <c r="M107" s="146">
        <v>330497.99010936345</v>
      </c>
      <c r="N107" s="99">
        <f t="shared" si="12"/>
        <v>52000</v>
      </c>
      <c r="O107" s="73">
        <f t="shared" si="13"/>
        <v>195997.99010936343</v>
      </c>
      <c r="P107" s="73">
        <f t="shared" si="14"/>
        <v>247997.99010936343</v>
      </c>
      <c r="Q107" s="301">
        <f t="shared" si="15"/>
        <v>48360</v>
      </c>
      <c r="R107" s="301">
        <f t="shared" si="16"/>
        <v>182278.13080170797</v>
      </c>
      <c r="S107" s="300">
        <f t="shared" si="17"/>
        <v>230638.13080170797</v>
      </c>
    </row>
    <row r="108" spans="1:19" ht="12" x14ac:dyDescent="0.25">
      <c r="A108" s="49">
        <v>99</v>
      </c>
      <c r="B108" s="46" t="s">
        <v>308</v>
      </c>
      <c r="C108" s="33" t="s">
        <v>153</v>
      </c>
      <c r="D108" s="111">
        <v>230562.18071303715</v>
      </c>
      <c r="E108" s="131">
        <v>70782.589478902402</v>
      </c>
      <c r="F108" s="131">
        <v>283130.35791560967</v>
      </c>
      <c r="G108" s="131">
        <f t="shared" si="9"/>
        <v>353912.94739451207</v>
      </c>
      <c r="H108" s="254">
        <f t="shared" si="10"/>
        <v>54000</v>
      </c>
      <c r="I108" s="254">
        <v>270000</v>
      </c>
      <c r="J108" s="256">
        <f t="shared" si="11"/>
        <v>324000</v>
      </c>
      <c r="K108" s="146">
        <v>119500</v>
      </c>
      <c r="L108" s="146">
        <v>204700.34083460306</v>
      </c>
      <c r="M108" s="146">
        <v>324200.34083460306</v>
      </c>
      <c r="N108" s="99">
        <f t="shared" si="12"/>
        <v>54000</v>
      </c>
      <c r="O108" s="73">
        <f t="shared" si="13"/>
        <v>204700.34083460306</v>
      </c>
      <c r="P108" s="73">
        <f t="shared" si="14"/>
        <v>258700.34083460306</v>
      </c>
      <c r="Q108" s="301">
        <f t="shared" si="15"/>
        <v>50220</v>
      </c>
      <c r="R108" s="301">
        <f t="shared" si="16"/>
        <v>190371.31697618085</v>
      </c>
      <c r="S108" s="300">
        <f t="shared" si="17"/>
        <v>240591.31697618085</v>
      </c>
    </row>
    <row r="109" spans="1:19" ht="12" x14ac:dyDescent="0.25">
      <c r="A109" s="49">
        <v>100</v>
      </c>
      <c r="B109" s="46" t="s">
        <v>309</v>
      </c>
      <c r="C109" s="33" t="s">
        <v>153</v>
      </c>
      <c r="D109" s="111">
        <v>931804.87400000007</v>
      </c>
      <c r="E109" s="131">
        <v>286064.096318</v>
      </c>
      <c r="F109" s="131">
        <v>1144256.3852720002</v>
      </c>
      <c r="G109" s="131">
        <f t="shared" si="9"/>
        <v>1430320.4815900002</v>
      </c>
      <c r="H109" s="254">
        <f t="shared" si="10"/>
        <v>220000</v>
      </c>
      <c r="I109" s="254">
        <v>1100000</v>
      </c>
      <c r="J109" s="256">
        <f t="shared" si="11"/>
        <v>1320000</v>
      </c>
      <c r="K109" s="146">
        <v>224500</v>
      </c>
      <c r="L109" s="146">
        <v>893963.02415083395</v>
      </c>
      <c r="M109" s="146">
        <v>1118463.024150834</v>
      </c>
      <c r="N109" s="99">
        <f t="shared" si="12"/>
        <v>220000</v>
      </c>
      <c r="O109" s="73">
        <f t="shared" si="13"/>
        <v>893963.02415083395</v>
      </c>
      <c r="P109" s="73">
        <f t="shared" si="14"/>
        <v>1113963.024150834</v>
      </c>
      <c r="Q109" s="301">
        <f t="shared" si="15"/>
        <v>204600</v>
      </c>
      <c r="R109" s="301">
        <f t="shared" si="16"/>
        <v>831385.61246027553</v>
      </c>
      <c r="S109" s="300">
        <f t="shared" si="17"/>
        <v>1035985.6124602755</v>
      </c>
    </row>
    <row r="110" spans="1:19" ht="12" x14ac:dyDescent="0.25">
      <c r="A110" s="49">
        <v>101</v>
      </c>
      <c r="B110" s="46" t="s">
        <v>311</v>
      </c>
      <c r="C110" s="33" t="s">
        <v>153</v>
      </c>
      <c r="D110" s="111">
        <v>120000</v>
      </c>
      <c r="E110" s="131">
        <v>36840</v>
      </c>
      <c r="F110" s="131">
        <v>147360.00000000003</v>
      </c>
      <c r="G110" s="131">
        <f t="shared" si="9"/>
        <v>184200.00000000003</v>
      </c>
      <c r="H110" s="254">
        <f t="shared" si="10"/>
        <v>28000</v>
      </c>
      <c r="I110" s="254">
        <v>140000</v>
      </c>
      <c r="J110" s="256">
        <f t="shared" si="11"/>
        <v>168000</v>
      </c>
      <c r="K110" s="146">
        <v>219500</v>
      </c>
      <c r="L110" s="146">
        <v>106300</v>
      </c>
      <c r="M110" s="146">
        <v>325800</v>
      </c>
      <c r="N110" s="99">
        <f t="shared" si="12"/>
        <v>28000</v>
      </c>
      <c r="O110" s="73">
        <f t="shared" si="13"/>
        <v>106300</v>
      </c>
      <c r="P110" s="73">
        <f t="shared" si="14"/>
        <v>134300</v>
      </c>
      <c r="Q110" s="301">
        <f t="shared" si="15"/>
        <v>26040</v>
      </c>
      <c r="R110" s="301">
        <f t="shared" si="16"/>
        <v>98859</v>
      </c>
      <c r="S110" s="300">
        <f t="shared" si="17"/>
        <v>124899</v>
      </c>
    </row>
    <row r="111" spans="1:19" ht="22.5" x14ac:dyDescent="0.25">
      <c r="A111" s="49"/>
      <c r="B111" s="30" t="s">
        <v>28</v>
      </c>
      <c r="C111" s="33"/>
      <c r="D111" s="111"/>
      <c r="E111" s="131">
        <v>0</v>
      </c>
      <c r="F111" s="131">
        <v>0</v>
      </c>
      <c r="G111" s="131">
        <f t="shared" si="9"/>
        <v>0</v>
      </c>
      <c r="H111" s="254">
        <f t="shared" si="10"/>
        <v>0</v>
      </c>
      <c r="I111" s="254"/>
      <c r="J111" s="256">
        <f t="shared" si="11"/>
        <v>0</v>
      </c>
      <c r="K111" s="146"/>
      <c r="L111" s="146"/>
      <c r="M111" s="146">
        <v>0</v>
      </c>
      <c r="N111" s="99">
        <f t="shared" si="12"/>
        <v>0</v>
      </c>
      <c r="O111" s="73">
        <f t="shared" si="13"/>
        <v>0</v>
      </c>
      <c r="P111" s="73">
        <f t="shared" si="14"/>
        <v>0</v>
      </c>
      <c r="Q111" s="301">
        <f t="shared" si="15"/>
        <v>0</v>
      </c>
      <c r="R111" s="301">
        <f t="shared" si="16"/>
        <v>0</v>
      </c>
      <c r="S111" s="300">
        <f t="shared" si="17"/>
        <v>0</v>
      </c>
    </row>
    <row r="112" spans="1:19" ht="12" x14ac:dyDescent="0.25">
      <c r="A112" s="49">
        <v>102</v>
      </c>
      <c r="B112" s="46" t="s">
        <v>114</v>
      </c>
      <c r="C112" s="33" t="s">
        <v>153</v>
      </c>
      <c r="D112" s="111">
        <v>502019.37364002503</v>
      </c>
      <c r="E112" s="131">
        <v>154119.94770748762</v>
      </c>
      <c r="F112" s="131">
        <v>616479.79082995083</v>
      </c>
      <c r="G112" s="131">
        <f t="shared" si="9"/>
        <v>770599.73853743845</v>
      </c>
      <c r="H112" s="254">
        <f t="shared" si="10"/>
        <v>120000</v>
      </c>
      <c r="I112" s="254">
        <v>600000</v>
      </c>
      <c r="J112" s="256">
        <f t="shared" si="11"/>
        <v>720000</v>
      </c>
      <c r="K112" s="146">
        <v>199500</v>
      </c>
      <c r="L112" s="146">
        <v>446297.2425396223</v>
      </c>
      <c r="M112" s="146">
        <v>645797.24253962236</v>
      </c>
      <c r="N112" s="99">
        <f t="shared" si="12"/>
        <v>120000</v>
      </c>
      <c r="O112" s="73">
        <f t="shared" si="13"/>
        <v>446297.2425396223</v>
      </c>
      <c r="P112" s="73">
        <f t="shared" si="14"/>
        <v>566297.24253962236</v>
      </c>
      <c r="Q112" s="301">
        <f t="shared" si="15"/>
        <v>111600</v>
      </c>
      <c r="R112" s="301">
        <f t="shared" si="16"/>
        <v>415056.43556184875</v>
      </c>
      <c r="S112" s="300">
        <f t="shared" si="17"/>
        <v>526656.4355618488</v>
      </c>
    </row>
    <row r="113" spans="1:19" ht="12" x14ac:dyDescent="0.25">
      <c r="A113" s="49">
        <v>103</v>
      </c>
      <c r="B113" s="46" t="s">
        <v>313</v>
      </c>
      <c r="C113" s="33" t="s">
        <v>153</v>
      </c>
      <c r="D113" s="111">
        <v>109368</v>
      </c>
      <c r="E113" s="131">
        <v>33575.975999999995</v>
      </c>
      <c r="F113" s="131">
        <v>134303.90400000001</v>
      </c>
      <c r="G113" s="131">
        <f t="shared" si="9"/>
        <v>167879.88</v>
      </c>
      <c r="H113" s="254">
        <f t="shared" si="10"/>
        <v>26000</v>
      </c>
      <c r="I113" s="254">
        <v>130000</v>
      </c>
      <c r="J113" s="256">
        <f t="shared" si="11"/>
        <v>156000</v>
      </c>
      <c r="K113" s="146">
        <v>199500</v>
      </c>
      <c r="L113" s="146">
        <v>106300</v>
      </c>
      <c r="M113" s="146">
        <v>305800</v>
      </c>
      <c r="N113" s="99">
        <f t="shared" si="12"/>
        <v>26000</v>
      </c>
      <c r="O113" s="73">
        <f t="shared" si="13"/>
        <v>106300</v>
      </c>
      <c r="P113" s="73">
        <f t="shared" si="14"/>
        <v>132300</v>
      </c>
      <c r="Q113" s="301">
        <f t="shared" si="15"/>
        <v>24180</v>
      </c>
      <c r="R113" s="301">
        <f t="shared" si="16"/>
        <v>98859</v>
      </c>
      <c r="S113" s="300">
        <f t="shared" si="17"/>
        <v>123039</v>
      </c>
    </row>
    <row r="114" spans="1:19" ht="12" x14ac:dyDescent="0.25">
      <c r="A114" s="49">
        <v>104</v>
      </c>
      <c r="B114" s="35" t="s">
        <v>334</v>
      </c>
      <c r="C114" s="33" t="s">
        <v>153</v>
      </c>
      <c r="D114" s="111">
        <v>254838.4944</v>
      </c>
      <c r="E114" s="131">
        <v>78235.417780799966</v>
      </c>
      <c r="F114" s="131">
        <v>312941.67112320004</v>
      </c>
      <c r="G114" s="131">
        <f t="shared" si="9"/>
        <v>391177.088904</v>
      </c>
      <c r="H114" s="254">
        <f t="shared" si="10"/>
        <v>64000</v>
      </c>
      <c r="I114" s="254">
        <v>320000</v>
      </c>
      <c r="J114" s="256">
        <f t="shared" si="11"/>
        <v>384000</v>
      </c>
      <c r="K114" s="146">
        <v>197500</v>
      </c>
      <c r="L114" s="146">
        <v>255572.8541475432</v>
      </c>
      <c r="M114" s="146">
        <v>453072.8541475432</v>
      </c>
      <c r="N114" s="99">
        <f t="shared" si="12"/>
        <v>64000</v>
      </c>
      <c r="O114" s="73">
        <f t="shared" si="13"/>
        <v>255572.8541475432</v>
      </c>
      <c r="P114" s="73">
        <f t="shared" si="14"/>
        <v>319572.8541475432</v>
      </c>
      <c r="Q114" s="301">
        <f t="shared" si="15"/>
        <v>59520</v>
      </c>
      <c r="R114" s="301">
        <f t="shared" si="16"/>
        <v>237682.75435721516</v>
      </c>
      <c r="S114" s="300">
        <f t="shared" si="17"/>
        <v>297202.75435721513</v>
      </c>
    </row>
    <row r="115" spans="1:19" ht="12" x14ac:dyDescent="0.25">
      <c r="A115" s="49">
        <v>105</v>
      </c>
      <c r="B115" s="35" t="s">
        <v>335</v>
      </c>
      <c r="C115" s="33" t="s">
        <v>153</v>
      </c>
      <c r="D115" s="111">
        <v>226045.91800000001</v>
      </c>
      <c r="E115" s="131">
        <v>69396.096826000023</v>
      </c>
      <c r="F115" s="131">
        <v>277584.38730400003</v>
      </c>
      <c r="G115" s="131">
        <f t="shared" si="9"/>
        <v>346980.48413000006</v>
      </c>
      <c r="H115" s="254">
        <f t="shared" si="10"/>
        <v>58000</v>
      </c>
      <c r="I115" s="254">
        <v>290000</v>
      </c>
      <c r="J115" s="256">
        <f t="shared" si="11"/>
        <v>348000</v>
      </c>
      <c r="K115" s="146">
        <v>197500</v>
      </c>
      <c r="L115" s="146">
        <v>222231.80019067376</v>
      </c>
      <c r="M115" s="146">
        <v>419731.80019067379</v>
      </c>
      <c r="N115" s="99">
        <f t="shared" si="12"/>
        <v>58000</v>
      </c>
      <c r="O115" s="73">
        <f t="shared" si="13"/>
        <v>222231.80019067376</v>
      </c>
      <c r="P115" s="73">
        <f t="shared" si="14"/>
        <v>280231.80019067379</v>
      </c>
      <c r="Q115" s="301">
        <f t="shared" si="15"/>
        <v>53940</v>
      </c>
      <c r="R115" s="301">
        <f t="shared" si="16"/>
        <v>206675.57417732661</v>
      </c>
      <c r="S115" s="300">
        <f t="shared" si="17"/>
        <v>260615.57417732661</v>
      </c>
    </row>
    <row r="116" spans="1:19" ht="12" x14ac:dyDescent="0.25">
      <c r="A116" s="49">
        <v>106</v>
      </c>
      <c r="B116" s="35" t="s">
        <v>192</v>
      </c>
      <c r="C116" s="33" t="s">
        <v>153</v>
      </c>
      <c r="D116" s="111">
        <v>267948.18259402551</v>
      </c>
      <c r="E116" s="131">
        <v>82260.0920563658</v>
      </c>
      <c r="F116" s="131">
        <v>329040.36822546337</v>
      </c>
      <c r="G116" s="131">
        <f t="shared" si="9"/>
        <v>411300.46028182918</v>
      </c>
      <c r="H116" s="254">
        <f t="shared" si="10"/>
        <v>64000</v>
      </c>
      <c r="I116" s="254">
        <v>320000</v>
      </c>
      <c r="J116" s="256">
        <f t="shared" si="11"/>
        <v>384000</v>
      </c>
      <c r="K116" s="146">
        <v>197500</v>
      </c>
      <c r="L116" s="146">
        <v>237973.8825086827</v>
      </c>
      <c r="M116" s="146">
        <v>435473.88250868267</v>
      </c>
      <c r="N116" s="99">
        <f t="shared" si="12"/>
        <v>64000</v>
      </c>
      <c r="O116" s="73">
        <f t="shared" si="13"/>
        <v>237973.8825086827</v>
      </c>
      <c r="P116" s="73">
        <f t="shared" si="14"/>
        <v>301973.88250868267</v>
      </c>
      <c r="Q116" s="301">
        <f t="shared" si="15"/>
        <v>59520</v>
      </c>
      <c r="R116" s="301">
        <f t="shared" si="16"/>
        <v>221315.7107330749</v>
      </c>
      <c r="S116" s="300">
        <f t="shared" si="17"/>
        <v>280835.71073307493</v>
      </c>
    </row>
    <row r="117" spans="1:19" ht="12" x14ac:dyDescent="0.25">
      <c r="A117" s="49">
        <v>107</v>
      </c>
      <c r="B117" s="35" t="s">
        <v>195</v>
      </c>
      <c r="C117" s="33" t="s">
        <v>153</v>
      </c>
      <c r="D117" s="111">
        <v>101430.41851250001</v>
      </c>
      <c r="E117" s="131">
        <v>31139.138483337505</v>
      </c>
      <c r="F117" s="131">
        <v>124556.55393335002</v>
      </c>
      <c r="G117" s="131">
        <f t="shared" si="9"/>
        <v>155695.69241668753</v>
      </c>
      <c r="H117" s="254">
        <f t="shared" si="10"/>
        <v>24000</v>
      </c>
      <c r="I117" s="254">
        <v>120000</v>
      </c>
      <c r="J117" s="256">
        <f t="shared" si="11"/>
        <v>144000</v>
      </c>
      <c r="K117" s="146">
        <v>279500</v>
      </c>
      <c r="L117" s="146">
        <v>89773.072476125002</v>
      </c>
      <c r="M117" s="146">
        <v>369273.07247612497</v>
      </c>
      <c r="N117" s="99">
        <f t="shared" si="12"/>
        <v>24000</v>
      </c>
      <c r="O117" s="73">
        <f t="shared" si="13"/>
        <v>89773.072476125002</v>
      </c>
      <c r="P117" s="73">
        <f t="shared" si="14"/>
        <v>113773.072476125</v>
      </c>
      <c r="Q117" s="301">
        <f t="shared" si="15"/>
        <v>22320</v>
      </c>
      <c r="R117" s="301">
        <f t="shared" si="16"/>
        <v>83488.957402796252</v>
      </c>
      <c r="S117" s="300">
        <f t="shared" si="17"/>
        <v>105808.95740279625</v>
      </c>
    </row>
    <row r="118" spans="1:19" ht="12" x14ac:dyDescent="0.25">
      <c r="A118" s="49">
        <v>108</v>
      </c>
      <c r="B118" s="35" t="s">
        <v>193</v>
      </c>
      <c r="C118" s="33" t="s">
        <v>153</v>
      </c>
      <c r="D118" s="111">
        <v>103181.603</v>
      </c>
      <c r="E118" s="131">
        <v>31676.752120999998</v>
      </c>
      <c r="F118" s="131">
        <v>126707.00848400002</v>
      </c>
      <c r="G118" s="131">
        <f t="shared" si="9"/>
        <v>158383.76060500002</v>
      </c>
      <c r="H118" s="254">
        <f t="shared" si="10"/>
        <v>26000</v>
      </c>
      <c r="I118" s="254">
        <v>130000</v>
      </c>
      <c r="J118" s="256">
        <f t="shared" si="11"/>
        <v>156000</v>
      </c>
      <c r="K118" s="146">
        <v>199500</v>
      </c>
      <c r="L118" s="146">
        <v>105765.43670951866</v>
      </c>
      <c r="M118" s="146">
        <v>305265.43670951866</v>
      </c>
      <c r="N118" s="99">
        <f t="shared" si="12"/>
        <v>26000</v>
      </c>
      <c r="O118" s="73">
        <f t="shared" si="13"/>
        <v>105765.43670951866</v>
      </c>
      <c r="P118" s="73">
        <f t="shared" si="14"/>
        <v>131765.43670951866</v>
      </c>
      <c r="Q118" s="301">
        <f t="shared" si="15"/>
        <v>24180</v>
      </c>
      <c r="R118" s="301">
        <f t="shared" si="16"/>
        <v>98361.85613985236</v>
      </c>
      <c r="S118" s="300">
        <f t="shared" si="17"/>
        <v>122541.85613985236</v>
      </c>
    </row>
    <row r="119" spans="1:19" ht="12" x14ac:dyDescent="0.25">
      <c r="A119" s="49">
        <v>109</v>
      </c>
      <c r="B119" s="35" t="s">
        <v>194</v>
      </c>
      <c r="C119" s="33" t="s">
        <v>153</v>
      </c>
      <c r="D119" s="111">
        <v>114022.96306033604</v>
      </c>
      <c r="E119" s="131">
        <v>35005.049659523153</v>
      </c>
      <c r="F119" s="131">
        <v>140020.1986380927</v>
      </c>
      <c r="G119" s="131">
        <f t="shared" si="9"/>
        <v>175025.24829761585</v>
      </c>
      <c r="H119" s="254">
        <f t="shared" si="10"/>
        <v>27000</v>
      </c>
      <c r="I119" s="254">
        <v>135000</v>
      </c>
      <c r="J119" s="256">
        <f t="shared" si="11"/>
        <v>162000</v>
      </c>
      <c r="K119" s="146">
        <v>199500</v>
      </c>
      <c r="L119" s="146">
        <v>100980.43712369908</v>
      </c>
      <c r="M119" s="146">
        <v>300480.43712369911</v>
      </c>
      <c r="N119" s="99">
        <f t="shared" si="12"/>
        <v>27000</v>
      </c>
      <c r="O119" s="73">
        <f t="shared" si="13"/>
        <v>100980.43712369908</v>
      </c>
      <c r="P119" s="73">
        <f t="shared" si="14"/>
        <v>127980.43712369908</v>
      </c>
      <c r="Q119" s="301">
        <f t="shared" si="15"/>
        <v>25110</v>
      </c>
      <c r="R119" s="301">
        <f t="shared" si="16"/>
        <v>93911.806525040141</v>
      </c>
      <c r="S119" s="300">
        <f t="shared" si="17"/>
        <v>119021.80652504014</v>
      </c>
    </row>
    <row r="120" spans="1:19" ht="12" x14ac:dyDescent="0.25">
      <c r="A120" s="49">
        <v>110</v>
      </c>
      <c r="B120" s="32" t="s">
        <v>196</v>
      </c>
      <c r="C120" s="33" t="s">
        <v>153</v>
      </c>
      <c r="D120" s="111">
        <v>51377.908564036421</v>
      </c>
      <c r="E120" s="131">
        <v>15773.017929159178</v>
      </c>
      <c r="F120" s="131">
        <v>63092.071716636739</v>
      </c>
      <c r="G120" s="131">
        <f t="shared" si="9"/>
        <v>78865.089645795917</v>
      </c>
      <c r="H120" s="254">
        <f t="shared" si="10"/>
        <v>12000</v>
      </c>
      <c r="I120" s="254">
        <v>60000</v>
      </c>
      <c r="J120" s="256">
        <f t="shared" si="11"/>
        <v>72000</v>
      </c>
      <c r="K120" s="146">
        <v>164500</v>
      </c>
      <c r="L120" s="146">
        <v>57108.236387103716</v>
      </c>
      <c r="M120" s="146">
        <v>221608.23638710371</v>
      </c>
      <c r="N120" s="99">
        <f t="shared" si="12"/>
        <v>12000</v>
      </c>
      <c r="O120" s="73">
        <f t="shared" si="13"/>
        <v>57108.236387103716</v>
      </c>
      <c r="P120" s="73">
        <f t="shared" si="14"/>
        <v>69108.236387103709</v>
      </c>
      <c r="Q120" s="301">
        <f t="shared" si="15"/>
        <v>11160</v>
      </c>
      <c r="R120" s="301">
        <f t="shared" si="16"/>
        <v>53110.659840006454</v>
      </c>
      <c r="S120" s="300">
        <f t="shared" si="17"/>
        <v>64270.659840006454</v>
      </c>
    </row>
    <row r="121" spans="1:19" ht="12" x14ac:dyDescent="0.25">
      <c r="A121" s="49">
        <v>111</v>
      </c>
      <c r="B121" s="46" t="s">
        <v>314</v>
      </c>
      <c r="C121" s="33" t="s">
        <v>153</v>
      </c>
      <c r="D121" s="111">
        <v>539807.13780000003</v>
      </c>
      <c r="E121" s="131">
        <v>165720.79130459996</v>
      </c>
      <c r="F121" s="131">
        <v>662883.16521840019</v>
      </c>
      <c r="G121" s="131">
        <f t="shared" si="9"/>
        <v>828603.95652300015</v>
      </c>
      <c r="H121" s="254">
        <f t="shared" si="10"/>
        <v>138400</v>
      </c>
      <c r="I121" s="254">
        <v>692000</v>
      </c>
      <c r="J121" s="256">
        <f t="shared" si="11"/>
        <v>830400</v>
      </c>
      <c r="K121" s="146">
        <v>299500</v>
      </c>
      <c r="L121" s="146">
        <v>701278.53610486921</v>
      </c>
      <c r="M121" s="146">
        <v>1000778.5361048692</v>
      </c>
      <c r="N121" s="99">
        <f t="shared" si="12"/>
        <v>138400</v>
      </c>
      <c r="O121" s="73">
        <f t="shared" si="13"/>
        <v>662883.16521840019</v>
      </c>
      <c r="P121" s="73">
        <f t="shared" si="14"/>
        <v>801283.16521840019</v>
      </c>
      <c r="Q121" s="301">
        <f t="shared" si="15"/>
        <v>128712</v>
      </c>
      <c r="R121" s="301">
        <f t="shared" si="16"/>
        <v>616481.34365311218</v>
      </c>
      <c r="S121" s="300">
        <f t="shared" si="17"/>
        <v>745193.34365311218</v>
      </c>
    </row>
    <row r="122" spans="1:19" ht="12" x14ac:dyDescent="0.25">
      <c r="A122" s="49">
        <v>112</v>
      </c>
      <c r="B122" s="50" t="s">
        <v>315</v>
      </c>
      <c r="C122" s="33" t="s">
        <v>153</v>
      </c>
      <c r="D122" s="111">
        <v>229700.18084393072</v>
      </c>
      <c r="E122" s="131">
        <v>70517.95551908674</v>
      </c>
      <c r="F122" s="131">
        <v>282071.82207634696</v>
      </c>
      <c r="G122" s="131">
        <f t="shared" si="9"/>
        <v>352589.7775954337</v>
      </c>
      <c r="H122" s="254">
        <f t="shared" si="10"/>
        <v>54000</v>
      </c>
      <c r="I122" s="254">
        <v>270000</v>
      </c>
      <c r="J122" s="256">
        <f t="shared" si="11"/>
        <v>324000</v>
      </c>
      <c r="K122" s="146">
        <v>259500</v>
      </c>
      <c r="L122" s="146">
        <v>203933.16095109834</v>
      </c>
      <c r="M122" s="146">
        <v>463433.16095109831</v>
      </c>
      <c r="N122" s="99">
        <f t="shared" si="12"/>
        <v>54000</v>
      </c>
      <c r="O122" s="73">
        <f t="shared" si="13"/>
        <v>203933.16095109834</v>
      </c>
      <c r="P122" s="73">
        <f t="shared" si="14"/>
        <v>257933.16095109834</v>
      </c>
      <c r="Q122" s="301">
        <f t="shared" si="15"/>
        <v>50220</v>
      </c>
      <c r="R122" s="301">
        <f t="shared" si="16"/>
        <v>189657.83968452146</v>
      </c>
      <c r="S122" s="300">
        <f t="shared" si="17"/>
        <v>239877.83968452146</v>
      </c>
    </row>
    <row r="123" spans="1:19" ht="22.5" x14ac:dyDescent="0.25">
      <c r="A123" s="49"/>
      <c r="B123" s="30" t="s">
        <v>35</v>
      </c>
      <c r="C123" s="33"/>
      <c r="D123" s="111"/>
      <c r="E123" s="131">
        <v>0</v>
      </c>
      <c r="F123" s="131">
        <v>0</v>
      </c>
      <c r="G123" s="131">
        <f t="shared" si="9"/>
        <v>0</v>
      </c>
      <c r="H123" s="254">
        <f t="shared" si="10"/>
        <v>0</v>
      </c>
      <c r="I123" s="254"/>
      <c r="J123" s="256">
        <f t="shared" si="11"/>
        <v>0</v>
      </c>
      <c r="K123" s="146"/>
      <c r="L123" s="146"/>
      <c r="M123" s="146">
        <v>0</v>
      </c>
      <c r="N123" s="99">
        <f t="shared" si="12"/>
        <v>0</v>
      </c>
      <c r="O123" s="73">
        <f t="shared" si="13"/>
        <v>0</v>
      </c>
      <c r="P123" s="73">
        <f t="shared" si="14"/>
        <v>0</v>
      </c>
      <c r="Q123" s="301">
        <f t="shared" si="15"/>
        <v>0</v>
      </c>
      <c r="R123" s="301">
        <f t="shared" si="16"/>
        <v>0</v>
      </c>
      <c r="S123" s="300">
        <f t="shared" si="17"/>
        <v>0</v>
      </c>
    </row>
    <row r="124" spans="1:19" ht="12" x14ac:dyDescent="0.25">
      <c r="A124" s="49">
        <v>113</v>
      </c>
      <c r="B124" s="46" t="s">
        <v>30</v>
      </c>
      <c r="C124" s="33" t="s">
        <v>153</v>
      </c>
      <c r="D124" s="111">
        <v>40860.6492</v>
      </c>
      <c r="E124" s="131">
        <v>12544.219304400001</v>
      </c>
      <c r="F124" s="131">
        <v>50176.877217600006</v>
      </c>
      <c r="G124" s="131">
        <f t="shared" si="9"/>
        <v>62721.096522000007</v>
      </c>
      <c r="H124" s="254">
        <f t="shared" si="10"/>
        <v>10000</v>
      </c>
      <c r="I124" s="254">
        <v>50000</v>
      </c>
      <c r="J124" s="256">
        <f t="shared" si="11"/>
        <v>60000</v>
      </c>
      <c r="K124" s="146">
        <v>84500</v>
      </c>
      <c r="L124" s="146">
        <v>46385.074067312205</v>
      </c>
      <c r="M124" s="146">
        <v>130885.07406731221</v>
      </c>
      <c r="N124" s="99">
        <f t="shared" si="12"/>
        <v>10000</v>
      </c>
      <c r="O124" s="73">
        <f t="shared" si="13"/>
        <v>46385.074067312205</v>
      </c>
      <c r="P124" s="73">
        <f t="shared" si="14"/>
        <v>56385.074067312205</v>
      </c>
      <c r="Q124" s="301">
        <f t="shared" si="15"/>
        <v>9300</v>
      </c>
      <c r="R124" s="301">
        <f t="shared" si="16"/>
        <v>43138.118882600349</v>
      </c>
      <c r="S124" s="300">
        <f t="shared" si="17"/>
        <v>52438.118882600349</v>
      </c>
    </row>
    <row r="125" spans="1:19" ht="12" x14ac:dyDescent="0.2">
      <c r="A125" s="49">
        <v>114</v>
      </c>
      <c r="B125" s="47" t="s">
        <v>81</v>
      </c>
      <c r="C125" s="33" t="s">
        <v>153</v>
      </c>
      <c r="D125" s="111">
        <v>366713.05620713549</v>
      </c>
      <c r="E125" s="131">
        <v>112580.90825559059</v>
      </c>
      <c r="F125" s="131">
        <v>450323.63302236248</v>
      </c>
      <c r="G125" s="131">
        <f t="shared" si="9"/>
        <v>562904.54127795307</v>
      </c>
      <c r="H125" s="254">
        <f t="shared" si="10"/>
        <v>86000</v>
      </c>
      <c r="I125" s="254">
        <v>430000</v>
      </c>
      <c r="J125" s="256">
        <f t="shared" si="11"/>
        <v>516000</v>
      </c>
      <c r="K125" s="146">
        <v>164500</v>
      </c>
      <c r="L125" s="146">
        <v>325874.62002435059</v>
      </c>
      <c r="M125" s="146">
        <v>490374.62002435059</v>
      </c>
      <c r="N125" s="99">
        <f t="shared" si="12"/>
        <v>86000</v>
      </c>
      <c r="O125" s="73">
        <f t="shared" si="13"/>
        <v>325874.62002435059</v>
      </c>
      <c r="P125" s="73">
        <f t="shared" si="14"/>
        <v>411874.62002435059</v>
      </c>
      <c r="Q125" s="301">
        <f t="shared" si="15"/>
        <v>79980</v>
      </c>
      <c r="R125" s="301">
        <f t="shared" si="16"/>
        <v>303063.39662264602</v>
      </c>
      <c r="S125" s="300">
        <f t="shared" si="17"/>
        <v>383043.39662264602</v>
      </c>
    </row>
    <row r="126" spans="1:19" ht="12" x14ac:dyDescent="0.2">
      <c r="A126" s="49">
        <v>115</v>
      </c>
      <c r="B126" s="47" t="s">
        <v>82</v>
      </c>
      <c r="C126" s="33" t="s">
        <v>153</v>
      </c>
      <c r="D126" s="111">
        <v>218071.0341648644</v>
      </c>
      <c r="E126" s="131">
        <v>66947.807488613355</v>
      </c>
      <c r="F126" s="131">
        <v>267791.22995445353</v>
      </c>
      <c r="G126" s="131">
        <f t="shared" si="9"/>
        <v>334739.03744306689</v>
      </c>
      <c r="H126" s="254">
        <f t="shared" si="10"/>
        <v>54000</v>
      </c>
      <c r="I126" s="254">
        <v>270000</v>
      </c>
      <c r="J126" s="256">
        <f t="shared" si="11"/>
        <v>324000</v>
      </c>
      <c r="K126" s="146">
        <v>134500</v>
      </c>
      <c r="L126" s="146">
        <v>243583.22040672001</v>
      </c>
      <c r="M126" s="146">
        <v>378083.22040672001</v>
      </c>
      <c r="N126" s="99">
        <f t="shared" si="12"/>
        <v>54000</v>
      </c>
      <c r="O126" s="73">
        <f t="shared" si="13"/>
        <v>243583.22040672001</v>
      </c>
      <c r="P126" s="73">
        <f t="shared" si="14"/>
        <v>297583.22040672001</v>
      </c>
      <c r="Q126" s="301">
        <f t="shared" si="15"/>
        <v>50220</v>
      </c>
      <c r="R126" s="301">
        <f t="shared" si="16"/>
        <v>226532.39497824962</v>
      </c>
      <c r="S126" s="300">
        <f t="shared" si="17"/>
        <v>276752.39497824962</v>
      </c>
    </row>
    <row r="127" spans="1:19" ht="12" x14ac:dyDescent="0.2">
      <c r="A127" s="49">
        <v>116</v>
      </c>
      <c r="B127" s="47" t="s">
        <v>328</v>
      </c>
      <c r="C127" s="33" t="s">
        <v>153</v>
      </c>
      <c r="D127" s="111">
        <v>275326.73474785878</v>
      </c>
      <c r="E127" s="131">
        <v>84525.307567592652</v>
      </c>
      <c r="F127" s="131">
        <v>338101.23027037061</v>
      </c>
      <c r="G127" s="131">
        <f t="shared" si="9"/>
        <v>422626.53783796326</v>
      </c>
      <c r="H127" s="254">
        <f t="shared" si="10"/>
        <v>64000</v>
      </c>
      <c r="I127" s="254">
        <v>320000</v>
      </c>
      <c r="J127" s="256">
        <f t="shared" si="11"/>
        <v>384000</v>
      </c>
      <c r="K127" s="146">
        <v>219500</v>
      </c>
      <c r="L127" s="146">
        <v>244540.79392559431</v>
      </c>
      <c r="M127" s="146">
        <v>464040.79392559431</v>
      </c>
      <c r="N127" s="99">
        <f t="shared" si="12"/>
        <v>64000</v>
      </c>
      <c r="O127" s="73">
        <f t="shared" si="13"/>
        <v>244540.79392559431</v>
      </c>
      <c r="P127" s="73">
        <f t="shared" si="14"/>
        <v>308540.79392559431</v>
      </c>
      <c r="Q127" s="301">
        <f t="shared" si="15"/>
        <v>59520</v>
      </c>
      <c r="R127" s="301">
        <f t="shared" si="16"/>
        <v>227422.93835080269</v>
      </c>
      <c r="S127" s="300">
        <f t="shared" si="17"/>
        <v>286942.93835080269</v>
      </c>
    </row>
    <row r="128" spans="1:19" ht="12" x14ac:dyDescent="0.25">
      <c r="A128" s="49">
        <v>117</v>
      </c>
      <c r="B128" s="37" t="s">
        <v>199</v>
      </c>
      <c r="C128" s="33" t="s">
        <v>153</v>
      </c>
      <c r="D128" s="111">
        <v>88445.313600000009</v>
      </c>
      <c r="E128" s="131">
        <v>27152.711275199996</v>
      </c>
      <c r="F128" s="131">
        <v>108610.84510080003</v>
      </c>
      <c r="G128" s="131">
        <f t="shared" si="9"/>
        <v>135763.55637600002</v>
      </c>
      <c r="H128" s="254">
        <f t="shared" si="10"/>
        <v>22000</v>
      </c>
      <c r="I128" s="254">
        <v>110000</v>
      </c>
      <c r="J128" s="256">
        <f t="shared" si="11"/>
        <v>132000</v>
      </c>
      <c r="K128" s="146">
        <v>107500</v>
      </c>
      <c r="L128" s="146">
        <v>92714.622520358855</v>
      </c>
      <c r="M128" s="146">
        <v>200214.62252035885</v>
      </c>
      <c r="N128" s="99">
        <f t="shared" si="12"/>
        <v>22000</v>
      </c>
      <c r="O128" s="73">
        <f t="shared" si="13"/>
        <v>92714.622520358855</v>
      </c>
      <c r="P128" s="73">
        <f t="shared" si="14"/>
        <v>114714.62252035885</v>
      </c>
      <c r="Q128" s="301">
        <f t="shared" si="15"/>
        <v>20460</v>
      </c>
      <c r="R128" s="301">
        <f t="shared" si="16"/>
        <v>86224.598943933728</v>
      </c>
      <c r="S128" s="300">
        <f t="shared" si="17"/>
        <v>106684.59894393373</v>
      </c>
    </row>
    <row r="129" spans="1:19" ht="12" x14ac:dyDescent="0.25">
      <c r="A129" s="49">
        <v>118</v>
      </c>
      <c r="B129" s="46" t="s">
        <v>327</v>
      </c>
      <c r="C129" s="33" t="s">
        <v>153</v>
      </c>
      <c r="D129" s="111">
        <v>344029.82029944711</v>
      </c>
      <c r="E129" s="131">
        <v>105617.15483193024</v>
      </c>
      <c r="F129" s="131">
        <v>422468.61932772113</v>
      </c>
      <c r="G129" s="131">
        <f t="shared" si="9"/>
        <v>528085.77415965137</v>
      </c>
      <c r="H129" s="254">
        <f t="shared" si="10"/>
        <v>82000</v>
      </c>
      <c r="I129" s="254">
        <v>410000</v>
      </c>
      <c r="J129" s="256">
        <f t="shared" si="11"/>
        <v>492000</v>
      </c>
      <c r="K129" s="146">
        <v>184500</v>
      </c>
      <c r="L129" s="146">
        <v>305686.54006650794</v>
      </c>
      <c r="M129" s="146">
        <v>490186.54006650794</v>
      </c>
      <c r="N129" s="99">
        <f t="shared" si="12"/>
        <v>82000</v>
      </c>
      <c r="O129" s="73">
        <f t="shared" si="13"/>
        <v>305686.54006650794</v>
      </c>
      <c r="P129" s="73">
        <f t="shared" si="14"/>
        <v>387686.54006650794</v>
      </c>
      <c r="Q129" s="301">
        <f t="shared" si="15"/>
        <v>76260</v>
      </c>
      <c r="R129" s="301">
        <f t="shared" si="16"/>
        <v>284288.48226185236</v>
      </c>
      <c r="S129" s="300">
        <f t="shared" si="17"/>
        <v>360548.48226185236</v>
      </c>
    </row>
    <row r="130" spans="1:19" ht="12" x14ac:dyDescent="0.25">
      <c r="A130" s="49">
        <v>119</v>
      </c>
      <c r="B130" s="37" t="s">
        <v>200</v>
      </c>
      <c r="C130" s="33" t="s">
        <v>153</v>
      </c>
      <c r="D130" s="111">
        <v>104735.53092175152</v>
      </c>
      <c r="E130" s="131">
        <v>32153.807992977716</v>
      </c>
      <c r="F130" s="131">
        <v>128615.23197191088</v>
      </c>
      <c r="G130" s="131">
        <f t="shared" si="9"/>
        <v>160769.03996488859</v>
      </c>
      <c r="H130" s="254">
        <f t="shared" si="10"/>
        <v>24000</v>
      </c>
      <c r="I130" s="254">
        <v>120000</v>
      </c>
      <c r="J130" s="256">
        <f t="shared" si="11"/>
        <v>144000</v>
      </c>
      <c r="K130" s="146">
        <v>127500</v>
      </c>
      <c r="L130" s="146">
        <v>92714.622520358855</v>
      </c>
      <c r="M130" s="146">
        <v>220214.62252035885</v>
      </c>
      <c r="N130" s="99">
        <f t="shared" si="12"/>
        <v>24000</v>
      </c>
      <c r="O130" s="73">
        <f t="shared" si="13"/>
        <v>92714.622520358855</v>
      </c>
      <c r="P130" s="73">
        <f t="shared" si="14"/>
        <v>116714.62252035885</v>
      </c>
      <c r="Q130" s="301">
        <f t="shared" si="15"/>
        <v>22320</v>
      </c>
      <c r="R130" s="301">
        <f t="shared" si="16"/>
        <v>86224.598943933728</v>
      </c>
      <c r="S130" s="300">
        <f t="shared" si="17"/>
        <v>108544.59894393373</v>
      </c>
    </row>
    <row r="131" spans="1:19" ht="12" x14ac:dyDescent="0.25">
      <c r="A131" s="49">
        <v>120</v>
      </c>
      <c r="B131" s="46" t="s">
        <v>36</v>
      </c>
      <c r="C131" s="33" t="s">
        <v>153</v>
      </c>
      <c r="D131" s="111">
        <v>842482.13493497367</v>
      </c>
      <c r="E131" s="131">
        <v>258642.01542503689</v>
      </c>
      <c r="F131" s="131">
        <v>1034568.0617001478</v>
      </c>
      <c r="G131" s="131">
        <f t="shared" si="9"/>
        <v>1293210.0771251847</v>
      </c>
      <c r="H131" s="254">
        <f t="shared" si="10"/>
        <v>184000</v>
      </c>
      <c r="I131" s="254">
        <v>920000</v>
      </c>
      <c r="J131" s="256">
        <f t="shared" si="11"/>
        <v>1104000</v>
      </c>
      <c r="K131" s="146">
        <v>179500</v>
      </c>
      <c r="L131" s="146">
        <v>749309.10009212652</v>
      </c>
      <c r="M131" s="146">
        <v>928809.10009212652</v>
      </c>
      <c r="N131" s="99">
        <f t="shared" si="12"/>
        <v>179500</v>
      </c>
      <c r="O131" s="73">
        <f t="shared" si="13"/>
        <v>749309.10009212652</v>
      </c>
      <c r="P131" s="73">
        <f t="shared" si="14"/>
        <v>928809.10009212652</v>
      </c>
      <c r="Q131" s="301">
        <f t="shared" si="15"/>
        <v>166935</v>
      </c>
      <c r="R131" s="301">
        <f t="shared" si="16"/>
        <v>696857.46308567771</v>
      </c>
      <c r="S131" s="300">
        <f t="shared" si="17"/>
        <v>863792.46308567771</v>
      </c>
    </row>
    <row r="132" spans="1:19" ht="12" x14ac:dyDescent="0.25">
      <c r="A132" s="49">
        <v>121</v>
      </c>
      <c r="B132" s="35" t="s">
        <v>201</v>
      </c>
      <c r="C132" s="33" t="s">
        <v>153</v>
      </c>
      <c r="D132" s="111">
        <v>396972.50379044726</v>
      </c>
      <c r="E132" s="131">
        <v>121870.5586636673</v>
      </c>
      <c r="F132" s="131">
        <v>487482.2346546693</v>
      </c>
      <c r="G132" s="131">
        <f t="shared" si="9"/>
        <v>609352.7933183366</v>
      </c>
      <c r="H132" s="254">
        <f t="shared" si="10"/>
        <v>94000</v>
      </c>
      <c r="I132" s="254">
        <v>470000</v>
      </c>
      <c r="J132" s="256">
        <f t="shared" si="11"/>
        <v>564000</v>
      </c>
      <c r="K132" s="146">
        <v>279500</v>
      </c>
      <c r="L132" s="146">
        <v>352805.52837349806</v>
      </c>
      <c r="M132" s="146">
        <v>632305.528373498</v>
      </c>
      <c r="N132" s="99">
        <f t="shared" si="12"/>
        <v>94000</v>
      </c>
      <c r="O132" s="73">
        <f t="shared" si="13"/>
        <v>352805.52837349806</v>
      </c>
      <c r="P132" s="73">
        <f t="shared" si="14"/>
        <v>446805.52837349806</v>
      </c>
      <c r="Q132" s="301">
        <f t="shared" si="15"/>
        <v>87420</v>
      </c>
      <c r="R132" s="301">
        <f t="shared" si="16"/>
        <v>328109.14138735319</v>
      </c>
      <c r="S132" s="300">
        <f t="shared" si="17"/>
        <v>415529.14138735319</v>
      </c>
    </row>
    <row r="133" spans="1:19" ht="12" x14ac:dyDescent="0.25">
      <c r="A133" s="49">
        <v>122</v>
      </c>
      <c r="B133" s="46" t="s">
        <v>316</v>
      </c>
      <c r="C133" s="33" t="s">
        <v>153</v>
      </c>
      <c r="D133" s="111">
        <v>191816.625</v>
      </c>
      <c r="E133" s="131">
        <v>58887.703875000007</v>
      </c>
      <c r="F133" s="131">
        <v>235550.81550000003</v>
      </c>
      <c r="G133" s="131">
        <f t="shared" si="9"/>
        <v>294438.51937500003</v>
      </c>
      <c r="H133" s="254">
        <f t="shared" si="10"/>
        <v>48000</v>
      </c>
      <c r="I133" s="254">
        <v>240000</v>
      </c>
      <c r="J133" s="256">
        <f t="shared" si="11"/>
        <v>288000</v>
      </c>
      <c r="K133" s="146">
        <v>184500</v>
      </c>
      <c r="L133" s="146">
        <v>211727.47596434108</v>
      </c>
      <c r="M133" s="146">
        <v>396227.47596434108</v>
      </c>
      <c r="N133" s="99">
        <f t="shared" si="12"/>
        <v>48000</v>
      </c>
      <c r="O133" s="73">
        <f t="shared" si="13"/>
        <v>211727.47596434108</v>
      </c>
      <c r="P133" s="73">
        <f t="shared" si="14"/>
        <v>259727.47596434108</v>
      </c>
      <c r="Q133" s="301">
        <f t="shared" si="15"/>
        <v>44640</v>
      </c>
      <c r="R133" s="301">
        <f t="shared" si="16"/>
        <v>196906.5526468372</v>
      </c>
      <c r="S133" s="300">
        <f t="shared" si="17"/>
        <v>241546.5526468372</v>
      </c>
    </row>
    <row r="134" spans="1:19" ht="12" x14ac:dyDescent="0.25">
      <c r="A134" s="49">
        <v>123</v>
      </c>
      <c r="B134" s="37" t="s">
        <v>202</v>
      </c>
      <c r="C134" s="33" t="s">
        <v>153</v>
      </c>
      <c r="D134" s="111">
        <v>128370.69</v>
      </c>
      <c r="E134" s="131">
        <v>39409.801829999982</v>
      </c>
      <c r="F134" s="131">
        <v>157639.20732000005</v>
      </c>
      <c r="G134" s="131">
        <f t="shared" ref="G134:G197" si="18">F134+E134</f>
        <v>197049.00915000003</v>
      </c>
      <c r="H134" s="254">
        <f t="shared" ref="H134:H197" si="19">+I134*20%</f>
        <v>32000</v>
      </c>
      <c r="I134" s="254">
        <v>160000</v>
      </c>
      <c r="J134" s="256">
        <f t="shared" ref="J134:J197" si="20">+I134+H134</f>
        <v>192000</v>
      </c>
      <c r="K134" s="146">
        <v>134500</v>
      </c>
      <c r="L134" s="146">
        <v>163053.0901207001</v>
      </c>
      <c r="M134" s="146">
        <v>297553.09012070007</v>
      </c>
      <c r="N134" s="99">
        <f t="shared" ref="N134:N197" si="21">MIN(E134,H134,K134)</f>
        <v>32000</v>
      </c>
      <c r="O134" s="73">
        <f t="shared" ref="O134:O197" si="22">MIN(F134,I134,L134)</f>
        <v>157639.20732000005</v>
      </c>
      <c r="P134" s="73">
        <f t="shared" ref="P134:P197" si="23">O134+N134</f>
        <v>189639.20732000005</v>
      </c>
      <c r="Q134" s="301">
        <f t="shared" ref="Q134:Q197" si="24">N134-(N134*7%)</f>
        <v>29760</v>
      </c>
      <c r="R134" s="301">
        <f t="shared" ref="R134:R197" si="25">O134-(O134*7%)</f>
        <v>146604.46280760004</v>
      </c>
      <c r="S134" s="300">
        <f t="shared" ref="S134:S197" si="26">R134+Q134</f>
        <v>176364.46280760004</v>
      </c>
    </row>
    <row r="135" spans="1:19" ht="12" x14ac:dyDescent="0.25">
      <c r="A135" s="49">
        <v>124</v>
      </c>
      <c r="B135" s="37" t="s">
        <v>271</v>
      </c>
      <c r="C135" s="33" t="s">
        <v>153</v>
      </c>
      <c r="D135" s="111">
        <v>245442.23284000001</v>
      </c>
      <c r="E135" s="131">
        <v>75350.765481879993</v>
      </c>
      <c r="F135" s="131">
        <v>301403.06192752009</v>
      </c>
      <c r="G135" s="131">
        <f t="shared" si="18"/>
        <v>376753.82740940008</v>
      </c>
      <c r="H135" s="254">
        <f t="shared" si="19"/>
        <v>62000</v>
      </c>
      <c r="I135" s="254">
        <v>310000</v>
      </c>
      <c r="J135" s="256">
        <f t="shared" si="20"/>
        <v>372000</v>
      </c>
      <c r="K135" s="146">
        <v>164500</v>
      </c>
      <c r="L135" s="146">
        <v>248700</v>
      </c>
      <c r="M135" s="146">
        <v>413200</v>
      </c>
      <c r="N135" s="99">
        <f t="shared" si="21"/>
        <v>62000</v>
      </c>
      <c r="O135" s="73">
        <f t="shared" si="22"/>
        <v>248700</v>
      </c>
      <c r="P135" s="73">
        <f t="shared" si="23"/>
        <v>310700</v>
      </c>
      <c r="Q135" s="301">
        <f t="shared" si="24"/>
        <v>57660</v>
      </c>
      <c r="R135" s="301">
        <f t="shared" si="25"/>
        <v>231291</v>
      </c>
      <c r="S135" s="300">
        <f t="shared" si="26"/>
        <v>288951</v>
      </c>
    </row>
    <row r="136" spans="1:19" ht="12" x14ac:dyDescent="0.25">
      <c r="A136" s="49">
        <v>125</v>
      </c>
      <c r="B136" s="37" t="s">
        <v>203</v>
      </c>
      <c r="C136" s="33" t="s">
        <v>153</v>
      </c>
      <c r="D136" s="111">
        <v>137449.23360000001</v>
      </c>
      <c r="E136" s="131">
        <v>42196.914715199993</v>
      </c>
      <c r="F136" s="131">
        <v>168787.65886080003</v>
      </c>
      <c r="G136" s="131">
        <f t="shared" si="18"/>
        <v>210984.57357600002</v>
      </c>
      <c r="H136" s="254">
        <f t="shared" si="19"/>
        <v>34000</v>
      </c>
      <c r="I136" s="254">
        <v>170000</v>
      </c>
      <c r="J136" s="256">
        <f t="shared" si="20"/>
        <v>204000</v>
      </c>
      <c r="K136" s="146">
        <v>144500</v>
      </c>
      <c r="L136" s="146">
        <v>174884.20515661518</v>
      </c>
      <c r="M136" s="146">
        <v>319384.20515661518</v>
      </c>
      <c r="N136" s="99">
        <f t="shared" si="21"/>
        <v>34000</v>
      </c>
      <c r="O136" s="73">
        <f t="shared" si="22"/>
        <v>168787.65886080003</v>
      </c>
      <c r="P136" s="73">
        <f t="shared" si="23"/>
        <v>202787.65886080003</v>
      </c>
      <c r="Q136" s="301">
        <f t="shared" si="24"/>
        <v>31620</v>
      </c>
      <c r="R136" s="301">
        <f t="shared" si="25"/>
        <v>156972.52274054402</v>
      </c>
      <c r="S136" s="300">
        <f t="shared" si="26"/>
        <v>188592.52274054402</v>
      </c>
    </row>
    <row r="137" spans="1:19" ht="12" x14ac:dyDescent="0.25">
      <c r="A137" s="49">
        <v>126</v>
      </c>
      <c r="B137" s="35" t="s">
        <v>204</v>
      </c>
      <c r="C137" s="33" t="s">
        <v>153</v>
      </c>
      <c r="D137" s="111">
        <v>159495</v>
      </c>
      <c r="E137" s="131">
        <v>48964.964999999997</v>
      </c>
      <c r="F137" s="131">
        <v>195859.86000000002</v>
      </c>
      <c r="G137" s="131">
        <f t="shared" si="18"/>
        <v>244824.82500000001</v>
      </c>
      <c r="H137" s="254">
        <f t="shared" si="19"/>
        <v>40000</v>
      </c>
      <c r="I137" s="254">
        <v>200000</v>
      </c>
      <c r="J137" s="256">
        <f t="shared" si="20"/>
        <v>240000</v>
      </c>
      <c r="K137" s="146">
        <v>144500</v>
      </c>
      <c r="L137" s="146">
        <v>257600</v>
      </c>
      <c r="M137" s="146">
        <v>402100</v>
      </c>
      <c r="N137" s="99">
        <f t="shared" si="21"/>
        <v>40000</v>
      </c>
      <c r="O137" s="73">
        <f t="shared" si="22"/>
        <v>195859.86000000002</v>
      </c>
      <c r="P137" s="73">
        <f t="shared" si="23"/>
        <v>235859.86000000002</v>
      </c>
      <c r="Q137" s="301">
        <f t="shared" si="24"/>
        <v>37200</v>
      </c>
      <c r="R137" s="301">
        <f t="shared" si="25"/>
        <v>182149.6698</v>
      </c>
      <c r="S137" s="300">
        <f t="shared" si="26"/>
        <v>219349.6698</v>
      </c>
    </row>
    <row r="138" spans="1:19" ht="12" x14ac:dyDescent="0.25">
      <c r="A138" s="49">
        <v>127</v>
      </c>
      <c r="B138" s="35" t="s">
        <v>206</v>
      </c>
      <c r="C138" s="33" t="s">
        <v>153</v>
      </c>
      <c r="D138" s="111">
        <v>127418.16919999999</v>
      </c>
      <c r="E138" s="131">
        <v>39117.377944399981</v>
      </c>
      <c r="F138" s="131">
        <v>156469.51177760001</v>
      </c>
      <c r="G138" s="131">
        <f t="shared" si="18"/>
        <v>195586.88972199999</v>
      </c>
      <c r="H138" s="254">
        <f t="shared" si="19"/>
        <v>32000</v>
      </c>
      <c r="I138" s="254">
        <v>160000</v>
      </c>
      <c r="J138" s="256">
        <f t="shared" si="20"/>
        <v>192000</v>
      </c>
      <c r="K138" s="146">
        <v>134500</v>
      </c>
      <c r="L138" s="146">
        <v>151357.72300256786</v>
      </c>
      <c r="M138" s="146">
        <v>285857.72300256789</v>
      </c>
      <c r="N138" s="99">
        <f t="shared" si="21"/>
        <v>32000</v>
      </c>
      <c r="O138" s="73">
        <f t="shared" si="22"/>
        <v>151357.72300256786</v>
      </c>
      <c r="P138" s="73">
        <f t="shared" si="23"/>
        <v>183357.72300256786</v>
      </c>
      <c r="Q138" s="301">
        <f t="shared" si="24"/>
        <v>29760</v>
      </c>
      <c r="R138" s="301">
        <f t="shared" si="25"/>
        <v>140762.68239238812</v>
      </c>
      <c r="S138" s="300">
        <f t="shared" si="26"/>
        <v>170522.68239238812</v>
      </c>
    </row>
    <row r="139" spans="1:19" ht="12" x14ac:dyDescent="0.25">
      <c r="A139" s="49">
        <v>128</v>
      </c>
      <c r="B139" s="35" t="s">
        <v>205</v>
      </c>
      <c r="C139" s="33" t="s">
        <v>153</v>
      </c>
      <c r="D139" s="111">
        <v>170000</v>
      </c>
      <c r="E139" s="131">
        <v>52190</v>
      </c>
      <c r="F139" s="131">
        <v>208760.00000000003</v>
      </c>
      <c r="G139" s="131">
        <f t="shared" si="18"/>
        <v>260950.00000000003</v>
      </c>
      <c r="H139" s="254">
        <f t="shared" si="19"/>
        <v>40000</v>
      </c>
      <c r="I139" s="254">
        <v>200000</v>
      </c>
      <c r="J139" s="256">
        <f t="shared" si="20"/>
        <v>240000</v>
      </c>
      <c r="K139" s="146">
        <v>164500</v>
      </c>
      <c r="L139" s="146">
        <v>150800</v>
      </c>
      <c r="M139" s="146">
        <v>315300</v>
      </c>
      <c r="N139" s="99">
        <f t="shared" si="21"/>
        <v>40000</v>
      </c>
      <c r="O139" s="73">
        <f t="shared" si="22"/>
        <v>150800</v>
      </c>
      <c r="P139" s="73">
        <f t="shared" si="23"/>
        <v>190800</v>
      </c>
      <c r="Q139" s="301">
        <f t="shared" si="24"/>
        <v>37200</v>
      </c>
      <c r="R139" s="301">
        <f t="shared" si="25"/>
        <v>140244</v>
      </c>
      <c r="S139" s="300">
        <f t="shared" si="26"/>
        <v>177444</v>
      </c>
    </row>
    <row r="140" spans="1:19" ht="12" x14ac:dyDescent="0.25">
      <c r="A140" s="49">
        <v>129</v>
      </c>
      <c r="B140" s="46" t="s">
        <v>37</v>
      </c>
      <c r="C140" s="33" t="s">
        <v>153</v>
      </c>
      <c r="D140" s="111">
        <v>100501.46338773414</v>
      </c>
      <c r="E140" s="131">
        <v>30853.94926003438</v>
      </c>
      <c r="F140" s="131">
        <v>123415.79704013754</v>
      </c>
      <c r="G140" s="131">
        <f t="shared" si="18"/>
        <v>154269.74630017192</v>
      </c>
      <c r="H140" s="254">
        <f t="shared" si="19"/>
        <v>238000</v>
      </c>
      <c r="I140" s="254">
        <v>1190000</v>
      </c>
      <c r="J140" s="256">
        <f t="shared" si="20"/>
        <v>1428000</v>
      </c>
      <c r="K140" s="146">
        <v>144500</v>
      </c>
      <c r="L140" s="146">
        <v>88946.302415083381</v>
      </c>
      <c r="M140" s="146">
        <v>233446.3024150834</v>
      </c>
      <c r="N140" s="99">
        <f t="shared" si="21"/>
        <v>30853.94926003438</v>
      </c>
      <c r="O140" s="73">
        <f t="shared" si="22"/>
        <v>88946.302415083381</v>
      </c>
      <c r="P140" s="73">
        <f t="shared" si="23"/>
        <v>119800.25167511776</v>
      </c>
      <c r="Q140" s="301">
        <f t="shared" si="24"/>
        <v>28694.172811831973</v>
      </c>
      <c r="R140" s="301">
        <f t="shared" si="25"/>
        <v>82720.061246027544</v>
      </c>
      <c r="S140" s="300">
        <f t="shared" si="26"/>
        <v>111414.23405785952</v>
      </c>
    </row>
    <row r="141" spans="1:19" ht="12" x14ac:dyDescent="0.25">
      <c r="A141" s="49">
        <v>130</v>
      </c>
      <c r="B141" s="46" t="s">
        <v>337</v>
      </c>
      <c r="C141" s="33" t="s">
        <v>153</v>
      </c>
      <c r="D141" s="111">
        <v>313964.20688296657</v>
      </c>
      <c r="E141" s="131">
        <v>96387.011513070727</v>
      </c>
      <c r="F141" s="131">
        <v>385548.04605228297</v>
      </c>
      <c r="G141" s="131">
        <f t="shared" si="18"/>
        <v>481935.05756535369</v>
      </c>
      <c r="H141" s="254">
        <f t="shared" si="19"/>
        <v>74000</v>
      </c>
      <c r="I141" s="254">
        <v>370000</v>
      </c>
      <c r="J141" s="256">
        <f t="shared" si="20"/>
        <v>444000</v>
      </c>
      <c r="K141" s="146">
        <v>184500</v>
      </c>
      <c r="L141" s="146">
        <v>278928.14412584028</v>
      </c>
      <c r="M141" s="146">
        <v>463428.14412584028</v>
      </c>
      <c r="N141" s="99">
        <f t="shared" si="21"/>
        <v>74000</v>
      </c>
      <c r="O141" s="73">
        <f t="shared" si="22"/>
        <v>278928.14412584028</v>
      </c>
      <c r="P141" s="73">
        <f t="shared" si="23"/>
        <v>352928.14412584028</v>
      </c>
      <c r="Q141" s="301">
        <f t="shared" si="24"/>
        <v>68820</v>
      </c>
      <c r="R141" s="301">
        <f t="shared" si="25"/>
        <v>259403.17403703145</v>
      </c>
      <c r="S141" s="300">
        <f t="shared" si="26"/>
        <v>328223.17403703148</v>
      </c>
    </row>
    <row r="142" spans="1:19" ht="12" x14ac:dyDescent="0.25">
      <c r="A142" s="49">
        <v>131</v>
      </c>
      <c r="B142" s="38" t="s">
        <v>207</v>
      </c>
      <c r="C142" s="33" t="s">
        <v>153</v>
      </c>
      <c r="D142" s="111">
        <v>62916</v>
      </c>
      <c r="E142" s="131">
        <v>19315.212</v>
      </c>
      <c r="F142" s="131">
        <v>77260.848000000013</v>
      </c>
      <c r="G142" s="131">
        <f t="shared" si="18"/>
        <v>96576.060000000012</v>
      </c>
      <c r="H142" s="254">
        <f t="shared" si="19"/>
        <v>16000</v>
      </c>
      <c r="I142" s="254">
        <v>80000</v>
      </c>
      <c r="J142" s="256">
        <f t="shared" si="20"/>
        <v>96000</v>
      </c>
      <c r="K142" s="146">
        <v>164500</v>
      </c>
      <c r="L142" s="146">
        <v>66270.28622749311</v>
      </c>
      <c r="M142" s="146">
        <v>230770.28622749311</v>
      </c>
      <c r="N142" s="99">
        <f t="shared" si="21"/>
        <v>16000</v>
      </c>
      <c r="O142" s="73">
        <f t="shared" si="22"/>
        <v>66270.28622749311</v>
      </c>
      <c r="P142" s="73">
        <f t="shared" si="23"/>
        <v>82270.28622749311</v>
      </c>
      <c r="Q142" s="301">
        <f t="shared" si="24"/>
        <v>14880</v>
      </c>
      <c r="R142" s="301">
        <f t="shared" si="25"/>
        <v>61631.366191568595</v>
      </c>
      <c r="S142" s="300">
        <f t="shared" si="26"/>
        <v>76511.366191568595</v>
      </c>
    </row>
    <row r="143" spans="1:19" ht="12" x14ac:dyDescent="0.25">
      <c r="A143" s="49">
        <v>132</v>
      </c>
      <c r="B143" s="38" t="s">
        <v>317</v>
      </c>
      <c r="C143" s="33" t="s">
        <v>153</v>
      </c>
      <c r="D143" s="111">
        <v>680000</v>
      </c>
      <c r="E143" s="131">
        <v>208760</v>
      </c>
      <c r="F143" s="131">
        <v>835040.00000000012</v>
      </c>
      <c r="G143" s="131">
        <f t="shared" si="18"/>
        <v>1043800.0000000001</v>
      </c>
      <c r="H143" s="254">
        <f t="shared" si="19"/>
        <v>152000</v>
      </c>
      <c r="I143" s="254">
        <v>760000</v>
      </c>
      <c r="J143" s="256">
        <f t="shared" si="20"/>
        <v>912000</v>
      </c>
      <c r="K143" s="146">
        <v>164500</v>
      </c>
      <c r="L143" s="146">
        <v>604700</v>
      </c>
      <c r="M143" s="146">
        <v>769200</v>
      </c>
      <c r="N143" s="99">
        <f t="shared" si="21"/>
        <v>152000</v>
      </c>
      <c r="O143" s="73">
        <f t="shared" si="22"/>
        <v>604700</v>
      </c>
      <c r="P143" s="73">
        <f t="shared" si="23"/>
        <v>756700</v>
      </c>
      <c r="Q143" s="301">
        <f t="shared" si="24"/>
        <v>141360</v>
      </c>
      <c r="R143" s="301">
        <f t="shared" si="25"/>
        <v>562371</v>
      </c>
      <c r="S143" s="300">
        <f t="shared" si="26"/>
        <v>703731</v>
      </c>
    </row>
    <row r="144" spans="1:19" ht="12" x14ac:dyDescent="0.25">
      <c r="A144" s="49">
        <v>133</v>
      </c>
      <c r="B144" s="38" t="s">
        <v>318</v>
      </c>
      <c r="C144" s="33" t="s">
        <v>153</v>
      </c>
      <c r="D144" s="111">
        <v>245347.16500000001</v>
      </c>
      <c r="E144" s="131">
        <v>75321.579655000009</v>
      </c>
      <c r="F144" s="131">
        <v>301286.31862000003</v>
      </c>
      <c r="G144" s="131">
        <f t="shared" si="18"/>
        <v>376607.89827500004</v>
      </c>
      <c r="H144" s="254">
        <f t="shared" si="19"/>
        <v>62800</v>
      </c>
      <c r="I144" s="254">
        <v>314000</v>
      </c>
      <c r="J144" s="256">
        <f t="shared" si="20"/>
        <v>376800</v>
      </c>
      <c r="K144" s="146">
        <v>164500</v>
      </c>
      <c r="L144" s="146">
        <v>302100</v>
      </c>
      <c r="M144" s="146">
        <v>466600</v>
      </c>
      <c r="N144" s="99">
        <f t="shared" si="21"/>
        <v>62800</v>
      </c>
      <c r="O144" s="73">
        <f t="shared" si="22"/>
        <v>301286.31862000003</v>
      </c>
      <c r="P144" s="73">
        <f t="shared" si="23"/>
        <v>364086.31862000003</v>
      </c>
      <c r="Q144" s="301">
        <f t="shared" si="24"/>
        <v>58404</v>
      </c>
      <c r="R144" s="301">
        <f t="shared" si="25"/>
        <v>280196.27631660004</v>
      </c>
      <c r="S144" s="300">
        <f t="shared" si="26"/>
        <v>338600.27631660004</v>
      </c>
    </row>
    <row r="145" spans="1:19" ht="12" x14ac:dyDescent="0.25">
      <c r="A145" s="49">
        <v>134</v>
      </c>
      <c r="B145" s="38" t="s">
        <v>329</v>
      </c>
      <c r="C145" s="33" t="s">
        <v>153</v>
      </c>
      <c r="D145" s="111">
        <v>1350000</v>
      </c>
      <c r="E145" s="131">
        <v>414450</v>
      </c>
      <c r="F145" s="131">
        <v>1657800.0000000002</v>
      </c>
      <c r="G145" s="131">
        <f t="shared" si="18"/>
        <v>2072250.0000000002</v>
      </c>
      <c r="H145" s="254">
        <f t="shared" si="19"/>
        <v>316000</v>
      </c>
      <c r="I145" s="254">
        <v>1580000</v>
      </c>
      <c r="J145" s="256">
        <f t="shared" si="20"/>
        <v>1896000</v>
      </c>
      <c r="K145" s="146">
        <v>379500</v>
      </c>
      <c r="L145" s="146">
        <v>1201000</v>
      </c>
      <c r="M145" s="146">
        <v>1580500</v>
      </c>
      <c r="N145" s="99">
        <f t="shared" si="21"/>
        <v>316000</v>
      </c>
      <c r="O145" s="73">
        <f t="shared" si="22"/>
        <v>1201000</v>
      </c>
      <c r="P145" s="73">
        <f t="shared" si="23"/>
        <v>1517000</v>
      </c>
      <c r="Q145" s="301">
        <f t="shared" si="24"/>
        <v>293880</v>
      </c>
      <c r="R145" s="301">
        <f t="shared" si="25"/>
        <v>1116930</v>
      </c>
      <c r="S145" s="300">
        <f t="shared" si="26"/>
        <v>1410810</v>
      </c>
    </row>
    <row r="146" spans="1:19" ht="22.5" x14ac:dyDescent="0.25">
      <c r="A146" s="49"/>
      <c r="B146" s="30" t="s">
        <v>39</v>
      </c>
      <c r="C146" s="33"/>
      <c r="D146" s="111"/>
      <c r="E146" s="131">
        <v>0</v>
      </c>
      <c r="F146" s="131">
        <v>0</v>
      </c>
      <c r="G146" s="131">
        <f t="shared" si="18"/>
        <v>0</v>
      </c>
      <c r="H146" s="254">
        <f t="shared" si="19"/>
        <v>0</v>
      </c>
      <c r="I146" s="254"/>
      <c r="J146" s="256">
        <f t="shared" si="20"/>
        <v>0</v>
      </c>
      <c r="K146" s="146"/>
      <c r="L146" s="146"/>
      <c r="M146" s="146">
        <v>0</v>
      </c>
      <c r="N146" s="99">
        <f t="shared" si="21"/>
        <v>0</v>
      </c>
      <c r="O146" s="73">
        <f t="shared" si="22"/>
        <v>0</v>
      </c>
      <c r="P146" s="73">
        <f t="shared" si="23"/>
        <v>0</v>
      </c>
      <c r="Q146" s="301">
        <f t="shared" si="24"/>
        <v>0</v>
      </c>
      <c r="R146" s="301">
        <f t="shared" si="25"/>
        <v>0</v>
      </c>
      <c r="S146" s="300">
        <f t="shared" si="26"/>
        <v>0</v>
      </c>
    </row>
    <row r="147" spans="1:19" ht="12" x14ac:dyDescent="0.25">
      <c r="A147" s="49">
        <v>135</v>
      </c>
      <c r="B147" s="46" t="s">
        <v>40</v>
      </c>
      <c r="C147" s="33" t="s">
        <v>153</v>
      </c>
      <c r="D147" s="111">
        <v>1292951.0569135526</v>
      </c>
      <c r="E147" s="131">
        <v>396935.97447246057</v>
      </c>
      <c r="F147" s="131">
        <v>1587743.8978898427</v>
      </c>
      <c r="G147" s="131">
        <f t="shared" si="18"/>
        <v>1984679.8723623033</v>
      </c>
      <c r="H147" s="254">
        <f t="shared" si="19"/>
        <v>302000</v>
      </c>
      <c r="I147" s="254">
        <v>1510000</v>
      </c>
      <c r="J147" s="256">
        <f t="shared" si="20"/>
        <v>1812000</v>
      </c>
      <c r="K147" s="146">
        <v>249500</v>
      </c>
      <c r="L147" s="146">
        <v>1449240.4079964708</v>
      </c>
      <c r="M147" s="146">
        <v>1698740.4079964708</v>
      </c>
      <c r="N147" s="99">
        <f t="shared" si="21"/>
        <v>249500</v>
      </c>
      <c r="O147" s="73">
        <f t="shared" si="22"/>
        <v>1449240.4079964708</v>
      </c>
      <c r="P147" s="73">
        <f t="shared" si="23"/>
        <v>1698740.4079964708</v>
      </c>
      <c r="Q147" s="301">
        <f t="shared" si="24"/>
        <v>232035</v>
      </c>
      <c r="R147" s="301">
        <f t="shared" si="25"/>
        <v>1347793.5794367178</v>
      </c>
      <c r="S147" s="300">
        <f t="shared" si="26"/>
        <v>1579828.5794367178</v>
      </c>
    </row>
    <row r="148" spans="1:19" ht="22.5" x14ac:dyDescent="0.25">
      <c r="A148" s="49">
        <v>136</v>
      </c>
      <c r="B148" s="46" t="s">
        <v>209</v>
      </c>
      <c r="C148" s="33" t="s">
        <v>153</v>
      </c>
      <c r="D148" s="111">
        <v>637835.16579999996</v>
      </c>
      <c r="E148" s="131">
        <v>195815.39590060001</v>
      </c>
      <c r="F148" s="131">
        <v>783261.58360240003</v>
      </c>
      <c r="G148" s="131">
        <f t="shared" si="18"/>
        <v>979076.97950300004</v>
      </c>
      <c r="H148" s="254">
        <f t="shared" si="19"/>
        <v>160000</v>
      </c>
      <c r="I148" s="254">
        <v>800000</v>
      </c>
      <c r="J148" s="256">
        <f t="shared" si="20"/>
        <v>960000</v>
      </c>
      <c r="K148" s="146">
        <v>249500</v>
      </c>
      <c r="L148" s="146">
        <v>613128.99461291661</v>
      </c>
      <c r="M148" s="146">
        <v>862628.99461291661</v>
      </c>
      <c r="N148" s="99">
        <f t="shared" si="21"/>
        <v>160000</v>
      </c>
      <c r="O148" s="73">
        <f t="shared" si="22"/>
        <v>613128.99461291661</v>
      </c>
      <c r="P148" s="73">
        <f t="shared" si="23"/>
        <v>773128.99461291661</v>
      </c>
      <c r="Q148" s="301">
        <f t="shared" si="24"/>
        <v>148800</v>
      </c>
      <c r="R148" s="301">
        <f t="shared" si="25"/>
        <v>570209.96499001246</v>
      </c>
      <c r="S148" s="300">
        <f t="shared" si="26"/>
        <v>719009.96499001246</v>
      </c>
    </row>
    <row r="149" spans="1:19" ht="12" x14ac:dyDescent="0.25">
      <c r="A149" s="49">
        <v>137</v>
      </c>
      <c r="B149" s="32" t="s">
        <v>208</v>
      </c>
      <c r="C149" s="33" t="s">
        <v>153</v>
      </c>
      <c r="D149" s="111">
        <v>159619.9712628719</v>
      </c>
      <c r="E149" s="131">
        <v>49003.331177701679</v>
      </c>
      <c r="F149" s="131">
        <v>196013.32471080672</v>
      </c>
      <c r="G149" s="131">
        <f t="shared" si="18"/>
        <v>245016.65588850839</v>
      </c>
      <c r="H149" s="254">
        <f t="shared" si="19"/>
        <v>38000</v>
      </c>
      <c r="I149" s="254">
        <v>190000</v>
      </c>
      <c r="J149" s="256">
        <f t="shared" si="20"/>
        <v>228000</v>
      </c>
      <c r="K149" s="146">
        <v>224500</v>
      </c>
      <c r="L149" s="146">
        <v>141561.774423956</v>
      </c>
      <c r="M149" s="146">
        <v>366061.774423956</v>
      </c>
      <c r="N149" s="99">
        <f t="shared" si="21"/>
        <v>38000</v>
      </c>
      <c r="O149" s="73">
        <f t="shared" si="22"/>
        <v>141561.774423956</v>
      </c>
      <c r="P149" s="73">
        <f t="shared" si="23"/>
        <v>179561.774423956</v>
      </c>
      <c r="Q149" s="301">
        <f t="shared" si="24"/>
        <v>35340</v>
      </c>
      <c r="R149" s="301">
        <f t="shared" si="25"/>
        <v>131652.45021427909</v>
      </c>
      <c r="S149" s="300">
        <f t="shared" si="26"/>
        <v>166992.45021427909</v>
      </c>
    </row>
    <row r="150" spans="1:19" ht="12" x14ac:dyDescent="0.25">
      <c r="A150" s="49">
        <v>138</v>
      </c>
      <c r="B150" s="46" t="s">
        <v>41</v>
      </c>
      <c r="C150" s="33" t="s">
        <v>153</v>
      </c>
      <c r="D150" s="111">
        <v>1323260.5330000001</v>
      </c>
      <c r="E150" s="131">
        <v>406240.98363099992</v>
      </c>
      <c r="F150" s="131">
        <v>1624963.9345240004</v>
      </c>
      <c r="G150" s="131">
        <f t="shared" si="18"/>
        <v>2031204.9181550003</v>
      </c>
      <c r="H150" s="254">
        <f t="shared" si="19"/>
        <v>300000</v>
      </c>
      <c r="I150" s="254">
        <v>1500000</v>
      </c>
      <c r="J150" s="256">
        <f t="shared" si="20"/>
        <v>1800000</v>
      </c>
      <c r="K150" s="146">
        <v>249500</v>
      </c>
      <c r="L150" s="146">
        <v>1451145.088083192</v>
      </c>
      <c r="M150" s="146">
        <v>1700645.088083192</v>
      </c>
      <c r="N150" s="99">
        <f t="shared" si="21"/>
        <v>249500</v>
      </c>
      <c r="O150" s="73">
        <f t="shared" si="22"/>
        <v>1451145.088083192</v>
      </c>
      <c r="P150" s="73">
        <f t="shared" si="23"/>
        <v>1700645.088083192</v>
      </c>
      <c r="Q150" s="301">
        <f t="shared" si="24"/>
        <v>232035</v>
      </c>
      <c r="R150" s="301">
        <f t="shared" si="25"/>
        <v>1349564.9319173684</v>
      </c>
      <c r="S150" s="300">
        <f t="shared" si="26"/>
        <v>1581599.9319173684</v>
      </c>
    </row>
    <row r="151" spans="1:19" ht="12" x14ac:dyDescent="0.25">
      <c r="A151" s="49">
        <v>139</v>
      </c>
      <c r="B151" s="46" t="s">
        <v>210</v>
      </c>
      <c r="C151" s="33" t="s">
        <v>153</v>
      </c>
      <c r="D151" s="111">
        <v>637253.15359999996</v>
      </c>
      <c r="E151" s="131">
        <v>195636.71815520001</v>
      </c>
      <c r="F151" s="131">
        <v>782546.87262080004</v>
      </c>
      <c r="G151" s="131">
        <f t="shared" si="18"/>
        <v>978183.59077600006</v>
      </c>
      <c r="H151" s="254">
        <f t="shared" si="19"/>
        <v>160000</v>
      </c>
      <c r="I151" s="254">
        <v>800000</v>
      </c>
      <c r="J151" s="256">
        <f t="shared" si="20"/>
        <v>960000</v>
      </c>
      <c r="K151" s="146">
        <v>249500</v>
      </c>
      <c r="L151" s="146">
        <v>613128.99461291661</v>
      </c>
      <c r="M151" s="146">
        <v>862628.99461291661</v>
      </c>
      <c r="N151" s="99">
        <f t="shared" si="21"/>
        <v>160000</v>
      </c>
      <c r="O151" s="73">
        <f t="shared" si="22"/>
        <v>613128.99461291661</v>
      </c>
      <c r="P151" s="73">
        <f t="shared" si="23"/>
        <v>773128.99461291661</v>
      </c>
      <c r="Q151" s="301">
        <f t="shared" si="24"/>
        <v>148800</v>
      </c>
      <c r="R151" s="301">
        <f t="shared" si="25"/>
        <v>570209.96499001246</v>
      </c>
      <c r="S151" s="300">
        <f t="shared" si="26"/>
        <v>719009.96499001246</v>
      </c>
    </row>
    <row r="152" spans="1:19" ht="12" x14ac:dyDescent="0.25">
      <c r="A152" s="49">
        <v>140</v>
      </c>
      <c r="B152" s="32" t="s">
        <v>212</v>
      </c>
      <c r="C152" s="33" t="s">
        <v>153</v>
      </c>
      <c r="D152" s="111">
        <v>201719.91999942172</v>
      </c>
      <c r="E152" s="131">
        <v>61928.015439822455</v>
      </c>
      <c r="F152" s="131">
        <v>247712.06175928994</v>
      </c>
      <c r="G152" s="131">
        <f t="shared" si="18"/>
        <v>309640.07719911239</v>
      </c>
      <c r="H152" s="254">
        <f t="shared" si="19"/>
        <v>50000</v>
      </c>
      <c r="I152" s="254">
        <v>250000</v>
      </c>
      <c r="J152" s="256">
        <f t="shared" si="20"/>
        <v>300000</v>
      </c>
      <c r="K152" s="146">
        <v>264500</v>
      </c>
      <c r="L152" s="146">
        <v>225681.4301146667</v>
      </c>
      <c r="M152" s="146">
        <v>490181.4301146667</v>
      </c>
      <c r="N152" s="99">
        <f t="shared" si="21"/>
        <v>50000</v>
      </c>
      <c r="O152" s="73">
        <f t="shared" si="22"/>
        <v>225681.4301146667</v>
      </c>
      <c r="P152" s="73">
        <f t="shared" si="23"/>
        <v>275681.4301146667</v>
      </c>
      <c r="Q152" s="301">
        <f t="shared" si="24"/>
        <v>46500</v>
      </c>
      <c r="R152" s="301">
        <f t="shared" si="25"/>
        <v>209883.73000664002</v>
      </c>
      <c r="S152" s="300">
        <f t="shared" si="26"/>
        <v>256383.73000664002</v>
      </c>
    </row>
    <row r="153" spans="1:19" ht="22.5" x14ac:dyDescent="0.25">
      <c r="A153" s="49">
        <v>141</v>
      </c>
      <c r="B153" s="32" t="s">
        <v>213</v>
      </c>
      <c r="C153" s="33" t="s">
        <v>153</v>
      </c>
      <c r="D153" s="111">
        <v>510136.89299999998</v>
      </c>
      <c r="E153" s="131">
        <v>156612.02615099994</v>
      </c>
      <c r="F153" s="131">
        <v>626448.10460400011</v>
      </c>
      <c r="G153" s="131">
        <f t="shared" si="18"/>
        <v>783060.13075500005</v>
      </c>
      <c r="H153" s="254">
        <f t="shared" si="19"/>
        <v>130000</v>
      </c>
      <c r="I153" s="254">
        <v>650000</v>
      </c>
      <c r="J153" s="256">
        <f t="shared" si="20"/>
        <v>780000</v>
      </c>
      <c r="K153" s="146">
        <v>649500</v>
      </c>
      <c r="L153" s="146">
        <v>504248.7361644858</v>
      </c>
      <c r="M153" s="146">
        <v>1153748.7361644858</v>
      </c>
      <c r="N153" s="99">
        <f t="shared" si="21"/>
        <v>130000</v>
      </c>
      <c r="O153" s="73">
        <f t="shared" si="22"/>
        <v>504248.7361644858</v>
      </c>
      <c r="P153" s="73">
        <f t="shared" si="23"/>
        <v>634248.7361644858</v>
      </c>
      <c r="Q153" s="301">
        <f t="shared" si="24"/>
        <v>120900</v>
      </c>
      <c r="R153" s="301">
        <f t="shared" si="25"/>
        <v>468951.32463297178</v>
      </c>
      <c r="S153" s="300">
        <f t="shared" si="26"/>
        <v>589851.32463297178</v>
      </c>
    </row>
    <row r="154" spans="1:19" ht="12" x14ac:dyDescent="0.25">
      <c r="A154" s="49">
        <v>142</v>
      </c>
      <c r="B154" s="46" t="s">
        <v>214</v>
      </c>
      <c r="C154" s="33" t="s">
        <v>153</v>
      </c>
      <c r="D154" s="111">
        <v>500823.63494851335</v>
      </c>
      <c r="E154" s="131">
        <v>153752.85592919355</v>
      </c>
      <c r="F154" s="131">
        <v>615011.42371677456</v>
      </c>
      <c r="G154" s="131">
        <f t="shared" si="18"/>
        <v>768764.27964596811</v>
      </c>
      <c r="H154" s="254">
        <f t="shared" si="19"/>
        <v>128000</v>
      </c>
      <c r="I154" s="254">
        <v>640000</v>
      </c>
      <c r="J154" s="256">
        <f t="shared" si="20"/>
        <v>768000</v>
      </c>
      <c r="K154" s="146">
        <v>194500</v>
      </c>
      <c r="L154" s="146">
        <v>561055.87404657516</v>
      </c>
      <c r="M154" s="146">
        <v>755555.87404657516</v>
      </c>
      <c r="N154" s="99">
        <f t="shared" si="21"/>
        <v>128000</v>
      </c>
      <c r="O154" s="73">
        <f t="shared" si="22"/>
        <v>561055.87404657516</v>
      </c>
      <c r="P154" s="73">
        <f t="shared" si="23"/>
        <v>689055.87404657516</v>
      </c>
      <c r="Q154" s="301">
        <f t="shared" si="24"/>
        <v>119040</v>
      </c>
      <c r="R154" s="301">
        <f t="shared" si="25"/>
        <v>521781.9628633149</v>
      </c>
      <c r="S154" s="300">
        <f t="shared" si="26"/>
        <v>640821.9628633149</v>
      </c>
    </row>
    <row r="155" spans="1:19" ht="12" x14ac:dyDescent="0.25">
      <c r="A155" s="49">
        <v>143</v>
      </c>
      <c r="B155" s="46" t="s">
        <v>355</v>
      </c>
      <c r="C155" s="33" t="s">
        <v>153</v>
      </c>
      <c r="D155" s="111">
        <v>320611.13111786731</v>
      </c>
      <c r="E155" s="131">
        <v>98427.61725318525</v>
      </c>
      <c r="F155" s="131">
        <v>393710.46901274112</v>
      </c>
      <c r="G155" s="131">
        <f t="shared" si="18"/>
        <v>492138.08626592637</v>
      </c>
      <c r="H155" s="254">
        <f t="shared" si="19"/>
        <v>82000</v>
      </c>
      <c r="I155" s="254">
        <v>410000</v>
      </c>
      <c r="J155" s="256">
        <f t="shared" si="20"/>
        <v>492000</v>
      </c>
      <c r="K155" s="146">
        <v>164500</v>
      </c>
      <c r="L155" s="146">
        <v>358989.95095342101</v>
      </c>
      <c r="M155" s="146">
        <v>523489.95095342101</v>
      </c>
      <c r="N155" s="99">
        <f t="shared" si="21"/>
        <v>82000</v>
      </c>
      <c r="O155" s="73">
        <f t="shared" si="22"/>
        <v>358989.95095342101</v>
      </c>
      <c r="P155" s="73">
        <f t="shared" si="23"/>
        <v>440989.95095342101</v>
      </c>
      <c r="Q155" s="301">
        <f t="shared" si="24"/>
        <v>76260</v>
      </c>
      <c r="R155" s="301">
        <f t="shared" si="25"/>
        <v>333860.6543866815</v>
      </c>
      <c r="S155" s="300">
        <f t="shared" si="26"/>
        <v>410120.6543866815</v>
      </c>
    </row>
    <row r="156" spans="1:19" ht="12" x14ac:dyDescent="0.25">
      <c r="A156" s="49">
        <v>144</v>
      </c>
      <c r="B156" s="46" t="s">
        <v>215</v>
      </c>
      <c r="C156" s="33" t="s">
        <v>153</v>
      </c>
      <c r="D156" s="111">
        <v>31899</v>
      </c>
      <c r="E156" s="131">
        <v>9792.9930000000022</v>
      </c>
      <c r="F156" s="131">
        <v>39171.972000000002</v>
      </c>
      <c r="G156" s="131">
        <f t="shared" si="18"/>
        <v>48964.965000000004</v>
      </c>
      <c r="H156" s="254">
        <f t="shared" si="19"/>
        <v>8000</v>
      </c>
      <c r="I156" s="254">
        <v>40000</v>
      </c>
      <c r="J156" s="256">
        <f t="shared" si="20"/>
        <v>48000</v>
      </c>
      <c r="K156" s="146">
        <v>97500</v>
      </c>
      <c r="L156" s="146">
        <v>55749.647799215563</v>
      </c>
      <c r="M156" s="146">
        <v>153249.64779921557</v>
      </c>
      <c r="N156" s="99">
        <f t="shared" si="21"/>
        <v>8000</v>
      </c>
      <c r="O156" s="73">
        <f t="shared" si="22"/>
        <v>39171.972000000002</v>
      </c>
      <c r="P156" s="73">
        <f t="shared" si="23"/>
        <v>47171.972000000002</v>
      </c>
      <c r="Q156" s="301">
        <f t="shared" si="24"/>
        <v>7440</v>
      </c>
      <c r="R156" s="301">
        <f t="shared" si="25"/>
        <v>36429.933960000002</v>
      </c>
      <c r="S156" s="300">
        <f t="shared" si="26"/>
        <v>43869.933960000002</v>
      </c>
    </row>
    <row r="157" spans="1:19" ht="12" x14ac:dyDescent="0.25">
      <c r="A157" s="49">
        <v>145</v>
      </c>
      <c r="B157" s="32" t="s">
        <v>216</v>
      </c>
      <c r="C157" s="33" t="s">
        <v>153</v>
      </c>
      <c r="D157" s="111">
        <v>5175.576</v>
      </c>
      <c r="E157" s="131">
        <v>1588.9018319999996</v>
      </c>
      <c r="F157" s="131">
        <v>6355.607328000001</v>
      </c>
      <c r="G157" s="131">
        <f t="shared" si="18"/>
        <v>7944.5091600000005</v>
      </c>
      <c r="H157" s="254">
        <f t="shared" si="19"/>
        <v>1200</v>
      </c>
      <c r="I157" s="254">
        <v>6000</v>
      </c>
      <c r="J157" s="256">
        <f t="shared" si="20"/>
        <v>7200</v>
      </c>
      <c r="K157" s="146">
        <v>74500</v>
      </c>
      <c r="L157" s="146">
        <v>6251.3132119175243</v>
      </c>
      <c r="M157" s="146">
        <v>80751.313211917528</v>
      </c>
      <c r="N157" s="99">
        <f t="shared" si="21"/>
        <v>1200</v>
      </c>
      <c r="O157" s="73">
        <f t="shared" si="22"/>
        <v>6000</v>
      </c>
      <c r="P157" s="73">
        <f t="shared" si="23"/>
        <v>7200</v>
      </c>
      <c r="Q157" s="301">
        <f t="shared" si="24"/>
        <v>1116</v>
      </c>
      <c r="R157" s="301">
        <f t="shared" si="25"/>
        <v>5580</v>
      </c>
      <c r="S157" s="300">
        <f t="shared" si="26"/>
        <v>6696</v>
      </c>
    </row>
    <row r="158" spans="1:19" ht="12" x14ac:dyDescent="0.25">
      <c r="A158" s="49">
        <v>146</v>
      </c>
      <c r="B158" s="32" t="s">
        <v>221</v>
      </c>
      <c r="C158" s="33" t="s">
        <v>153</v>
      </c>
      <c r="D158" s="111">
        <v>5175.576</v>
      </c>
      <c r="E158" s="131">
        <v>1588.9018319999996</v>
      </c>
      <c r="F158" s="131">
        <v>6355.607328000001</v>
      </c>
      <c r="G158" s="131">
        <f t="shared" si="18"/>
        <v>7944.5091600000005</v>
      </c>
      <c r="H158" s="254">
        <f t="shared" si="19"/>
        <v>1200</v>
      </c>
      <c r="I158" s="254">
        <v>6000</v>
      </c>
      <c r="J158" s="256">
        <f t="shared" si="20"/>
        <v>7200</v>
      </c>
      <c r="K158" s="146">
        <v>74500</v>
      </c>
      <c r="L158" s="146">
        <v>5285</v>
      </c>
      <c r="M158" s="146">
        <v>79785</v>
      </c>
      <c r="N158" s="99">
        <f t="shared" si="21"/>
        <v>1200</v>
      </c>
      <c r="O158" s="73">
        <f t="shared" si="22"/>
        <v>5285</v>
      </c>
      <c r="P158" s="73">
        <f t="shared" si="23"/>
        <v>6485</v>
      </c>
      <c r="Q158" s="301">
        <f t="shared" si="24"/>
        <v>1116</v>
      </c>
      <c r="R158" s="301">
        <f t="shared" si="25"/>
        <v>4915.05</v>
      </c>
      <c r="S158" s="300">
        <f t="shared" si="26"/>
        <v>6031.05</v>
      </c>
    </row>
    <row r="159" spans="1:19" ht="12" x14ac:dyDescent="0.25">
      <c r="A159" s="49">
        <v>147</v>
      </c>
      <c r="B159" s="32" t="s">
        <v>217</v>
      </c>
      <c r="C159" s="33" t="s">
        <v>153</v>
      </c>
      <c r="D159" s="111">
        <v>5023.2207263333348</v>
      </c>
      <c r="E159" s="131">
        <v>1542.1287629843337</v>
      </c>
      <c r="F159" s="131">
        <v>6168.5150519373356</v>
      </c>
      <c r="G159" s="131">
        <f t="shared" si="18"/>
        <v>7710.6438149216692</v>
      </c>
      <c r="H159" s="254">
        <f t="shared" si="19"/>
        <v>1000</v>
      </c>
      <c r="I159" s="254">
        <v>5000</v>
      </c>
      <c r="J159" s="256">
        <f t="shared" si="20"/>
        <v>6000</v>
      </c>
      <c r="K159" s="146">
        <v>74500</v>
      </c>
      <c r="L159" s="146">
        <v>3970.6664464366677</v>
      </c>
      <c r="M159" s="146">
        <v>78470.666446436662</v>
      </c>
      <c r="N159" s="99">
        <f t="shared" si="21"/>
        <v>1000</v>
      </c>
      <c r="O159" s="73">
        <f t="shared" si="22"/>
        <v>3970.6664464366677</v>
      </c>
      <c r="P159" s="73">
        <f t="shared" si="23"/>
        <v>4970.6664464366677</v>
      </c>
      <c r="Q159" s="301">
        <f t="shared" si="24"/>
        <v>930</v>
      </c>
      <c r="R159" s="301">
        <f t="shared" si="25"/>
        <v>3692.7197951861008</v>
      </c>
      <c r="S159" s="300">
        <f t="shared" si="26"/>
        <v>4622.7197951861008</v>
      </c>
    </row>
    <row r="160" spans="1:19" ht="12" x14ac:dyDescent="0.25">
      <c r="A160" s="49">
        <v>148</v>
      </c>
      <c r="B160" s="32" t="s">
        <v>218</v>
      </c>
      <c r="C160" s="33" t="s">
        <v>153</v>
      </c>
      <c r="D160" s="111">
        <v>3528.49</v>
      </c>
      <c r="E160" s="131">
        <v>1083.2464300000001</v>
      </c>
      <c r="F160" s="131">
        <v>4332.9857199999997</v>
      </c>
      <c r="G160" s="131">
        <f t="shared" si="18"/>
        <v>5416.2321499999998</v>
      </c>
      <c r="H160" s="254">
        <f t="shared" si="19"/>
        <v>800</v>
      </c>
      <c r="I160" s="254">
        <v>4000</v>
      </c>
      <c r="J160" s="256">
        <f t="shared" si="20"/>
        <v>4800</v>
      </c>
      <c r="K160" s="146">
        <v>74500</v>
      </c>
      <c r="L160" s="146">
        <v>3970.6664464366677</v>
      </c>
      <c r="M160" s="146">
        <v>78470.666446436662</v>
      </c>
      <c r="N160" s="99">
        <f t="shared" si="21"/>
        <v>800</v>
      </c>
      <c r="O160" s="73">
        <f t="shared" si="22"/>
        <v>3970.6664464366677</v>
      </c>
      <c r="P160" s="73">
        <f t="shared" si="23"/>
        <v>4770.6664464366677</v>
      </c>
      <c r="Q160" s="301">
        <f t="shared" si="24"/>
        <v>744</v>
      </c>
      <c r="R160" s="301">
        <f t="shared" si="25"/>
        <v>3692.7197951861008</v>
      </c>
      <c r="S160" s="300">
        <f t="shared" si="26"/>
        <v>4436.7197951861008</v>
      </c>
    </row>
    <row r="161" spans="1:19" ht="12" x14ac:dyDescent="0.25">
      <c r="A161" s="49">
        <v>149</v>
      </c>
      <c r="B161" s="32" t="s">
        <v>219</v>
      </c>
      <c r="C161" s="33" t="s">
        <v>153</v>
      </c>
      <c r="D161" s="111">
        <v>31899</v>
      </c>
      <c r="E161" s="131">
        <v>9792.9930000000022</v>
      </c>
      <c r="F161" s="131">
        <v>39171.972000000002</v>
      </c>
      <c r="G161" s="131">
        <f t="shared" si="18"/>
        <v>48964.965000000004</v>
      </c>
      <c r="H161" s="254">
        <f t="shared" si="19"/>
        <v>8000</v>
      </c>
      <c r="I161" s="254">
        <v>40000</v>
      </c>
      <c r="J161" s="256">
        <f t="shared" si="20"/>
        <v>48000</v>
      </c>
      <c r="K161" s="146">
        <v>74500</v>
      </c>
      <c r="L161" s="146">
        <v>52900</v>
      </c>
      <c r="M161" s="146">
        <v>127400</v>
      </c>
      <c r="N161" s="99">
        <f t="shared" si="21"/>
        <v>8000</v>
      </c>
      <c r="O161" s="73">
        <f t="shared" si="22"/>
        <v>39171.972000000002</v>
      </c>
      <c r="P161" s="73">
        <f t="shared" si="23"/>
        <v>47171.972000000002</v>
      </c>
      <c r="Q161" s="301">
        <f t="shared" si="24"/>
        <v>7440</v>
      </c>
      <c r="R161" s="301">
        <f t="shared" si="25"/>
        <v>36429.933960000002</v>
      </c>
      <c r="S161" s="300">
        <f t="shared" si="26"/>
        <v>43869.933960000002</v>
      </c>
    </row>
    <row r="162" spans="1:19" ht="12" x14ac:dyDescent="0.25">
      <c r="A162" s="49">
        <v>150</v>
      </c>
      <c r="B162" s="32" t="s">
        <v>220</v>
      </c>
      <c r="C162" s="33" t="s">
        <v>153</v>
      </c>
      <c r="D162" s="111">
        <v>6174.5291999999999</v>
      </c>
      <c r="E162" s="131">
        <v>1895.5804644</v>
      </c>
      <c r="F162" s="131">
        <v>7582.3218575999999</v>
      </c>
      <c r="G162" s="131">
        <f t="shared" si="18"/>
        <v>9477.9023219999999</v>
      </c>
      <c r="H162" s="254">
        <f t="shared" si="19"/>
        <v>1400</v>
      </c>
      <c r="I162" s="254">
        <v>7000</v>
      </c>
      <c r="J162" s="256">
        <f t="shared" si="20"/>
        <v>8400</v>
      </c>
      <c r="K162" s="146">
        <v>74500</v>
      </c>
      <c r="L162" s="146">
        <v>5285</v>
      </c>
      <c r="M162" s="146">
        <v>79785</v>
      </c>
      <c r="N162" s="99">
        <f t="shared" si="21"/>
        <v>1400</v>
      </c>
      <c r="O162" s="73">
        <f t="shared" si="22"/>
        <v>5285</v>
      </c>
      <c r="P162" s="73">
        <f t="shared" si="23"/>
        <v>6685</v>
      </c>
      <c r="Q162" s="301">
        <f t="shared" si="24"/>
        <v>1302</v>
      </c>
      <c r="R162" s="301">
        <f t="shared" si="25"/>
        <v>4915.05</v>
      </c>
      <c r="S162" s="300">
        <f t="shared" si="26"/>
        <v>6217.05</v>
      </c>
    </row>
    <row r="163" spans="1:19" ht="12" x14ac:dyDescent="0.25">
      <c r="A163" s="49">
        <v>151</v>
      </c>
      <c r="B163" s="50" t="s">
        <v>223</v>
      </c>
      <c r="C163" s="33" t="s">
        <v>153</v>
      </c>
      <c r="D163" s="111">
        <v>616134.17381794925</v>
      </c>
      <c r="E163" s="131">
        <v>189153.19136211043</v>
      </c>
      <c r="F163" s="131">
        <v>756612.76544844173</v>
      </c>
      <c r="G163" s="131">
        <f t="shared" si="18"/>
        <v>945765.95681055216</v>
      </c>
      <c r="H163" s="254">
        <f t="shared" si="19"/>
        <v>14600</v>
      </c>
      <c r="I163" s="254">
        <v>73000</v>
      </c>
      <c r="J163" s="256">
        <f t="shared" si="20"/>
        <v>87600</v>
      </c>
      <c r="K163" s="146">
        <v>679500</v>
      </c>
      <c r="L163" s="146">
        <v>547859.4146979748</v>
      </c>
      <c r="M163" s="146">
        <v>1227359.4146979749</v>
      </c>
      <c r="N163" s="99">
        <f t="shared" si="21"/>
        <v>14600</v>
      </c>
      <c r="O163" s="73">
        <f t="shared" si="22"/>
        <v>73000</v>
      </c>
      <c r="P163" s="73">
        <f t="shared" si="23"/>
        <v>87600</v>
      </c>
      <c r="Q163" s="301">
        <f t="shared" si="24"/>
        <v>13578</v>
      </c>
      <c r="R163" s="301">
        <f t="shared" si="25"/>
        <v>67890</v>
      </c>
      <c r="S163" s="300">
        <f t="shared" si="26"/>
        <v>81468</v>
      </c>
    </row>
    <row r="164" spans="1:19" ht="12" x14ac:dyDescent="0.25">
      <c r="A164" s="49">
        <v>152</v>
      </c>
      <c r="B164" s="38" t="s">
        <v>222</v>
      </c>
      <c r="C164" s="33" t="s">
        <v>153</v>
      </c>
      <c r="D164" s="111">
        <v>197041.98674783407</v>
      </c>
      <c r="E164" s="131">
        <v>60491.889931585058</v>
      </c>
      <c r="F164" s="131">
        <v>241967.55972634029</v>
      </c>
      <c r="G164" s="131">
        <f t="shared" si="18"/>
        <v>302459.44965792535</v>
      </c>
      <c r="H164" s="254">
        <f t="shared" si="19"/>
        <v>47000</v>
      </c>
      <c r="I164" s="254">
        <v>235000</v>
      </c>
      <c r="J164" s="256">
        <f t="shared" si="20"/>
        <v>282000</v>
      </c>
      <c r="K164" s="146">
        <v>564500</v>
      </c>
      <c r="L164" s="146">
        <v>174867.36820557233</v>
      </c>
      <c r="M164" s="146">
        <v>739367.36820557236</v>
      </c>
      <c r="N164" s="99">
        <f t="shared" si="21"/>
        <v>47000</v>
      </c>
      <c r="O164" s="73">
        <f t="shared" si="22"/>
        <v>174867.36820557233</v>
      </c>
      <c r="P164" s="73">
        <f t="shared" si="23"/>
        <v>221867.36820557233</v>
      </c>
      <c r="Q164" s="301">
        <f t="shared" si="24"/>
        <v>43710</v>
      </c>
      <c r="R164" s="301">
        <f t="shared" si="25"/>
        <v>162626.65243118227</v>
      </c>
      <c r="S164" s="300">
        <f t="shared" si="26"/>
        <v>206336.65243118227</v>
      </c>
    </row>
    <row r="165" spans="1:19" ht="12" x14ac:dyDescent="0.25">
      <c r="A165" s="49">
        <v>153</v>
      </c>
      <c r="B165" s="38" t="s">
        <v>224</v>
      </c>
      <c r="C165" s="33" t="s">
        <v>153</v>
      </c>
      <c r="D165" s="111">
        <v>492131.36850916722</v>
      </c>
      <c r="E165" s="131">
        <v>151084.33013231435</v>
      </c>
      <c r="F165" s="131">
        <v>604337.32052925741</v>
      </c>
      <c r="G165" s="131">
        <f t="shared" si="18"/>
        <v>755421.65066157177</v>
      </c>
      <c r="H165" s="254">
        <f t="shared" si="19"/>
        <v>116000</v>
      </c>
      <c r="I165" s="254">
        <v>580000</v>
      </c>
      <c r="J165" s="256">
        <f t="shared" si="20"/>
        <v>696000</v>
      </c>
      <c r="K165" s="146">
        <v>414500</v>
      </c>
      <c r="L165" s="146">
        <v>437496.91797315882</v>
      </c>
      <c r="M165" s="146">
        <v>851996.91797315888</v>
      </c>
      <c r="N165" s="99">
        <f t="shared" si="21"/>
        <v>116000</v>
      </c>
      <c r="O165" s="73">
        <f t="shared" si="22"/>
        <v>437496.91797315882</v>
      </c>
      <c r="P165" s="73">
        <f t="shared" si="23"/>
        <v>553496.91797315888</v>
      </c>
      <c r="Q165" s="301">
        <f t="shared" si="24"/>
        <v>107880</v>
      </c>
      <c r="R165" s="301">
        <f t="shared" si="25"/>
        <v>406872.13371503772</v>
      </c>
      <c r="S165" s="300">
        <f t="shared" si="26"/>
        <v>514752.13371503772</v>
      </c>
    </row>
    <row r="166" spans="1:19" ht="12" x14ac:dyDescent="0.25">
      <c r="A166" s="49">
        <v>154</v>
      </c>
      <c r="B166" s="32" t="s">
        <v>225</v>
      </c>
      <c r="C166" s="33" t="s">
        <v>153</v>
      </c>
      <c r="D166" s="111">
        <v>509947.11600000004</v>
      </c>
      <c r="E166" s="131">
        <v>156553.76461199997</v>
      </c>
      <c r="F166" s="131">
        <v>626215.05844800011</v>
      </c>
      <c r="G166" s="131">
        <f t="shared" si="18"/>
        <v>782768.82306000008</v>
      </c>
      <c r="H166" s="254">
        <f t="shared" si="19"/>
        <v>130000</v>
      </c>
      <c r="I166" s="254">
        <v>650000</v>
      </c>
      <c r="J166" s="256">
        <f t="shared" si="20"/>
        <v>780000</v>
      </c>
      <c r="K166" s="146">
        <v>388500</v>
      </c>
      <c r="L166" s="146">
        <v>576672.66987400851</v>
      </c>
      <c r="M166" s="146">
        <v>965172.66987400851</v>
      </c>
      <c r="N166" s="99">
        <f t="shared" si="21"/>
        <v>130000</v>
      </c>
      <c r="O166" s="73">
        <f t="shared" si="22"/>
        <v>576672.66987400851</v>
      </c>
      <c r="P166" s="73">
        <f t="shared" si="23"/>
        <v>706672.66987400851</v>
      </c>
      <c r="Q166" s="301">
        <f t="shared" si="24"/>
        <v>120900</v>
      </c>
      <c r="R166" s="301">
        <f t="shared" si="25"/>
        <v>536305.58298282791</v>
      </c>
      <c r="S166" s="300">
        <f t="shared" si="26"/>
        <v>657205.58298282791</v>
      </c>
    </row>
    <row r="167" spans="1:19" ht="22.5" x14ac:dyDescent="0.25">
      <c r="A167" s="49">
        <v>155</v>
      </c>
      <c r="B167" s="32" t="s">
        <v>226</v>
      </c>
      <c r="C167" s="33" t="s">
        <v>153</v>
      </c>
      <c r="D167" s="111">
        <v>573179.08286579559</v>
      </c>
      <c r="E167" s="131">
        <v>175965.97843979916</v>
      </c>
      <c r="F167" s="131">
        <v>703863.91375919711</v>
      </c>
      <c r="G167" s="131">
        <f t="shared" si="18"/>
        <v>879829.89219899627</v>
      </c>
      <c r="H167" s="254">
        <f t="shared" si="19"/>
        <v>137000</v>
      </c>
      <c r="I167" s="254">
        <v>685000</v>
      </c>
      <c r="J167" s="256">
        <f t="shared" si="20"/>
        <v>822000</v>
      </c>
      <c r="K167" s="146">
        <v>464500</v>
      </c>
      <c r="L167" s="146">
        <v>509629.38375055807</v>
      </c>
      <c r="M167" s="146">
        <v>974129.38375055813</v>
      </c>
      <c r="N167" s="99">
        <f t="shared" si="21"/>
        <v>137000</v>
      </c>
      <c r="O167" s="73">
        <f t="shared" si="22"/>
        <v>509629.38375055807</v>
      </c>
      <c r="P167" s="73">
        <f t="shared" si="23"/>
        <v>646629.38375055813</v>
      </c>
      <c r="Q167" s="301">
        <f t="shared" si="24"/>
        <v>127410</v>
      </c>
      <c r="R167" s="301">
        <f t="shared" si="25"/>
        <v>473955.32688801899</v>
      </c>
      <c r="S167" s="300">
        <f t="shared" si="26"/>
        <v>601365.32688801899</v>
      </c>
    </row>
    <row r="168" spans="1:19" ht="12" x14ac:dyDescent="0.25">
      <c r="A168" s="49">
        <v>156</v>
      </c>
      <c r="B168" s="32" t="s">
        <v>227</v>
      </c>
      <c r="C168" s="33" t="s">
        <v>153</v>
      </c>
      <c r="D168" s="111">
        <v>1764536.0404000001</v>
      </c>
      <c r="E168" s="131">
        <v>541712.56440280005</v>
      </c>
      <c r="F168" s="131">
        <v>2166850.2576112002</v>
      </c>
      <c r="G168" s="131">
        <f t="shared" si="18"/>
        <v>2708562.8220140003</v>
      </c>
      <c r="H168" s="254">
        <f t="shared" si="19"/>
        <v>402000</v>
      </c>
      <c r="I168" s="254">
        <v>2010000</v>
      </c>
      <c r="J168" s="256">
        <f t="shared" si="20"/>
        <v>2412000</v>
      </c>
      <c r="K168" s="146">
        <v>411500</v>
      </c>
      <c r="L168" s="146">
        <v>1601500</v>
      </c>
      <c r="M168" s="146">
        <v>2013000</v>
      </c>
      <c r="N168" s="99">
        <f t="shared" si="21"/>
        <v>402000</v>
      </c>
      <c r="O168" s="73">
        <f t="shared" si="22"/>
        <v>1601500</v>
      </c>
      <c r="P168" s="73">
        <f t="shared" si="23"/>
        <v>2003500</v>
      </c>
      <c r="Q168" s="301">
        <f t="shared" si="24"/>
        <v>373860</v>
      </c>
      <c r="R168" s="301">
        <f t="shared" si="25"/>
        <v>1489395</v>
      </c>
      <c r="S168" s="300">
        <f t="shared" si="26"/>
        <v>1863255</v>
      </c>
    </row>
    <row r="169" spans="1:19" ht="12" x14ac:dyDescent="0.25">
      <c r="A169" s="49">
        <v>157</v>
      </c>
      <c r="B169" s="46" t="s">
        <v>42</v>
      </c>
      <c r="C169" s="33" t="s">
        <v>153</v>
      </c>
      <c r="D169" s="111">
        <v>117030.99818962265</v>
      </c>
      <c r="E169" s="131">
        <v>35928.516444214154</v>
      </c>
      <c r="F169" s="131">
        <v>143714.06577685665</v>
      </c>
      <c r="G169" s="131">
        <f t="shared" si="18"/>
        <v>179642.5822210708</v>
      </c>
      <c r="H169" s="254">
        <f t="shared" si="19"/>
        <v>26000</v>
      </c>
      <c r="I169" s="254">
        <v>130000</v>
      </c>
      <c r="J169" s="256">
        <f t="shared" si="20"/>
        <v>156000</v>
      </c>
      <c r="K169" s="146">
        <v>97500</v>
      </c>
      <c r="L169" s="146">
        <v>103657.58838876415</v>
      </c>
      <c r="M169" s="146">
        <v>201157.58838876415</v>
      </c>
      <c r="N169" s="99">
        <f t="shared" si="21"/>
        <v>26000</v>
      </c>
      <c r="O169" s="73">
        <f t="shared" si="22"/>
        <v>103657.58838876415</v>
      </c>
      <c r="P169" s="73">
        <f t="shared" si="23"/>
        <v>129657.58838876415</v>
      </c>
      <c r="Q169" s="301">
        <f t="shared" si="24"/>
        <v>24180</v>
      </c>
      <c r="R169" s="301">
        <f t="shared" si="25"/>
        <v>96401.557201550662</v>
      </c>
      <c r="S169" s="300">
        <f t="shared" si="26"/>
        <v>120581.55720155066</v>
      </c>
    </row>
    <row r="170" spans="1:19" ht="12" x14ac:dyDescent="0.25">
      <c r="A170" s="49">
        <v>158</v>
      </c>
      <c r="B170" s="46" t="s">
        <v>93</v>
      </c>
      <c r="C170" s="33" t="s">
        <v>153</v>
      </c>
      <c r="D170" s="111">
        <v>477343.66259999998</v>
      </c>
      <c r="E170" s="131">
        <v>146544.5044182</v>
      </c>
      <c r="F170" s="131">
        <v>586178.01767279999</v>
      </c>
      <c r="G170" s="131">
        <f t="shared" si="18"/>
        <v>732722.52209099999</v>
      </c>
      <c r="H170" s="254">
        <f t="shared" si="19"/>
        <v>122000</v>
      </c>
      <c r="I170" s="254">
        <v>610000</v>
      </c>
      <c r="J170" s="256">
        <f t="shared" si="20"/>
        <v>732000</v>
      </c>
      <c r="K170" s="146">
        <v>349500</v>
      </c>
      <c r="L170" s="146">
        <v>847640.36259422253</v>
      </c>
      <c r="M170" s="146">
        <v>1197140.3625942226</v>
      </c>
      <c r="N170" s="99">
        <f t="shared" si="21"/>
        <v>122000</v>
      </c>
      <c r="O170" s="73">
        <f t="shared" si="22"/>
        <v>586178.01767279999</v>
      </c>
      <c r="P170" s="73">
        <f t="shared" si="23"/>
        <v>708178.01767279999</v>
      </c>
      <c r="Q170" s="301">
        <f t="shared" si="24"/>
        <v>113460</v>
      </c>
      <c r="R170" s="301">
        <f t="shared" si="25"/>
        <v>545145.556435704</v>
      </c>
      <c r="S170" s="300">
        <f t="shared" si="26"/>
        <v>658605.556435704</v>
      </c>
    </row>
    <row r="171" spans="1:19" ht="12" x14ac:dyDescent="0.2">
      <c r="A171" s="49">
        <v>159</v>
      </c>
      <c r="B171" s="53" t="s">
        <v>95</v>
      </c>
      <c r="C171" s="33" t="s">
        <v>153</v>
      </c>
      <c r="D171" s="111">
        <v>748924.77791715378</v>
      </c>
      <c r="E171" s="131">
        <v>229919.90682056616</v>
      </c>
      <c r="F171" s="131">
        <v>919679.62728226511</v>
      </c>
      <c r="G171" s="131">
        <f t="shared" si="18"/>
        <v>1149599.5341028313</v>
      </c>
      <c r="H171" s="254">
        <f t="shared" si="19"/>
        <v>190000</v>
      </c>
      <c r="I171" s="254">
        <v>950000</v>
      </c>
      <c r="J171" s="256">
        <f t="shared" si="20"/>
        <v>1140000</v>
      </c>
      <c r="K171" s="146">
        <v>219500</v>
      </c>
      <c r="L171" s="146">
        <v>839242.93326160638</v>
      </c>
      <c r="M171" s="146">
        <v>1058742.9332616064</v>
      </c>
      <c r="N171" s="99">
        <f t="shared" si="21"/>
        <v>190000</v>
      </c>
      <c r="O171" s="73">
        <f t="shared" si="22"/>
        <v>839242.93326160638</v>
      </c>
      <c r="P171" s="73">
        <f t="shared" si="23"/>
        <v>1029242.9332616064</v>
      </c>
      <c r="Q171" s="301">
        <f t="shared" si="24"/>
        <v>176700</v>
      </c>
      <c r="R171" s="301">
        <f t="shared" si="25"/>
        <v>780495.92793329398</v>
      </c>
      <c r="S171" s="300">
        <f t="shared" si="26"/>
        <v>957195.92793329398</v>
      </c>
    </row>
    <row r="172" spans="1:19" ht="12" x14ac:dyDescent="0.2">
      <c r="A172" s="49">
        <v>160</v>
      </c>
      <c r="B172" s="53" t="s">
        <v>228</v>
      </c>
      <c r="C172" s="33" t="s">
        <v>153</v>
      </c>
      <c r="D172" s="111">
        <v>2415.0099645833338</v>
      </c>
      <c r="E172" s="131">
        <v>741.40805912708356</v>
      </c>
      <c r="F172" s="131">
        <v>2965.6322365083342</v>
      </c>
      <c r="G172" s="131">
        <f t="shared" si="18"/>
        <v>3707.0402956354178</v>
      </c>
      <c r="H172" s="254">
        <f t="shared" si="19"/>
        <v>6000</v>
      </c>
      <c r="I172" s="254">
        <v>30000</v>
      </c>
      <c r="J172" s="256">
        <f t="shared" si="20"/>
        <v>36000</v>
      </c>
      <c r="K172" s="146">
        <v>74500</v>
      </c>
      <c r="L172" s="146">
        <v>1649.3588684791671</v>
      </c>
      <c r="M172" s="146">
        <v>76149.358868479161</v>
      </c>
      <c r="N172" s="99">
        <f t="shared" si="21"/>
        <v>741.40805912708356</v>
      </c>
      <c r="O172" s="73">
        <f t="shared" si="22"/>
        <v>1649.3588684791671</v>
      </c>
      <c r="P172" s="73">
        <f t="shared" si="23"/>
        <v>2390.7669276062506</v>
      </c>
      <c r="Q172" s="301">
        <f t="shared" si="24"/>
        <v>689.50949498818773</v>
      </c>
      <c r="R172" s="301">
        <f t="shared" si="25"/>
        <v>1533.9037476856254</v>
      </c>
      <c r="S172" s="300">
        <f t="shared" si="26"/>
        <v>2223.4132426738133</v>
      </c>
    </row>
    <row r="173" spans="1:19" ht="12" x14ac:dyDescent="0.2">
      <c r="A173" s="49">
        <v>161</v>
      </c>
      <c r="B173" s="53" t="s">
        <v>229</v>
      </c>
      <c r="C173" s="33" t="s">
        <v>153</v>
      </c>
      <c r="D173" s="111">
        <v>54537.98</v>
      </c>
      <c r="E173" s="131">
        <v>16743.15986</v>
      </c>
      <c r="F173" s="131">
        <v>66972.639440000014</v>
      </c>
      <c r="G173" s="131">
        <f t="shared" si="18"/>
        <v>83715.799300000013</v>
      </c>
      <c r="H173" s="254">
        <f t="shared" si="19"/>
        <v>14000</v>
      </c>
      <c r="I173" s="254">
        <v>70000</v>
      </c>
      <c r="J173" s="256">
        <f t="shared" si="20"/>
        <v>84000</v>
      </c>
      <c r="K173" s="146">
        <v>74500</v>
      </c>
      <c r="L173" s="146">
        <v>85474.354739166665</v>
      </c>
      <c r="M173" s="146">
        <v>159974.35473916668</v>
      </c>
      <c r="N173" s="99">
        <f t="shared" si="21"/>
        <v>14000</v>
      </c>
      <c r="O173" s="73">
        <f t="shared" si="22"/>
        <v>66972.639440000014</v>
      </c>
      <c r="P173" s="73">
        <f t="shared" si="23"/>
        <v>80972.639440000014</v>
      </c>
      <c r="Q173" s="301">
        <f t="shared" si="24"/>
        <v>13020</v>
      </c>
      <c r="R173" s="301">
        <f t="shared" si="25"/>
        <v>62284.55467920001</v>
      </c>
      <c r="S173" s="300">
        <f t="shared" si="26"/>
        <v>75304.55467920001</v>
      </c>
    </row>
    <row r="174" spans="1:19" ht="12" x14ac:dyDescent="0.2">
      <c r="A174" s="49">
        <v>162</v>
      </c>
      <c r="B174" s="53" t="s">
        <v>241</v>
      </c>
      <c r="C174" s="33" t="s">
        <v>153</v>
      </c>
      <c r="D174" s="111">
        <v>150000</v>
      </c>
      <c r="E174" s="131">
        <v>46050</v>
      </c>
      <c r="F174" s="131">
        <v>184200.00000000003</v>
      </c>
      <c r="G174" s="131">
        <f t="shared" si="18"/>
        <v>230250.00000000003</v>
      </c>
      <c r="H174" s="254">
        <f t="shared" si="19"/>
        <v>34000</v>
      </c>
      <c r="I174" s="254">
        <v>170000</v>
      </c>
      <c r="J174" s="256">
        <f t="shared" si="20"/>
        <v>204000</v>
      </c>
      <c r="K174" s="146">
        <v>74500</v>
      </c>
      <c r="L174" s="146">
        <v>133000</v>
      </c>
      <c r="M174" s="146">
        <v>207500</v>
      </c>
      <c r="N174" s="99">
        <f t="shared" si="21"/>
        <v>34000</v>
      </c>
      <c r="O174" s="73">
        <f t="shared" si="22"/>
        <v>133000</v>
      </c>
      <c r="P174" s="73">
        <f t="shared" si="23"/>
        <v>167000</v>
      </c>
      <c r="Q174" s="301">
        <f t="shared" si="24"/>
        <v>31620</v>
      </c>
      <c r="R174" s="301">
        <f t="shared" si="25"/>
        <v>123690</v>
      </c>
      <c r="S174" s="300">
        <f t="shared" si="26"/>
        <v>155310</v>
      </c>
    </row>
    <row r="175" spans="1:19" ht="12" x14ac:dyDescent="0.2">
      <c r="A175" s="49">
        <v>163</v>
      </c>
      <c r="B175" s="47" t="s">
        <v>85</v>
      </c>
      <c r="C175" s="33" t="s">
        <v>153</v>
      </c>
      <c r="D175" s="111">
        <v>95198.533231334295</v>
      </c>
      <c r="E175" s="131">
        <v>29225.949702019629</v>
      </c>
      <c r="F175" s="131">
        <v>116903.79880807851</v>
      </c>
      <c r="G175" s="131">
        <f t="shared" si="18"/>
        <v>146129.74851009814</v>
      </c>
      <c r="H175" s="254">
        <f t="shared" si="19"/>
        <v>22000</v>
      </c>
      <c r="I175" s="254">
        <v>110000</v>
      </c>
      <c r="J175" s="256">
        <f t="shared" si="20"/>
        <v>132000</v>
      </c>
      <c r="K175" s="146">
        <v>74500</v>
      </c>
      <c r="L175" s="146">
        <v>84226.694575887523</v>
      </c>
      <c r="M175" s="146">
        <v>158726.69457588752</v>
      </c>
      <c r="N175" s="99">
        <f t="shared" si="21"/>
        <v>22000</v>
      </c>
      <c r="O175" s="73">
        <f t="shared" si="22"/>
        <v>84226.694575887523</v>
      </c>
      <c r="P175" s="73">
        <f t="shared" si="23"/>
        <v>106226.69457588752</v>
      </c>
      <c r="Q175" s="301">
        <f t="shared" si="24"/>
        <v>20460</v>
      </c>
      <c r="R175" s="301">
        <f t="shared" si="25"/>
        <v>78330.82595557539</v>
      </c>
      <c r="S175" s="300">
        <f t="shared" si="26"/>
        <v>98790.82595557539</v>
      </c>
    </row>
    <row r="176" spans="1:19" ht="12" x14ac:dyDescent="0.2">
      <c r="A176" s="49">
        <v>164</v>
      </c>
      <c r="B176" s="47" t="s">
        <v>232</v>
      </c>
      <c r="C176" s="33" t="s">
        <v>153</v>
      </c>
      <c r="D176" s="111">
        <v>542707.90229376429</v>
      </c>
      <c r="E176" s="131">
        <v>166611.3260041856</v>
      </c>
      <c r="F176" s="131">
        <v>666445.30401674262</v>
      </c>
      <c r="G176" s="131">
        <f t="shared" si="18"/>
        <v>833056.63002092822</v>
      </c>
      <c r="H176" s="254">
        <f t="shared" si="19"/>
        <v>128000</v>
      </c>
      <c r="I176" s="254">
        <v>640000</v>
      </c>
      <c r="J176" s="256">
        <f t="shared" si="20"/>
        <v>768000</v>
      </c>
      <c r="K176" s="146">
        <v>449500</v>
      </c>
      <c r="L176" s="146">
        <v>482510.0330414502</v>
      </c>
      <c r="M176" s="146">
        <v>932010.0330414502</v>
      </c>
      <c r="N176" s="99">
        <f t="shared" si="21"/>
        <v>128000</v>
      </c>
      <c r="O176" s="73">
        <f t="shared" si="22"/>
        <v>482510.0330414502</v>
      </c>
      <c r="P176" s="73">
        <f t="shared" si="23"/>
        <v>610510.0330414502</v>
      </c>
      <c r="Q176" s="301">
        <f t="shared" si="24"/>
        <v>119040</v>
      </c>
      <c r="R176" s="301">
        <f t="shared" si="25"/>
        <v>448734.3307285487</v>
      </c>
      <c r="S176" s="300">
        <f t="shared" si="26"/>
        <v>567774.3307285487</v>
      </c>
    </row>
    <row r="177" spans="1:19" ht="12" x14ac:dyDescent="0.2">
      <c r="A177" s="49">
        <v>165</v>
      </c>
      <c r="B177" s="47" t="s">
        <v>67</v>
      </c>
      <c r="C177" s="33" t="s">
        <v>153</v>
      </c>
      <c r="D177" s="111">
        <v>870201.65631348838</v>
      </c>
      <c r="E177" s="131">
        <v>267151.90848824102</v>
      </c>
      <c r="F177" s="131">
        <v>1068607.6339529639</v>
      </c>
      <c r="G177" s="131">
        <f t="shared" si="18"/>
        <v>1335759.5424412049</v>
      </c>
      <c r="H177" s="254">
        <f t="shared" si="19"/>
        <v>179600</v>
      </c>
      <c r="I177" s="254">
        <v>898000</v>
      </c>
      <c r="J177" s="256">
        <f t="shared" si="20"/>
        <v>1077600</v>
      </c>
      <c r="K177" s="146">
        <v>124500</v>
      </c>
      <c r="L177" s="146">
        <v>773979.47411900468</v>
      </c>
      <c r="M177" s="146">
        <v>898479.47411900468</v>
      </c>
      <c r="N177" s="99">
        <f t="shared" si="21"/>
        <v>124500</v>
      </c>
      <c r="O177" s="73">
        <f t="shared" si="22"/>
        <v>773979.47411900468</v>
      </c>
      <c r="P177" s="73">
        <f t="shared" si="23"/>
        <v>898479.47411900468</v>
      </c>
      <c r="Q177" s="301">
        <f t="shared" si="24"/>
        <v>115785</v>
      </c>
      <c r="R177" s="301">
        <f t="shared" si="25"/>
        <v>719800.91093067429</v>
      </c>
      <c r="S177" s="300">
        <f t="shared" si="26"/>
        <v>835585.91093067429</v>
      </c>
    </row>
    <row r="178" spans="1:19" ht="12" x14ac:dyDescent="0.25">
      <c r="A178" s="49">
        <v>166</v>
      </c>
      <c r="B178" s="38" t="s">
        <v>237</v>
      </c>
      <c r="C178" s="33" t="s">
        <v>153</v>
      </c>
      <c r="D178" s="111">
        <v>534833.33652153064</v>
      </c>
      <c r="E178" s="131">
        <v>164193.83431210986</v>
      </c>
      <c r="F178" s="131">
        <v>656775.33724843978</v>
      </c>
      <c r="G178" s="131">
        <f t="shared" si="18"/>
        <v>820969.17156054964</v>
      </c>
      <c r="H178" s="254">
        <f t="shared" si="19"/>
        <v>136000</v>
      </c>
      <c r="I178" s="254">
        <v>680000</v>
      </c>
      <c r="J178" s="256">
        <f t="shared" si="20"/>
        <v>816000</v>
      </c>
      <c r="K178" s="146">
        <v>224500</v>
      </c>
      <c r="L178" s="146">
        <v>613190.54629669152</v>
      </c>
      <c r="M178" s="146">
        <v>837690.54629669152</v>
      </c>
      <c r="N178" s="99">
        <f t="shared" si="21"/>
        <v>136000</v>
      </c>
      <c r="O178" s="73">
        <f t="shared" si="22"/>
        <v>613190.54629669152</v>
      </c>
      <c r="P178" s="73">
        <f t="shared" si="23"/>
        <v>749190.54629669152</v>
      </c>
      <c r="Q178" s="301">
        <f t="shared" si="24"/>
        <v>126480</v>
      </c>
      <c r="R178" s="301">
        <f t="shared" si="25"/>
        <v>570267.20805592311</v>
      </c>
      <c r="S178" s="300">
        <f t="shared" si="26"/>
        <v>696747.20805592311</v>
      </c>
    </row>
    <row r="179" spans="1:19" ht="12" x14ac:dyDescent="0.25">
      <c r="A179" s="49">
        <v>167</v>
      </c>
      <c r="B179" s="38" t="s">
        <v>238</v>
      </c>
      <c r="C179" s="33" t="s">
        <v>153</v>
      </c>
      <c r="D179" s="111">
        <v>486080.31977038196</v>
      </c>
      <c r="E179" s="131">
        <v>149226.65816950728</v>
      </c>
      <c r="F179" s="131">
        <v>596906.63267802913</v>
      </c>
      <c r="G179" s="131">
        <f t="shared" si="18"/>
        <v>746133.29084753641</v>
      </c>
      <c r="H179" s="254">
        <f t="shared" si="19"/>
        <v>118000</v>
      </c>
      <c r="I179" s="254">
        <v>590000</v>
      </c>
      <c r="J179" s="256">
        <f t="shared" si="20"/>
        <v>708000</v>
      </c>
      <c r="K179" s="146">
        <v>124500</v>
      </c>
      <c r="L179" s="146">
        <v>557249.25872061367</v>
      </c>
      <c r="M179" s="146">
        <v>681749.25872061367</v>
      </c>
      <c r="N179" s="99">
        <f t="shared" si="21"/>
        <v>118000</v>
      </c>
      <c r="O179" s="73">
        <f t="shared" si="22"/>
        <v>557249.25872061367</v>
      </c>
      <c r="P179" s="73">
        <f t="shared" si="23"/>
        <v>675249.25872061367</v>
      </c>
      <c r="Q179" s="301">
        <f t="shared" si="24"/>
        <v>109740</v>
      </c>
      <c r="R179" s="301">
        <f t="shared" si="25"/>
        <v>518241.81061017071</v>
      </c>
      <c r="S179" s="300">
        <f t="shared" si="26"/>
        <v>627981.81061017071</v>
      </c>
    </row>
    <row r="180" spans="1:19" ht="12" x14ac:dyDescent="0.2">
      <c r="A180" s="49">
        <v>168</v>
      </c>
      <c r="B180" s="47" t="s">
        <v>83</v>
      </c>
      <c r="C180" s="33" t="s">
        <v>153</v>
      </c>
      <c r="D180" s="111">
        <v>515878.44542125665</v>
      </c>
      <c r="E180" s="131">
        <v>158374.68274432572</v>
      </c>
      <c r="F180" s="131">
        <v>633498.73097730335</v>
      </c>
      <c r="G180" s="131">
        <f t="shared" si="18"/>
        <v>791873.41372162907</v>
      </c>
      <c r="H180" s="254">
        <f t="shared" si="19"/>
        <v>127200</v>
      </c>
      <c r="I180" s="254">
        <v>636000</v>
      </c>
      <c r="J180" s="256">
        <f t="shared" si="20"/>
        <v>763200</v>
      </c>
      <c r="K180" s="146">
        <v>184500</v>
      </c>
      <c r="L180" s="146">
        <v>478300.79528074048</v>
      </c>
      <c r="M180" s="146">
        <v>662800.79528074048</v>
      </c>
      <c r="N180" s="99">
        <f t="shared" si="21"/>
        <v>127200</v>
      </c>
      <c r="O180" s="73">
        <f t="shared" si="22"/>
        <v>478300.79528074048</v>
      </c>
      <c r="P180" s="73">
        <f t="shared" si="23"/>
        <v>605500.79528074048</v>
      </c>
      <c r="Q180" s="301">
        <f t="shared" si="24"/>
        <v>118296</v>
      </c>
      <c r="R180" s="301">
        <f t="shared" si="25"/>
        <v>444819.73961108865</v>
      </c>
      <c r="S180" s="300">
        <f t="shared" si="26"/>
        <v>563115.73961108865</v>
      </c>
    </row>
    <row r="181" spans="1:19" ht="12" x14ac:dyDescent="0.25">
      <c r="A181" s="49">
        <v>169</v>
      </c>
      <c r="B181" s="38" t="s">
        <v>234</v>
      </c>
      <c r="C181" s="33" t="s">
        <v>153</v>
      </c>
      <c r="D181" s="111">
        <v>508938.8166880249</v>
      </c>
      <c r="E181" s="131">
        <v>156244.21672322368</v>
      </c>
      <c r="F181" s="131">
        <v>624976.86689289461</v>
      </c>
      <c r="G181" s="131">
        <f t="shared" si="18"/>
        <v>781221.0836161183</v>
      </c>
      <c r="H181" s="254">
        <f t="shared" si="19"/>
        <v>130000</v>
      </c>
      <c r="I181" s="254">
        <v>650000</v>
      </c>
      <c r="J181" s="256">
        <f t="shared" si="20"/>
        <v>780000</v>
      </c>
      <c r="K181" s="146">
        <v>184500</v>
      </c>
      <c r="L181" s="146">
        <v>583478.07151703676</v>
      </c>
      <c r="M181" s="146">
        <v>767978.07151703676</v>
      </c>
      <c r="N181" s="99">
        <f t="shared" si="21"/>
        <v>130000</v>
      </c>
      <c r="O181" s="73">
        <f t="shared" si="22"/>
        <v>583478.07151703676</v>
      </c>
      <c r="P181" s="73">
        <f t="shared" si="23"/>
        <v>713478.07151703676</v>
      </c>
      <c r="Q181" s="301">
        <f t="shared" si="24"/>
        <v>120900</v>
      </c>
      <c r="R181" s="301">
        <f t="shared" si="25"/>
        <v>542634.6065108442</v>
      </c>
      <c r="S181" s="300">
        <f t="shared" si="26"/>
        <v>663534.6065108442</v>
      </c>
    </row>
    <row r="182" spans="1:19" ht="12" x14ac:dyDescent="0.25">
      <c r="A182" s="49">
        <v>170</v>
      </c>
      <c r="B182" s="38" t="s">
        <v>235</v>
      </c>
      <c r="C182" s="33" t="s">
        <v>153</v>
      </c>
      <c r="D182" s="111">
        <v>620000</v>
      </c>
      <c r="E182" s="131">
        <v>190340</v>
      </c>
      <c r="F182" s="131">
        <v>761360.00000000012</v>
      </c>
      <c r="G182" s="131">
        <f t="shared" si="18"/>
        <v>951700.00000000012</v>
      </c>
      <c r="H182" s="254">
        <f t="shared" si="19"/>
        <v>147000</v>
      </c>
      <c r="I182" s="254">
        <v>735000</v>
      </c>
      <c r="J182" s="256">
        <f t="shared" si="20"/>
        <v>882000</v>
      </c>
      <c r="K182" s="146">
        <v>184500</v>
      </c>
      <c r="L182" s="146">
        <v>551300</v>
      </c>
      <c r="M182" s="146">
        <v>735800</v>
      </c>
      <c r="N182" s="99">
        <f t="shared" si="21"/>
        <v>147000</v>
      </c>
      <c r="O182" s="73">
        <f t="shared" si="22"/>
        <v>551300</v>
      </c>
      <c r="P182" s="73">
        <f t="shared" si="23"/>
        <v>698300</v>
      </c>
      <c r="Q182" s="301">
        <f t="shared" si="24"/>
        <v>136710</v>
      </c>
      <c r="R182" s="301">
        <f t="shared" si="25"/>
        <v>512709</v>
      </c>
      <c r="S182" s="300">
        <f t="shared" si="26"/>
        <v>649419</v>
      </c>
    </row>
    <row r="183" spans="1:19" ht="12" x14ac:dyDescent="0.2">
      <c r="A183" s="49">
        <v>171</v>
      </c>
      <c r="B183" s="47" t="s">
        <v>84</v>
      </c>
      <c r="C183" s="33" t="s">
        <v>153</v>
      </c>
      <c r="D183" s="111">
        <v>856091.62454699434</v>
      </c>
      <c r="E183" s="131">
        <v>262820.12873592717</v>
      </c>
      <c r="F183" s="131">
        <v>1051280.5149437094</v>
      </c>
      <c r="G183" s="131">
        <f t="shared" si="18"/>
        <v>1314100.6436796365</v>
      </c>
      <c r="H183" s="254">
        <f t="shared" si="19"/>
        <v>200000</v>
      </c>
      <c r="I183" s="254">
        <v>1000000</v>
      </c>
      <c r="J183" s="256">
        <f t="shared" si="20"/>
        <v>1200000</v>
      </c>
      <c r="K183" s="146">
        <v>184500</v>
      </c>
      <c r="L183" s="146">
        <v>981815.98681791779</v>
      </c>
      <c r="M183" s="146">
        <v>1166315.9868179178</v>
      </c>
      <c r="N183" s="99">
        <f t="shared" si="21"/>
        <v>184500</v>
      </c>
      <c r="O183" s="73">
        <f t="shared" si="22"/>
        <v>981815.98681791779</v>
      </c>
      <c r="P183" s="73">
        <f t="shared" si="23"/>
        <v>1166315.9868179178</v>
      </c>
      <c r="Q183" s="301">
        <f t="shared" si="24"/>
        <v>171585</v>
      </c>
      <c r="R183" s="301">
        <f t="shared" si="25"/>
        <v>913088.86774066358</v>
      </c>
      <c r="S183" s="300">
        <f t="shared" si="26"/>
        <v>1084673.8677406637</v>
      </c>
    </row>
    <row r="184" spans="1:19" ht="12" x14ac:dyDescent="0.2">
      <c r="A184" s="49">
        <v>172</v>
      </c>
      <c r="B184" s="47" t="s">
        <v>236</v>
      </c>
      <c r="C184" s="33" t="s">
        <v>153</v>
      </c>
      <c r="D184" s="111">
        <v>224687.33178826532</v>
      </c>
      <c r="E184" s="131">
        <v>68979.01085899747</v>
      </c>
      <c r="F184" s="131">
        <v>275916.04343598982</v>
      </c>
      <c r="G184" s="131">
        <f t="shared" si="18"/>
        <v>344895.05429498729</v>
      </c>
      <c r="H184" s="254">
        <f t="shared" si="19"/>
        <v>56000</v>
      </c>
      <c r="I184" s="254">
        <v>280000</v>
      </c>
      <c r="J184" s="256">
        <f t="shared" si="20"/>
        <v>336000</v>
      </c>
      <c r="K184" s="146">
        <v>184500</v>
      </c>
      <c r="L184" s="146">
        <v>257315.81284347558</v>
      </c>
      <c r="M184" s="146">
        <v>441815.81284347561</v>
      </c>
      <c r="N184" s="99">
        <f t="shared" si="21"/>
        <v>56000</v>
      </c>
      <c r="O184" s="73">
        <f t="shared" si="22"/>
        <v>257315.81284347558</v>
      </c>
      <c r="P184" s="73">
        <f t="shared" si="23"/>
        <v>313315.81284347561</v>
      </c>
      <c r="Q184" s="301">
        <f t="shared" si="24"/>
        <v>52080</v>
      </c>
      <c r="R184" s="301">
        <f t="shared" si="25"/>
        <v>239303.70594443229</v>
      </c>
      <c r="S184" s="300">
        <f t="shared" si="26"/>
        <v>291383.70594443229</v>
      </c>
    </row>
    <row r="185" spans="1:19" ht="12" x14ac:dyDescent="0.2">
      <c r="A185" s="49">
        <v>173</v>
      </c>
      <c r="B185" s="53" t="s">
        <v>239</v>
      </c>
      <c r="C185" s="33" t="s">
        <v>153</v>
      </c>
      <c r="D185" s="111">
        <v>243029.15479138904</v>
      </c>
      <c r="E185" s="131">
        <v>74609.950520956423</v>
      </c>
      <c r="F185" s="131">
        <v>298439.80208382581</v>
      </c>
      <c r="G185" s="131">
        <f t="shared" si="18"/>
        <v>373049.75260478223</v>
      </c>
      <c r="H185" s="254">
        <f t="shared" si="19"/>
        <v>60000</v>
      </c>
      <c r="I185" s="254">
        <v>300000</v>
      </c>
      <c r="J185" s="256">
        <f t="shared" si="20"/>
        <v>360000</v>
      </c>
      <c r="K185" s="146">
        <v>184500</v>
      </c>
      <c r="L185" s="146">
        <v>278362.00164702471</v>
      </c>
      <c r="M185" s="146">
        <v>462862.00164702471</v>
      </c>
      <c r="N185" s="99">
        <f t="shared" si="21"/>
        <v>60000</v>
      </c>
      <c r="O185" s="73">
        <f t="shared" si="22"/>
        <v>278362.00164702471</v>
      </c>
      <c r="P185" s="73">
        <f t="shared" si="23"/>
        <v>338362.00164702471</v>
      </c>
      <c r="Q185" s="301">
        <f t="shared" si="24"/>
        <v>55800</v>
      </c>
      <c r="R185" s="301">
        <f t="shared" si="25"/>
        <v>258876.66153173297</v>
      </c>
      <c r="S185" s="300">
        <f t="shared" si="26"/>
        <v>314676.661531733</v>
      </c>
    </row>
    <row r="186" spans="1:19" ht="12" x14ac:dyDescent="0.2">
      <c r="A186" s="49">
        <v>174</v>
      </c>
      <c r="B186" s="53" t="s">
        <v>338</v>
      </c>
      <c r="C186" s="33" t="s">
        <v>153</v>
      </c>
      <c r="D186" s="111">
        <v>279344.79046329466</v>
      </c>
      <c r="E186" s="131">
        <v>85758.850672231463</v>
      </c>
      <c r="F186" s="131">
        <v>343035.40268892585</v>
      </c>
      <c r="G186" s="131">
        <f t="shared" si="18"/>
        <v>428794.25336115732</v>
      </c>
      <c r="H186" s="254">
        <f t="shared" si="19"/>
        <v>64000</v>
      </c>
      <c r="I186" s="254">
        <v>320000</v>
      </c>
      <c r="J186" s="256">
        <f t="shared" si="20"/>
        <v>384000</v>
      </c>
      <c r="K186" s="146">
        <v>184500</v>
      </c>
      <c r="L186" s="146">
        <v>313088.21317288058</v>
      </c>
      <c r="M186" s="146">
        <v>497588.21317288058</v>
      </c>
      <c r="N186" s="99">
        <f t="shared" si="21"/>
        <v>64000</v>
      </c>
      <c r="O186" s="73">
        <f t="shared" si="22"/>
        <v>313088.21317288058</v>
      </c>
      <c r="P186" s="73">
        <f t="shared" si="23"/>
        <v>377088.21317288058</v>
      </c>
      <c r="Q186" s="301">
        <f t="shared" si="24"/>
        <v>59520</v>
      </c>
      <c r="R186" s="301">
        <f t="shared" si="25"/>
        <v>291172.03825077892</v>
      </c>
      <c r="S186" s="300">
        <f t="shared" si="26"/>
        <v>350692.03825077892</v>
      </c>
    </row>
    <row r="187" spans="1:19" ht="12" x14ac:dyDescent="0.2">
      <c r="A187" s="49">
        <v>175</v>
      </c>
      <c r="B187" s="47" t="s">
        <v>68</v>
      </c>
      <c r="C187" s="33" t="s">
        <v>153</v>
      </c>
      <c r="D187" s="111">
        <v>608172.82960000006</v>
      </c>
      <c r="E187" s="131">
        <v>186709.05868719995</v>
      </c>
      <c r="F187" s="131">
        <v>746836.23474880017</v>
      </c>
      <c r="G187" s="131">
        <f t="shared" si="18"/>
        <v>933545.29343600012</v>
      </c>
      <c r="H187" s="254">
        <f t="shared" si="19"/>
        <v>142000</v>
      </c>
      <c r="I187" s="254">
        <v>710000</v>
      </c>
      <c r="J187" s="256">
        <f t="shared" si="20"/>
        <v>852000</v>
      </c>
      <c r="K187" s="146">
        <v>184500</v>
      </c>
      <c r="L187" s="146">
        <v>597211.76202079258</v>
      </c>
      <c r="M187" s="146">
        <v>781711.76202079258</v>
      </c>
      <c r="N187" s="99">
        <f t="shared" si="21"/>
        <v>142000</v>
      </c>
      <c r="O187" s="73">
        <f t="shared" si="22"/>
        <v>597211.76202079258</v>
      </c>
      <c r="P187" s="73">
        <f t="shared" si="23"/>
        <v>739211.76202079258</v>
      </c>
      <c r="Q187" s="301">
        <f t="shared" si="24"/>
        <v>132060</v>
      </c>
      <c r="R187" s="301">
        <f t="shared" si="25"/>
        <v>555406.93867933704</v>
      </c>
      <c r="S187" s="300">
        <f t="shared" si="26"/>
        <v>687466.93867933704</v>
      </c>
    </row>
    <row r="188" spans="1:19" ht="12" x14ac:dyDescent="0.2">
      <c r="A188" s="49">
        <v>176</v>
      </c>
      <c r="B188" s="53" t="s">
        <v>94</v>
      </c>
      <c r="C188" s="33" t="s">
        <v>153</v>
      </c>
      <c r="D188" s="111">
        <v>281821.52350585599</v>
      </c>
      <c r="E188" s="131">
        <v>86519.207716297766</v>
      </c>
      <c r="F188" s="131">
        <v>346076.83086519124</v>
      </c>
      <c r="G188" s="131">
        <f t="shared" si="18"/>
        <v>432596.038581489</v>
      </c>
      <c r="H188" s="254">
        <f t="shared" si="19"/>
        <v>68000</v>
      </c>
      <c r="I188" s="254">
        <v>340000</v>
      </c>
      <c r="J188" s="256">
        <f t="shared" si="20"/>
        <v>408000</v>
      </c>
      <c r="K188" s="146">
        <v>165000</v>
      </c>
      <c r="L188" s="146">
        <v>322874.01748986199</v>
      </c>
      <c r="M188" s="146">
        <v>487874.01748986199</v>
      </c>
      <c r="N188" s="99">
        <f t="shared" si="21"/>
        <v>68000</v>
      </c>
      <c r="O188" s="73">
        <f t="shared" si="22"/>
        <v>322874.01748986199</v>
      </c>
      <c r="P188" s="73">
        <f t="shared" si="23"/>
        <v>390874.01748986199</v>
      </c>
      <c r="Q188" s="301">
        <f t="shared" si="24"/>
        <v>63240</v>
      </c>
      <c r="R188" s="301">
        <f t="shared" si="25"/>
        <v>300272.83626557165</v>
      </c>
      <c r="S188" s="300">
        <f t="shared" si="26"/>
        <v>363512.83626557165</v>
      </c>
    </row>
    <row r="189" spans="1:19" ht="12" x14ac:dyDescent="0.2">
      <c r="A189" s="49">
        <v>177</v>
      </c>
      <c r="B189" s="53" t="s">
        <v>250</v>
      </c>
      <c r="C189" s="33" t="s">
        <v>153</v>
      </c>
      <c r="D189" s="111">
        <v>167090.2254</v>
      </c>
      <c r="E189" s="131">
        <v>51296.699197799986</v>
      </c>
      <c r="F189" s="131">
        <v>205186.79679120003</v>
      </c>
      <c r="G189" s="131">
        <f t="shared" si="18"/>
        <v>256483.49598900002</v>
      </c>
      <c r="H189" s="254">
        <f t="shared" si="19"/>
        <v>4000</v>
      </c>
      <c r="I189" s="254">
        <v>20000</v>
      </c>
      <c r="J189" s="256">
        <f t="shared" si="20"/>
        <v>24000</v>
      </c>
      <c r="K189" s="146">
        <v>134500</v>
      </c>
      <c r="L189" s="146">
        <v>159700</v>
      </c>
      <c r="M189" s="146">
        <v>294200</v>
      </c>
      <c r="N189" s="99">
        <f t="shared" si="21"/>
        <v>4000</v>
      </c>
      <c r="O189" s="73">
        <f t="shared" si="22"/>
        <v>20000</v>
      </c>
      <c r="P189" s="73">
        <f t="shared" si="23"/>
        <v>24000</v>
      </c>
      <c r="Q189" s="301">
        <f t="shared" si="24"/>
        <v>3720</v>
      </c>
      <c r="R189" s="301">
        <f t="shared" si="25"/>
        <v>18600</v>
      </c>
      <c r="S189" s="300">
        <f t="shared" si="26"/>
        <v>22320</v>
      </c>
    </row>
    <row r="190" spans="1:19" ht="12" x14ac:dyDescent="0.2">
      <c r="A190" s="49">
        <v>178</v>
      </c>
      <c r="B190" s="47" t="s">
        <v>120</v>
      </c>
      <c r="C190" s="33" t="s">
        <v>153</v>
      </c>
      <c r="D190" s="111">
        <v>5242405.2141552502</v>
      </c>
      <c r="E190" s="131">
        <v>1609418.4007456619</v>
      </c>
      <c r="F190" s="131">
        <v>6437673.6029826477</v>
      </c>
      <c r="G190" s="131">
        <f t="shared" si="18"/>
        <v>8047092.0037283096</v>
      </c>
      <c r="H190" s="254">
        <f t="shared" si="19"/>
        <v>10800000</v>
      </c>
      <c r="I190" s="254">
        <v>54000000</v>
      </c>
      <c r="J190" s="256">
        <f t="shared" si="20"/>
        <v>64800000</v>
      </c>
      <c r="K190" s="146">
        <v>524500</v>
      </c>
      <c r="L190" s="146">
        <v>6779349.6057876805</v>
      </c>
      <c r="M190" s="146">
        <v>7303849.6057876805</v>
      </c>
      <c r="N190" s="99">
        <f t="shared" si="21"/>
        <v>524500</v>
      </c>
      <c r="O190" s="73">
        <f t="shared" si="22"/>
        <v>6437673.6029826477</v>
      </c>
      <c r="P190" s="73">
        <f t="shared" si="23"/>
        <v>6962173.6029826477</v>
      </c>
      <c r="Q190" s="301">
        <f t="shared" si="24"/>
        <v>487785</v>
      </c>
      <c r="R190" s="301">
        <f t="shared" si="25"/>
        <v>5987036.4507738622</v>
      </c>
      <c r="S190" s="300">
        <f t="shared" si="26"/>
        <v>6474821.4507738622</v>
      </c>
    </row>
    <row r="191" spans="1:19" ht="12" x14ac:dyDescent="0.2">
      <c r="A191" s="49">
        <v>179</v>
      </c>
      <c r="B191" s="47" t="s">
        <v>242</v>
      </c>
      <c r="C191" s="33" t="s">
        <v>153</v>
      </c>
      <c r="D191" s="111">
        <v>120000</v>
      </c>
      <c r="E191" s="131">
        <v>36840</v>
      </c>
      <c r="F191" s="131">
        <v>147360.00000000003</v>
      </c>
      <c r="G191" s="131">
        <f t="shared" si="18"/>
        <v>184200.00000000003</v>
      </c>
      <c r="H191" s="254">
        <f t="shared" si="19"/>
        <v>24000</v>
      </c>
      <c r="I191" s="254">
        <v>120000</v>
      </c>
      <c r="J191" s="256">
        <f t="shared" si="20"/>
        <v>144000</v>
      </c>
      <c r="K191" s="146">
        <v>84500</v>
      </c>
      <c r="L191" s="146">
        <v>106300</v>
      </c>
      <c r="M191" s="146">
        <v>190800</v>
      </c>
      <c r="N191" s="99">
        <f t="shared" si="21"/>
        <v>24000</v>
      </c>
      <c r="O191" s="73">
        <f t="shared" si="22"/>
        <v>106300</v>
      </c>
      <c r="P191" s="73">
        <f t="shared" si="23"/>
        <v>130300</v>
      </c>
      <c r="Q191" s="301">
        <f t="shared" si="24"/>
        <v>22320</v>
      </c>
      <c r="R191" s="301">
        <f t="shared" si="25"/>
        <v>98859</v>
      </c>
      <c r="S191" s="300">
        <f t="shared" si="26"/>
        <v>121179</v>
      </c>
    </row>
    <row r="192" spans="1:19" ht="12" x14ac:dyDescent="0.25">
      <c r="A192" s="49">
        <v>180</v>
      </c>
      <c r="B192" s="50" t="s">
        <v>230</v>
      </c>
      <c r="C192" s="33" t="s">
        <v>153</v>
      </c>
      <c r="D192" s="111">
        <v>608175.505</v>
      </c>
      <c r="E192" s="131">
        <v>186709.88003499992</v>
      </c>
      <c r="F192" s="131">
        <v>746839.52014000015</v>
      </c>
      <c r="G192" s="131">
        <f t="shared" si="18"/>
        <v>933549.40017500008</v>
      </c>
      <c r="H192" s="254">
        <f t="shared" si="19"/>
        <v>116000</v>
      </c>
      <c r="I192" s="254">
        <v>580000</v>
      </c>
      <c r="J192" s="256">
        <f t="shared" si="20"/>
        <v>696000</v>
      </c>
      <c r="K192" s="146">
        <v>74500</v>
      </c>
      <c r="L192" s="146">
        <v>584125.61222633335</v>
      </c>
      <c r="M192" s="146">
        <v>658625.61222633335</v>
      </c>
      <c r="N192" s="99">
        <f t="shared" si="21"/>
        <v>74500</v>
      </c>
      <c r="O192" s="73">
        <f t="shared" si="22"/>
        <v>580000</v>
      </c>
      <c r="P192" s="73">
        <f t="shared" si="23"/>
        <v>654500</v>
      </c>
      <c r="Q192" s="301">
        <f t="shared" si="24"/>
        <v>69285</v>
      </c>
      <c r="R192" s="301">
        <f t="shared" si="25"/>
        <v>539400</v>
      </c>
      <c r="S192" s="300">
        <f t="shared" si="26"/>
        <v>608685</v>
      </c>
    </row>
    <row r="193" spans="1:19" ht="12" x14ac:dyDescent="0.25">
      <c r="A193" s="49">
        <v>181</v>
      </c>
      <c r="B193" s="50" t="s">
        <v>231</v>
      </c>
      <c r="C193" s="33" t="s">
        <v>153</v>
      </c>
      <c r="D193" s="111">
        <v>19706.481311000003</v>
      </c>
      <c r="E193" s="131">
        <v>6049.8897624769997</v>
      </c>
      <c r="F193" s="131">
        <v>24199.559049908006</v>
      </c>
      <c r="G193" s="131">
        <f t="shared" si="18"/>
        <v>30249.448812385006</v>
      </c>
      <c r="H193" s="254">
        <f t="shared" si="19"/>
        <v>4000</v>
      </c>
      <c r="I193" s="254">
        <v>20000</v>
      </c>
      <c r="J193" s="256">
        <f t="shared" si="20"/>
        <v>24000</v>
      </c>
      <c r="K193" s="146">
        <v>64500</v>
      </c>
      <c r="L193" s="146">
        <v>17038.768366790002</v>
      </c>
      <c r="M193" s="146">
        <v>81538.768366789998</v>
      </c>
      <c r="N193" s="99">
        <f t="shared" si="21"/>
        <v>4000</v>
      </c>
      <c r="O193" s="73">
        <f t="shared" si="22"/>
        <v>17038.768366790002</v>
      </c>
      <c r="P193" s="73">
        <f t="shared" si="23"/>
        <v>21038.768366790002</v>
      </c>
      <c r="Q193" s="301">
        <f t="shared" si="24"/>
        <v>3720</v>
      </c>
      <c r="R193" s="301">
        <f t="shared" si="25"/>
        <v>15846.054581114702</v>
      </c>
      <c r="S193" s="300">
        <f t="shared" si="26"/>
        <v>19566.054581114702</v>
      </c>
    </row>
    <row r="194" spans="1:19" ht="12" x14ac:dyDescent="0.25">
      <c r="A194" s="49">
        <v>182</v>
      </c>
      <c r="B194" s="46" t="s">
        <v>339</v>
      </c>
      <c r="C194" s="33" t="s">
        <v>153</v>
      </c>
      <c r="D194" s="111">
        <v>62790.259079166681</v>
      </c>
      <c r="E194" s="131">
        <v>19276.609537304175</v>
      </c>
      <c r="F194" s="131">
        <v>77106.438149216687</v>
      </c>
      <c r="G194" s="131">
        <f t="shared" si="18"/>
        <v>96383.047686520862</v>
      </c>
      <c r="H194" s="254">
        <f t="shared" si="19"/>
        <v>14000</v>
      </c>
      <c r="I194" s="254">
        <v>70000</v>
      </c>
      <c r="J194" s="256">
        <f t="shared" si="20"/>
        <v>84000</v>
      </c>
      <c r="K194" s="146">
        <v>134500</v>
      </c>
      <c r="L194" s="146">
        <v>55383.330580458343</v>
      </c>
      <c r="M194" s="146">
        <v>189883.33058045834</v>
      </c>
      <c r="N194" s="99">
        <f t="shared" si="21"/>
        <v>14000</v>
      </c>
      <c r="O194" s="73">
        <f t="shared" si="22"/>
        <v>55383.330580458343</v>
      </c>
      <c r="P194" s="73">
        <f t="shared" si="23"/>
        <v>69383.330580458336</v>
      </c>
      <c r="Q194" s="301">
        <f t="shared" si="24"/>
        <v>13020</v>
      </c>
      <c r="R194" s="301">
        <f t="shared" si="25"/>
        <v>51506.497439826257</v>
      </c>
      <c r="S194" s="300">
        <f t="shared" si="26"/>
        <v>64526.497439826257</v>
      </c>
    </row>
    <row r="195" spans="1:19" ht="12" x14ac:dyDescent="0.25">
      <c r="A195" s="49">
        <v>183</v>
      </c>
      <c r="B195" s="46" t="s">
        <v>340</v>
      </c>
      <c r="C195" s="33" t="s">
        <v>153</v>
      </c>
      <c r="D195" s="111">
        <v>283035.27</v>
      </c>
      <c r="E195" s="131">
        <v>86891.827890000015</v>
      </c>
      <c r="F195" s="131">
        <v>347567.31156000006</v>
      </c>
      <c r="G195" s="131">
        <f t="shared" si="18"/>
        <v>434459.13945000008</v>
      </c>
      <c r="H195" s="254">
        <f t="shared" si="19"/>
        <v>71000</v>
      </c>
      <c r="I195" s="254">
        <v>355000</v>
      </c>
      <c r="J195" s="256">
        <f t="shared" si="20"/>
        <v>426000</v>
      </c>
      <c r="K195" s="146">
        <v>134500</v>
      </c>
      <c r="L195" s="146">
        <v>326585.08900880942</v>
      </c>
      <c r="M195" s="146">
        <v>461085.08900880942</v>
      </c>
      <c r="N195" s="99">
        <f t="shared" si="21"/>
        <v>71000</v>
      </c>
      <c r="O195" s="73">
        <f t="shared" si="22"/>
        <v>326585.08900880942</v>
      </c>
      <c r="P195" s="73">
        <f t="shared" si="23"/>
        <v>397585.08900880942</v>
      </c>
      <c r="Q195" s="301">
        <f t="shared" si="24"/>
        <v>66030</v>
      </c>
      <c r="R195" s="301">
        <f t="shared" si="25"/>
        <v>303724.13277819275</v>
      </c>
      <c r="S195" s="300">
        <f t="shared" si="26"/>
        <v>369754.13277819275</v>
      </c>
    </row>
    <row r="196" spans="1:19" ht="12" x14ac:dyDescent="0.25">
      <c r="A196" s="49">
        <v>184</v>
      </c>
      <c r="B196" s="32" t="s">
        <v>341</v>
      </c>
      <c r="C196" s="33" t="s">
        <v>153</v>
      </c>
      <c r="D196" s="111">
        <v>607979.5736</v>
      </c>
      <c r="E196" s="131">
        <v>186649.72909519996</v>
      </c>
      <c r="F196" s="131">
        <v>746598.91638080007</v>
      </c>
      <c r="G196" s="131">
        <f t="shared" si="18"/>
        <v>933248.64547600003</v>
      </c>
      <c r="H196" s="254">
        <f t="shared" si="19"/>
        <v>140000</v>
      </c>
      <c r="I196" s="254">
        <v>700000</v>
      </c>
      <c r="J196" s="256">
        <f t="shared" si="20"/>
        <v>840000</v>
      </c>
      <c r="K196" s="146">
        <v>164500</v>
      </c>
      <c r="L196" s="146">
        <v>584508.15322630957</v>
      </c>
      <c r="M196" s="146">
        <v>749008.15322630957</v>
      </c>
      <c r="N196" s="99">
        <f t="shared" si="21"/>
        <v>140000</v>
      </c>
      <c r="O196" s="73">
        <f t="shared" si="22"/>
        <v>584508.15322630957</v>
      </c>
      <c r="P196" s="73">
        <f t="shared" si="23"/>
        <v>724508.15322630957</v>
      </c>
      <c r="Q196" s="301">
        <f t="shared" si="24"/>
        <v>130200</v>
      </c>
      <c r="R196" s="301">
        <f t="shared" si="25"/>
        <v>543592.58250046789</v>
      </c>
      <c r="S196" s="300">
        <f t="shared" si="26"/>
        <v>673792.58250046789</v>
      </c>
    </row>
    <row r="197" spans="1:19" ht="22.5" x14ac:dyDescent="0.25">
      <c r="A197" s="49"/>
      <c r="B197" s="29" t="s">
        <v>44</v>
      </c>
      <c r="C197" s="33"/>
      <c r="D197" s="111"/>
      <c r="E197" s="131">
        <v>0</v>
      </c>
      <c r="F197" s="131">
        <v>0</v>
      </c>
      <c r="G197" s="131">
        <f t="shared" si="18"/>
        <v>0</v>
      </c>
      <c r="H197" s="254">
        <f t="shared" si="19"/>
        <v>0</v>
      </c>
      <c r="I197" s="254"/>
      <c r="J197" s="256">
        <f t="shared" si="20"/>
        <v>0</v>
      </c>
      <c r="K197" s="146"/>
      <c r="L197" s="146"/>
      <c r="M197" s="146">
        <v>0</v>
      </c>
      <c r="N197" s="99">
        <f t="shared" si="21"/>
        <v>0</v>
      </c>
      <c r="O197" s="73">
        <f t="shared" si="22"/>
        <v>0</v>
      </c>
      <c r="P197" s="73">
        <f t="shared" si="23"/>
        <v>0</v>
      </c>
      <c r="Q197" s="301">
        <f t="shared" si="24"/>
        <v>0</v>
      </c>
      <c r="R197" s="301">
        <f t="shared" si="25"/>
        <v>0</v>
      </c>
      <c r="S197" s="300">
        <f t="shared" si="26"/>
        <v>0</v>
      </c>
    </row>
    <row r="198" spans="1:19" ht="12" x14ac:dyDescent="0.2">
      <c r="A198" s="49">
        <v>185</v>
      </c>
      <c r="B198" s="47" t="s">
        <v>86</v>
      </c>
      <c r="C198" s="33" t="s">
        <v>153</v>
      </c>
      <c r="D198" s="111">
        <v>100501.46338773414</v>
      </c>
      <c r="E198" s="131">
        <v>30853.94926003438</v>
      </c>
      <c r="F198" s="131">
        <v>123415.79704013754</v>
      </c>
      <c r="G198" s="131">
        <f t="shared" ref="G198:G254" si="27">F198+E198</f>
        <v>154269.74630017192</v>
      </c>
      <c r="H198" s="254">
        <f t="shared" ref="H198:H254" si="28">+I198*20%</f>
        <v>20000</v>
      </c>
      <c r="I198" s="254">
        <v>100000</v>
      </c>
      <c r="J198" s="256">
        <f t="shared" ref="J198:J254" si="29">+I198+H198</f>
        <v>120000</v>
      </c>
      <c r="K198" s="146">
        <v>164500</v>
      </c>
      <c r="L198" s="146">
        <v>88946.302415083381</v>
      </c>
      <c r="M198" s="146">
        <v>253446.3024150834</v>
      </c>
      <c r="N198" s="99">
        <f t="shared" ref="N198:N254" si="30">MIN(E198,H198,K198)</f>
        <v>20000</v>
      </c>
      <c r="O198" s="73">
        <f t="shared" ref="O198:O254" si="31">MIN(F198,I198,L198)</f>
        <v>88946.302415083381</v>
      </c>
      <c r="P198" s="73">
        <f t="shared" ref="P198:P254" si="32">O198+N198</f>
        <v>108946.30241508338</v>
      </c>
      <c r="Q198" s="301">
        <f t="shared" ref="Q198:Q256" si="33">N198-(N198*7%)</f>
        <v>18600</v>
      </c>
      <c r="R198" s="301">
        <f t="shared" ref="R198:R256" si="34">O198-(O198*7%)</f>
        <v>82720.061246027544</v>
      </c>
      <c r="S198" s="300">
        <f t="shared" ref="S198:S256" si="35">R198+Q198</f>
        <v>101320.06124602754</v>
      </c>
    </row>
    <row r="199" spans="1:19" ht="12" x14ac:dyDescent="0.25">
      <c r="A199" s="49">
        <v>186</v>
      </c>
      <c r="B199" s="50" t="s">
        <v>45</v>
      </c>
      <c r="C199" s="33" t="s">
        <v>153</v>
      </c>
      <c r="D199" s="111">
        <v>608137.31440000003</v>
      </c>
      <c r="E199" s="131">
        <v>186698.15552080004</v>
      </c>
      <c r="F199" s="131">
        <v>746792.62208320014</v>
      </c>
      <c r="G199" s="131">
        <f t="shared" si="27"/>
        <v>933490.77760400018</v>
      </c>
      <c r="H199" s="254">
        <f t="shared" si="28"/>
        <v>138000</v>
      </c>
      <c r="I199" s="254">
        <v>690000</v>
      </c>
      <c r="J199" s="256">
        <f t="shared" si="29"/>
        <v>828000</v>
      </c>
      <c r="K199" s="146">
        <v>224500</v>
      </c>
      <c r="L199" s="146">
        <v>596562.48709620303</v>
      </c>
      <c r="M199" s="146">
        <v>821062.48709620303</v>
      </c>
      <c r="N199" s="99">
        <f t="shared" si="30"/>
        <v>138000</v>
      </c>
      <c r="O199" s="73">
        <f t="shared" si="31"/>
        <v>596562.48709620303</v>
      </c>
      <c r="P199" s="73">
        <f t="shared" si="32"/>
        <v>734562.48709620303</v>
      </c>
      <c r="Q199" s="301">
        <f t="shared" si="33"/>
        <v>128340</v>
      </c>
      <c r="R199" s="301">
        <f t="shared" si="34"/>
        <v>554803.11299946881</v>
      </c>
      <c r="S199" s="300">
        <f t="shared" si="35"/>
        <v>683143.11299946881</v>
      </c>
    </row>
    <row r="200" spans="1:19" ht="12" x14ac:dyDescent="0.25">
      <c r="A200" s="49">
        <v>187</v>
      </c>
      <c r="B200" s="40" t="s">
        <v>243</v>
      </c>
      <c r="C200" s="33" t="s">
        <v>153</v>
      </c>
      <c r="D200" s="111">
        <v>372931.79700000002</v>
      </c>
      <c r="E200" s="131">
        <v>114490.06167899998</v>
      </c>
      <c r="F200" s="131">
        <v>457960.24671600008</v>
      </c>
      <c r="G200" s="131">
        <f t="shared" si="27"/>
        <v>572450.30839500006</v>
      </c>
      <c r="H200" s="254">
        <f t="shared" si="28"/>
        <v>76000</v>
      </c>
      <c r="I200" s="254">
        <v>380000</v>
      </c>
      <c r="J200" s="256">
        <f t="shared" si="29"/>
        <v>456000</v>
      </c>
      <c r="K200" s="146">
        <v>297500</v>
      </c>
      <c r="L200" s="146">
        <v>413462.74912420678</v>
      </c>
      <c r="M200" s="146">
        <v>710962.74912420684</v>
      </c>
      <c r="N200" s="99">
        <f t="shared" si="30"/>
        <v>76000</v>
      </c>
      <c r="O200" s="73">
        <f t="shared" si="31"/>
        <v>380000</v>
      </c>
      <c r="P200" s="73">
        <f t="shared" si="32"/>
        <v>456000</v>
      </c>
      <c r="Q200" s="301">
        <f t="shared" si="33"/>
        <v>70680</v>
      </c>
      <c r="R200" s="301">
        <f t="shared" si="34"/>
        <v>353400</v>
      </c>
      <c r="S200" s="300">
        <f t="shared" si="35"/>
        <v>424080</v>
      </c>
    </row>
    <row r="201" spans="1:19" ht="12" x14ac:dyDescent="0.25">
      <c r="A201" s="49">
        <v>188</v>
      </c>
      <c r="B201" s="50" t="s">
        <v>46</v>
      </c>
      <c r="C201" s="33" t="s">
        <v>153</v>
      </c>
      <c r="D201" s="111">
        <v>70387.667097476864</v>
      </c>
      <c r="E201" s="131">
        <v>21609.0137989254</v>
      </c>
      <c r="F201" s="131">
        <v>86436.0551957016</v>
      </c>
      <c r="G201" s="131">
        <f t="shared" si="27"/>
        <v>108045.068994627</v>
      </c>
      <c r="H201" s="254">
        <f t="shared" si="28"/>
        <v>14000</v>
      </c>
      <c r="I201" s="254">
        <v>70000</v>
      </c>
      <c r="J201" s="256">
        <f t="shared" si="29"/>
        <v>84000</v>
      </c>
      <c r="K201" s="146">
        <v>199500</v>
      </c>
      <c r="L201" s="146">
        <v>78423.208013308875</v>
      </c>
      <c r="M201" s="146">
        <v>277923.20801330887</v>
      </c>
      <c r="N201" s="99">
        <f t="shared" si="30"/>
        <v>14000</v>
      </c>
      <c r="O201" s="73">
        <f t="shared" si="31"/>
        <v>70000</v>
      </c>
      <c r="P201" s="73">
        <f t="shared" si="32"/>
        <v>84000</v>
      </c>
      <c r="Q201" s="301">
        <f t="shared" si="33"/>
        <v>13020</v>
      </c>
      <c r="R201" s="301">
        <f t="shared" si="34"/>
        <v>65100</v>
      </c>
      <c r="S201" s="300">
        <f t="shared" si="35"/>
        <v>78120</v>
      </c>
    </row>
    <row r="202" spans="1:19" ht="12" x14ac:dyDescent="0.2">
      <c r="A202" s="49">
        <v>189</v>
      </c>
      <c r="B202" s="47" t="s">
        <v>87</v>
      </c>
      <c r="C202" s="33" t="s">
        <v>153</v>
      </c>
      <c r="D202" s="111">
        <v>75080.178237308661</v>
      </c>
      <c r="E202" s="131">
        <v>23049.614718853758</v>
      </c>
      <c r="F202" s="131">
        <v>92198.458875415046</v>
      </c>
      <c r="G202" s="131">
        <f t="shared" si="27"/>
        <v>115248.0735942688</v>
      </c>
      <c r="H202" s="254">
        <f t="shared" si="28"/>
        <v>15000</v>
      </c>
      <c r="I202" s="254">
        <v>75000</v>
      </c>
      <c r="J202" s="256">
        <f t="shared" si="29"/>
        <v>90000</v>
      </c>
      <c r="K202" s="146">
        <v>124500</v>
      </c>
      <c r="L202" s="146">
        <v>83684.755214196135</v>
      </c>
      <c r="M202" s="146">
        <v>208184.75521419614</v>
      </c>
      <c r="N202" s="99">
        <f t="shared" si="30"/>
        <v>15000</v>
      </c>
      <c r="O202" s="73">
        <f t="shared" si="31"/>
        <v>75000</v>
      </c>
      <c r="P202" s="73">
        <f t="shared" si="32"/>
        <v>90000</v>
      </c>
      <c r="Q202" s="301">
        <f t="shared" si="33"/>
        <v>13950</v>
      </c>
      <c r="R202" s="301">
        <f t="shared" si="34"/>
        <v>69750</v>
      </c>
      <c r="S202" s="300">
        <f t="shared" si="35"/>
        <v>83700</v>
      </c>
    </row>
    <row r="203" spans="1:19" ht="12" x14ac:dyDescent="0.25">
      <c r="A203" s="49">
        <v>190</v>
      </c>
      <c r="B203" s="46" t="s">
        <v>129</v>
      </c>
      <c r="C203" s="33" t="s">
        <v>153</v>
      </c>
      <c r="D203" s="111">
        <v>183980.69201272694</v>
      </c>
      <c r="E203" s="131">
        <v>56482.07244790718</v>
      </c>
      <c r="F203" s="131">
        <v>225928.28979162872</v>
      </c>
      <c r="G203" s="131">
        <f t="shared" si="27"/>
        <v>282410.3622395359</v>
      </c>
      <c r="H203" s="254">
        <f t="shared" si="28"/>
        <v>44000</v>
      </c>
      <c r="I203" s="254">
        <v>220000</v>
      </c>
      <c r="J203" s="256">
        <f t="shared" si="29"/>
        <v>264000</v>
      </c>
      <c r="K203" s="146">
        <v>219500</v>
      </c>
      <c r="L203" s="146">
        <v>205791.05956934695</v>
      </c>
      <c r="M203" s="146">
        <v>425291.05956934695</v>
      </c>
      <c r="N203" s="99">
        <f t="shared" si="30"/>
        <v>44000</v>
      </c>
      <c r="O203" s="73">
        <f t="shared" si="31"/>
        <v>205791.05956934695</v>
      </c>
      <c r="P203" s="73">
        <f t="shared" si="32"/>
        <v>249791.05956934695</v>
      </c>
      <c r="Q203" s="301">
        <f t="shared" si="33"/>
        <v>40920</v>
      </c>
      <c r="R203" s="301">
        <f t="shared" si="34"/>
        <v>191385.68539949268</v>
      </c>
      <c r="S203" s="300">
        <f t="shared" si="35"/>
        <v>232305.68539949268</v>
      </c>
    </row>
    <row r="204" spans="1:19" ht="22.5" x14ac:dyDescent="0.25">
      <c r="A204" s="49"/>
      <c r="B204" s="29" t="s">
        <v>59</v>
      </c>
      <c r="C204" s="33"/>
      <c r="D204" s="111"/>
      <c r="E204" s="131">
        <v>0</v>
      </c>
      <c r="F204" s="131">
        <v>0</v>
      </c>
      <c r="G204" s="131">
        <f t="shared" si="27"/>
        <v>0</v>
      </c>
      <c r="H204" s="254">
        <f t="shared" si="28"/>
        <v>0</v>
      </c>
      <c r="I204" s="254"/>
      <c r="J204" s="256">
        <f t="shared" si="29"/>
        <v>0</v>
      </c>
      <c r="K204" s="146"/>
      <c r="L204" s="146"/>
      <c r="M204" s="146">
        <v>0</v>
      </c>
      <c r="N204" s="99">
        <f t="shared" si="30"/>
        <v>0</v>
      </c>
      <c r="O204" s="73">
        <f t="shared" si="31"/>
        <v>0</v>
      </c>
      <c r="P204" s="73">
        <f t="shared" si="32"/>
        <v>0</v>
      </c>
      <c r="Q204" s="301">
        <f t="shared" si="33"/>
        <v>0</v>
      </c>
      <c r="R204" s="301">
        <f t="shared" si="34"/>
        <v>0</v>
      </c>
      <c r="S204" s="300">
        <f t="shared" si="35"/>
        <v>0</v>
      </c>
    </row>
    <row r="205" spans="1:19" ht="12" x14ac:dyDescent="0.25">
      <c r="A205" s="49">
        <v>191</v>
      </c>
      <c r="B205" s="50" t="s">
        <v>60</v>
      </c>
      <c r="C205" s="33" t="s">
        <v>153</v>
      </c>
      <c r="D205" s="111">
        <v>150552.99196000001</v>
      </c>
      <c r="E205" s="131">
        <v>46219.768531720008</v>
      </c>
      <c r="F205" s="131">
        <v>184879.07412688003</v>
      </c>
      <c r="G205" s="131">
        <f t="shared" si="27"/>
        <v>231098.84265860004</v>
      </c>
      <c r="H205" s="254">
        <f t="shared" si="28"/>
        <v>36000</v>
      </c>
      <c r="I205" s="254">
        <v>180000</v>
      </c>
      <c r="J205" s="256">
        <f t="shared" si="29"/>
        <v>216000</v>
      </c>
      <c r="K205" s="146">
        <v>74500</v>
      </c>
      <c r="L205" s="146">
        <v>152087.28479107301</v>
      </c>
      <c r="M205" s="146">
        <v>226587.28479107301</v>
      </c>
      <c r="N205" s="99">
        <f t="shared" si="30"/>
        <v>36000</v>
      </c>
      <c r="O205" s="73">
        <f t="shared" si="31"/>
        <v>152087.28479107301</v>
      </c>
      <c r="P205" s="73">
        <f t="shared" si="32"/>
        <v>188087.28479107301</v>
      </c>
      <c r="Q205" s="301">
        <f t="shared" si="33"/>
        <v>33480</v>
      </c>
      <c r="R205" s="301">
        <f t="shared" si="34"/>
        <v>141441.1748556979</v>
      </c>
      <c r="S205" s="300">
        <f t="shared" si="35"/>
        <v>174921.1748556979</v>
      </c>
    </row>
    <row r="206" spans="1:19" ht="12" x14ac:dyDescent="0.25">
      <c r="A206" s="49">
        <v>192</v>
      </c>
      <c r="B206" s="50" t="s">
        <v>131</v>
      </c>
      <c r="C206" s="33" t="s">
        <v>153</v>
      </c>
      <c r="D206" s="111">
        <v>35035.245000000003</v>
      </c>
      <c r="E206" s="131">
        <v>10755.820215</v>
      </c>
      <c r="F206" s="131">
        <v>43023.280860000006</v>
      </c>
      <c r="G206" s="131">
        <f t="shared" si="27"/>
        <v>53779.101075000006</v>
      </c>
      <c r="H206" s="254">
        <f t="shared" si="28"/>
        <v>8000</v>
      </c>
      <c r="I206" s="254">
        <v>40000</v>
      </c>
      <c r="J206" s="256">
        <f t="shared" si="29"/>
        <v>48000</v>
      </c>
      <c r="K206" s="146">
        <v>74500</v>
      </c>
      <c r="L206" s="146">
        <v>33289.752666248445</v>
      </c>
      <c r="M206" s="146">
        <v>107789.75266624845</v>
      </c>
      <c r="N206" s="99">
        <f t="shared" si="30"/>
        <v>8000</v>
      </c>
      <c r="O206" s="73">
        <f t="shared" si="31"/>
        <v>33289.752666248445</v>
      </c>
      <c r="P206" s="73">
        <f t="shared" si="32"/>
        <v>41289.752666248445</v>
      </c>
      <c r="Q206" s="301">
        <f t="shared" si="33"/>
        <v>7440</v>
      </c>
      <c r="R206" s="301">
        <f t="shared" si="34"/>
        <v>30959.469979611054</v>
      </c>
      <c r="S206" s="300">
        <f t="shared" si="35"/>
        <v>38399.469979611051</v>
      </c>
    </row>
    <row r="207" spans="1:19" ht="12" x14ac:dyDescent="0.25">
      <c r="A207" s="49">
        <v>193</v>
      </c>
      <c r="B207" s="50" t="s">
        <v>244</v>
      </c>
      <c r="C207" s="33" t="s">
        <v>153</v>
      </c>
      <c r="D207" s="111">
        <v>41662.122600000002</v>
      </c>
      <c r="E207" s="131">
        <v>12790.2716382</v>
      </c>
      <c r="F207" s="131">
        <v>51161.086552800007</v>
      </c>
      <c r="G207" s="131">
        <f t="shared" si="27"/>
        <v>63951.358191000007</v>
      </c>
      <c r="H207" s="254">
        <f t="shared" si="28"/>
        <v>10000</v>
      </c>
      <c r="I207" s="254">
        <v>50000</v>
      </c>
      <c r="J207" s="256">
        <f t="shared" si="29"/>
        <v>60000</v>
      </c>
      <c r="K207" s="146">
        <v>74500</v>
      </c>
      <c r="L207" s="146">
        <v>124039.76555885701</v>
      </c>
      <c r="M207" s="146">
        <v>198539.76555885701</v>
      </c>
      <c r="N207" s="99">
        <f t="shared" si="30"/>
        <v>10000</v>
      </c>
      <c r="O207" s="73">
        <f t="shared" si="31"/>
        <v>50000</v>
      </c>
      <c r="P207" s="73">
        <f t="shared" si="32"/>
        <v>60000</v>
      </c>
      <c r="Q207" s="301">
        <f t="shared" si="33"/>
        <v>9300</v>
      </c>
      <c r="R207" s="301">
        <f t="shared" si="34"/>
        <v>46500</v>
      </c>
      <c r="S207" s="300">
        <f t="shared" si="35"/>
        <v>55800</v>
      </c>
    </row>
    <row r="208" spans="1:19" ht="12" x14ac:dyDescent="0.25">
      <c r="A208" s="49">
        <v>194</v>
      </c>
      <c r="B208" s="50" t="s">
        <v>61</v>
      </c>
      <c r="C208" s="33" t="s">
        <v>153</v>
      </c>
      <c r="D208" s="111">
        <v>55178.147670800012</v>
      </c>
      <c r="E208" s="131">
        <v>16939.691334935604</v>
      </c>
      <c r="F208" s="131">
        <v>67758.765339742429</v>
      </c>
      <c r="G208" s="131">
        <f t="shared" si="27"/>
        <v>84698.456674678033</v>
      </c>
      <c r="H208" s="254">
        <f t="shared" si="28"/>
        <v>14000</v>
      </c>
      <c r="I208" s="254">
        <v>70000</v>
      </c>
      <c r="J208" s="256">
        <f t="shared" si="29"/>
        <v>84000</v>
      </c>
      <c r="K208" s="146">
        <v>74500</v>
      </c>
      <c r="L208" s="146">
        <v>108608.551427012</v>
      </c>
      <c r="M208" s="146">
        <v>183108.55142701202</v>
      </c>
      <c r="N208" s="99">
        <f t="shared" si="30"/>
        <v>14000</v>
      </c>
      <c r="O208" s="73">
        <f t="shared" si="31"/>
        <v>67758.765339742429</v>
      </c>
      <c r="P208" s="73">
        <f t="shared" si="32"/>
        <v>81758.765339742429</v>
      </c>
      <c r="Q208" s="301">
        <f t="shared" si="33"/>
        <v>13020</v>
      </c>
      <c r="R208" s="301">
        <f t="shared" si="34"/>
        <v>63015.651765960458</v>
      </c>
      <c r="S208" s="300">
        <f t="shared" si="35"/>
        <v>76035.651765960458</v>
      </c>
    </row>
    <row r="209" spans="1:19" ht="12" x14ac:dyDescent="0.25">
      <c r="A209" s="49">
        <v>195</v>
      </c>
      <c r="B209" s="50" t="s">
        <v>118</v>
      </c>
      <c r="C209" s="33" t="s">
        <v>153</v>
      </c>
      <c r="D209" s="111">
        <v>162525.72839999999</v>
      </c>
      <c r="E209" s="131">
        <v>49895.398618799984</v>
      </c>
      <c r="F209" s="131">
        <v>199581.59447520002</v>
      </c>
      <c r="G209" s="131">
        <f t="shared" si="27"/>
        <v>249476.993094</v>
      </c>
      <c r="H209" s="254">
        <f t="shared" si="28"/>
        <v>4000</v>
      </c>
      <c r="I209" s="254">
        <v>20000</v>
      </c>
      <c r="J209" s="256">
        <f t="shared" si="29"/>
        <v>24000</v>
      </c>
      <c r="K209" s="146">
        <v>74500</v>
      </c>
      <c r="L209" s="146">
        <v>174884.20515661518</v>
      </c>
      <c r="M209" s="146">
        <v>249384.20515661518</v>
      </c>
      <c r="N209" s="99">
        <f t="shared" si="30"/>
        <v>4000</v>
      </c>
      <c r="O209" s="73">
        <f t="shared" si="31"/>
        <v>20000</v>
      </c>
      <c r="P209" s="73">
        <f t="shared" si="32"/>
        <v>24000</v>
      </c>
      <c r="Q209" s="301">
        <f t="shared" si="33"/>
        <v>3720</v>
      </c>
      <c r="R209" s="301">
        <f t="shared" si="34"/>
        <v>18600</v>
      </c>
      <c r="S209" s="300">
        <f t="shared" si="35"/>
        <v>22320</v>
      </c>
    </row>
    <row r="210" spans="1:19" ht="12" x14ac:dyDescent="0.25">
      <c r="A210" s="49">
        <v>196</v>
      </c>
      <c r="B210" s="50" t="s">
        <v>321</v>
      </c>
      <c r="C210" s="33" t="s">
        <v>153</v>
      </c>
      <c r="D210" s="111">
        <v>164052</v>
      </c>
      <c r="E210" s="131">
        <v>50363.964000000007</v>
      </c>
      <c r="F210" s="131">
        <v>201455.85600000003</v>
      </c>
      <c r="G210" s="131">
        <f t="shared" si="27"/>
        <v>251819.82000000004</v>
      </c>
      <c r="H210" s="254">
        <f t="shared" si="28"/>
        <v>42000</v>
      </c>
      <c r="I210" s="254">
        <v>210000</v>
      </c>
      <c r="J210" s="256">
        <f t="shared" si="29"/>
        <v>252000</v>
      </c>
      <c r="K210" s="146">
        <v>74500</v>
      </c>
      <c r="L210" s="146">
        <v>218870.73975603268</v>
      </c>
      <c r="M210" s="146">
        <v>293370.73975603271</v>
      </c>
      <c r="N210" s="99">
        <f t="shared" si="30"/>
        <v>42000</v>
      </c>
      <c r="O210" s="73">
        <f t="shared" si="31"/>
        <v>201455.85600000003</v>
      </c>
      <c r="P210" s="73">
        <f t="shared" si="32"/>
        <v>243455.85600000003</v>
      </c>
      <c r="Q210" s="301">
        <f t="shared" si="33"/>
        <v>39060</v>
      </c>
      <c r="R210" s="301">
        <f t="shared" si="34"/>
        <v>187353.94608000002</v>
      </c>
      <c r="S210" s="300">
        <f t="shared" si="35"/>
        <v>226413.94608000002</v>
      </c>
    </row>
    <row r="211" spans="1:19" ht="12" x14ac:dyDescent="0.25">
      <c r="A211" s="49">
        <v>197</v>
      </c>
      <c r="B211" s="50" t="s">
        <v>104</v>
      </c>
      <c r="C211" s="33" t="s">
        <v>153</v>
      </c>
      <c r="D211" s="111">
        <v>164052</v>
      </c>
      <c r="E211" s="131">
        <v>50363.964000000007</v>
      </c>
      <c r="F211" s="131">
        <v>201455.85600000003</v>
      </c>
      <c r="G211" s="131">
        <f t="shared" si="27"/>
        <v>251819.82000000004</v>
      </c>
      <c r="H211" s="254">
        <f t="shared" si="28"/>
        <v>42000</v>
      </c>
      <c r="I211" s="254">
        <v>210000</v>
      </c>
      <c r="J211" s="256">
        <f t="shared" si="29"/>
        <v>252000</v>
      </c>
      <c r="K211" s="146">
        <v>74500</v>
      </c>
      <c r="L211" s="146">
        <v>218870.73975603268</v>
      </c>
      <c r="M211" s="146">
        <v>293370.73975603271</v>
      </c>
      <c r="N211" s="99">
        <f t="shared" si="30"/>
        <v>42000</v>
      </c>
      <c r="O211" s="73">
        <f t="shared" si="31"/>
        <v>201455.85600000003</v>
      </c>
      <c r="P211" s="73">
        <f t="shared" si="32"/>
        <v>243455.85600000003</v>
      </c>
      <c r="Q211" s="301">
        <f t="shared" si="33"/>
        <v>39060</v>
      </c>
      <c r="R211" s="301">
        <f t="shared" si="34"/>
        <v>187353.94608000002</v>
      </c>
      <c r="S211" s="300">
        <f t="shared" si="35"/>
        <v>226413.94608000002</v>
      </c>
    </row>
    <row r="212" spans="1:19" ht="12" x14ac:dyDescent="0.25">
      <c r="A212" s="49">
        <v>198</v>
      </c>
      <c r="B212" s="50" t="s">
        <v>247</v>
      </c>
      <c r="C212" s="33" t="s">
        <v>153</v>
      </c>
      <c r="D212" s="111">
        <v>15000</v>
      </c>
      <c r="E212" s="131">
        <v>4605</v>
      </c>
      <c r="F212" s="131">
        <v>18420.000000000004</v>
      </c>
      <c r="G212" s="131">
        <f t="shared" si="27"/>
        <v>23025.000000000004</v>
      </c>
      <c r="H212" s="254">
        <f t="shared" si="28"/>
        <v>3000</v>
      </c>
      <c r="I212" s="254">
        <v>15000</v>
      </c>
      <c r="J212" s="256">
        <f t="shared" si="29"/>
        <v>18000</v>
      </c>
      <c r="K212" s="146">
        <v>74500</v>
      </c>
      <c r="L212" s="146">
        <v>12850</v>
      </c>
      <c r="M212" s="146">
        <v>87350</v>
      </c>
      <c r="N212" s="99">
        <f t="shared" si="30"/>
        <v>3000</v>
      </c>
      <c r="O212" s="73">
        <f t="shared" si="31"/>
        <v>12850</v>
      </c>
      <c r="P212" s="73">
        <f t="shared" si="32"/>
        <v>15850</v>
      </c>
      <c r="Q212" s="301">
        <f t="shared" si="33"/>
        <v>2790</v>
      </c>
      <c r="R212" s="301">
        <f t="shared" si="34"/>
        <v>11950.5</v>
      </c>
      <c r="S212" s="300">
        <f t="shared" si="35"/>
        <v>14740.5</v>
      </c>
    </row>
    <row r="213" spans="1:19" ht="12" x14ac:dyDescent="0.25">
      <c r="A213" s="49">
        <v>199</v>
      </c>
      <c r="B213" s="50" t="s">
        <v>248</v>
      </c>
      <c r="C213" s="33" t="s">
        <v>153</v>
      </c>
      <c r="D213" s="111">
        <v>29494.789702487076</v>
      </c>
      <c r="E213" s="131">
        <v>9054.9004386635352</v>
      </c>
      <c r="F213" s="131">
        <v>36219.601754654133</v>
      </c>
      <c r="G213" s="131">
        <f t="shared" si="27"/>
        <v>45274.502193317669</v>
      </c>
      <c r="H213" s="254">
        <f t="shared" si="28"/>
        <v>6400</v>
      </c>
      <c r="I213" s="254">
        <v>32000</v>
      </c>
      <c r="J213" s="256">
        <f t="shared" si="29"/>
        <v>38400</v>
      </c>
      <c r="K213" s="146">
        <v>74500</v>
      </c>
      <c r="L213" s="146">
        <v>25750.362835213498</v>
      </c>
      <c r="M213" s="146">
        <v>100250.3628352135</v>
      </c>
      <c r="N213" s="99">
        <f t="shared" si="30"/>
        <v>6400</v>
      </c>
      <c r="O213" s="73">
        <f t="shared" si="31"/>
        <v>25750.362835213498</v>
      </c>
      <c r="P213" s="73">
        <f t="shared" si="32"/>
        <v>32150.362835213498</v>
      </c>
      <c r="Q213" s="301">
        <f t="shared" si="33"/>
        <v>5952</v>
      </c>
      <c r="R213" s="301">
        <f t="shared" si="34"/>
        <v>23947.837436748552</v>
      </c>
      <c r="S213" s="300">
        <f t="shared" si="35"/>
        <v>29899.837436748552</v>
      </c>
    </row>
    <row r="214" spans="1:19" ht="12" x14ac:dyDescent="0.25">
      <c r="A214" s="49">
        <v>200</v>
      </c>
      <c r="B214" s="50" t="s">
        <v>249</v>
      </c>
      <c r="C214" s="33" t="s">
        <v>153</v>
      </c>
      <c r="D214" s="111">
        <v>24445.600200000001</v>
      </c>
      <c r="E214" s="131">
        <v>7504.7992613999995</v>
      </c>
      <c r="F214" s="131">
        <v>30019.197045600002</v>
      </c>
      <c r="G214" s="131">
        <f t="shared" si="27"/>
        <v>37523.996307000001</v>
      </c>
      <c r="H214" s="254">
        <f t="shared" si="28"/>
        <v>6000</v>
      </c>
      <c r="I214" s="254">
        <v>30000</v>
      </c>
      <c r="J214" s="256">
        <f t="shared" si="29"/>
        <v>36000</v>
      </c>
      <c r="K214" s="146">
        <v>74500</v>
      </c>
      <c r="L214" s="146">
        <v>23371.611791096668</v>
      </c>
      <c r="M214" s="146">
        <v>97871.611791096671</v>
      </c>
      <c r="N214" s="99">
        <f t="shared" si="30"/>
        <v>6000</v>
      </c>
      <c r="O214" s="73">
        <f t="shared" si="31"/>
        <v>23371.611791096668</v>
      </c>
      <c r="P214" s="73">
        <f t="shared" si="32"/>
        <v>29371.611791096668</v>
      </c>
      <c r="Q214" s="301">
        <f t="shared" si="33"/>
        <v>5580</v>
      </c>
      <c r="R214" s="301">
        <f t="shared" si="34"/>
        <v>21735.598965719902</v>
      </c>
      <c r="S214" s="300">
        <f t="shared" si="35"/>
        <v>27315.598965719902</v>
      </c>
    </row>
    <row r="215" spans="1:19" ht="22.5" x14ac:dyDescent="0.25">
      <c r="A215" s="49"/>
      <c r="B215" s="41" t="s">
        <v>47</v>
      </c>
      <c r="C215" s="33"/>
      <c r="D215" s="111"/>
      <c r="E215" s="131">
        <v>0</v>
      </c>
      <c r="F215" s="131">
        <v>0</v>
      </c>
      <c r="G215" s="131">
        <f t="shared" si="27"/>
        <v>0</v>
      </c>
      <c r="H215" s="254">
        <f t="shared" si="28"/>
        <v>0</v>
      </c>
      <c r="I215" s="254"/>
      <c r="J215" s="256">
        <f t="shared" si="29"/>
        <v>0</v>
      </c>
      <c r="K215" s="146"/>
      <c r="L215" s="146"/>
      <c r="M215" s="146">
        <v>0</v>
      </c>
      <c r="N215" s="99">
        <f t="shared" si="30"/>
        <v>0</v>
      </c>
      <c r="O215" s="73">
        <f t="shared" si="31"/>
        <v>0</v>
      </c>
      <c r="P215" s="73">
        <f t="shared" si="32"/>
        <v>0</v>
      </c>
      <c r="Q215" s="301">
        <f t="shared" si="33"/>
        <v>0</v>
      </c>
      <c r="R215" s="301">
        <f t="shared" si="34"/>
        <v>0</v>
      </c>
      <c r="S215" s="300">
        <f t="shared" si="35"/>
        <v>0</v>
      </c>
    </row>
    <row r="216" spans="1:19" ht="12" x14ac:dyDescent="0.25">
      <c r="A216" s="49">
        <v>201</v>
      </c>
      <c r="B216" s="50" t="s">
        <v>48</v>
      </c>
      <c r="C216" s="33" t="s">
        <v>153</v>
      </c>
      <c r="D216" s="111">
        <v>690714.4792286444</v>
      </c>
      <c r="E216" s="131">
        <v>212049.34512319381</v>
      </c>
      <c r="F216" s="131">
        <v>848197.38049277535</v>
      </c>
      <c r="G216" s="131">
        <f t="shared" si="27"/>
        <v>1060246.7256159692</v>
      </c>
      <c r="H216" s="254">
        <f t="shared" si="28"/>
        <v>160000</v>
      </c>
      <c r="I216" s="254">
        <v>800000</v>
      </c>
      <c r="J216" s="256">
        <f t="shared" si="29"/>
        <v>960000</v>
      </c>
      <c r="K216" s="146">
        <v>219500</v>
      </c>
      <c r="L216" s="146">
        <v>614235.88651349349</v>
      </c>
      <c r="M216" s="146">
        <v>833735.88651349349</v>
      </c>
      <c r="N216" s="99">
        <f t="shared" si="30"/>
        <v>160000</v>
      </c>
      <c r="O216" s="73">
        <f t="shared" si="31"/>
        <v>614235.88651349349</v>
      </c>
      <c r="P216" s="73">
        <f t="shared" si="32"/>
        <v>774235.88651349349</v>
      </c>
      <c r="Q216" s="301">
        <f t="shared" si="33"/>
        <v>148800</v>
      </c>
      <c r="R216" s="301">
        <f t="shared" si="34"/>
        <v>571239.37445754895</v>
      </c>
      <c r="S216" s="300">
        <f t="shared" si="35"/>
        <v>720039.37445754895</v>
      </c>
    </row>
    <row r="217" spans="1:19" ht="12" x14ac:dyDescent="0.25">
      <c r="A217" s="49">
        <v>202</v>
      </c>
      <c r="B217" s="50" t="s">
        <v>49</v>
      </c>
      <c r="C217" s="33" t="s">
        <v>153</v>
      </c>
      <c r="D217" s="111">
        <v>470648.1458</v>
      </c>
      <c r="E217" s="131">
        <v>144488.98076059995</v>
      </c>
      <c r="F217" s="131">
        <v>577955.92304240016</v>
      </c>
      <c r="G217" s="131">
        <f t="shared" si="27"/>
        <v>722444.90380300011</v>
      </c>
      <c r="H217" s="254">
        <f t="shared" si="28"/>
        <v>116000</v>
      </c>
      <c r="I217" s="254">
        <v>580000</v>
      </c>
      <c r="J217" s="256">
        <f t="shared" si="29"/>
        <v>696000</v>
      </c>
      <c r="K217" s="146">
        <v>219500</v>
      </c>
      <c r="L217" s="146">
        <v>438848.20284559357</v>
      </c>
      <c r="M217" s="146">
        <v>658348.20284559357</v>
      </c>
      <c r="N217" s="99">
        <f t="shared" si="30"/>
        <v>116000</v>
      </c>
      <c r="O217" s="73">
        <f t="shared" si="31"/>
        <v>438848.20284559357</v>
      </c>
      <c r="P217" s="73">
        <f t="shared" si="32"/>
        <v>554848.20284559357</v>
      </c>
      <c r="Q217" s="301">
        <f t="shared" si="33"/>
        <v>107880</v>
      </c>
      <c r="R217" s="301">
        <f t="shared" si="34"/>
        <v>408128.82864640199</v>
      </c>
      <c r="S217" s="300">
        <f t="shared" si="35"/>
        <v>516008.82864640199</v>
      </c>
    </row>
    <row r="218" spans="1:19" ht="12" x14ac:dyDescent="0.25">
      <c r="A218" s="49">
        <v>203</v>
      </c>
      <c r="B218" s="50" t="s">
        <v>322</v>
      </c>
      <c r="C218" s="33" t="s">
        <v>153</v>
      </c>
      <c r="D218" s="111">
        <v>46481.4</v>
      </c>
      <c r="E218" s="131">
        <v>14269.789799999999</v>
      </c>
      <c r="F218" s="131">
        <v>57079.159200000009</v>
      </c>
      <c r="G218" s="131">
        <f t="shared" si="27"/>
        <v>71348.949000000008</v>
      </c>
      <c r="H218" s="254">
        <f t="shared" si="28"/>
        <v>10000</v>
      </c>
      <c r="I218" s="254">
        <v>50000</v>
      </c>
      <c r="J218" s="256">
        <f t="shared" si="29"/>
        <v>60000</v>
      </c>
      <c r="K218" s="146">
        <v>94500</v>
      </c>
      <c r="L218" s="146">
        <v>123265.02268577884</v>
      </c>
      <c r="M218" s="146">
        <v>217765.02268577885</v>
      </c>
      <c r="N218" s="99">
        <f t="shared" si="30"/>
        <v>10000</v>
      </c>
      <c r="O218" s="73">
        <f t="shared" si="31"/>
        <v>50000</v>
      </c>
      <c r="P218" s="73">
        <f t="shared" si="32"/>
        <v>60000</v>
      </c>
      <c r="Q218" s="301">
        <f t="shared" si="33"/>
        <v>9300</v>
      </c>
      <c r="R218" s="301">
        <f t="shared" si="34"/>
        <v>46500</v>
      </c>
      <c r="S218" s="300">
        <f t="shared" si="35"/>
        <v>55800</v>
      </c>
    </row>
    <row r="219" spans="1:19" ht="12" x14ac:dyDescent="0.25">
      <c r="A219" s="49">
        <v>204</v>
      </c>
      <c r="B219" s="50" t="s">
        <v>50</v>
      </c>
      <c r="C219" s="33" t="s">
        <v>153</v>
      </c>
      <c r="D219" s="111">
        <v>139061.82324244812</v>
      </c>
      <c r="E219" s="131">
        <v>42691.979735431552</v>
      </c>
      <c r="F219" s="131">
        <v>170767.91894172633</v>
      </c>
      <c r="G219" s="131">
        <f t="shared" si="27"/>
        <v>213459.89867715788</v>
      </c>
      <c r="H219" s="254">
        <f t="shared" si="28"/>
        <v>32000</v>
      </c>
      <c r="I219" s="254">
        <v>160000</v>
      </c>
      <c r="J219" s="256">
        <f t="shared" si="29"/>
        <v>192000</v>
      </c>
      <c r="K219" s="146">
        <v>124500</v>
      </c>
      <c r="L219" s="146">
        <v>123265.02268577884</v>
      </c>
      <c r="M219" s="146">
        <v>247765.02268577885</v>
      </c>
      <c r="N219" s="99">
        <f t="shared" si="30"/>
        <v>32000</v>
      </c>
      <c r="O219" s="73">
        <f t="shared" si="31"/>
        <v>123265.02268577884</v>
      </c>
      <c r="P219" s="73">
        <f t="shared" si="32"/>
        <v>155265.02268577885</v>
      </c>
      <c r="Q219" s="301">
        <f t="shared" si="33"/>
        <v>29760</v>
      </c>
      <c r="R219" s="301">
        <f t="shared" si="34"/>
        <v>114636.47109777432</v>
      </c>
      <c r="S219" s="300">
        <f t="shared" si="35"/>
        <v>144396.47109777434</v>
      </c>
    </row>
    <row r="220" spans="1:19" ht="12" x14ac:dyDescent="0.25">
      <c r="A220" s="49">
        <v>205</v>
      </c>
      <c r="B220" s="50" t="s">
        <v>51</v>
      </c>
      <c r="C220" s="33" t="s">
        <v>153</v>
      </c>
      <c r="D220" s="111">
        <v>235662.22182578631</v>
      </c>
      <c r="E220" s="131">
        <v>72348.30210051639</v>
      </c>
      <c r="F220" s="131">
        <v>289393.20840206562</v>
      </c>
      <c r="G220" s="131">
        <f t="shared" si="27"/>
        <v>361741.51050258201</v>
      </c>
      <c r="H220" s="254">
        <f t="shared" si="28"/>
        <v>56000</v>
      </c>
      <c r="I220" s="254">
        <v>280000</v>
      </c>
      <c r="J220" s="256">
        <f t="shared" si="29"/>
        <v>336000</v>
      </c>
      <c r="K220" s="146">
        <v>124500</v>
      </c>
      <c r="L220" s="146">
        <v>209239.37742494981</v>
      </c>
      <c r="M220" s="146">
        <v>333739.37742494978</v>
      </c>
      <c r="N220" s="99">
        <f t="shared" si="30"/>
        <v>56000</v>
      </c>
      <c r="O220" s="73">
        <f t="shared" si="31"/>
        <v>209239.37742494981</v>
      </c>
      <c r="P220" s="73">
        <f t="shared" si="32"/>
        <v>265239.37742494978</v>
      </c>
      <c r="Q220" s="301">
        <f t="shared" si="33"/>
        <v>52080</v>
      </c>
      <c r="R220" s="301">
        <f t="shared" si="34"/>
        <v>194592.62100520331</v>
      </c>
      <c r="S220" s="300">
        <f t="shared" si="35"/>
        <v>246672.62100520331</v>
      </c>
    </row>
    <row r="221" spans="1:19" ht="12" x14ac:dyDescent="0.25">
      <c r="A221" s="49">
        <v>206</v>
      </c>
      <c r="B221" s="50" t="s">
        <v>52</v>
      </c>
      <c r="C221" s="33" t="s">
        <v>153</v>
      </c>
      <c r="D221" s="111">
        <v>343612.02960000001</v>
      </c>
      <c r="E221" s="131">
        <v>105488.89308720001</v>
      </c>
      <c r="F221" s="131">
        <v>421955.57234880002</v>
      </c>
      <c r="G221" s="131">
        <f t="shared" si="27"/>
        <v>527444.46543600003</v>
      </c>
      <c r="H221" s="254">
        <f t="shared" si="28"/>
        <v>80000</v>
      </c>
      <c r="I221" s="254">
        <v>400000</v>
      </c>
      <c r="J221" s="256">
        <f t="shared" si="29"/>
        <v>480000</v>
      </c>
      <c r="K221" s="146">
        <v>219500</v>
      </c>
      <c r="L221" s="146">
        <v>365164.04616849811</v>
      </c>
      <c r="M221" s="146">
        <v>584664.04616849811</v>
      </c>
      <c r="N221" s="99">
        <f t="shared" si="30"/>
        <v>80000</v>
      </c>
      <c r="O221" s="73">
        <f t="shared" si="31"/>
        <v>365164.04616849811</v>
      </c>
      <c r="P221" s="73">
        <f t="shared" si="32"/>
        <v>445164.04616849811</v>
      </c>
      <c r="Q221" s="301">
        <f t="shared" si="33"/>
        <v>74400</v>
      </c>
      <c r="R221" s="301">
        <f t="shared" si="34"/>
        <v>339602.56293670327</v>
      </c>
      <c r="S221" s="300">
        <f t="shared" si="35"/>
        <v>414002.56293670327</v>
      </c>
    </row>
    <row r="222" spans="1:19" ht="12" x14ac:dyDescent="0.25">
      <c r="A222" s="49">
        <v>207</v>
      </c>
      <c r="B222" s="50" t="s">
        <v>53</v>
      </c>
      <c r="C222" s="33" t="s">
        <v>153</v>
      </c>
      <c r="D222" s="111">
        <v>372779.45600000001</v>
      </c>
      <c r="E222" s="131">
        <v>114443.292992</v>
      </c>
      <c r="F222" s="131">
        <v>457773.17196800001</v>
      </c>
      <c r="G222" s="131">
        <f t="shared" si="27"/>
        <v>572216.46496000001</v>
      </c>
      <c r="H222" s="254">
        <f t="shared" si="28"/>
        <v>84000</v>
      </c>
      <c r="I222" s="254">
        <v>420000</v>
      </c>
      <c r="J222" s="256">
        <f t="shared" si="29"/>
        <v>504000</v>
      </c>
      <c r="K222" s="146">
        <v>124500</v>
      </c>
      <c r="L222" s="146">
        <v>392761.33267178095</v>
      </c>
      <c r="M222" s="146">
        <v>517261.33267178095</v>
      </c>
      <c r="N222" s="99">
        <f t="shared" si="30"/>
        <v>84000</v>
      </c>
      <c r="O222" s="73">
        <f t="shared" si="31"/>
        <v>392761.33267178095</v>
      </c>
      <c r="P222" s="73">
        <f t="shared" si="32"/>
        <v>476761.33267178095</v>
      </c>
      <c r="Q222" s="301">
        <f t="shared" si="33"/>
        <v>78120</v>
      </c>
      <c r="R222" s="301">
        <f t="shared" si="34"/>
        <v>365268.0393847563</v>
      </c>
      <c r="S222" s="300">
        <f t="shared" si="35"/>
        <v>443388.0393847563</v>
      </c>
    </row>
    <row r="223" spans="1:19" ht="12" x14ac:dyDescent="0.25">
      <c r="A223" s="49">
        <v>208</v>
      </c>
      <c r="B223" s="50" t="s">
        <v>54</v>
      </c>
      <c r="C223" s="33" t="s">
        <v>153</v>
      </c>
      <c r="D223" s="111">
        <v>449180.70513783972</v>
      </c>
      <c r="E223" s="131">
        <v>137898.47647731681</v>
      </c>
      <c r="F223" s="131">
        <v>551593.90590926725</v>
      </c>
      <c r="G223" s="131">
        <f t="shared" si="27"/>
        <v>689492.38238658407</v>
      </c>
      <c r="H223" s="254">
        <f t="shared" si="28"/>
        <v>110000</v>
      </c>
      <c r="I223" s="254">
        <v>550000</v>
      </c>
      <c r="J223" s="256">
        <f t="shared" si="29"/>
        <v>660000</v>
      </c>
      <c r="K223" s="146">
        <v>124500</v>
      </c>
      <c r="L223" s="146">
        <v>503150.47868491238</v>
      </c>
      <c r="M223" s="146">
        <v>627650.47868491244</v>
      </c>
      <c r="N223" s="99">
        <f t="shared" si="30"/>
        <v>110000</v>
      </c>
      <c r="O223" s="73">
        <f t="shared" si="31"/>
        <v>503150.47868491238</v>
      </c>
      <c r="P223" s="73">
        <f t="shared" si="32"/>
        <v>613150.47868491244</v>
      </c>
      <c r="Q223" s="301">
        <f t="shared" si="33"/>
        <v>102300</v>
      </c>
      <c r="R223" s="301">
        <f t="shared" si="34"/>
        <v>467929.94517696853</v>
      </c>
      <c r="S223" s="300">
        <f t="shared" si="35"/>
        <v>570229.94517696858</v>
      </c>
    </row>
    <row r="224" spans="1:19" ht="12" x14ac:dyDescent="0.25">
      <c r="A224" s="49">
        <v>209</v>
      </c>
      <c r="B224" s="50" t="s">
        <v>251</v>
      </c>
      <c r="C224" s="33" t="s">
        <v>153</v>
      </c>
      <c r="D224" s="111">
        <v>726287.48145536799</v>
      </c>
      <c r="E224" s="131">
        <v>222970.25680679793</v>
      </c>
      <c r="F224" s="131">
        <v>891881.02722719207</v>
      </c>
      <c r="G224" s="131">
        <f t="shared" si="27"/>
        <v>1114851.28403399</v>
      </c>
      <c r="H224" s="254">
        <f t="shared" si="28"/>
        <v>166000</v>
      </c>
      <c r="I224" s="254">
        <v>830000</v>
      </c>
      <c r="J224" s="256">
        <f t="shared" si="29"/>
        <v>996000</v>
      </c>
      <c r="K224" s="146">
        <v>374500</v>
      </c>
      <c r="L224" s="146">
        <v>645895.85849527747</v>
      </c>
      <c r="M224" s="146">
        <v>1020395.8584952775</v>
      </c>
      <c r="N224" s="99">
        <f t="shared" si="30"/>
        <v>166000</v>
      </c>
      <c r="O224" s="73">
        <f t="shared" si="31"/>
        <v>645895.85849527747</v>
      </c>
      <c r="P224" s="73">
        <f t="shared" si="32"/>
        <v>811895.85849527747</v>
      </c>
      <c r="Q224" s="301">
        <f t="shared" si="33"/>
        <v>154380</v>
      </c>
      <c r="R224" s="301">
        <f t="shared" si="34"/>
        <v>600683.14840060798</v>
      </c>
      <c r="S224" s="300">
        <f t="shared" si="35"/>
        <v>755063.14840060798</v>
      </c>
    </row>
    <row r="225" spans="1:19" ht="12" x14ac:dyDescent="0.25">
      <c r="A225" s="49">
        <v>210</v>
      </c>
      <c r="B225" s="50" t="s">
        <v>252</v>
      </c>
      <c r="C225" s="33" t="s">
        <v>153</v>
      </c>
      <c r="D225" s="111">
        <v>747348</v>
      </c>
      <c r="E225" s="131">
        <v>229435.83600000001</v>
      </c>
      <c r="F225" s="131">
        <v>917743.34400000016</v>
      </c>
      <c r="G225" s="131">
        <f t="shared" si="27"/>
        <v>1147179.1800000002</v>
      </c>
      <c r="H225" s="254">
        <f t="shared" si="28"/>
        <v>171600</v>
      </c>
      <c r="I225" s="254">
        <v>858000</v>
      </c>
      <c r="J225" s="256">
        <f t="shared" si="29"/>
        <v>1029600</v>
      </c>
      <c r="K225" s="146">
        <v>374500</v>
      </c>
      <c r="L225" s="146">
        <v>729300</v>
      </c>
      <c r="M225" s="146">
        <v>1103800</v>
      </c>
      <c r="N225" s="99">
        <f t="shared" si="30"/>
        <v>171600</v>
      </c>
      <c r="O225" s="73">
        <f t="shared" si="31"/>
        <v>729300</v>
      </c>
      <c r="P225" s="73">
        <f t="shared" si="32"/>
        <v>900900</v>
      </c>
      <c r="Q225" s="301">
        <f t="shared" si="33"/>
        <v>159588</v>
      </c>
      <c r="R225" s="301">
        <f t="shared" si="34"/>
        <v>678249</v>
      </c>
      <c r="S225" s="300">
        <f t="shared" si="35"/>
        <v>837837</v>
      </c>
    </row>
    <row r="226" spans="1:19" ht="12" x14ac:dyDescent="0.25">
      <c r="A226" s="49">
        <v>211</v>
      </c>
      <c r="B226" s="48" t="s">
        <v>58</v>
      </c>
      <c r="C226" s="33" t="s">
        <v>153</v>
      </c>
      <c r="D226" s="111">
        <v>355446</v>
      </c>
      <c r="E226" s="131">
        <v>109121.92200000002</v>
      </c>
      <c r="F226" s="131">
        <v>436487.68800000008</v>
      </c>
      <c r="G226" s="131">
        <f t="shared" si="27"/>
        <v>545609.6100000001</v>
      </c>
      <c r="H226" s="254">
        <f t="shared" si="28"/>
        <v>78000</v>
      </c>
      <c r="I226" s="254">
        <v>390000</v>
      </c>
      <c r="J226" s="256">
        <f t="shared" si="29"/>
        <v>468000</v>
      </c>
      <c r="K226" s="146">
        <v>422325</v>
      </c>
      <c r="L226" s="146">
        <v>322053.82285064005</v>
      </c>
      <c r="M226" s="146">
        <v>744378.82285064005</v>
      </c>
      <c r="N226" s="99">
        <f t="shared" si="30"/>
        <v>78000</v>
      </c>
      <c r="O226" s="73">
        <f t="shared" si="31"/>
        <v>322053.82285064005</v>
      </c>
      <c r="P226" s="73">
        <f t="shared" si="32"/>
        <v>400053.82285064005</v>
      </c>
      <c r="Q226" s="301">
        <f t="shared" si="33"/>
        <v>72540</v>
      </c>
      <c r="R226" s="301">
        <f t="shared" si="34"/>
        <v>299510.05525109527</v>
      </c>
      <c r="S226" s="300">
        <f t="shared" si="35"/>
        <v>372050.05525109527</v>
      </c>
    </row>
    <row r="227" spans="1:19" ht="12" x14ac:dyDescent="0.25">
      <c r="A227" s="49">
        <v>212</v>
      </c>
      <c r="B227" s="48" t="s">
        <v>136</v>
      </c>
      <c r="C227" s="33" t="s">
        <v>153</v>
      </c>
      <c r="D227" s="111">
        <v>5099470.18</v>
      </c>
      <c r="E227" s="131">
        <v>1565537.3452599999</v>
      </c>
      <c r="F227" s="131">
        <v>6262149.3810400004</v>
      </c>
      <c r="G227" s="131">
        <f t="shared" si="27"/>
        <v>7827686.7263000002</v>
      </c>
      <c r="H227" s="254">
        <f t="shared" si="28"/>
        <v>108000</v>
      </c>
      <c r="I227" s="254">
        <v>540000</v>
      </c>
      <c r="J227" s="256">
        <f t="shared" si="29"/>
        <v>648000</v>
      </c>
      <c r="K227" s="146">
        <v>4607565</v>
      </c>
      <c r="L227" s="146">
        <v>4607565</v>
      </c>
      <c r="M227" s="146">
        <v>9215130</v>
      </c>
      <c r="N227" s="99">
        <f t="shared" si="30"/>
        <v>108000</v>
      </c>
      <c r="O227" s="73">
        <f t="shared" si="31"/>
        <v>540000</v>
      </c>
      <c r="P227" s="73">
        <f t="shared" si="32"/>
        <v>648000</v>
      </c>
      <c r="Q227" s="301">
        <f t="shared" si="33"/>
        <v>100440</v>
      </c>
      <c r="R227" s="301">
        <f t="shared" si="34"/>
        <v>502200</v>
      </c>
      <c r="S227" s="300">
        <f t="shared" si="35"/>
        <v>602640</v>
      </c>
    </row>
    <row r="228" spans="1:19" ht="12" x14ac:dyDescent="0.2">
      <c r="A228" s="49">
        <v>213</v>
      </c>
      <c r="B228" s="47" t="s">
        <v>88</v>
      </c>
      <c r="C228" s="33" t="s">
        <v>153</v>
      </c>
      <c r="D228" s="111">
        <v>274930.81700000004</v>
      </c>
      <c r="E228" s="131">
        <v>84403.760819000017</v>
      </c>
      <c r="F228" s="131">
        <v>337615.04327600007</v>
      </c>
      <c r="G228" s="131">
        <f t="shared" si="27"/>
        <v>422018.80409500009</v>
      </c>
      <c r="H228" s="254">
        <f t="shared" si="28"/>
        <v>64000</v>
      </c>
      <c r="I228" s="254">
        <v>320000</v>
      </c>
      <c r="J228" s="256">
        <f t="shared" si="29"/>
        <v>384000</v>
      </c>
      <c r="K228" s="146">
        <v>324500</v>
      </c>
      <c r="L228" s="146">
        <v>271500.8683307881</v>
      </c>
      <c r="M228" s="146">
        <v>596000.8683307881</v>
      </c>
      <c r="N228" s="99">
        <f t="shared" si="30"/>
        <v>64000</v>
      </c>
      <c r="O228" s="73">
        <f t="shared" si="31"/>
        <v>271500.8683307881</v>
      </c>
      <c r="P228" s="73">
        <f t="shared" si="32"/>
        <v>335500.8683307881</v>
      </c>
      <c r="Q228" s="301">
        <f t="shared" si="33"/>
        <v>59520</v>
      </c>
      <c r="R228" s="301">
        <f t="shared" si="34"/>
        <v>252495.80754763292</v>
      </c>
      <c r="S228" s="300">
        <f t="shared" si="35"/>
        <v>312015.80754763295</v>
      </c>
    </row>
    <row r="229" spans="1:19" ht="12" x14ac:dyDescent="0.2">
      <c r="A229" s="49">
        <v>214</v>
      </c>
      <c r="B229" s="47" t="s">
        <v>330</v>
      </c>
      <c r="C229" s="33" t="s">
        <v>153</v>
      </c>
      <c r="D229" s="111">
        <v>43701.63</v>
      </c>
      <c r="E229" s="131">
        <v>13416.400409999995</v>
      </c>
      <c r="F229" s="131">
        <v>53665.601640000001</v>
      </c>
      <c r="G229" s="131">
        <f t="shared" si="27"/>
        <v>67082.002049999996</v>
      </c>
      <c r="H229" s="254">
        <f t="shared" si="28"/>
        <v>10000</v>
      </c>
      <c r="I229" s="254">
        <v>50000</v>
      </c>
      <c r="J229" s="256">
        <f t="shared" si="29"/>
        <v>60000</v>
      </c>
      <c r="K229" s="146">
        <v>126000</v>
      </c>
      <c r="L229" s="146">
        <v>133000</v>
      </c>
      <c r="M229" s="146">
        <v>259000</v>
      </c>
      <c r="N229" s="99">
        <f t="shared" si="30"/>
        <v>10000</v>
      </c>
      <c r="O229" s="73">
        <f t="shared" si="31"/>
        <v>50000</v>
      </c>
      <c r="P229" s="73">
        <f t="shared" si="32"/>
        <v>60000</v>
      </c>
      <c r="Q229" s="301">
        <f t="shared" si="33"/>
        <v>9300</v>
      </c>
      <c r="R229" s="301">
        <f t="shared" si="34"/>
        <v>46500</v>
      </c>
      <c r="S229" s="300">
        <f t="shared" si="35"/>
        <v>55800</v>
      </c>
    </row>
    <row r="230" spans="1:19" ht="12" x14ac:dyDescent="0.2">
      <c r="A230" s="49">
        <v>215</v>
      </c>
      <c r="B230" s="47" t="s">
        <v>331</v>
      </c>
      <c r="C230" s="33" t="s">
        <v>153</v>
      </c>
      <c r="D230" s="111">
        <v>43701.63</v>
      </c>
      <c r="E230" s="131">
        <v>13416.400409999995</v>
      </c>
      <c r="F230" s="131">
        <v>53665.601640000001</v>
      </c>
      <c r="G230" s="131">
        <f t="shared" si="27"/>
        <v>67082.002049999996</v>
      </c>
      <c r="H230" s="254">
        <f t="shared" si="28"/>
        <v>10000</v>
      </c>
      <c r="I230" s="254">
        <v>50000</v>
      </c>
      <c r="J230" s="256">
        <f t="shared" si="29"/>
        <v>60000</v>
      </c>
      <c r="K230" s="146">
        <v>117500</v>
      </c>
      <c r="L230" s="146">
        <v>106300</v>
      </c>
      <c r="M230" s="146">
        <v>223800</v>
      </c>
      <c r="N230" s="99">
        <f t="shared" si="30"/>
        <v>10000</v>
      </c>
      <c r="O230" s="73">
        <f t="shared" si="31"/>
        <v>50000</v>
      </c>
      <c r="P230" s="73">
        <f t="shared" si="32"/>
        <v>60000</v>
      </c>
      <c r="Q230" s="301">
        <f t="shared" si="33"/>
        <v>9300</v>
      </c>
      <c r="R230" s="301">
        <f t="shared" si="34"/>
        <v>46500</v>
      </c>
      <c r="S230" s="300">
        <f t="shared" si="35"/>
        <v>55800</v>
      </c>
    </row>
    <row r="231" spans="1:19" ht="22.5" x14ac:dyDescent="0.25">
      <c r="A231" s="49"/>
      <c r="B231" s="29" t="s">
        <v>98</v>
      </c>
      <c r="C231" s="33"/>
      <c r="D231" s="111"/>
      <c r="E231" s="131">
        <v>0</v>
      </c>
      <c r="F231" s="131">
        <v>0</v>
      </c>
      <c r="G231" s="131">
        <f t="shared" si="27"/>
        <v>0</v>
      </c>
      <c r="H231" s="254">
        <f t="shared" si="28"/>
        <v>0</v>
      </c>
      <c r="I231" s="254"/>
      <c r="J231" s="256">
        <f t="shared" si="29"/>
        <v>0</v>
      </c>
      <c r="K231" s="146"/>
      <c r="L231" s="146"/>
      <c r="M231" s="146">
        <v>0</v>
      </c>
      <c r="N231" s="99">
        <f t="shared" si="30"/>
        <v>0</v>
      </c>
      <c r="O231" s="73">
        <f t="shared" si="31"/>
        <v>0</v>
      </c>
      <c r="P231" s="73">
        <f t="shared" si="32"/>
        <v>0</v>
      </c>
      <c r="Q231" s="301">
        <f t="shared" si="33"/>
        <v>0</v>
      </c>
      <c r="R231" s="301">
        <f t="shared" si="34"/>
        <v>0</v>
      </c>
      <c r="S231" s="300">
        <f t="shared" si="35"/>
        <v>0</v>
      </c>
    </row>
    <row r="232" spans="1:19" ht="12" x14ac:dyDescent="0.25">
      <c r="A232" s="49">
        <v>216</v>
      </c>
      <c r="B232" s="50" t="s">
        <v>253</v>
      </c>
      <c r="C232" s="33" t="s">
        <v>153</v>
      </c>
      <c r="D232" s="111">
        <v>314436.92</v>
      </c>
      <c r="E232" s="131">
        <v>96532.134439999994</v>
      </c>
      <c r="F232" s="131">
        <v>386128.53776000004</v>
      </c>
      <c r="G232" s="131">
        <f t="shared" si="27"/>
        <v>482660.67220000003</v>
      </c>
      <c r="H232" s="254">
        <f t="shared" si="28"/>
        <v>60000</v>
      </c>
      <c r="I232" s="254">
        <v>300000</v>
      </c>
      <c r="J232" s="256">
        <f t="shared" si="29"/>
        <v>360000</v>
      </c>
      <c r="K232" s="146">
        <v>224500</v>
      </c>
      <c r="L232" s="146">
        <v>323219.46963013784</v>
      </c>
      <c r="M232" s="146">
        <v>547719.46963013778</v>
      </c>
      <c r="N232" s="99">
        <f t="shared" si="30"/>
        <v>60000</v>
      </c>
      <c r="O232" s="73">
        <f t="shared" si="31"/>
        <v>300000</v>
      </c>
      <c r="P232" s="73">
        <f t="shared" si="32"/>
        <v>360000</v>
      </c>
      <c r="Q232" s="301">
        <f t="shared" si="33"/>
        <v>55800</v>
      </c>
      <c r="R232" s="301">
        <f t="shared" si="34"/>
        <v>279000</v>
      </c>
      <c r="S232" s="300">
        <f t="shared" si="35"/>
        <v>334800</v>
      </c>
    </row>
    <row r="233" spans="1:19" ht="12" x14ac:dyDescent="0.25">
      <c r="A233" s="49">
        <v>217</v>
      </c>
      <c r="B233" s="50" t="s">
        <v>254</v>
      </c>
      <c r="C233" s="33" t="s">
        <v>153</v>
      </c>
      <c r="D233" s="111">
        <v>83496.627200000003</v>
      </c>
      <c r="E233" s="131">
        <v>25633.464550399993</v>
      </c>
      <c r="F233" s="131">
        <v>102533.85820160003</v>
      </c>
      <c r="G233" s="131">
        <f t="shared" si="27"/>
        <v>128167.32275200002</v>
      </c>
      <c r="H233" s="254">
        <f t="shared" si="28"/>
        <v>20000</v>
      </c>
      <c r="I233" s="254">
        <v>100000</v>
      </c>
      <c r="J233" s="256">
        <f t="shared" si="29"/>
        <v>120000</v>
      </c>
      <c r="K233" s="146">
        <v>44500</v>
      </c>
      <c r="L233" s="146">
        <v>74724.938892418082</v>
      </c>
      <c r="M233" s="146">
        <v>119224.93889241808</v>
      </c>
      <c r="N233" s="99">
        <f t="shared" si="30"/>
        <v>20000</v>
      </c>
      <c r="O233" s="73">
        <f t="shared" si="31"/>
        <v>74724.938892418082</v>
      </c>
      <c r="P233" s="73">
        <f t="shared" si="32"/>
        <v>94724.938892418082</v>
      </c>
      <c r="Q233" s="301">
        <f t="shared" si="33"/>
        <v>18600</v>
      </c>
      <c r="R233" s="301">
        <f t="shared" si="34"/>
        <v>69494.19316994882</v>
      </c>
      <c r="S233" s="300">
        <f t="shared" si="35"/>
        <v>88094.19316994882</v>
      </c>
    </row>
    <row r="234" spans="1:19" ht="12" x14ac:dyDescent="0.25">
      <c r="A234" s="49">
        <v>218</v>
      </c>
      <c r="B234" s="39" t="s">
        <v>453</v>
      </c>
      <c r="C234" s="33" t="s">
        <v>153</v>
      </c>
      <c r="D234" s="111">
        <v>804130.52299999993</v>
      </c>
      <c r="E234" s="131">
        <v>246868.07056099991</v>
      </c>
      <c r="F234" s="131">
        <v>987472.28224400012</v>
      </c>
      <c r="G234" s="131">
        <f t="shared" si="27"/>
        <v>1234340.352805</v>
      </c>
      <c r="H234" s="254">
        <f t="shared" si="28"/>
        <v>200000</v>
      </c>
      <c r="I234" s="254">
        <v>1000000</v>
      </c>
      <c r="J234" s="256">
        <f t="shared" si="29"/>
        <v>1200000</v>
      </c>
      <c r="K234" s="146">
        <v>864500</v>
      </c>
      <c r="L234" s="146">
        <v>1512500</v>
      </c>
      <c r="M234" s="146">
        <v>2377000</v>
      </c>
      <c r="N234" s="99">
        <f t="shared" si="30"/>
        <v>200000</v>
      </c>
      <c r="O234" s="73">
        <f t="shared" si="31"/>
        <v>987472.28224400012</v>
      </c>
      <c r="P234" s="73">
        <f t="shared" si="32"/>
        <v>1187472.2822440001</v>
      </c>
      <c r="Q234" s="301">
        <f t="shared" si="33"/>
        <v>186000</v>
      </c>
      <c r="R234" s="301">
        <f t="shared" si="34"/>
        <v>918349.22248692007</v>
      </c>
      <c r="S234" s="300">
        <f t="shared" si="35"/>
        <v>1104349.2224869202</v>
      </c>
    </row>
    <row r="235" spans="1:19" ht="12" x14ac:dyDescent="0.25">
      <c r="A235" s="49">
        <v>219</v>
      </c>
      <c r="B235" s="39" t="s">
        <v>256</v>
      </c>
      <c r="C235" s="33" t="s">
        <v>153</v>
      </c>
      <c r="D235" s="111">
        <v>412172.565</v>
      </c>
      <c r="E235" s="131">
        <v>126536.97745499999</v>
      </c>
      <c r="F235" s="131">
        <v>506147.90982000012</v>
      </c>
      <c r="G235" s="131">
        <f t="shared" si="27"/>
        <v>632684.8872750001</v>
      </c>
      <c r="H235" s="254">
        <f t="shared" si="28"/>
        <v>86000</v>
      </c>
      <c r="I235" s="254">
        <v>430000</v>
      </c>
      <c r="J235" s="256">
        <f t="shared" si="29"/>
        <v>516000</v>
      </c>
      <c r="K235" s="146">
        <v>473300</v>
      </c>
      <c r="L235" s="146">
        <v>373300</v>
      </c>
      <c r="M235" s="146">
        <v>846600</v>
      </c>
      <c r="N235" s="99">
        <f t="shared" si="30"/>
        <v>86000</v>
      </c>
      <c r="O235" s="73">
        <f t="shared" si="31"/>
        <v>373300</v>
      </c>
      <c r="P235" s="73">
        <f t="shared" si="32"/>
        <v>459300</v>
      </c>
      <c r="Q235" s="301">
        <f t="shared" si="33"/>
        <v>79980</v>
      </c>
      <c r="R235" s="301">
        <f t="shared" si="34"/>
        <v>347169</v>
      </c>
      <c r="S235" s="300">
        <f t="shared" si="35"/>
        <v>427149</v>
      </c>
    </row>
    <row r="236" spans="1:19" ht="12" x14ac:dyDescent="0.2">
      <c r="A236" s="49">
        <v>220</v>
      </c>
      <c r="B236" s="47" t="s">
        <v>69</v>
      </c>
      <c r="C236" s="33" t="s">
        <v>153</v>
      </c>
      <c r="D236" s="111">
        <v>81191.365692057778</v>
      </c>
      <c r="E236" s="131">
        <v>24925.749267461739</v>
      </c>
      <c r="F236" s="131">
        <v>99702.997069846955</v>
      </c>
      <c r="G236" s="131">
        <f t="shared" si="27"/>
        <v>124628.74633730869</v>
      </c>
      <c r="H236" s="254">
        <f t="shared" si="28"/>
        <v>2000</v>
      </c>
      <c r="I236" s="254">
        <v>10000</v>
      </c>
      <c r="J236" s="256">
        <f t="shared" si="29"/>
        <v>12000</v>
      </c>
      <c r="K236" s="146">
        <v>112133</v>
      </c>
      <c r="L236" s="146">
        <v>85422.513922746046</v>
      </c>
      <c r="M236" s="146">
        <v>197555.51392274606</v>
      </c>
      <c r="N236" s="99">
        <f t="shared" si="30"/>
        <v>2000</v>
      </c>
      <c r="O236" s="73">
        <f t="shared" si="31"/>
        <v>10000</v>
      </c>
      <c r="P236" s="73">
        <f t="shared" si="32"/>
        <v>12000</v>
      </c>
      <c r="Q236" s="301">
        <f t="shared" si="33"/>
        <v>1860</v>
      </c>
      <c r="R236" s="301">
        <f t="shared" si="34"/>
        <v>9300</v>
      </c>
      <c r="S236" s="300">
        <f t="shared" si="35"/>
        <v>11160</v>
      </c>
    </row>
    <row r="237" spans="1:19" ht="12" x14ac:dyDescent="0.2">
      <c r="A237" s="49">
        <v>221</v>
      </c>
      <c r="B237" s="47" t="s">
        <v>70</v>
      </c>
      <c r="C237" s="33" t="s">
        <v>153</v>
      </c>
      <c r="D237" s="111">
        <v>592970.64831278147</v>
      </c>
      <c r="E237" s="131">
        <v>182041.98903202394</v>
      </c>
      <c r="F237" s="131">
        <v>728167.95612809574</v>
      </c>
      <c r="G237" s="131">
        <f t="shared" si="27"/>
        <v>910209.94516011968</v>
      </c>
      <c r="H237" s="254">
        <f t="shared" si="28"/>
        <v>148000</v>
      </c>
      <c r="I237" s="254">
        <v>740000</v>
      </c>
      <c r="J237" s="256">
        <f t="shared" si="29"/>
        <v>888000</v>
      </c>
      <c r="K237" s="146">
        <v>264500</v>
      </c>
      <c r="L237" s="146">
        <v>627023.9780874711</v>
      </c>
      <c r="M237" s="146">
        <v>891523.9780874711</v>
      </c>
      <c r="N237" s="99">
        <f t="shared" si="30"/>
        <v>148000</v>
      </c>
      <c r="O237" s="73">
        <f t="shared" si="31"/>
        <v>627023.9780874711</v>
      </c>
      <c r="P237" s="73">
        <f t="shared" si="32"/>
        <v>775023.9780874711</v>
      </c>
      <c r="Q237" s="301">
        <f t="shared" si="33"/>
        <v>137640</v>
      </c>
      <c r="R237" s="301">
        <f t="shared" si="34"/>
        <v>583132.29962134815</v>
      </c>
      <c r="S237" s="300">
        <f t="shared" si="35"/>
        <v>720772.29962134815</v>
      </c>
    </row>
    <row r="238" spans="1:19" ht="12" x14ac:dyDescent="0.2">
      <c r="A238" s="49">
        <v>222</v>
      </c>
      <c r="B238" s="47" t="s">
        <v>1</v>
      </c>
      <c r="C238" s="33" t="s">
        <v>153</v>
      </c>
      <c r="D238" s="111">
        <v>146440.34060813932</v>
      </c>
      <c r="E238" s="131">
        <v>44957.184566698765</v>
      </c>
      <c r="F238" s="131">
        <v>179828.73826679512</v>
      </c>
      <c r="G238" s="131">
        <f t="shared" si="27"/>
        <v>224785.92283349388</v>
      </c>
      <c r="H238" s="254">
        <f t="shared" si="28"/>
        <v>22000</v>
      </c>
      <c r="I238" s="254">
        <v>110000</v>
      </c>
      <c r="J238" s="256">
        <f t="shared" si="29"/>
        <v>132000</v>
      </c>
      <c r="K238" s="146">
        <v>44500</v>
      </c>
      <c r="L238" s="146">
        <v>129831.90314124399</v>
      </c>
      <c r="M238" s="146">
        <v>174331.90314124399</v>
      </c>
      <c r="N238" s="99">
        <f t="shared" si="30"/>
        <v>22000</v>
      </c>
      <c r="O238" s="73">
        <f t="shared" si="31"/>
        <v>110000</v>
      </c>
      <c r="P238" s="73">
        <f t="shared" si="32"/>
        <v>132000</v>
      </c>
      <c r="Q238" s="301">
        <f t="shared" si="33"/>
        <v>20460</v>
      </c>
      <c r="R238" s="301">
        <f t="shared" si="34"/>
        <v>102300</v>
      </c>
      <c r="S238" s="300">
        <f t="shared" si="35"/>
        <v>122760</v>
      </c>
    </row>
    <row r="239" spans="1:19" ht="12" x14ac:dyDescent="0.25">
      <c r="A239" s="49">
        <v>223</v>
      </c>
      <c r="B239" s="50" t="s">
        <v>56</v>
      </c>
      <c r="C239" s="33" t="s">
        <v>153</v>
      </c>
      <c r="D239" s="111">
        <v>74825.94</v>
      </c>
      <c r="E239" s="131">
        <v>22971.563580000002</v>
      </c>
      <c r="F239" s="131">
        <v>91886.254320000007</v>
      </c>
      <c r="G239" s="131">
        <f t="shared" si="27"/>
        <v>114857.81790000001</v>
      </c>
      <c r="H239" s="254">
        <f t="shared" si="28"/>
        <v>19200</v>
      </c>
      <c r="I239" s="254">
        <v>96000</v>
      </c>
      <c r="J239" s="256">
        <f t="shared" si="29"/>
        <v>115200</v>
      </c>
      <c r="K239" s="146">
        <v>99500</v>
      </c>
      <c r="L239" s="146">
        <v>109117.30229243751</v>
      </c>
      <c r="M239" s="146">
        <v>208617.30229243753</v>
      </c>
      <c r="N239" s="99">
        <f t="shared" si="30"/>
        <v>19200</v>
      </c>
      <c r="O239" s="73">
        <f t="shared" si="31"/>
        <v>91886.254320000007</v>
      </c>
      <c r="P239" s="73">
        <f t="shared" si="32"/>
        <v>111086.25432000001</v>
      </c>
      <c r="Q239" s="301">
        <f t="shared" si="33"/>
        <v>17856</v>
      </c>
      <c r="R239" s="301">
        <f t="shared" si="34"/>
        <v>85454.216517600013</v>
      </c>
      <c r="S239" s="300">
        <f t="shared" si="35"/>
        <v>103310.21651760001</v>
      </c>
    </row>
    <row r="240" spans="1:19" ht="12" x14ac:dyDescent="0.25">
      <c r="A240" s="49">
        <v>224</v>
      </c>
      <c r="B240" s="50" t="s">
        <v>57</v>
      </c>
      <c r="C240" s="33" t="s">
        <v>153</v>
      </c>
      <c r="D240" s="111">
        <v>28891.38</v>
      </c>
      <c r="E240" s="131">
        <v>8869.6536599999963</v>
      </c>
      <c r="F240" s="131">
        <v>35478.614640000007</v>
      </c>
      <c r="G240" s="131">
        <f t="shared" si="27"/>
        <v>44348.268300000003</v>
      </c>
      <c r="H240" s="254">
        <f t="shared" si="28"/>
        <v>7400</v>
      </c>
      <c r="I240" s="254">
        <v>37000</v>
      </c>
      <c r="J240" s="256">
        <f t="shared" si="29"/>
        <v>44400</v>
      </c>
      <c r="K240" s="146">
        <v>34500</v>
      </c>
      <c r="L240" s="146">
        <v>56500.997192067502</v>
      </c>
      <c r="M240" s="146">
        <v>91000.997192067502</v>
      </c>
      <c r="N240" s="99">
        <f t="shared" si="30"/>
        <v>7400</v>
      </c>
      <c r="O240" s="73">
        <f t="shared" si="31"/>
        <v>35478.614640000007</v>
      </c>
      <c r="P240" s="73">
        <f t="shared" si="32"/>
        <v>42878.614640000007</v>
      </c>
      <c r="Q240" s="301">
        <f t="shared" si="33"/>
        <v>6882</v>
      </c>
      <c r="R240" s="301">
        <f t="shared" si="34"/>
        <v>32995.111615200003</v>
      </c>
      <c r="S240" s="300">
        <f t="shared" si="35"/>
        <v>39877.111615200003</v>
      </c>
    </row>
    <row r="241" spans="1:19" ht="12" x14ac:dyDescent="0.25">
      <c r="A241" s="49">
        <v>225</v>
      </c>
      <c r="B241" s="39" t="s">
        <v>257</v>
      </c>
      <c r="C241" s="33" t="s">
        <v>153</v>
      </c>
      <c r="D241" s="111">
        <v>118531.38219999999</v>
      </c>
      <c r="E241" s="131">
        <v>36389.134335399984</v>
      </c>
      <c r="F241" s="131">
        <v>145556.53734160002</v>
      </c>
      <c r="G241" s="131">
        <f t="shared" si="27"/>
        <v>181945.67167700001</v>
      </c>
      <c r="H241" s="254">
        <f t="shared" si="28"/>
        <v>26000</v>
      </c>
      <c r="I241" s="254">
        <v>130000</v>
      </c>
      <c r="J241" s="256">
        <f t="shared" si="29"/>
        <v>156000</v>
      </c>
      <c r="K241" s="146">
        <v>119500</v>
      </c>
      <c r="L241" s="146">
        <v>157348.91530111001</v>
      </c>
      <c r="M241" s="146">
        <v>276848.91530111001</v>
      </c>
      <c r="N241" s="99">
        <f t="shared" si="30"/>
        <v>26000</v>
      </c>
      <c r="O241" s="73">
        <f t="shared" si="31"/>
        <v>130000</v>
      </c>
      <c r="P241" s="73">
        <f t="shared" si="32"/>
        <v>156000</v>
      </c>
      <c r="Q241" s="301">
        <f t="shared" si="33"/>
        <v>24180</v>
      </c>
      <c r="R241" s="301">
        <f t="shared" si="34"/>
        <v>120900</v>
      </c>
      <c r="S241" s="300">
        <f t="shared" si="35"/>
        <v>145080</v>
      </c>
    </row>
    <row r="242" spans="1:19" ht="12" x14ac:dyDescent="0.25">
      <c r="A242" s="49">
        <v>226</v>
      </c>
      <c r="B242" s="50" t="s">
        <v>258</v>
      </c>
      <c r="C242" s="33" t="s">
        <v>153</v>
      </c>
      <c r="D242" s="111">
        <v>100254</v>
      </c>
      <c r="E242" s="131">
        <v>30777.978000000003</v>
      </c>
      <c r="F242" s="131">
        <v>123111.91200000001</v>
      </c>
      <c r="G242" s="131">
        <f t="shared" si="27"/>
        <v>153889.89000000001</v>
      </c>
      <c r="H242" s="254">
        <f t="shared" si="28"/>
        <v>24000</v>
      </c>
      <c r="I242" s="254">
        <v>120000</v>
      </c>
      <c r="J242" s="256">
        <f t="shared" si="29"/>
        <v>144000</v>
      </c>
      <c r="K242" s="146">
        <v>125500</v>
      </c>
      <c r="L242" s="146">
        <v>122271.37856753005</v>
      </c>
      <c r="M242" s="146">
        <v>247771.37856753005</v>
      </c>
      <c r="N242" s="99">
        <f t="shared" si="30"/>
        <v>24000</v>
      </c>
      <c r="O242" s="73">
        <f t="shared" si="31"/>
        <v>120000</v>
      </c>
      <c r="P242" s="73">
        <f t="shared" si="32"/>
        <v>144000</v>
      </c>
      <c r="Q242" s="301">
        <f t="shared" si="33"/>
        <v>22320</v>
      </c>
      <c r="R242" s="301">
        <f t="shared" si="34"/>
        <v>111600</v>
      </c>
      <c r="S242" s="300">
        <f t="shared" si="35"/>
        <v>133920</v>
      </c>
    </row>
    <row r="243" spans="1:19" ht="12" x14ac:dyDescent="0.25">
      <c r="A243" s="49">
        <v>227</v>
      </c>
      <c r="B243" s="50" t="s">
        <v>259</v>
      </c>
      <c r="C243" s="33" t="s">
        <v>153</v>
      </c>
      <c r="D243" s="111">
        <v>25970</v>
      </c>
      <c r="E243" s="131">
        <v>7972.7900000000009</v>
      </c>
      <c r="F243" s="131">
        <v>31891.160000000003</v>
      </c>
      <c r="G243" s="131">
        <f t="shared" si="27"/>
        <v>39863.950000000004</v>
      </c>
      <c r="H243" s="254">
        <f t="shared" si="28"/>
        <v>6600</v>
      </c>
      <c r="I243" s="254">
        <v>33000</v>
      </c>
      <c r="J243" s="256">
        <f t="shared" si="29"/>
        <v>39600</v>
      </c>
      <c r="K243" s="146">
        <v>67500</v>
      </c>
      <c r="L243" s="146">
        <v>66250</v>
      </c>
      <c r="M243" s="146">
        <v>133750</v>
      </c>
      <c r="N243" s="99">
        <f t="shared" si="30"/>
        <v>6600</v>
      </c>
      <c r="O243" s="73">
        <f t="shared" si="31"/>
        <v>31891.160000000003</v>
      </c>
      <c r="P243" s="73">
        <f t="shared" si="32"/>
        <v>38491.160000000003</v>
      </c>
      <c r="Q243" s="301">
        <f t="shared" si="33"/>
        <v>6138</v>
      </c>
      <c r="R243" s="301">
        <f t="shared" si="34"/>
        <v>29658.778800000004</v>
      </c>
      <c r="S243" s="300">
        <f t="shared" si="35"/>
        <v>35796.7788</v>
      </c>
    </row>
    <row r="244" spans="1:19" ht="12" x14ac:dyDescent="0.25">
      <c r="A244" s="49">
        <v>228</v>
      </c>
      <c r="B244" s="46" t="s">
        <v>260</v>
      </c>
      <c r="C244" s="33" t="s">
        <v>153</v>
      </c>
      <c r="D244" s="111">
        <v>29415.944599999999</v>
      </c>
      <c r="E244" s="131">
        <v>9030.6949921999985</v>
      </c>
      <c r="F244" s="131">
        <v>36122.779968800001</v>
      </c>
      <c r="G244" s="131">
        <f t="shared" si="27"/>
        <v>45153.474961</v>
      </c>
      <c r="H244" s="254">
        <f t="shared" si="28"/>
        <v>7000</v>
      </c>
      <c r="I244" s="254">
        <v>35000</v>
      </c>
      <c r="J244" s="256">
        <f t="shared" si="29"/>
        <v>42000</v>
      </c>
      <c r="K244" s="146">
        <v>64500</v>
      </c>
      <c r="L244" s="146">
        <v>42947.913936630532</v>
      </c>
      <c r="M244" s="146">
        <v>107447.91393663053</v>
      </c>
      <c r="N244" s="99">
        <f t="shared" si="30"/>
        <v>7000</v>
      </c>
      <c r="O244" s="73">
        <f t="shared" si="31"/>
        <v>35000</v>
      </c>
      <c r="P244" s="73">
        <f t="shared" si="32"/>
        <v>42000</v>
      </c>
      <c r="Q244" s="301">
        <f t="shared" si="33"/>
        <v>6510</v>
      </c>
      <c r="R244" s="301">
        <f t="shared" si="34"/>
        <v>32550</v>
      </c>
      <c r="S244" s="300">
        <f t="shared" si="35"/>
        <v>39060</v>
      </c>
    </row>
    <row r="245" spans="1:19" ht="12" x14ac:dyDescent="0.25">
      <c r="A245" s="49">
        <v>229</v>
      </c>
      <c r="B245" s="42" t="s">
        <v>261</v>
      </c>
      <c r="C245" s="33" t="s">
        <v>153</v>
      </c>
      <c r="D245" s="111">
        <v>205800</v>
      </c>
      <c r="E245" s="131">
        <v>63180.600000000006</v>
      </c>
      <c r="F245" s="131">
        <v>252722.40000000005</v>
      </c>
      <c r="G245" s="131">
        <f t="shared" si="27"/>
        <v>315903.00000000006</v>
      </c>
      <c r="H245" s="254">
        <f t="shared" si="28"/>
        <v>52000</v>
      </c>
      <c r="I245" s="254">
        <v>260000</v>
      </c>
      <c r="J245" s="256">
        <f t="shared" si="29"/>
        <v>312000</v>
      </c>
      <c r="K245" s="146">
        <v>299365</v>
      </c>
      <c r="L245" s="146">
        <v>255703.57712271664</v>
      </c>
      <c r="M245" s="146">
        <v>555068.5771227167</v>
      </c>
      <c r="N245" s="99">
        <f t="shared" si="30"/>
        <v>52000</v>
      </c>
      <c r="O245" s="73">
        <f t="shared" si="31"/>
        <v>252722.40000000005</v>
      </c>
      <c r="P245" s="73">
        <f t="shared" si="32"/>
        <v>304722.40000000002</v>
      </c>
      <c r="Q245" s="301">
        <f t="shared" si="33"/>
        <v>48360</v>
      </c>
      <c r="R245" s="301">
        <f t="shared" si="34"/>
        <v>235031.83200000005</v>
      </c>
      <c r="S245" s="300">
        <f t="shared" si="35"/>
        <v>283391.83200000005</v>
      </c>
    </row>
    <row r="246" spans="1:19" ht="12" x14ac:dyDescent="0.25">
      <c r="A246" s="49">
        <v>230</v>
      </c>
      <c r="B246" s="46" t="s">
        <v>263</v>
      </c>
      <c r="C246" s="33" t="s">
        <v>153</v>
      </c>
      <c r="D246" s="111">
        <v>410130</v>
      </c>
      <c r="E246" s="131">
        <v>125909.90999999997</v>
      </c>
      <c r="F246" s="131">
        <v>503639.64000000007</v>
      </c>
      <c r="G246" s="131">
        <f t="shared" si="27"/>
        <v>629549.55000000005</v>
      </c>
      <c r="H246" s="254">
        <f t="shared" si="28"/>
        <v>105000</v>
      </c>
      <c r="I246" s="254">
        <v>525000</v>
      </c>
      <c r="J246" s="256">
        <f t="shared" si="29"/>
        <v>630000</v>
      </c>
      <c r="K246" s="146">
        <v>47500</v>
      </c>
      <c r="L246" s="146">
        <v>497900</v>
      </c>
      <c r="M246" s="146">
        <v>545400</v>
      </c>
      <c r="N246" s="99">
        <f t="shared" si="30"/>
        <v>47500</v>
      </c>
      <c r="O246" s="73">
        <f t="shared" si="31"/>
        <v>497900</v>
      </c>
      <c r="P246" s="73">
        <f t="shared" si="32"/>
        <v>545400</v>
      </c>
      <c r="Q246" s="301">
        <f t="shared" si="33"/>
        <v>44175</v>
      </c>
      <c r="R246" s="301">
        <f t="shared" si="34"/>
        <v>463047</v>
      </c>
      <c r="S246" s="300">
        <f t="shared" si="35"/>
        <v>507222</v>
      </c>
    </row>
    <row r="247" spans="1:19" ht="12" x14ac:dyDescent="0.25">
      <c r="A247" s="49">
        <v>231</v>
      </c>
      <c r="B247" s="46" t="s">
        <v>262</v>
      </c>
      <c r="C247" s="33" t="s">
        <v>153</v>
      </c>
      <c r="D247" s="111">
        <v>580000</v>
      </c>
      <c r="E247" s="131">
        <v>178060</v>
      </c>
      <c r="F247" s="131">
        <v>712240.00000000012</v>
      </c>
      <c r="G247" s="131">
        <f t="shared" si="27"/>
        <v>890300.00000000012</v>
      </c>
      <c r="H247" s="254">
        <f t="shared" si="28"/>
        <v>104000</v>
      </c>
      <c r="I247" s="254">
        <v>520000</v>
      </c>
      <c r="J247" s="256">
        <f t="shared" si="29"/>
        <v>624000</v>
      </c>
      <c r="K247" s="146">
        <v>47500</v>
      </c>
      <c r="L247" s="146">
        <v>515700</v>
      </c>
      <c r="M247" s="146">
        <v>563200</v>
      </c>
      <c r="N247" s="99">
        <f t="shared" si="30"/>
        <v>47500</v>
      </c>
      <c r="O247" s="73">
        <f t="shared" si="31"/>
        <v>515700</v>
      </c>
      <c r="P247" s="73">
        <f t="shared" si="32"/>
        <v>563200</v>
      </c>
      <c r="Q247" s="301">
        <f t="shared" si="33"/>
        <v>44175</v>
      </c>
      <c r="R247" s="301">
        <f t="shared" si="34"/>
        <v>479601</v>
      </c>
      <c r="S247" s="300">
        <f t="shared" si="35"/>
        <v>523776</v>
      </c>
    </row>
    <row r="248" spans="1:19" ht="22.5" x14ac:dyDescent="0.25">
      <c r="A248" s="56"/>
      <c r="B248" s="29" t="s">
        <v>62</v>
      </c>
      <c r="C248" s="33"/>
      <c r="D248" s="111"/>
      <c r="E248" s="131">
        <v>0</v>
      </c>
      <c r="F248" s="131">
        <v>0</v>
      </c>
      <c r="G248" s="131">
        <f t="shared" si="27"/>
        <v>0</v>
      </c>
      <c r="H248" s="254">
        <f t="shared" si="28"/>
        <v>0</v>
      </c>
      <c r="I248" s="254"/>
      <c r="J248" s="256">
        <f t="shared" si="29"/>
        <v>0</v>
      </c>
      <c r="K248" s="146"/>
      <c r="L248" s="146"/>
      <c r="M248" s="146">
        <v>0</v>
      </c>
      <c r="N248" s="99">
        <f t="shared" si="30"/>
        <v>0</v>
      </c>
      <c r="O248" s="73">
        <f t="shared" si="31"/>
        <v>0</v>
      </c>
      <c r="P248" s="73">
        <f t="shared" si="32"/>
        <v>0</v>
      </c>
      <c r="Q248" s="301">
        <f t="shared" si="33"/>
        <v>0</v>
      </c>
      <c r="R248" s="301">
        <f t="shared" si="34"/>
        <v>0</v>
      </c>
      <c r="S248" s="300">
        <f t="shared" si="35"/>
        <v>0</v>
      </c>
    </row>
    <row r="249" spans="1:19" ht="22.5" x14ac:dyDescent="0.25">
      <c r="A249" s="56">
        <v>232</v>
      </c>
      <c r="B249" s="50" t="s">
        <v>382</v>
      </c>
      <c r="C249" s="33" t="s">
        <v>153</v>
      </c>
      <c r="D249" s="111">
        <v>162711.48956459924</v>
      </c>
      <c r="E249" s="114">
        <v>414144.70211928501</v>
      </c>
      <c r="F249" s="114">
        <v>456578.80847713898</v>
      </c>
      <c r="G249" s="131">
        <f t="shared" si="27"/>
        <v>870723.51059642399</v>
      </c>
      <c r="H249" s="254">
        <f t="shared" si="28"/>
        <v>40000</v>
      </c>
      <c r="I249" s="254">
        <v>200000</v>
      </c>
      <c r="J249" s="256">
        <f t="shared" si="29"/>
        <v>240000</v>
      </c>
      <c r="K249" s="146">
        <v>424500</v>
      </c>
      <c r="L249" s="146">
        <v>144313.22571249332</v>
      </c>
      <c r="M249" s="146">
        <v>568813.22571249329</v>
      </c>
      <c r="N249" s="99">
        <f t="shared" si="30"/>
        <v>40000</v>
      </c>
      <c r="O249" s="73">
        <f t="shared" si="31"/>
        <v>144313.22571249332</v>
      </c>
      <c r="P249" s="73">
        <f t="shared" si="32"/>
        <v>184313.22571249332</v>
      </c>
      <c r="Q249" s="301">
        <f t="shared" si="33"/>
        <v>37200</v>
      </c>
      <c r="R249" s="301">
        <f t="shared" si="34"/>
        <v>134211.29991261879</v>
      </c>
      <c r="S249" s="300">
        <f t="shared" si="35"/>
        <v>171411.29991261879</v>
      </c>
    </row>
    <row r="250" spans="1:19" ht="12" x14ac:dyDescent="0.25">
      <c r="A250" s="56">
        <v>233</v>
      </c>
      <c r="B250" s="50" t="s">
        <v>63</v>
      </c>
      <c r="C250" s="33" t="s">
        <v>153</v>
      </c>
      <c r="D250" s="111">
        <v>1675226.4769199498</v>
      </c>
      <c r="E250" s="114">
        <v>575214.20119880885</v>
      </c>
      <c r="F250" s="114">
        <v>2300856.8047952363</v>
      </c>
      <c r="G250" s="131">
        <f t="shared" si="27"/>
        <v>2876071.0059940452</v>
      </c>
      <c r="H250" s="254">
        <f t="shared" si="28"/>
        <v>360000</v>
      </c>
      <c r="I250" s="254">
        <v>1800000</v>
      </c>
      <c r="J250" s="256">
        <f t="shared" si="29"/>
        <v>2160000</v>
      </c>
      <c r="K250" s="146">
        <v>324500</v>
      </c>
      <c r="L250" s="146">
        <v>1877872.3507167511</v>
      </c>
      <c r="M250" s="146">
        <v>2202372.3507167511</v>
      </c>
      <c r="N250" s="99">
        <f t="shared" si="30"/>
        <v>324500</v>
      </c>
      <c r="O250" s="73">
        <f t="shared" si="31"/>
        <v>1800000</v>
      </c>
      <c r="P250" s="73">
        <f t="shared" si="32"/>
        <v>2124500</v>
      </c>
      <c r="Q250" s="301">
        <f t="shared" si="33"/>
        <v>301785</v>
      </c>
      <c r="R250" s="301">
        <f t="shared" si="34"/>
        <v>1674000</v>
      </c>
      <c r="S250" s="300">
        <f t="shared" si="35"/>
        <v>1975785</v>
      </c>
    </row>
    <row r="251" spans="1:19" ht="12" x14ac:dyDescent="0.25">
      <c r="A251" s="56">
        <v>234</v>
      </c>
      <c r="B251" s="50" t="s">
        <v>134</v>
      </c>
      <c r="C251" s="33" t="s">
        <v>153</v>
      </c>
      <c r="D251" s="111">
        <v>176890.44100000002</v>
      </c>
      <c r="E251" s="114">
        <v>54319.44</v>
      </c>
      <c r="F251" s="114">
        <v>217277.76</v>
      </c>
      <c r="G251" s="131">
        <f t="shared" si="27"/>
        <v>271597.2</v>
      </c>
      <c r="H251" s="254">
        <f t="shared" si="28"/>
        <v>44000</v>
      </c>
      <c r="I251" s="254">
        <v>220000</v>
      </c>
      <c r="J251" s="256">
        <f t="shared" si="29"/>
        <v>264000</v>
      </c>
      <c r="K251" s="146">
        <v>319500</v>
      </c>
      <c r="L251" s="146">
        <v>173131.05762927953</v>
      </c>
      <c r="M251" s="146">
        <v>492631.05762927956</v>
      </c>
      <c r="N251" s="99">
        <f t="shared" si="30"/>
        <v>44000</v>
      </c>
      <c r="O251" s="73">
        <f t="shared" si="31"/>
        <v>173131.05762927953</v>
      </c>
      <c r="P251" s="73">
        <f t="shared" si="32"/>
        <v>217131.05762927953</v>
      </c>
      <c r="Q251" s="301">
        <f t="shared" si="33"/>
        <v>40920</v>
      </c>
      <c r="R251" s="301">
        <f t="shared" si="34"/>
        <v>161011.88359522997</v>
      </c>
      <c r="S251" s="300">
        <f t="shared" si="35"/>
        <v>201931.88359522997</v>
      </c>
    </row>
    <row r="252" spans="1:19" ht="12" x14ac:dyDescent="0.25">
      <c r="A252" s="56">
        <v>235</v>
      </c>
      <c r="B252" s="57" t="s">
        <v>264</v>
      </c>
      <c r="C252" s="33" t="s">
        <v>153</v>
      </c>
      <c r="D252" s="111">
        <v>171443.67283789944</v>
      </c>
      <c r="E252" s="114">
        <v>525754</v>
      </c>
      <c r="F252" s="114">
        <v>249826.14048749101</v>
      </c>
      <c r="G252" s="131">
        <f t="shared" si="27"/>
        <v>775580.14048749104</v>
      </c>
      <c r="H252" s="254">
        <f t="shared" si="28"/>
        <v>43000</v>
      </c>
      <c r="I252" s="254">
        <v>215000</v>
      </c>
      <c r="J252" s="256">
        <f t="shared" si="29"/>
        <v>258000</v>
      </c>
      <c r="K252" s="146">
        <v>384500</v>
      </c>
      <c r="L252" s="146">
        <v>152084.86882573052</v>
      </c>
      <c r="M252" s="146">
        <v>536584.86882573052</v>
      </c>
      <c r="N252" s="99">
        <f t="shared" si="30"/>
        <v>43000</v>
      </c>
      <c r="O252" s="73">
        <f t="shared" si="31"/>
        <v>152084.86882573052</v>
      </c>
      <c r="P252" s="73">
        <f t="shared" si="32"/>
        <v>195084.86882573052</v>
      </c>
      <c r="Q252" s="301">
        <f t="shared" si="33"/>
        <v>39990</v>
      </c>
      <c r="R252" s="301">
        <f t="shared" si="34"/>
        <v>141438.92800792938</v>
      </c>
      <c r="S252" s="300">
        <f t="shared" si="35"/>
        <v>181428.92800792938</v>
      </c>
    </row>
    <row r="253" spans="1:19" ht="12" x14ac:dyDescent="0.2">
      <c r="A253" s="56">
        <v>236</v>
      </c>
      <c r="B253" s="47" t="s">
        <v>73</v>
      </c>
      <c r="C253" s="33" t="s">
        <v>153</v>
      </c>
      <c r="D253" s="111">
        <v>63798</v>
      </c>
      <c r="E253" s="114">
        <v>19139.399999999994</v>
      </c>
      <c r="F253" s="114">
        <v>76557.600000000006</v>
      </c>
      <c r="G253" s="131">
        <f t="shared" si="27"/>
        <v>95697</v>
      </c>
      <c r="H253" s="254">
        <f t="shared" si="28"/>
        <v>15600</v>
      </c>
      <c r="I253" s="254">
        <v>78000</v>
      </c>
      <c r="J253" s="256">
        <f t="shared" si="29"/>
        <v>93600</v>
      </c>
      <c r="K253" s="146">
        <v>64500</v>
      </c>
      <c r="L253" s="146">
        <v>141561.774423956</v>
      </c>
      <c r="M253" s="146">
        <v>206061.774423956</v>
      </c>
      <c r="N253" s="99">
        <f t="shared" si="30"/>
        <v>15600</v>
      </c>
      <c r="O253" s="73">
        <f t="shared" si="31"/>
        <v>76557.600000000006</v>
      </c>
      <c r="P253" s="73">
        <f t="shared" si="32"/>
        <v>92157.6</v>
      </c>
      <c r="Q253" s="301">
        <f t="shared" si="33"/>
        <v>14508</v>
      </c>
      <c r="R253" s="301">
        <f t="shared" si="34"/>
        <v>71198.567999999999</v>
      </c>
      <c r="S253" s="300">
        <f t="shared" si="35"/>
        <v>85706.567999999999</v>
      </c>
    </row>
    <row r="254" spans="1:19" ht="12" x14ac:dyDescent="0.2">
      <c r="A254" s="100">
        <v>237</v>
      </c>
      <c r="B254" s="101" t="s">
        <v>72</v>
      </c>
      <c r="C254" s="102" t="s">
        <v>153</v>
      </c>
      <c r="D254" s="118">
        <v>793858.72347257542</v>
      </c>
      <c r="E254" s="119">
        <v>296879.58264021482</v>
      </c>
      <c r="F254" s="119">
        <v>1187518.3305608598</v>
      </c>
      <c r="G254" s="132">
        <f t="shared" si="27"/>
        <v>1484397.9132010746</v>
      </c>
      <c r="H254" s="254">
        <f t="shared" si="28"/>
        <v>200000</v>
      </c>
      <c r="I254" s="254">
        <v>1000000</v>
      </c>
      <c r="J254" s="256">
        <f t="shared" si="29"/>
        <v>1200000</v>
      </c>
      <c r="K254" s="146">
        <v>264500</v>
      </c>
      <c r="L254" s="146">
        <v>871700</v>
      </c>
      <c r="M254" s="146">
        <v>1136200</v>
      </c>
      <c r="N254" s="99">
        <f t="shared" si="30"/>
        <v>200000</v>
      </c>
      <c r="O254" s="73">
        <f t="shared" si="31"/>
        <v>871700</v>
      </c>
      <c r="P254" s="73">
        <f t="shared" si="32"/>
        <v>1071700</v>
      </c>
      <c r="Q254" s="301">
        <f t="shared" si="33"/>
        <v>186000</v>
      </c>
      <c r="R254" s="301">
        <f t="shared" si="34"/>
        <v>810681</v>
      </c>
      <c r="S254" s="300">
        <f t="shared" si="35"/>
        <v>996681</v>
      </c>
    </row>
    <row r="255" spans="1:19" x14ac:dyDescent="0.25">
      <c r="A255" s="273" t="s">
        <v>491</v>
      </c>
      <c r="B255" s="273"/>
      <c r="C255" s="273"/>
      <c r="D255" s="120">
        <f t="shared" ref="D255:P255" si="36">SUM(D5:D254)</f>
        <v>127290932.54306202</v>
      </c>
      <c r="E255" s="107">
        <f t="shared" si="36"/>
        <v>40029281.473913237</v>
      </c>
      <c r="F255" s="107">
        <f t="shared" si="36"/>
        <v>157063936.03614044</v>
      </c>
      <c r="G255" s="107">
        <f t="shared" si="36"/>
        <v>197093217.51005387</v>
      </c>
      <c r="H255" s="107">
        <f t="shared" ref="H255:J255" si="37">SUM(H5:H254)</f>
        <v>38661400</v>
      </c>
      <c r="I255" s="107">
        <f t="shared" si="37"/>
        <v>193307000</v>
      </c>
      <c r="J255" s="107">
        <f t="shared" si="37"/>
        <v>231968400</v>
      </c>
      <c r="K255" s="147">
        <f t="shared" si="36"/>
        <v>81457054.453189194</v>
      </c>
      <c r="L255" s="147">
        <f t="shared" si="36"/>
        <v>141237425.76989919</v>
      </c>
      <c r="M255" s="147">
        <f t="shared" si="36"/>
        <v>222694480.22308838</v>
      </c>
      <c r="N255" s="107">
        <f t="shared" si="36"/>
        <v>27727895.357319161</v>
      </c>
      <c r="O255" s="107">
        <f t="shared" si="36"/>
        <v>125474113.13330172</v>
      </c>
      <c r="P255" s="107">
        <f t="shared" si="36"/>
        <v>153202008.49062088</v>
      </c>
      <c r="Q255" s="301">
        <f t="shared" si="33"/>
        <v>25786942.682306819</v>
      </c>
      <c r="R255" s="301">
        <f t="shared" si="34"/>
        <v>116690925.2139706</v>
      </c>
      <c r="S255" s="300">
        <f t="shared" si="35"/>
        <v>142477867.89627743</v>
      </c>
    </row>
    <row r="256" spans="1:19" x14ac:dyDescent="0.25">
      <c r="A256" s="273" t="s">
        <v>492</v>
      </c>
      <c r="B256" s="273"/>
      <c r="C256" s="273"/>
      <c r="D256" s="121">
        <v>1</v>
      </c>
      <c r="E256" s="122">
        <f>+E255/G255</f>
        <v>0.20309821910473055</v>
      </c>
      <c r="F256" s="122">
        <f>+F255/G255</f>
        <v>0.79690178089526842</v>
      </c>
      <c r="G256" s="122">
        <f>+E256+F256</f>
        <v>0.999999999999999</v>
      </c>
      <c r="H256" s="122">
        <f>+H255/J255</f>
        <v>0.16666666666666666</v>
      </c>
      <c r="I256" s="122">
        <f>+I255/J255</f>
        <v>0.83333333333333337</v>
      </c>
      <c r="J256" s="122">
        <f>+H256+I256</f>
        <v>1</v>
      </c>
      <c r="K256" s="122">
        <f t="shared" ref="K256" si="38">+K255/M255</f>
        <v>0.36577940491200345</v>
      </c>
      <c r="L256" s="122">
        <f t="shared" ref="L256" si="39">+L255/M255</f>
        <v>0.63422059508799655</v>
      </c>
      <c r="M256" s="122">
        <f t="shared" ref="M256" si="40">+K256+L256</f>
        <v>1</v>
      </c>
      <c r="N256" s="122">
        <f t="shared" ref="N256" si="41">+N255/P255</f>
        <v>0.18098911124273334</v>
      </c>
      <c r="O256" s="122">
        <f t="shared" ref="O256" si="42">+O255/P255</f>
        <v>0.81901088875726669</v>
      </c>
      <c r="P256" s="122">
        <f t="shared" ref="P256" si="43">+N256+O256</f>
        <v>1</v>
      </c>
      <c r="Q256" s="301"/>
      <c r="R256" s="301"/>
      <c r="S256" s="300"/>
    </row>
    <row r="259" spans="2:2" x14ac:dyDescent="0.25">
      <c r="B259" s="27"/>
    </row>
    <row r="260" spans="2:2" x14ac:dyDescent="0.25">
      <c r="B260" s="27"/>
    </row>
    <row r="261" spans="2:2" x14ac:dyDescent="0.25">
      <c r="B261" s="27"/>
    </row>
  </sheetData>
  <mergeCells count="8">
    <mergeCell ref="Q3:S3"/>
    <mergeCell ref="N3:P3"/>
    <mergeCell ref="K3:M3"/>
    <mergeCell ref="A255:C255"/>
    <mergeCell ref="A256:C256"/>
    <mergeCell ref="A2:C2"/>
    <mergeCell ref="E3:G3"/>
    <mergeCell ref="H3:J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35">
    <tabColor rgb="FF00B0F0"/>
  </sheetPr>
  <dimension ref="A2:S261"/>
  <sheetViews>
    <sheetView topLeftCell="K242" zoomScaleNormal="100" zoomScaleSheetLayoutView="110" workbookViewId="0">
      <selection activeCell="W249" sqref="W249"/>
    </sheetView>
  </sheetViews>
  <sheetFormatPr baseColWidth="10" defaultColWidth="10.85546875" defaultRowHeight="11.25" x14ac:dyDescent="0.2"/>
  <cols>
    <col min="1" max="1" width="4.7109375" style="61" customWidth="1"/>
    <col min="2" max="2" width="56.7109375" style="61" customWidth="1"/>
    <col min="3" max="3" width="8.7109375" style="61" customWidth="1"/>
    <col min="4" max="4" width="13.7109375" style="81" customWidth="1"/>
    <col min="5" max="8" width="13.7109375" style="44" customWidth="1"/>
    <col min="9" max="9" width="14.85546875" style="44" customWidth="1"/>
    <col min="10" max="10" width="15" style="44" customWidth="1"/>
    <col min="11" max="16" width="13.7109375" style="83" customWidth="1"/>
    <col min="17" max="17" width="15.85546875" style="82" customWidth="1"/>
    <col min="18" max="18" width="14.28515625" style="82" customWidth="1"/>
    <col min="19" max="19" width="13.5703125" style="82" customWidth="1"/>
    <col min="20" max="16384" width="10.85546875" style="82"/>
  </cols>
  <sheetData>
    <row r="2" spans="1:19" x14ac:dyDescent="0.2">
      <c r="A2" s="279" t="s">
        <v>478</v>
      </c>
      <c r="B2" s="279"/>
      <c r="C2" s="279"/>
    </row>
    <row r="3" spans="1:19" s="27" customFormat="1" x14ac:dyDescent="0.25">
      <c r="A3" s="28"/>
      <c r="D3" s="26"/>
      <c r="E3" s="269" t="s">
        <v>473</v>
      </c>
      <c r="F3" s="269"/>
      <c r="G3" s="269"/>
      <c r="H3" s="278" t="s">
        <v>572</v>
      </c>
      <c r="I3" s="278"/>
      <c r="J3" s="278"/>
      <c r="K3" s="277" t="s">
        <v>490</v>
      </c>
      <c r="L3" s="277"/>
      <c r="M3" s="277"/>
      <c r="N3" s="266" t="s">
        <v>480</v>
      </c>
      <c r="O3" s="266"/>
      <c r="P3" s="266"/>
      <c r="Q3" s="295" t="s">
        <v>576</v>
      </c>
      <c r="R3" s="296"/>
      <c r="S3" s="297"/>
    </row>
    <row r="4" spans="1:19" ht="45" x14ac:dyDescent="0.2">
      <c r="A4" s="29" t="s">
        <v>0</v>
      </c>
      <c r="B4" s="30" t="s">
        <v>91</v>
      </c>
      <c r="C4" s="45" t="s">
        <v>152</v>
      </c>
      <c r="D4" s="110" t="s">
        <v>472</v>
      </c>
      <c r="E4" s="89" t="s">
        <v>469</v>
      </c>
      <c r="F4" s="89" t="s">
        <v>470</v>
      </c>
      <c r="G4" s="90" t="s">
        <v>471</v>
      </c>
      <c r="H4" s="233" t="s">
        <v>469</v>
      </c>
      <c r="I4" s="233" t="s">
        <v>470</v>
      </c>
      <c r="J4" s="231" t="s">
        <v>471</v>
      </c>
      <c r="K4" s="115" t="s">
        <v>469</v>
      </c>
      <c r="L4" s="115" t="s">
        <v>470</v>
      </c>
      <c r="M4" s="116" t="s">
        <v>471</v>
      </c>
      <c r="N4" s="97" t="s">
        <v>469</v>
      </c>
      <c r="O4" s="97" t="s">
        <v>470</v>
      </c>
      <c r="P4" s="98" t="s">
        <v>471</v>
      </c>
      <c r="Q4" s="298" t="s">
        <v>574</v>
      </c>
      <c r="R4" s="298" t="s">
        <v>575</v>
      </c>
      <c r="S4" s="299" t="s">
        <v>471</v>
      </c>
    </row>
    <row r="5" spans="1:19" ht="33.75" x14ac:dyDescent="0.2">
      <c r="A5" s="31">
        <v>1</v>
      </c>
      <c r="B5" s="32" t="s">
        <v>366</v>
      </c>
      <c r="C5" s="33" t="s">
        <v>153</v>
      </c>
      <c r="D5" s="133">
        <v>8938555.7003942598</v>
      </c>
      <c r="E5" s="114">
        <v>2502795.5961103924</v>
      </c>
      <c r="F5" s="114">
        <v>10011182.384441571</v>
      </c>
      <c r="G5" s="114">
        <f>F5+E5</f>
        <v>12513977.980551964</v>
      </c>
      <c r="H5" s="257">
        <f>+I5*20%</f>
        <v>2000000</v>
      </c>
      <c r="I5" s="257">
        <v>10000000</v>
      </c>
      <c r="J5" s="258">
        <f>+I5+H5</f>
        <v>12000000</v>
      </c>
      <c r="K5" s="145">
        <f>2502795.59611039-1000</f>
        <v>2501795.59611039</v>
      </c>
      <c r="L5" s="145">
        <v>10011182.384441571</v>
      </c>
      <c r="M5" s="142">
        <f>K5+L5</f>
        <v>12512977.980551962</v>
      </c>
      <c r="N5" s="99">
        <f>MIN(E5,H5,K5)</f>
        <v>2000000</v>
      </c>
      <c r="O5" s="73">
        <f>MIN(F5,I5,L5)</f>
        <v>10000000</v>
      </c>
      <c r="P5" s="73">
        <f>O5+N5</f>
        <v>12000000</v>
      </c>
      <c r="Q5" s="301">
        <f>N5-(N5*7%)</f>
        <v>1860000</v>
      </c>
      <c r="R5" s="301">
        <f>O5-(O5*7%)</f>
        <v>9300000</v>
      </c>
      <c r="S5" s="300">
        <f>R5+Q5</f>
        <v>11160000</v>
      </c>
    </row>
    <row r="6" spans="1:19" ht="15" x14ac:dyDescent="0.2">
      <c r="A6" s="31">
        <v>2</v>
      </c>
      <c r="B6" s="32" t="s">
        <v>367</v>
      </c>
      <c r="C6" s="33" t="s">
        <v>153</v>
      </c>
      <c r="D6" s="133">
        <v>5369057.4000000004</v>
      </c>
      <c r="E6" s="114">
        <v>1503336.0719999997</v>
      </c>
      <c r="F6" s="114">
        <v>6013344.2880000006</v>
      </c>
      <c r="G6" s="114">
        <f t="shared" ref="G6:G48" si="0">F6+E6</f>
        <v>7516680.3600000003</v>
      </c>
      <c r="H6" s="257">
        <f t="shared" ref="H6:H69" si="1">+I6*20%</f>
        <v>1060000</v>
      </c>
      <c r="I6" s="257">
        <v>5300000</v>
      </c>
      <c r="J6" s="258">
        <f t="shared" ref="J6:J69" si="2">+I6+H6</f>
        <v>6360000</v>
      </c>
      <c r="K6" s="145">
        <f>1503336.072-1000</f>
        <v>1502336.0719999999</v>
      </c>
      <c r="L6" s="145">
        <v>6013344.2880000006</v>
      </c>
      <c r="M6" s="142">
        <f t="shared" ref="M6:M69" si="3">K6+L6</f>
        <v>7515680.3600000003</v>
      </c>
      <c r="N6" s="99">
        <f t="shared" ref="N6:N69" si="4">MIN(E6,H6,K6)</f>
        <v>1060000</v>
      </c>
      <c r="O6" s="73">
        <f t="shared" ref="O6:O69" si="5">MIN(F6,I6,L6)</f>
        <v>5300000</v>
      </c>
      <c r="P6" s="73">
        <f t="shared" ref="P6:P69" si="6">O6+N6</f>
        <v>6360000</v>
      </c>
      <c r="Q6" s="301">
        <f t="shared" ref="Q6:Q69" si="7">N6-(N6*7%)</f>
        <v>985800</v>
      </c>
      <c r="R6" s="301">
        <f t="shared" ref="R6:R69" si="8">O6-(O6*7%)</f>
        <v>4929000</v>
      </c>
      <c r="S6" s="300">
        <f t="shared" ref="S6:S69" si="9">R6+Q6</f>
        <v>5914800</v>
      </c>
    </row>
    <row r="7" spans="1:19" ht="15" x14ac:dyDescent="0.2">
      <c r="A7" s="31">
        <v>3</v>
      </c>
      <c r="B7" s="46" t="s">
        <v>277</v>
      </c>
      <c r="C7" s="33" t="s">
        <v>153</v>
      </c>
      <c r="D7" s="133">
        <v>1223796.985269414</v>
      </c>
      <c r="E7" s="114">
        <v>364691.50161028537</v>
      </c>
      <c r="F7" s="114">
        <v>1458766.0064411415</v>
      </c>
      <c r="G7" s="114">
        <f t="shared" si="0"/>
        <v>1823457.5080514268</v>
      </c>
      <c r="H7" s="257">
        <f t="shared" si="1"/>
        <v>300000</v>
      </c>
      <c r="I7" s="257">
        <v>1500000</v>
      </c>
      <c r="J7" s="258">
        <f t="shared" si="2"/>
        <v>1800000</v>
      </c>
      <c r="K7" s="145">
        <f>364691.501610285-1000</f>
        <v>363691.50161028502</v>
      </c>
      <c r="L7" s="145">
        <v>1458766.0064411415</v>
      </c>
      <c r="M7" s="142">
        <f t="shared" si="3"/>
        <v>1822457.5080514266</v>
      </c>
      <c r="N7" s="99">
        <f t="shared" si="4"/>
        <v>300000</v>
      </c>
      <c r="O7" s="73">
        <f t="shared" si="5"/>
        <v>1458766.0064411415</v>
      </c>
      <c r="P7" s="73">
        <f t="shared" si="6"/>
        <v>1758766.0064411415</v>
      </c>
      <c r="Q7" s="301">
        <f t="shared" si="7"/>
        <v>279000</v>
      </c>
      <c r="R7" s="301">
        <f t="shared" si="8"/>
        <v>1356652.3859902616</v>
      </c>
      <c r="S7" s="300">
        <f t="shared" si="9"/>
        <v>1635652.3859902616</v>
      </c>
    </row>
    <row r="8" spans="1:19" ht="15" x14ac:dyDescent="0.2">
      <c r="A8" s="31">
        <v>4</v>
      </c>
      <c r="B8" s="46" t="s">
        <v>156</v>
      </c>
      <c r="C8" s="33" t="s">
        <v>153</v>
      </c>
      <c r="D8" s="133">
        <v>403565.91538763692</v>
      </c>
      <c r="E8" s="114">
        <v>120262.64278551575</v>
      </c>
      <c r="F8" s="114">
        <v>481050.57114206324</v>
      </c>
      <c r="G8" s="114">
        <f t="shared" si="0"/>
        <v>601313.213927579</v>
      </c>
      <c r="H8" s="257">
        <f t="shared" si="1"/>
        <v>94000</v>
      </c>
      <c r="I8" s="257">
        <v>470000</v>
      </c>
      <c r="J8" s="258">
        <f t="shared" si="2"/>
        <v>564000</v>
      </c>
      <c r="K8" s="145">
        <f>120262.642785516-1000</f>
        <v>119262.642785516</v>
      </c>
      <c r="L8" s="145">
        <v>481050.57114206301</v>
      </c>
      <c r="M8" s="142">
        <f t="shared" si="3"/>
        <v>600313.213927579</v>
      </c>
      <c r="N8" s="99">
        <f t="shared" si="4"/>
        <v>94000</v>
      </c>
      <c r="O8" s="73">
        <f t="shared" si="5"/>
        <v>470000</v>
      </c>
      <c r="P8" s="73">
        <f t="shared" si="6"/>
        <v>564000</v>
      </c>
      <c r="Q8" s="301">
        <f t="shared" si="7"/>
        <v>87420</v>
      </c>
      <c r="R8" s="301">
        <f t="shared" si="8"/>
        <v>437100</v>
      </c>
      <c r="S8" s="300">
        <f t="shared" si="9"/>
        <v>524520</v>
      </c>
    </row>
    <row r="9" spans="1:19" ht="15" x14ac:dyDescent="0.2">
      <c r="A9" s="31">
        <v>5</v>
      </c>
      <c r="B9" s="46" t="s">
        <v>133</v>
      </c>
      <c r="C9" s="33" t="s">
        <v>153</v>
      </c>
      <c r="D9" s="133">
        <v>4971588.6172221666</v>
      </c>
      <c r="E9" s="114">
        <v>1392044.8128222059</v>
      </c>
      <c r="F9" s="114">
        <v>5568179.2512888266</v>
      </c>
      <c r="G9" s="114">
        <f t="shared" si="0"/>
        <v>6960224.0641110325</v>
      </c>
      <c r="H9" s="257">
        <f t="shared" si="1"/>
        <v>1160000</v>
      </c>
      <c r="I9" s="257">
        <v>5800000</v>
      </c>
      <c r="J9" s="258">
        <f t="shared" si="2"/>
        <v>6960000</v>
      </c>
      <c r="K9" s="145">
        <f>1392044.81282221-1000</f>
        <v>1391044.8128222099</v>
      </c>
      <c r="L9" s="145">
        <v>5568179.2512888266</v>
      </c>
      <c r="M9" s="142">
        <f t="shared" si="3"/>
        <v>6959224.0641110362</v>
      </c>
      <c r="N9" s="99">
        <f t="shared" si="4"/>
        <v>1160000</v>
      </c>
      <c r="O9" s="73">
        <f t="shared" si="5"/>
        <v>5568179.2512888266</v>
      </c>
      <c r="P9" s="73">
        <f t="shared" si="6"/>
        <v>6728179.2512888266</v>
      </c>
      <c r="Q9" s="301">
        <f t="shared" si="7"/>
        <v>1078800</v>
      </c>
      <c r="R9" s="301">
        <f t="shared" si="8"/>
        <v>5178406.703698609</v>
      </c>
      <c r="S9" s="300">
        <f t="shared" si="9"/>
        <v>6257206.703698609</v>
      </c>
    </row>
    <row r="10" spans="1:19" ht="15" x14ac:dyDescent="0.2">
      <c r="A10" s="31">
        <v>6</v>
      </c>
      <c r="B10" s="46" t="s">
        <v>4</v>
      </c>
      <c r="C10" s="33" t="s">
        <v>153</v>
      </c>
      <c r="D10" s="133">
        <v>1764249.5667999999</v>
      </c>
      <c r="E10" s="114">
        <v>525746.37090640003</v>
      </c>
      <c r="F10" s="114">
        <v>2102985.4836255996</v>
      </c>
      <c r="G10" s="114">
        <f t="shared" si="0"/>
        <v>2628731.8545319997</v>
      </c>
      <c r="H10" s="257">
        <f t="shared" si="1"/>
        <v>420000</v>
      </c>
      <c r="I10" s="257">
        <v>2100000</v>
      </c>
      <c r="J10" s="258">
        <f t="shared" si="2"/>
        <v>2520000</v>
      </c>
      <c r="K10" s="145">
        <f>525746.3709064-1000</f>
        <v>524746.37090640003</v>
      </c>
      <c r="L10" s="145">
        <v>2102985.4836255996</v>
      </c>
      <c r="M10" s="142">
        <f t="shared" si="3"/>
        <v>2627731.8545319997</v>
      </c>
      <c r="N10" s="99">
        <f t="shared" si="4"/>
        <v>420000</v>
      </c>
      <c r="O10" s="73">
        <f t="shared" si="5"/>
        <v>2100000</v>
      </c>
      <c r="P10" s="73">
        <f t="shared" si="6"/>
        <v>2520000</v>
      </c>
      <c r="Q10" s="301">
        <f t="shared" si="7"/>
        <v>390600</v>
      </c>
      <c r="R10" s="301">
        <f t="shared" si="8"/>
        <v>1953000</v>
      </c>
      <c r="S10" s="300">
        <f t="shared" si="9"/>
        <v>2343600</v>
      </c>
    </row>
    <row r="11" spans="1:19" ht="15" x14ac:dyDescent="0.2">
      <c r="A11" s="31">
        <v>7</v>
      </c>
      <c r="B11" s="46" t="s">
        <v>96</v>
      </c>
      <c r="C11" s="33" t="s">
        <v>153</v>
      </c>
      <c r="D11" s="133">
        <v>1187266.3034163879</v>
      </c>
      <c r="E11" s="114">
        <v>353805.35841808352</v>
      </c>
      <c r="F11" s="114">
        <v>1415221.4336723343</v>
      </c>
      <c r="G11" s="114">
        <f t="shared" si="0"/>
        <v>1769026.7920904178</v>
      </c>
      <c r="H11" s="257">
        <f t="shared" si="1"/>
        <v>300000</v>
      </c>
      <c r="I11" s="257">
        <v>1500000</v>
      </c>
      <c r="J11" s="258">
        <f t="shared" si="2"/>
        <v>1800000</v>
      </c>
      <c r="K11" s="145">
        <v>353805.35841808352</v>
      </c>
      <c r="L11" s="145">
        <v>1415221.4336723343</v>
      </c>
      <c r="M11" s="142">
        <f t="shared" si="3"/>
        <v>1769026.7920904178</v>
      </c>
      <c r="N11" s="99">
        <f t="shared" si="4"/>
        <v>300000</v>
      </c>
      <c r="O11" s="73">
        <f t="shared" si="5"/>
        <v>1415221.4336723343</v>
      </c>
      <c r="P11" s="73">
        <f t="shared" si="6"/>
        <v>1715221.4336723343</v>
      </c>
      <c r="Q11" s="301">
        <f t="shared" si="7"/>
        <v>279000</v>
      </c>
      <c r="R11" s="301">
        <f t="shared" si="8"/>
        <v>1316155.9333152708</v>
      </c>
      <c r="S11" s="300">
        <f t="shared" si="9"/>
        <v>1595155.9333152708</v>
      </c>
    </row>
    <row r="12" spans="1:19" ht="15" x14ac:dyDescent="0.2">
      <c r="A12" s="31">
        <v>8</v>
      </c>
      <c r="B12" s="46" t="s">
        <v>8</v>
      </c>
      <c r="C12" s="33" t="s">
        <v>153</v>
      </c>
      <c r="D12" s="133">
        <v>206660.33465000003</v>
      </c>
      <c r="E12" s="114">
        <v>61584.779725700006</v>
      </c>
      <c r="F12" s="114">
        <v>246339.11890280005</v>
      </c>
      <c r="G12" s="114">
        <f t="shared" si="0"/>
        <v>307923.89862850006</v>
      </c>
      <c r="H12" s="257">
        <f t="shared" si="1"/>
        <v>48000</v>
      </c>
      <c r="I12" s="257">
        <v>240000</v>
      </c>
      <c r="J12" s="258">
        <f t="shared" si="2"/>
        <v>288000</v>
      </c>
      <c r="K12" s="145">
        <f>61584.7797257-1000</f>
        <v>60584.779725699998</v>
      </c>
      <c r="L12" s="145">
        <v>246339.11890280005</v>
      </c>
      <c r="M12" s="142">
        <f t="shared" si="3"/>
        <v>306923.89862850006</v>
      </c>
      <c r="N12" s="99">
        <f t="shared" si="4"/>
        <v>48000</v>
      </c>
      <c r="O12" s="73">
        <f t="shared" si="5"/>
        <v>240000</v>
      </c>
      <c r="P12" s="73">
        <f t="shared" si="6"/>
        <v>288000</v>
      </c>
      <c r="Q12" s="301">
        <f t="shared" si="7"/>
        <v>44640</v>
      </c>
      <c r="R12" s="301">
        <f t="shared" si="8"/>
        <v>223200</v>
      </c>
      <c r="S12" s="300">
        <f t="shared" si="9"/>
        <v>267840</v>
      </c>
    </row>
    <row r="13" spans="1:19" ht="15" x14ac:dyDescent="0.2">
      <c r="A13" s="31">
        <v>9</v>
      </c>
      <c r="B13" s="46" t="s">
        <v>157</v>
      </c>
      <c r="C13" s="33" t="s">
        <v>153</v>
      </c>
      <c r="D13" s="133">
        <v>265706.14455000003</v>
      </c>
      <c r="E13" s="114">
        <v>79180.431075899978</v>
      </c>
      <c r="F13" s="114">
        <v>316721.72430360009</v>
      </c>
      <c r="G13" s="114">
        <f t="shared" si="0"/>
        <v>395902.15537950007</v>
      </c>
      <c r="H13" s="257">
        <f t="shared" si="1"/>
        <v>62000</v>
      </c>
      <c r="I13" s="257">
        <v>310000</v>
      </c>
      <c r="J13" s="258">
        <f t="shared" si="2"/>
        <v>372000</v>
      </c>
      <c r="K13" s="145">
        <f>79180.4310759-1000</f>
        <v>78180.431075900007</v>
      </c>
      <c r="L13" s="145">
        <v>316721.72430360009</v>
      </c>
      <c r="M13" s="142">
        <f t="shared" si="3"/>
        <v>394902.15537950012</v>
      </c>
      <c r="N13" s="99">
        <f t="shared" si="4"/>
        <v>62000</v>
      </c>
      <c r="O13" s="73">
        <f t="shared" si="5"/>
        <v>310000</v>
      </c>
      <c r="P13" s="73">
        <f t="shared" si="6"/>
        <v>372000</v>
      </c>
      <c r="Q13" s="301">
        <f t="shared" si="7"/>
        <v>57660</v>
      </c>
      <c r="R13" s="301">
        <f t="shared" si="8"/>
        <v>288300</v>
      </c>
      <c r="S13" s="300">
        <f t="shared" si="9"/>
        <v>345960</v>
      </c>
    </row>
    <row r="14" spans="1:19" ht="15" x14ac:dyDescent="0.2">
      <c r="A14" s="31">
        <v>10</v>
      </c>
      <c r="B14" s="46" t="s">
        <v>10</v>
      </c>
      <c r="C14" s="33" t="s">
        <v>153</v>
      </c>
      <c r="D14" s="133">
        <v>208305.2698071897</v>
      </c>
      <c r="E14" s="114">
        <v>62074.970402542531</v>
      </c>
      <c r="F14" s="114">
        <v>248299.88161017015</v>
      </c>
      <c r="G14" s="114">
        <f t="shared" si="0"/>
        <v>310374.85201271268</v>
      </c>
      <c r="H14" s="257">
        <f t="shared" si="1"/>
        <v>48000</v>
      </c>
      <c r="I14" s="257">
        <v>240000</v>
      </c>
      <c r="J14" s="258">
        <f t="shared" si="2"/>
        <v>288000</v>
      </c>
      <c r="K14" s="145">
        <f>62074.9704025425-1000</f>
        <v>61074.970402542502</v>
      </c>
      <c r="L14" s="145">
        <v>248299.88161017015</v>
      </c>
      <c r="M14" s="142">
        <f t="shared" si="3"/>
        <v>309374.85201271262</v>
      </c>
      <c r="N14" s="99">
        <f t="shared" si="4"/>
        <v>48000</v>
      </c>
      <c r="O14" s="73">
        <f t="shared" si="5"/>
        <v>240000</v>
      </c>
      <c r="P14" s="73">
        <f t="shared" si="6"/>
        <v>288000</v>
      </c>
      <c r="Q14" s="301">
        <f t="shared" si="7"/>
        <v>44640</v>
      </c>
      <c r="R14" s="301">
        <f t="shared" si="8"/>
        <v>223200</v>
      </c>
      <c r="S14" s="300">
        <f t="shared" si="9"/>
        <v>267840</v>
      </c>
    </row>
    <row r="15" spans="1:19" ht="15" x14ac:dyDescent="0.2">
      <c r="A15" s="31">
        <v>11</v>
      </c>
      <c r="B15" s="46" t="s">
        <v>65</v>
      </c>
      <c r="C15" s="33" t="s">
        <v>153</v>
      </c>
      <c r="D15" s="133">
        <v>735817.02599999995</v>
      </c>
      <c r="E15" s="114">
        <v>219273.47374799987</v>
      </c>
      <c r="F15" s="114">
        <v>877093.89499199996</v>
      </c>
      <c r="G15" s="114">
        <f t="shared" si="0"/>
        <v>1096367.3687399998</v>
      </c>
      <c r="H15" s="257">
        <f t="shared" si="1"/>
        <v>186000</v>
      </c>
      <c r="I15" s="257">
        <v>930000</v>
      </c>
      <c r="J15" s="258">
        <f t="shared" si="2"/>
        <v>1116000</v>
      </c>
      <c r="K15" s="145">
        <f>219273.473748-1000</f>
        <v>218273.47374799999</v>
      </c>
      <c r="L15" s="145">
        <v>877093.89499199996</v>
      </c>
      <c r="M15" s="142">
        <f t="shared" si="3"/>
        <v>1095367.3687399998</v>
      </c>
      <c r="N15" s="99">
        <f t="shared" si="4"/>
        <v>186000</v>
      </c>
      <c r="O15" s="73">
        <f t="shared" si="5"/>
        <v>877093.89499199996</v>
      </c>
      <c r="P15" s="73">
        <f t="shared" si="6"/>
        <v>1063093.894992</v>
      </c>
      <c r="Q15" s="301">
        <f t="shared" si="7"/>
        <v>172980</v>
      </c>
      <c r="R15" s="301">
        <f t="shared" si="8"/>
        <v>815697.32234255993</v>
      </c>
      <c r="S15" s="300">
        <f t="shared" si="9"/>
        <v>988677.32234255993</v>
      </c>
    </row>
    <row r="16" spans="1:19" ht="15" x14ac:dyDescent="0.2">
      <c r="A16" s="31">
        <v>12</v>
      </c>
      <c r="B16" s="46" t="s">
        <v>9</v>
      </c>
      <c r="C16" s="33" t="s">
        <v>153</v>
      </c>
      <c r="D16" s="133">
        <v>305679.71463404008</v>
      </c>
      <c r="E16" s="114">
        <v>91092.554960943933</v>
      </c>
      <c r="F16" s="114">
        <v>364370.21984377579</v>
      </c>
      <c r="G16" s="114">
        <f t="shared" si="0"/>
        <v>455462.77480471972</v>
      </c>
      <c r="H16" s="257">
        <f t="shared" si="1"/>
        <v>70000</v>
      </c>
      <c r="I16" s="257">
        <v>350000</v>
      </c>
      <c r="J16" s="258">
        <f t="shared" si="2"/>
        <v>420000</v>
      </c>
      <c r="K16" s="145">
        <f>91092.5549609439-1000</f>
        <v>90092.554960943904</v>
      </c>
      <c r="L16" s="145">
        <v>364370.21984377579</v>
      </c>
      <c r="M16" s="142">
        <f t="shared" si="3"/>
        <v>454462.77480471972</v>
      </c>
      <c r="N16" s="99">
        <f t="shared" si="4"/>
        <v>70000</v>
      </c>
      <c r="O16" s="73">
        <f t="shared" si="5"/>
        <v>350000</v>
      </c>
      <c r="P16" s="73">
        <f t="shared" si="6"/>
        <v>420000</v>
      </c>
      <c r="Q16" s="301">
        <f t="shared" si="7"/>
        <v>65100</v>
      </c>
      <c r="R16" s="301">
        <f t="shared" si="8"/>
        <v>325500</v>
      </c>
      <c r="S16" s="300">
        <f t="shared" si="9"/>
        <v>390600</v>
      </c>
    </row>
    <row r="17" spans="1:19" ht="15" x14ac:dyDescent="0.2">
      <c r="A17" s="31">
        <v>13</v>
      </c>
      <c r="B17" s="46" t="s">
        <v>324</v>
      </c>
      <c r="C17" s="33" t="s">
        <v>153</v>
      </c>
      <c r="D17" s="133">
        <v>3136532.0223999997</v>
      </c>
      <c r="E17" s="114">
        <v>878228.96627199976</v>
      </c>
      <c r="F17" s="114">
        <v>3512915.8650879995</v>
      </c>
      <c r="G17" s="114">
        <f t="shared" si="0"/>
        <v>4391144.8313599993</v>
      </c>
      <c r="H17" s="257">
        <f t="shared" si="1"/>
        <v>780000</v>
      </c>
      <c r="I17" s="257">
        <v>3900000</v>
      </c>
      <c r="J17" s="258">
        <f t="shared" si="2"/>
        <v>4680000</v>
      </c>
      <c r="K17" s="145">
        <f>878228.966272-1000</f>
        <v>877228.96627199999</v>
      </c>
      <c r="L17" s="145">
        <v>3512915.8650879995</v>
      </c>
      <c r="M17" s="142">
        <f t="shared" si="3"/>
        <v>4390144.8313599993</v>
      </c>
      <c r="N17" s="99">
        <f t="shared" si="4"/>
        <v>780000</v>
      </c>
      <c r="O17" s="73">
        <f t="shared" si="5"/>
        <v>3512915.8650879995</v>
      </c>
      <c r="P17" s="73">
        <f t="shared" si="6"/>
        <v>4292915.865087999</v>
      </c>
      <c r="Q17" s="301">
        <f t="shared" si="7"/>
        <v>725400</v>
      </c>
      <c r="R17" s="301">
        <f t="shared" si="8"/>
        <v>3267011.7545318394</v>
      </c>
      <c r="S17" s="300">
        <f t="shared" si="9"/>
        <v>3992411.7545318394</v>
      </c>
    </row>
    <row r="18" spans="1:19" ht="15" x14ac:dyDescent="0.2">
      <c r="A18" s="31">
        <v>14</v>
      </c>
      <c r="B18" s="47" t="s">
        <v>158</v>
      </c>
      <c r="C18" s="33" t="s">
        <v>153</v>
      </c>
      <c r="D18" s="133">
        <v>6794658.9666800434</v>
      </c>
      <c r="E18" s="114">
        <v>1902504.5106704114</v>
      </c>
      <c r="F18" s="114">
        <v>7610018.0426816484</v>
      </c>
      <c r="G18" s="114">
        <f t="shared" si="0"/>
        <v>9512522.5533520598</v>
      </c>
      <c r="H18" s="257">
        <f t="shared" si="1"/>
        <v>146000</v>
      </c>
      <c r="I18" s="257">
        <v>730000</v>
      </c>
      <c r="J18" s="258">
        <f t="shared" si="2"/>
        <v>876000</v>
      </c>
      <c r="K18" s="145">
        <v>1902504.51067041</v>
      </c>
      <c r="L18" s="145">
        <v>7610018.0426816484</v>
      </c>
      <c r="M18" s="142">
        <f t="shared" si="3"/>
        <v>9512522.5533520579</v>
      </c>
      <c r="N18" s="99">
        <f t="shared" si="4"/>
        <v>146000</v>
      </c>
      <c r="O18" s="73">
        <f t="shared" si="5"/>
        <v>730000</v>
      </c>
      <c r="P18" s="73">
        <f t="shared" si="6"/>
        <v>876000</v>
      </c>
      <c r="Q18" s="301">
        <f t="shared" si="7"/>
        <v>135780</v>
      </c>
      <c r="R18" s="301">
        <f t="shared" si="8"/>
        <v>678900</v>
      </c>
      <c r="S18" s="300">
        <f t="shared" si="9"/>
        <v>814680</v>
      </c>
    </row>
    <row r="19" spans="1:19" ht="15" x14ac:dyDescent="0.2">
      <c r="A19" s="31">
        <v>15</v>
      </c>
      <c r="B19" s="46" t="s">
        <v>2</v>
      </c>
      <c r="C19" s="33" t="s">
        <v>153</v>
      </c>
      <c r="D19" s="133">
        <v>636102.31313576119</v>
      </c>
      <c r="E19" s="114">
        <v>189558.48931445682</v>
      </c>
      <c r="F19" s="114">
        <v>758233.95725782739</v>
      </c>
      <c r="G19" s="114">
        <f t="shared" si="0"/>
        <v>947792.44657228421</v>
      </c>
      <c r="H19" s="257">
        <f t="shared" si="1"/>
        <v>150000</v>
      </c>
      <c r="I19" s="257">
        <v>750000</v>
      </c>
      <c r="J19" s="258">
        <f t="shared" si="2"/>
        <v>900000</v>
      </c>
      <c r="K19" s="145">
        <f>189558.489314457-1000</f>
        <v>188558.48931445699</v>
      </c>
      <c r="L19" s="145">
        <v>758233.95725782739</v>
      </c>
      <c r="M19" s="142">
        <f t="shared" si="3"/>
        <v>946792.44657228445</v>
      </c>
      <c r="N19" s="99">
        <f t="shared" si="4"/>
        <v>150000</v>
      </c>
      <c r="O19" s="73">
        <f t="shared" si="5"/>
        <v>750000</v>
      </c>
      <c r="P19" s="73">
        <f t="shared" si="6"/>
        <v>900000</v>
      </c>
      <c r="Q19" s="301">
        <f t="shared" si="7"/>
        <v>139500</v>
      </c>
      <c r="R19" s="301">
        <f t="shared" si="8"/>
        <v>697500</v>
      </c>
      <c r="S19" s="300">
        <f t="shared" si="9"/>
        <v>837000</v>
      </c>
    </row>
    <row r="20" spans="1:19" ht="15" x14ac:dyDescent="0.2">
      <c r="A20" s="31">
        <v>16</v>
      </c>
      <c r="B20" s="46" t="s">
        <v>3</v>
      </c>
      <c r="C20" s="33" t="s">
        <v>153</v>
      </c>
      <c r="D20" s="133">
        <v>636102.31313576119</v>
      </c>
      <c r="E20" s="114">
        <v>189558.48931445682</v>
      </c>
      <c r="F20" s="114">
        <v>758233.95725782739</v>
      </c>
      <c r="G20" s="114">
        <f t="shared" si="0"/>
        <v>947792.44657228421</v>
      </c>
      <c r="H20" s="257">
        <f t="shared" si="1"/>
        <v>150000</v>
      </c>
      <c r="I20" s="257">
        <v>750000</v>
      </c>
      <c r="J20" s="258">
        <f t="shared" si="2"/>
        <v>900000</v>
      </c>
      <c r="K20" s="145">
        <f>189558.489314457-1000</f>
        <v>188558.48931445699</v>
      </c>
      <c r="L20" s="145">
        <v>758233.95725782739</v>
      </c>
      <c r="M20" s="142">
        <f t="shared" si="3"/>
        <v>946792.44657228445</v>
      </c>
      <c r="N20" s="99">
        <f t="shared" si="4"/>
        <v>150000</v>
      </c>
      <c r="O20" s="73">
        <f t="shared" si="5"/>
        <v>750000</v>
      </c>
      <c r="P20" s="73">
        <f t="shared" si="6"/>
        <v>900000</v>
      </c>
      <c r="Q20" s="301">
        <f t="shared" si="7"/>
        <v>139500</v>
      </c>
      <c r="R20" s="301">
        <f t="shared" si="8"/>
        <v>697500</v>
      </c>
      <c r="S20" s="300">
        <f t="shared" si="9"/>
        <v>837000</v>
      </c>
    </row>
    <row r="21" spans="1:19" ht="15" x14ac:dyDescent="0.2">
      <c r="A21" s="31">
        <v>17</v>
      </c>
      <c r="B21" s="46" t="s">
        <v>15</v>
      </c>
      <c r="C21" s="33" t="s">
        <v>153</v>
      </c>
      <c r="D21" s="133">
        <v>1549812.4000323862</v>
      </c>
      <c r="E21" s="114">
        <v>461844.09520965093</v>
      </c>
      <c r="F21" s="114">
        <v>1847376.3808386044</v>
      </c>
      <c r="G21" s="114">
        <f t="shared" si="0"/>
        <v>2309220.4760482553</v>
      </c>
      <c r="H21" s="257">
        <f t="shared" si="1"/>
        <v>38000</v>
      </c>
      <c r="I21" s="257">
        <v>190000</v>
      </c>
      <c r="J21" s="258">
        <f t="shared" si="2"/>
        <v>228000</v>
      </c>
      <c r="K21" s="145">
        <f>461844.095209651-1000</f>
        <v>460844.09520965099</v>
      </c>
      <c r="L21" s="145">
        <v>1847376.3808386044</v>
      </c>
      <c r="M21" s="142">
        <f t="shared" si="3"/>
        <v>2308220.4760482553</v>
      </c>
      <c r="N21" s="99">
        <f t="shared" si="4"/>
        <v>38000</v>
      </c>
      <c r="O21" s="73">
        <f t="shared" si="5"/>
        <v>190000</v>
      </c>
      <c r="P21" s="73">
        <f t="shared" si="6"/>
        <v>228000</v>
      </c>
      <c r="Q21" s="301">
        <f t="shared" si="7"/>
        <v>35340</v>
      </c>
      <c r="R21" s="301">
        <f t="shared" si="8"/>
        <v>176700</v>
      </c>
      <c r="S21" s="300">
        <f t="shared" si="9"/>
        <v>212040</v>
      </c>
    </row>
    <row r="22" spans="1:19" ht="15" x14ac:dyDescent="0.2">
      <c r="A22" s="31">
        <v>18</v>
      </c>
      <c r="B22" s="46" t="s">
        <v>105</v>
      </c>
      <c r="C22" s="33" t="s">
        <v>153</v>
      </c>
      <c r="D22" s="133">
        <v>509957.90580000001</v>
      </c>
      <c r="E22" s="114">
        <v>151967.45592839993</v>
      </c>
      <c r="F22" s="114">
        <v>607869.82371360005</v>
      </c>
      <c r="G22" s="114">
        <f t="shared" si="0"/>
        <v>759837.27964199998</v>
      </c>
      <c r="H22" s="257">
        <f t="shared" si="1"/>
        <v>128000</v>
      </c>
      <c r="I22" s="257">
        <v>640000</v>
      </c>
      <c r="J22" s="258">
        <f t="shared" si="2"/>
        <v>768000</v>
      </c>
      <c r="K22" s="145">
        <f>151967.4559284-1000</f>
        <v>150967.45592840001</v>
      </c>
      <c r="L22" s="145">
        <v>607869.82371360005</v>
      </c>
      <c r="M22" s="142">
        <f t="shared" si="3"/>
        <v>758837.2796420001</v>
      </c>
      <c r="N22" s="99">
        <f t="shared" si="4"/>
        <v>128000</v>
      </c>
      <c r="O22" s="73">
        <f t="shared" si="5"/>
        <v>607869.82371360005</v>
      </c>
      <c r="P22" s="73">
        <f t="shared" si="6"/>
        <v>735869.82371360005</v>
      </c>
      <c r="Q22" s="301">
        <f t="shared" si="7"/>
        <v>119040</v>
      </c>
      <c r="R22" s="301">
        <f t="shared" si="8"/>
        <v>565318.93605364801</v>
      </c>
      <c r="S22" s="300">
        <f t="shared" si="9"/>
        <v>684358.93605364801</v>
      </c>
    </row>
    <row r="23" spans="1:19" ht="15" x14ac:dyDescent="0.2">
      <c r="A23" s="31">
        <v>19</v>
      </c>
      <c r="B23" s="46" t="s">
        <v>106</v>
      </c>
      <c r="C23" s="33" t="s">
        <v>153</v>
      </c>
      <c r="D23" s="133">
        <v>735249.26300000004</v>
      </c>
      <c r="E23" s="114">
        <v>219104.28037399997</v>
      </c>
      <c r="F23" s="114">
        <v>876417.12149599998</v>
      </c>
      <c r="G23" s="114">
        <f t="shared" si="0"/>
        <v>1095521.4018699999</v>
      </c>
      <c r="H23" s="257">
        <f t="shared" si="1"/>
        <v>186000</v>
      </c>
      <c r="I23" s="257">
        <v>930000</v>
      </c>
      <c r="J23" s="258">
        <f t="shared" si="2"/>
        <v>1116000</v>
      </c>
      <c r="K23" s="145">
        <f>219104.280374-1000</f>
        <v>218104.28037399999</v>
      </c>
      <c r="L23" s="145">
        <v>876417.12149599998</v>
      </c>
      <c r="M23" s="142">
        <f t="shared" si="3"/>
        <v>1094521.4018699999</v>
      </c>
      <c r="N23" s="99">
        <f t="shared" si="4"/>
        <v>186000</v>
      </c>
      <c r="O23" s="73">
        <f t="shared" si="5"/>
        <v>876417.12149599998</v>
      </c>
      <c r="P23" s="73">
        <f t="shared" si="6"/>
        <v>1062417.1214959999</v>
      </c>
      <c r="Q23" s="301">
        <f t="shared" si="7"/>
        <v>172980</v>
      </c>
      <c r="R23" s="301">
        <f t="shared" si="8"/>
        <v>815067.92299127998</v>
      </c>
      <c r="S23" s="300">
        <f t="shared" si="9"/>
        <v>988047.92299127998</v>
      </c>
    </row>
    <row r="24" spans="1:19" ht="15" x14ac:dyDescent="0.2">
      <c r="A24" s="31">
        <v>20</v>
      </c>
      <c r="B24" s="46" t="s">
        <v>6</v>
      </c>
      <c r="C24" s="33" t="s">
        <v>153</v>
      </c>
      <c r="D24" s="133">
        <v>558849.23359999992</v>
      </c>
      <c r="E24" s="114">
        <v>166537.07161279989</v>
      </c>
      <c r="F24" s="114">
        <v>666148.28645120002</v>
      </c>
      <c r="G24" s="114">
        <f t="shared" si="0"/>
        <v>832685.35806399991</v>
      </c>
      <c r="H24" s="257">
        <f t="shared" si="1"/>
        <v>142000</v>
      </c>
      <c r="I24" s="257">
        <v>710000</v>
      </c>
      <c r="J24" s="258">
        <f t="shared" si="2"/>
        <v>852000</v>
      </c>
      <c r="K24" s="145">
        <f>166537.0716128-1000</f>
        <v>165537.07161280001</v>
      </c>
      <c r="L24" s="145">
        <v>666148.28645120002</v>
      </c>
      <c r="M24" s="142">
        <f t="shared" si="3"/>
        <v>831685.35806400003</v>
      </c>
      <c r="N24" s="99">
        <f t="shared" si="4"/>
        <v>142000</v>
      </c>
      <c r="O24" s="73">
        <f t="shared" si="5"/>
        <v>666148.28645120002</v>
      </c>
      <c r="P24" s="73">
        <f t="shared" si="6"/>
        <v>808148.28645120002</v>
      </c>
      <c r="Q24" s="301">
        <f t="shared" si="7"/>
        <v>132060</v>
      </c>
      <c r="R24" s="301">
        <f t="shared" si="8"/>
        <v>619517.90639961604</v>
      </c>
      <c r="S24" s="300">
        <f t="shared" si="9"/>
        <v>751577.90639961604</v>
      </c>
    </row>
    <row r="25" spans="1:19" ht="15" x14ac:dyDescent="0.2">
      <c r="A25" s="31">
        <v>21</v>
      </c>
      <c r="B25" s="46" t="s">
        <v>159</v>
      </c>
      <c r="C25" s="33" t="s">
        <v>153</v>
      </c>
      <c r="D25" s="133">
        <v>2274404.1488000001</v>
      </c>
      <c r="E25" s="114">
        <v>636833.16166399978</v>
      </c>
      <c r="F25" s="114">
        <v>2547332.6466560001</v>
      </c>
      <c r="G25" s="114">
        <f t="shared" si="0"/>
        <v>3184165.8083199998</v>
      </c>
      <c r="H25" s="257">
        <f t="shared" si="1"/>
        <v>500000</v>
      </c>
      <c r="I25" s="257">
        <v>2500000</v>
      </c>
      <c r="J25" s="258">
        <f t="shared" si="2"/>
        <v>3000000</v>
      </c>
      <c r="K25" s="145">
        <f>636833.161664-1000</f>
        <v>635833.16166400001</v>
      </c>
      <c r="L25" s="145">
        <v>2547332.6466560001</v>
      </c>
      <c r="M25" s="142">
        <f t="shared" si="3"/>
        <v>3183165.8083199998</v>
      </c>
      <c r="N25" s="99">
        <f t="shared" si="4"/>
        <v>500000</v>
      </c>
      <c r="O25" s="73">
        <f t="shared" si="5"/>
        <v>2500000</v>
      </c>
      <c r="P25" s="73">
        <f t="shared" si="6"/>
        <v>3000000</v>
      </c>
      <c r="Q25" s="301">
        <f t="shared" si="7"/>
        <v>465000</v>
      </c>
      <c r="R25" s="301">
        <f t="shared" si="8"/>
        <v>2325000</v>
      </c>
      <c r="S25" s="300">
        <f t="shared" si="9"/>
        <v>2790000</v>
      </c>
    </row>
    <row r="26" spans="1:19" ht="15" x14ac:dyDescent="0.2">
      <c r="A26" s="31">
        <v>22</v>
      </c>
      <c r="B26" s="46" t="s">
        <v>356</v>
      </c>
      <c r="C26" s="33" t="s">
        <v>153</v>
      </c>
      <c r="D26" s="133">
        <v>450000</v>
      </c>
      <c r="E26" s="114">
        <v>134100</v>
      </c>
      <c r="F26" s="114">
        <v>536400</v>
      </c>
      <c r="G26" s="114">
        <f t="shared" si="0"/>
        <v>670500</v>
      </c>
      <c r="H26" s="257">
        <f t="shared" si="1"/>
        <v>106000</v>
      </c>
      <c r="I26" s="257">
        <v>530000</v>
      </c>
      <c r="J26" s="258">
        <f t="shared" si="2"/>
        <v>636000</v>
      </c>
      <c r="K26" s="145">
        <f>134100-1000</f>
        <v>133100</v>
      </c>
      <c r="L26" s="145">
        <v>536400</v>
      </c>
      <c r="M26" s="142">
        <f t="shared" si="3"/>
        <v>669500</v>
      </c>
      <c r="N26" s="99">
        <f t="shared" si="4"/>
        <v>106000</v>
      </c>
      <c r="O26" s="73">
        <f t="shared" si="5"/>
        <v>530000</v>
      </c>
      <c r="P26" s="73">
        <f t="shared" si="6"/>
        <v>636000</v>
      </c>
      <c r="Q26" s="301">
        <f t="shared" si="7"/>
        <v>98580</v>
      </c>
      <c r="R26" s="301">
        <f t="shared" si="8"/>
        <v>492900</v>
      </c>
      <c r="S26" s="300">
        <f t="shared" si="9"/>
        <v>591480</v>
      </c>
    </row>
    <row r="27" spans="1:19" ht="15" x14ac:dyDescent="0.2">
      <c r="A27" s="31">
        <v>23</v>
      </c>
      <c r="B27" s="46" t="s">
        <v>278</v>
      </c>
      <c r="C27" s="33" t="s">
        <v>153</v>
      </c>
      <c r="D27" s="133">
        <v>451720.61200000002</v>
      </c>
      <c r="E27" s="114">
        <v>134612.74237600004</v>
      </c>
      <c r="F27" s="114">
        <v>538450.96950400004</v>
      </c>
      <c r="G27" s="114">
        <f t="shared" si="0"/>
        <v>673063.71188000008</v>
      </c>
      <c r="H27" s="257">
        <f t="shared" si="1"/>
        <v>112000</v>
      </c>
      <c r="I27" s="257">
        <v>560000</v>
      </c>
      <c r="J27" s="258">
        <f t="shared" si="2"/>
        <v>672000</v>
      </c>
      <c r="K27" s="145">
        <f>134612.742376-1000</f>
        <v>133612.74237600001</v>
      </c>
      <c r="L27" s="145">
        <v>538450.96950400004</v>
      </c>
      <c r="M27" s="142">
        <f t="shared" si="3"/>
        <v>672063.71188000008</v>
      </c>
      <c r="N27" s="99">
        <f t="shared" si="4"/>
        <v>112000</v>
      </c>
      <c r="O27" s="73">
        <f t="shared" si="5"/>
        <v>538450.96950400004</v>
      </c>
      <c r="P27" s="73">
        <f t="shared" si="6"/>
        <v>650450.96950400004</v>
      </c>
      <c r="Q27" s="301">
        <f t="shared" si="7"/>
        <v>104160</v>
      </c>
      <c r="R27" s="301">
        <f t="shared" si="8"/>
        <v>500759.40163872001</v>
      </c>
      <c r="S27" s="300">
        <f t="shared" si="9"/>
        <v>604919.40163871995</v>
      </c>
    </row>
    <row r="28" spans="1:19" ht="15" x14ac:dyDescent="0.2">
      <c r="A28" s="31">
        <v>24</v>
      </c>
      <c r="B28" s="47" t="s">
        <v>132</v>
      </c>
      <c r="C28" s="33" t="s">
        <v>153</v>
      </c>
      <c r="D28" s="133">
        <v>931830.30500000005</v>
      </c>
      <c r="E28" s="114">
        <v>277685.43088999996</v>
      </c>
      <c r="F28" s="114">
        <v>1110741.7235600001</v>
      </c>
      <c r="G28" s="114">
        <f t="shared" si="0"/>
        <v>1388427.15445</v>
      </c>
      <c r="H28" s="257">
        <f t="shared" si="1"/>
        <v>22000</v>
      </c>
      <c r="I28" s="257">
        <v>110000</v>
      </c>
      <c r="J28" s="258">
        <f t="shared" si="2"/>
        <v>132000</v>
      </c>
      <c r="K28" s="145">
        <f>277685.43089-1000</f>
        <v>276685.43089000002</v>
      </c>
      <c r="L28" s="145">
        <v>1110741.7235600001</v>
      </c>
      <c r="M28" s="142">
        <f t="shared" si="3"/>
        <v>1387427.15445</v>
      </c>
      <c r="N28" s="99">
        <f t="shared" si="4"/>
        <v>22000</v>
      </c>
      <c r="O28" s="73">
        <f t="shared" si="5"/>
        <v>110000</v>
      </c>
      <c r="P28" s="73">
        <f t="shared" si="6"/>
        <v>132000</v>
      </c>
      <c r="Q28" s="301">
        <f t="shared" si="7"/>
        <v>20460</v>
      </c>
      <c r="R28" s="301">
        <f t="shared" si="8"/>
        <v>102300</v>
      </c>
      <c r="S28" s="300">
        <f t="shared" si="9"/>
        <v>122760</v>
      </c>
    </row>
    <row r="29" spans="1:19" ht="15" x14ac:dyDescent="0.2">
      <c r="A29" s="31">
        <v>25</v>
      </c>
      <c r="B29" s="47" t="s">
        <v>149</v>
      </c>
      <c r="C29" s="33" t="s">
        <v>153</v>
      </c>
      <c r="D29" s="133">
        <v>441206.66240000003</v>
      </c>
      <c r="E29" s="114">
        <v>131479.58539519995</v>
      </c>
      <c r="F29" s="114">
        <v>525918.34158080013</v>
      </c>
      <c r="G29" s="114">
        <f t="shared" si="0"/>
        <v>657397.92697600008</v>
      </c>
      <c r="H29" s="257">
        <f t="shared" si="1"/>
        <v>112000</v>
      </c>
      <c r="I29" s="257">
        <v>560000</v>
      </c>
      <c r="J29" s="258">
        <f t="shared" si="2"/>
        <v>672000</v>
      </c>
      <c r="K29" s="145">
        <f>131479.5853952-1000</f>
        <v>130479.5853952</v>
      </c>
      <c r="L29" s="145">
        <v>525918.34158080013</v>
      </c>
      <c r="M29" s="142">
        <f t="shared" si="3"/>
        <v>656397.92697600019</v>
      </c>
      <c r="N29" s="99">
        <f t="shared" si="4"/>
        <v>112000</v>
      </c>
      <c r="O29" s="73">
        <f t="shared" si="5"/>
        <v>525918.34158080013</v>
      </c>
      <c r="P29" s="73">
        <f t="shared" si="6"/>
        <v>637918.34158080013</v>
      </c>
      <c r="Q29" s="301">
        <f t="shared" si="7"/>
        <v>104160</v>
      </c>
      <c r="R29" s="301">
        <f t="shared" si="8"/>
        <v>489104.05767014413</v>
      </c>
      <c r="S29" s="300">
        <f t="shared" si="9"/>
        <v>593264.05767014413</v>
      </c>
    </row>
    <row r="30" spans="1:19" ht="15" x14ac:dyDescent="0.2">
      <c r="A30" s="31">
        <v>26</v>
      </c>
      <c r="B30" s="46" t="s">
        <v>11</v>
      </c>
      <c r="C30" s="33" t="s">
        <v>153</v>
      </c>
      <c r="D30" s="133">
        <v>187035.57740000001</v>
      </c>
      <c r="E30" s="114">
        <v>55736.602065199986</v>
      </c>
      <c r="F30" s="114">
        <v>222946.4082608</v>
      </c>
      <c r="G30" s="114">
        <f t="shared" si="0"/>
        <v>278683.01032599999</v>
      </c>
      <c r="H30" s="257">
        <f t="shared" si="1"/>
        <v>46000</v>
      </c>
      <c r="I30" s="257">
        <v>230000</v>
      </c>
      <c r="J30" s="258">
        <f t="shared" si="2"/>
        <v>276000</v>
      </c>
      <c r="K30" s="145">
        <f>55736.6020651999-1000</f>
        <v>54736.602065199899</v>
      </c>
      <c r="L30" s="145">
        <v>222946.4082608</v>
      </c>
      <c r="M30" s="142">
        <f t="shared" si="3"/>
        <v>277683.01032599993</v>
      </c>
      <c r="N30" s="99">
        <f t="shared" si="4"/>
        <v>46000</v>
      </c>
      <c r="O30" s="73">
        <f t="shared" si="5"/>
        <v>222946.4082608</v>
      </c>
      <c r="P30" s="73">
        <f t="shared" si="6"/>
        <v>268946.4082608</v>
      </c>
      <c r="Q30" s="301">
        <f t="shared" si="7"/>
        <v>42780</v>
      </c>
      <c r="R30" s="301">
        <f t="shared" si="8"/>
        <v>207340.15968254401</v>
      </c>
      <c r="S30" s="300">
        <f t="shared" si="9"/>
        <v>250120.15968254401</v>
      </c>
    </row>
    <row r="31" spans="1:19" ht="15" x14ac:dyDescent="0.2">
      <c r="A31" s="31">
        <v>27</v>
      </c>
      <c r="B31" s="47" t="s">
        <v>66</v>
      </c>
      <c r="C31" s="33" t="s">
        <v>153</v>
      </c>
      <c r="D31" s="133">
        <v>441594.44839999999</v>
      </c>
      <c r="E31" s="114">
        <v>131595.14562319999</v>
      </c>
      <c r="F31" s="114">
        <v>526380.58249279996</v>
      </c>
      <c r="G31" s="114">
        <f t="shared" si="0"/>
        <v>657975.72811599995</v>
      </c>
      <c r="H31" s="257">
        <f t="shared" si="1"/>
        <v>112000</v>
      </c>
      <c r="I31" s="257">
        <v>560000</v>
      </c>
      <c r="J31" s="258">
        <f t="shared" si="2"/>
        <v>672000</v>
      </c>
      <c r="K31" s="145">
        <f>131595.1456232-1000</f>
        <v>130595.14562319999</v>
      </c>
      <c r="L31" s="145">
        <v>526380.58249279996</v>
      </c>
      <c r="M31" s="142">
        <f t="shared" si="3"/>
        <v>656975.72811599995</v>
      </c>
      <c r="N31" s="99">
        <f t="shared" si="4"/>
        <v>112000</v>
      </c>
      <c r="O31" s="73">
        <f t="shared" si="5"/>
        <v>526380.58249279996</v>
      </c>
      <c r="P31" s="73">
        <f t="shared" si="6"/>
        <v>638380.58249279996</v>
      </c>
      <c r="Q31" s="301">
        <f t="shared" si="7"/>
        <v>104160</v>
      </c>
      <c r="R31" s="301">
        <f t="shared" si="8"/>
        <v>489533.94171830395</v>
      </c>
      <c r="S31" s="300">
        <f t="shared" si="9"/>
        <v>593693.94171830395</v>
      </c>
    </row>
    <row r="32" spans="1:19" ht="15" x14ac:dyDescent="0.2">
      <c r="A32" s="31">
        <v>28</v>
      </c>
      <c r="B32" s="46" t="s">
        <v>101</v>
      </c>
      <c r="C32" s="33" t="s">
        <v>153</v>
      </c>
      <c r="D32" s="133">
        <v>1657196.2057407224</v>
      </c>
      <c r="E32" s="114">
        <v>493844.46931073512</v>
      </c>
      <c r="F32" s="114">
        <v>1975377.8772429412</v>
      </c>
      <c r="G32" s="114">
        <f t="shared" si="0"/>
        <v>2469222.3465536763</v>
      </c>
      <c r="H32" s="257">
        <f t="shared" si="1"/>
        <v>360000</v>
      </c>
      <c r="I32" s="257">
        <v>1800000</v>
      </c>
      <c r="J32" s="258">
        <f t="shared" si="2"/>
        <v>2160000</v>
      </c>
      <c r="K32" s="145">
        <f>493844.469310735-1000</f>
        <v>492844.469310735</v>
      </c>
      <c r="L32" s="145">
        <v>1975377.8772429412</v>
      </c>
      <c r="M32" s="142">
        <f t="shared" si="3"/>
        <v>2468222.3465536763</v>
      </c>
      <c r="N32" s="99">
        <f t="shared" si="4"/>
        <v>360000</v>
      </c>
      <c r="O32" s="73">
        <f t="shared" si="5"/>
        <v>1800000</v>
      </c>
      <c r="P32" s="73">
        <f t="shared" si="6"/>
        <v>2160000</v>
      </c>
      <c r="Q32" s="301">
        <f t="shared" si="7"/>
        <v>334800</v>
      </c>
      <c r="R32" s="301">
        <f t="shared" si="8"/>
        <v>1674000</v>
      </c>
      <c r="S32" s="300">
        <f t="shared" si="9"/>
        <v>2008800</v>
      </c>
    </row>
    <row r="33" spans="1:19" ht="15" x14ac:dyDescent="0.2">
      <c r="A33" s="31">
        <v>29</v>
      </c>
      <c r="B33" s="46" t="s">
        <v>161</v>
      </c>
      <c r="C33" s="33" t="s">
        <v>153</v>
      </c>
      <c r="D33" s="133">
        <v>183042.01069000002</v>
      </c>
      <c r="E33" s="114">
        <v>54546.519185620011</v>
      </c>
      <c r="F33" s="114">
        <v>218186.07674248004</v>
      </c>
      <c r="G33" s="114">
        <f t="shared" si="0"/>
        <v>272732.59592810005</v>
      </c>
      <c r="H33" s="257">
        <f t="shared" si="1"/>
        <v>42000</v>
      </c>
      <c r="I33" s="257">
        <v>210000</v>
      </c>
      <c r="J33" s="258">
        <f t="shared" si="2"/>
        <v>252000</v>
      </c>
      <c r="K33" s="145">
        <f>54546.51918562-1000</f>
        <v>53546.519185620004</v>
      </c>
      <c r="L33" s="145">
        <v>218186.07674248004</v>
      </c>
      <c r="M33" s="142">
        <f t="shared" si="3"/>
        <v>271732.59592810005</v>
      </c>
      <c r="N33" s="99">
        <f t="shared" si="4"/>
        <v>42000</v>
      </c>
      <c r="O33" s="73">
        <f t="shared" si="5"/>
        <v>210000</v>
      </c>
      <c r="P33" s="73">
        <f t="shared" si="6"/>
        <v>252000</v>
      </c>
      <c r="Q33" s="301">
        <f t="shared" si="7"/>
        <v>39060</v>
      </c>
      <c r="R33" s="301">
        <f t="shared" si="8"/>
        <v>195300</v>
      </c>
      <c r="S33" s="300">
        <f t="shared" si="9"/>
        <v>234360</v>
      </c>
    </row>
    <row r="34" spans="1:19" ht="15" x14ac:dyDescent="0.2">
      <c r="A34" s="31">
        <v>30</v>
      </c>
      <c r="B34" s="46" t="s">
        <v>13</v>
      </c>
      <c r="C34" s="33" t="s">
        <v>153</v>
      </c>
      <c r="D34" s="133">
        <v>1098129.5528000002</v>
      </c>
      <c r="E34" s="114">
        <v>327242.60673439992</v>
      </c>
      <c r="F34" s="114">
        <v>1308970.4269376004</v>
      </c>
      <c r="G34" s="114">
        <f t="shared" si="0"/>
        <v>1636213.0336720003</v>
      </c>
      <c r="H34" s="257">
        <f t="shared" si="1"/>
        <v>260000</v>
      </c>
      <c r="I34" s="257">
        <v>1300000</v>
      </c>
      <c r="J34" s="258">
        <f t="shared" si="2"/>
        <v>1560000</v>
      </c>
      <c r="K34" s="145">
        <f>327242.6067344-1000</f>
        <v>326242.60673439997</v>
      </c>
      <c r="L34" s="145">
        <v>1308970.4269376004</v>
      </c>
      <c r="M34" s="142">
        <f t="shared" si="3"/>
        <v>1635213.0336720003</v>
      </c>
      <c r="N34" s="99">
        <f t="shared" si="4"/>
        <v>260000</v>
      </c>
      <c r="O34" s="73">
        <f t="shared" si="5"/>
        <v>1300000</v>
      </c>
      <c r="P34" s="73">
        <f t="shared" si="6"/>
        <v>1560000</v>
      </c>
      <c r="Q34" s="301">
        <f t="shared" si="7"/>
        <v>241800</v>
      </c>
      <c r="R34" s="301">
        <f t="shared" si="8"/>
        <v>1209000</v>
      </c>
      <c r="S34" s="300">
        <f t="shared" si="9"/>
        <v>1450800</v>
      </c>
    </row>
    <row r="35" spans="1:19" ht="15" x14ac:dyDescent="0.2">
      <c r="A35" s="31">
        <v>31</v>
      </c>
      <c r="B35" s="46" t="s">
        <v>14</v>
      </c>
      <c r="C35" s="33" t="s">
        <v>153</v>
      </c>
      <c r="D35" s="133">
        <v>312942.79247000004</v>
      </c>
      <c r="E35" s="114">
        <v>93256.952156059968</v>
      </c>
      <c r="F35" s="114">
        <v>373027.8086242401</v>
      </c>
      <c r="G35" s="114">
        <f t="shared" si="0"/>
        <v>466284.76078030007</v>
      </c>
      <c r="H35" s="257">
        <f t="shared" si="1"/>
        <v>74000</v>
      </c>
      <c r="I35" s="257">
        <v>370000</v>
      </c>
      <c r="J35" s="258">
        <f t="shared" si="2"/>
        <v>444000</v>
      </c>
      <c r="K35" s="145">
        <f>93256.95215606-1000</f>
        <v>92256.952156059997</v>
      </c>
      <c r="L35" s="145">
        <v>373027.8086242401</v>
      </c>
      <c r="M35" s="142">
        <f t="shared" si="3"/>
        <v>465284.76078030013</v>
      </c>
      <c r="N35" s="99">
        <f t="shared" si="4"/>
        <v>74000</v>
      </c>
      <c r="O35" s="73">
        <f t="shared" si="5"/>
        <v>370000</v>
      </c>
      <c r="P35" s="73">
        <f t="shared" si="6"/>
        <v>444000</v>
      </c>
      <c r="Q35" s="301">
        <f t="shared" si="7"/>
        <v>68820</v>
      </c>
      <c r="R35" s="301">
        <f t="shared" si="8"/>
        <v>344100</v>
      </c>
      <c r="S35" s="300">
        <f t="shared" si="9"/>
        <v>412920</v>
      </c>
    </row>
    <row r="36" spans="1:19" ht="15" x14ac:dyDescent="0.2">
      <c r="A36" s="31">
        <v>32</v>
      </c>
      <c r="B36" s="47" t="s">
        <v>279</v>
      </c>
      <c r="C36" s="33" t="s">
        <v>153</v>
      </c>
      <c r="D36" s="133">
        <v>931161.25900000008</v>
      </c>
      <c r="E36" s="114">
        <v>277486.05518199992</v>
      </c>
      <c r="F36" s="114">
        <v>1109944.2207280002</v>
      </c>
      <c r="G36" s="114">
        <f t="shared" si="0"/>
        <v>1387430.2759100001</v>
      </c>
      <c r="H36" s="257">
        <f t="shared" si="1"/>
        <v>220000</v>
      </c>
      <c r="I36" s="257">
        <v>1100000</v>
      </c>
      <c r="J36" s="258">
        <f t="shared" si="2"/>
        <v>1320000</v>
      </c>
      <c r="K36" s="145">
        <f>277486.055182-1000</f>
        <v>276486.05518199998</v>
      </c>
      <c r="L36" s="145">
        <v>1109944.2207280002</v>
      </c>
      <c r="M36" s="142">
        <f t="shared" si="3"/>
        <v>1386430.2759100001</v>
      </c>
      <c r="N36" s="99">
        <f t="shared" si="4"/>
        <v>220000</v>
      </c>
      <c r="O36" s="73">
        <f t="shared" si="5"/>
        <v>1100000</v>
      </c>
      <c r="P36" s="73">
        <f t="shared" si="6"/>
        <v>1320000</v>
      </c>
      <c r="Q36" s="301">
        <f t="shared" si="7"/>
        <v>204600</v>
      </c>
      <c r="R36" s="301">
        <f t="shared" si="8"/>
        <v>1023000</v>
      </c>
      <c r="S36" s="300">
        <f t="shared" si="9"/>
        <v>1227600</v>
      </c>
    </row>
    <row r="37" spans="1:19" ht="15" x14ac:dyDescent="0.2">
      <c r="A37" s="31">
        <v>33</v>
      </c>
      <c r="B37" s="46" t="s">
        <v>280</v>
      </c>
      <c r="C37" s="33" t="s">
        <v>153</v>
      </c>
      <c r="D37" s="133">
        <v>43701.63</v>
      </c>
      <c r="E37" s="114">
        <v>13110.488999999994</v>
      </c>
      <c r="F37" s="114">
        <v>52441.955999999998</v>
      </c>
      <c r="G37" s="114">
        <f t="shared" si="0"/>
        <v>65552.444999999992</v>
      </c>
      <c r="H37" s="257">
        <f t="shared" si="1"/>
        <v>10000</v>
      </c>
      <c r="I37" s="257">
        <v>50000</v>
      </c>
      <c r="J37" s="258">
        <f t="shared" si="2"/>
        <v>60000</v>
      </c>
      <c r="K37" s="145">
        <f>13110.489-1000</f>
        <v>12110.489</v>
      </c>
      <c r="L37" s="145">
        <v>52441.955999999998</v>
      </c>
      <c r="M37" s="142">
        <f t="shared" si="3"/>
        <v>64552.445</v>
      </c>
      <c r="N37" s="99">
        <f t="shared" si="4"/>
        <v>10000</v>
      </c>
      <c r="O37" s="73">
        <f t="shared" si="5"/>
        <v>50000</v>
      </c>
      <c r="P37" s="73">
        <f t="shared" si="6"/>
        <v>60000</v>
      </c>
      <c r="Q37" s="301">
        <f t="shared" si="7"/>
        <v>9300</v>
      </c>
      <c r="R37" s="301">
        <f t="shared" si="8"/>
        <v>46500</v>
      </c>
      <c r="S37" s="300">
        <f t="shared" si="9"/>
        <v>55800</v>
      </c>
    </row>
    <row r="38" spans="1:19" ht="15" x14ac:dyDescent="0.2">
      <c r="A38" s="31">
        <v>34</v>
      </c>
      <c r="B38" s="46" t="s">
        <v>163</v>
      </c>
      <c r="C38" s="33" t="s">
        <v>153</v>
      </c>
      <c r="D38" s="133">
        <v>120533.74776703777</v>
      </c>
      <c r="E38" s="114">
        <v>35919.056834577263</v>
      </c>
      <c r="F38" s="114">
        <v>143676.22733830902</v>
      </c>
      <c r="G38" s="114">
        <f t="shared" si="0"/>
        <v>179595.28417288628</v>
      </c>
      <c r="H38" s="257">
        <f t="shared" si="1"/>
        <v>30000</v>
      </c>
      <c r="I38" s="257">
        <v>150000</v>
      </c>
      <c r="J38" s="258">
        <f t="shared" si="2"/>
        <v>180000</v>
      </c>
      <c r="K38" s="145">
        <f>35919.0568345773-1000</f>
        <v>34919.056834577299</v>
      </c>
      <c r="L38" s="145">
        <v>143676.22733830902</v>
      </c>
      <c r="M38" s="142">
        <f t="shared" si="3"/>
        <v>178595.28417288631</v>
      </c>
      <c r="N38" s="99">
        <f t="shared" si="4"/>
        <v>30000</v>
      </c>
      <c r="O38" s="73">
        <f t="shared" si="5"/>
        <v>143676.22733830902</v>
      </c>
      <c r="P38" s="73">
        <f t="shared" si="6"/>
        <v>173676.22733830902</v>
      </c>
      <c r="Q38" s="301">
        <f t="shared" si="7"/>
        <v>27900</v>
      </c>
      <c r="R38" s="301">
        <f t="shared" si="8"/>
        <v>133618.89142462739</v>
      </c>
      <c r="S38" s="300">
        <f t="shared" si="9"/>
        <v>161518.89142462739</v>
      </c>
    </row>
    <row r="39" spans="1:19" ht="15" x14ac:dyDescent="0.2">
      <c r="A39" s="31">
        <v>35</v>
      </c>
      <c r="B39" s="46" t="s">
        <v>108</v>
      </c>
      <c r="C39" s="33" t="s">
        <v>153</v>
      </c>
      <c r="D39" s="133">
        <v>252963.62265345416</v>
      </c>
      <c r="E39" s="114">
        <v>75383.159550729324</v>
      </c>
      <c r="F39" s="114">
        <v>301532.63820291735</v>
      </c>
      <c r="G39" s="114">
        <f t="shared" si="0"/>
        <v>376915.79775364668</v>
      </c>
      <c r="H39" s="257">
        <f t="shared" si="1"/>
        <v>6000</v>
      </c>
      <c r="I39" s="257">
        <v>30000</v>
      </c>
      <c r="J39" s="258">
        <f t="shared" si="2"/>
        <v>36000</v>
      </c>
      <c r="K39" s="145">
        <f>75383.1595507293-1000</f>
        <v>74383.159550729295</v>
      </c>
      <c r="L39" s="145">
        <v>301532.63820291735</v>
      </c>
      <c r="M39" s="142">
        <f t="shared" si="3"/>
        <v>375915.79775364662</v>
      </c>
      <c r="N39" s="99">
        <f t="shared" si="4"/>
        <v>6000</v>
      </c>
      <c r="O39" s="73">
        <f t="shared" si="5"/>
        <v>30000</v>
      </c>
      <c r="P39" s="73">
        <f t="shared" si="6"/>
        <v>36000</v>
      </c>
      <c r="Q39" s="301">
        <f t="shared" si="7"/>
        <v>5580</v>
      </c>
      <c r="R39" s="301">
        <f t="shared" si="8"/>
        <v>27900</v>
      </c>
      <c r="S39" s="300">
        <f t="shared" si="9"/>
        <v>33480</v>
      </c>
    </row>
    <row r="40" spans="1:19" ht="15" x14ac:dyDescent="0.2">
      <c r="A40" s="31">
        <v>36</v>
      </c>
      <c r="B40" s="46" t="s">
        <v>281</v>
      </c>
      <c r="C40" s="33" t="s">
        <v>153</v>
      </c>
      <c r="D40" s="133">
        <v>220966.61800632344</v>
      </c>
      <c r="E40" s="114">
        <v>65848.05216588435</v>
      </c>
      <c r="F40" s="114">
        <v>263392.20866353757</v>
      </c>
      <c r="G40" s="114">
        <f t="shared" si="0"/>
        <v>329240.26082942192</v>
      </c>
      <c r="H40" s="257">
        <f t="shared" si="1"/>
        <v>56000</v>
      </c>
      <c r="I40" s="257">
        <v>280000</v>
      </c>
      <c r="J40" s="258">
        <f t="shared" si="2"/>
        <v>336000</v>
      </c>
      <c r="K40" s="145">
        <f>65848.0521658843-1000</f>
        <v>64848.052165884306</v>
      </c>
      <c r="L40" s="145">
        <v>263392.20866353757</v>
      </c>
      <c r="M40" s="142">
        <f t="shared" si="3"/>
        <v>328240.26082942187</v>
      </c>
      <c r="N40" s="99">
        <f t="shared" si="4"/>
        <v>56000</v>
      </c>
      <c r="O40" s="73">
        <f t="shared" si="5"/>
        <v>263392.20866353757</v>
      </c>
      <c r="P40" s="73">
        <f t="shared" si="6"/>
        <v>319392.20866353757</v>
      </c>
      <c r="Q40" s="301">
        <f t="shared" si="7"/>
        <v>52080</v>
      </c>
      <c r="R40" s="301">
        <f t="shared" si="8"/>
        <v>244954.75405708994</v>
      </c>
      <c r="S40" s="300">
        <f t="shared" si="9"/>
        <v>297034.75405708991</v>
      </c>
    </row>
    <row r="41" spans="1:19" ht="15" x14ac:dyDescent="0.2">
      <c r="A41" s="31">
        <v>37</v>
      </c>
      <c r="B41" s="46" t="s">
        <v>12</v>
      </c>
      <c r="C41" s="33" t="s">
        <v>153</v>
      </c>
      <c r="D41" s="133">
        <v>6076347.1845999993</v>
      </c>
      <c r="E41" s="114">
        <v>1701377.2116879988</v>
      </c>
      <c r="F41" s="114">
        <v>6805508.8467519991</v>
      </c>
      <c r="G41" s="114">
        <f t="shared" si="0"/>
        <v>8506886.058439998</v>
      </c>
      <c r="H41" s="257">
        <f t="shared" si="1"/>
        <v>1300000</v>
      </c>
      <c r="I41" s="257">
        <v>6500000</v>
      </c>
      <c r="J41" s="258">
        <f t="shared" si="2"/>
        <v>7800000</v>
      </c>
      <c r="K41" s="145">
        <f>1701377.211688-1000</f>
        <v>1700377.211688</v>
      </c>
      <c r="L41" s="145">
        <v>6805508.8467519991</v>
      </c>
      <c r="M41" s="142">
        <f t="shared" si="3"/>
        <v>8505886.0584399998</v>
      </c>
      <c r="N41" s="99">
        <f t="shared" si="4"/>
        <v>1300000</v>
      </c>
      <c r="O41" s="73">
        <f t="shared" si="5"/>
        <v>6500000</v>
      </c>
      <c r="P41" s="73">
        <f t="shared" si="6"/>
        <v>7800000</v>
      </c>
      <c r="Q41" s="301">
        <f t="shared" si="7"/>
        <v>1209000</v>
      </c>
      <c r="R41" s="301">
        <f t="shared" si="8"/>
        <v>6045000</v>
      </c>
      <c r="S41" s="300">
        <f t="shared" si="9"/>
        <v>7254000</v>
      </c>
    </row>
    <row r="42" spans="1:19" ht="15" x14ac:dyDescent="0.2">
      <c r="A42" s="31">
        <v>38</v>
      </c>
      <c r="B42" s="46" t="s">
        <v>166</v>
      </c>
      <c r="C42" s="33" t="s">
        <v>153</v>
      </c>
      <c r="D42" s="133">
        <v>2254513.7258000001</v>
      </c>
      <c r="E42" s="114">
        <v>631263.84322399972</v>
      </c>
      <c r="F42" s="114">
        <v>2525055.3728960003</v>
      </c>
      <c r="G42" s="114">
        <f t="shared" si="0"/>
        <v>3156319.21612</v>
      </c>
      <c r="H42" s="257">
        <f t="shared" si="1"/>
        <v>560000</v>
      </c>
      <c r="I42" s="257">
        <v>2800000</v>
      </c>
      <c r="J42" s="258">
        <f t="shared" si="2"/>
        <v>3360000</v>
      </c>
      <c r="K42" s="145">
        <f>631263.843224-1000</f>
        <v>630263.84322399995</v>
      </c>
      <c r="L42" s="145">
        <v>2525055.3728960003</v>
      </c>
      <c r="M42" s="142">
        <f t="shared" si="3"/>
        <v>3155319.21612</v>
      </c>
      <c r="N42" s="99">
        <f t="shared" si="4"/>
        <v>560000</v>
      </c>
      <c r="O42" s="73">
        <f t="shared" si="5"/>
        <v>2525055.3728960003</v>
      </c>
      <c r="P42" s="73">
        <f t="shared" si="6"/>
        <v>3085055.3728960003</v>
      </c>
      <c r="Q42" s="301">
        <f t="shared" si="7"/>
        <v>520800</v>
      </c>
      <c r="R42" s="301">
        <f t="shared" si="8"/>
        <v>2348301.4967932804</v>
      </c>
      <c r="S42" s="300">
        <f t="shared" si="9"/>
        <v>2869101.4967932804</v>
      </c>
    </row>
    <row r="43" spans="1:19" ht="15" x14ac:dyDescent="0.2">
      <c r="A43" s="31">
        <v>39</v>
      </c>
      <c r="B43" s="46" t="s">
        <v>7</v>
      </c>
      <c r="C43" s="33" t="s">
        <v>153</v>
      </c>
      <c r="D43" s="133">
        <v>313756.0552</v>
      </c>
      <c r="E43" s="114">
        <v>93499.304449599993</v>
      </c>
      <c r="F43" s="114">
        <v>373997.21779840003</v>
      </c>
      <c r="G43" s="114">
        <f t="shared" si="0"/>
        <v>467496.52224800002</v>
      </c>
      <c r="H43" s="257">
        <f t="shared" si="1"/>
        <v>60000</v>
      </c>
      <c r="I43" s="257">
        <v>300000</v>
      </c>
      <c r="J43" s="258">
        <f t="shared" si="2"/>
        <v>360000</v>
      </c>
      <c r="K43" s="145">
        <f>93499.3044496-1000</f>
        <v>92499.304449599993</v>
      </c>
      <c r="L43" s="145">
        <v>373997.21779840003</v>
      </c>
      <c r="M43" s="142">
        <f t="shared" si="3"/>
        <v>466496.52224800002</v>
      </c>
      <c r="N43" s="99">
        <f t="shared" si="4"/>
        <v>60000</v>
      </c>
      <c r="O43" s="73">
        <f t="shared" si="5"/>
        <v>300000</v>
      </c>
      <c r="P43" s="73">
        <f t="shared" si="6"/>
        <v>360000</v>
      </c>
      <c r="Q43" s="301">
        <f t="shared" si="7"/>
        <v>55800</v>
      </c>
      <c r="R43" s="301">
        <f t="shared" si="8"/>
        <v>279000</v>
      </c>
      <c r="S43" s="300">
        <f t="shared" si="9"/>
        <v>334800</v>
      </c>
    </row>
    <row r="44" spans="1:19" ht="15" x14ac:dyDescent="0.2">
      <c r="A44" s="31">
        <v>40</v>
      </c>
      <c r="B44" s="47" t="s">
        <v>353</v>
      </c>
      <c r="C44" s="33" t="s">
        <v>153</v>
      </c>
      <c r="D44" s="133">
        <v>352606.30532923952</v>
      </c>
      <c r="E44" s="114">
        <v>105076.67898811336</v>
      </c>
      <c r="F44" s="114">
        <v>420306.71595245349</v>
      </c>
      <c r="G44" s="114">
        <f t="shared" si="0"/>
        <v>525383.39494056685</v>
      </c>
      <c r="H44" s="257">
        <f t="shared" si="1"/>
        <v>88000</v>
      </c>
      <c r="I44" s="257">
        <v>440000</v>
      </c>
      <c r="J44" s="258">
        <f t="shared" si="2"/>
        <v>528000</v>
      </c>
      <c r="K44" s="145">
        <f>105076.678988113-1000</f>
        <v>104076.678988113</v>
      </c>
      <c r="L44" s="145">
        <v>420306.71595245349</v>
      </c>
      <c r="M44" s="142">
        <f t="shared" si="3"/>
        <v>524383.3949405665</v>
      </c>
      <c r="N44" s="99">
        <f t="shared" si="4"/>
        <v>88000</v>
      </c>
      <c r="O44" s="73">
        <f t="shared" si="5"/>
        <v>420306.71595245349</v>
      </c>
      <c r="P44" s="73">
        <f t="shared" si="6"/>
        <v>508306.71595245349</v>
      </c>
      <c r="Q44" s="301">
        <f t="shared" si="7"/>
        <v>81840</v>
      </c>
      <c r="R44" s="301">
        <f t="shared" si="8"/>
        <v>390885.24583578174</v>
      </c>
      <c r="S44" s="300">
        <f t="shared" si="9"/>
        <v>472725.24583578174</v>
      </c>
    </row>
    <row r="45" spans="1:19" ht="15" x14ac:dyDescent="0.2">
      <c r="A45" s="31">
        <v>41</v>
      </c>
      <c r="B45" s="47" t="s">
        <v>109</v>
      </c>
      <c r="C45" s="33" t="s">
        <v>153</v>
      </c>
      <c r="D45" s="133">
        <v>490935.26299999998</v>
      </c>
      <c r="E45" s="114">
        <v>146298.70837399992</v>
      </c>
      <c r="F45" s="114">
        <v>585194.83349600004</v>
      </c>
      <c r="G45" s="114">
        <f t="shared" si="0"/>
        <v>731493.54186999996</v>
      </c>
      <c r="H45" s="257">
        <f t="shared" si="1"/>
        <v>124000</v>
      </c>
      <c r="I45" s="257">
        <v>620000</v>
      </c>
      <c r="J45" s="258">
        <f t="shared" si="2"/>
        <v>744000</v>
      </c>
      <c r="K45" s="145">
        <f>146298.708374-1000</f>
        <v>145298.70837400001</v>
      </c>
      <c r="L45" s="145">
        <v>585194.83349600004</v>
      </c>
      <c r="M45" s="142">
        <f t="shared" si="3"/>
        <v>730493.54187000007</v>
      </c>
      <c r="N45" s="99">
        <f t="shared" si="4"/>
        <v>124000</v>
      </c>
      <c r="O45" s="73">
        <f t="shared" si="5"/>
        <v>585194.83349600004</v>
      </c>
      <c r="P45" s="73">
        <f t="shared" si="6"/>
        <v>709194.83349600004</v>
      </c>
      <c r="Q45" s="301">
        <f t="shared" si="7"/>
        <v>115320</v>
      </c>
      <c r="R45" s="301">
        <f t="shared" si="8"/>
        <v>544231.19515128003</v>
      </c>
      <c r="S45" s="300">
        <f t="shared" si="9"/>
        <v>659551.19515128003</v>
      </c>
    </row>
    <row r="46" spans="1:19" ht="15" x14ac:dyDescent="0.2">
      <c r="A46" s="31">
        <v>42</v>
      </c>
      <c r="B46" s="48" t="s">
        <v>89</v>
      </c>
      <c r="C46" s="33" t="s">
        <v>153</v>
      </c>
      <c r="D46" s="133">
        <v>402661.86100000003</v>
      </c>
      <c r="E46" s="114">
        <v>119993.23457799997</v>
      </c>
      <c r="F46" s="114">
        <v>479972.93831200007</v>
      </c>
      <c r="G46" s="114">
        <f t="shared" si="0"/>
        <v>599966.17289000005</v>
      </c>
      <c r="H46" s="257">
        <f t="shared" si="1"/>
        <v>102000</v>
      </c>
      <c r="I46" s="257">
        <v>510000</v>
      </c>
      <c r="J46" s="258">
        <f t="shared" si="2"/>
        <v>612000</v>
      </c>
      <c r="K46" s="145">
        <f>119993.234578-1000</f>
        <v>118993.234578</v>
      </c>
      <c r="L46" s="145">
        <v>479972.93831200007</v>
      </c>
      <c r="M46" s="142">
        <f t="shared" si="3"/>
        <v>598966.17289000005</v>
      </c>
      <c r="N46" s="99">
        <f t="shared" si="4"/>
        <v>102000</v>
      </c>
      <c r="O46" s="73">
        <f t="shared" si="5"/>
        <v>479972.93831200007</v>
      </c>
      <c r="P46" s="73">
        <f t="shared" si="6"/>
        <v>581972.93831200013</v>
      </c>
      <c r="Q46" s="301">
        <f t="shared" si="7"/>
        <v>94860</v>
      </c>
      <c r="R46" s="301">
        <f t="shared" si="8"/>
        <v>446374.83263016003</v>
      </c>
      <c r="S46" s="300">
        <f t="shared" si="9"/>
        <v>541234.83263016003</v>
      </c>
    </row>
    <row r="47" spans="1:19" ht="15" x14ac:dyDescent="0.2">
      <c r="A47" s="31">
        <v>43</v>
      </c>
      <c r="B47" s="46" t="s">
        <v>137</v>
      </c>
      <c r="C47" s="33" t="s">
        <v>153</v>
      </c>
      <c r="D47" s="133">
        <v>376863.9</v>
      </c>
      <c r="E47" s="114">
        <v>112305.44219999999</v>
      </c>
      <c r="F47" s="114">
        <v>449221.76880000002</v>
      </c>
      <c r="G47" s="114">
        <f t="shared" si="0"/>
        <v>561527.21100000001</v>
      </c>
      <c r="H47" s="257">
        <f t="shared" si="1"/>
        <v>90000</v>
      </c>
      <c r="I47" s="257">
        <v>450000</v>
      </c>
      <c r="J47" s="258">
        <f t="shared" si="2"/>
        <v>540000</v>
      </c>
      <c r="K47" s="145">
        <f>112305.4422-1000</f>
        <v>111305.4422</v>
      </c>
      <c r="L47" s="145">
        <v>449221.76880000002</v>
      </c>
      <c r="M47" s="142">
        <f t="shared" si="3"/>
        <v>560527.21100000001</v>
      </c>
      <c r="N47" s="99">
        <f t="shared" si="4"/>
        <v>90000</v>
      </c>
      <c r="O47" s="73">
        <f t="shared" si="5"/>
        <v>449221.76880000002</v>
      </c>
      <c r="P47" s="73">
        <f t="shared" si="6"/>
        <v>539221.76879999996</v>
      </c>
      <c r="Q47" s="301">
        <f t="shared" si="7"/>
        <v>83700</v>
      </c>
      <c r="R47" s="301">
        <f t="shared" si="8"/>
        <v>417776.24498399999</v>
      </c>
      <c r="S47" s="300">
        <f t="shared" si="9"/>
        <v>501476.24498399999</v>
      </c>
    </row>
    <row r="48" spans="1:19" ht="15" x14ac:dyDescent="0.2">
      <c r="A48" s="31">
        <v>44</v>
      </c>
      <c r="B48" s="46" t="s">
        <v>138</v>
      </c>
      <c r="C48" s="33" t="s">
        <v>153</v>
      </c>
      <c r="D48" s="133">
        <v>1350000</v>
      </c>
      <c r="E48" s="114">
        <v>402300</v>
      </c>
      <c r="F48" s="114">
        <v>1609200</v>
      </c>
      <c r="G48" s="114">
        <f t="shared" si="0"/>
        <v>2011500</v>
      </c>
      <c r="H48" s="257">
        <f t="shared" si="1"/>
        <v>260000</v>
      </c>
      <c r="I48" s="257">
        <v>1300000</v>
      </c>
      <c r="J48" s="258">
        <f t="shared" si="2"/>
        <v>1560000</v>
      </c>
      <c r="K48" s="145">
        <f>402300-1000</f>
        <v>401300</v>
      </c>
      <c r="L48" s="145">
        <v>1609200</v>
      </c>
      <c r="M48" s="142">
        <f t="shared" si="3"/>
        <v>2010500</v>
      </c>
      <c r="N48" s="99">
        <f t="shared" si="4"/>
        <v>260000</v>
      </c>
      <c r="O48" s="73">
        <f t="shared" si="5"/>
        <v>1300000</v>
      </c>
      <c r="P48" s="73">
        <f t="shared" si="6"/>
        <v>1560000</v>
      </c>
      <c r="Q48" s="301">
        <f t="shared" si="7"/>
        <v>241800</v>
      </c>
      <c r="R48" s="301">
        <f t="shared" si="8"/>
        <v>1209000</v>
      </c>
      <c r="S48" s="300">
        <f t="shared" si="9"/>
        <v>1450800</v>
      </c>
    </row>
    <row r="49" spans="1:19" ht="22.5" x14ac:dyDescent="0.2">
      <c r="A49" s="49"/>
      <c r="B49" s="30" t="s">
        <v>22</v>
      </c>
      <c r="C49" s="33" t="s">
        <v>153</v>
      </c>
      <c r="D49" s="133"/>
      <c r="E49" s="114"/>
      <c r="F49" s="114"/>
      <c r="G49" s="114"/>
      <c r="H49" s="257">
        <f t="shared" si="1"/>
        <v>0</v>
      </c>
      <c r="I49" s="257"/>
      <c r="J49" s="258">
        <f t="shared" si="2"/>
        <v>0</v>
      </c>
      <c r="K49" s="143"/>
      <c r="L49" s="148"/>
      <c r="M49" s="142">
        <f t="shared" si="3"/>
        <v>0</v>
      </c>
      <c r="N49" s="99">
        <f t="shared" si="4"/>
        <v>0</v>
      </c>
      <c r="O49" s="73">
        <f t="shared" si="5"/>
        <v>0</v>
      </c>
      <c r="P49" s="73">
        <f t="shared" si="6"/>
        <v>0</v>
      </c>
      <c r="Q49" s="301">
        <f t="shared" si="7"/>
        <v>0</v>
      </c>
      <c r="R49" s="301">
        <f t="shared" si="8"/>
        <v>0</v>
      </c>
      <c r="S49" s="300">
        <f t="shared" si="9"/>
        <v>0</v>
      </c>
    </row>
    <row r="50" spans="1:19" ht="15" x14ac:dyDescent="0.2">
      <c r="A50" s="49">
        <v>45</v>
      </c>
      <c r="B50" s="46" t="s">
        <v>23</v>
      </c>
      <c r="C50" s="33" t="s">
        <v>153</v>
      </c>
      <c r="D50" s="133">
        <v>941668.71232576482</v>
      </c>
      <c r="E50" s="114">
        <v>280617.27627307782</v>
      </c>
      <c r="F50" s="114">
        <v>1122469.1050923117</v>
      </c>
      <c r="G50" s="114">
        <v>1403086.3813653896</v>
      </c>
      <c r="H50" s="257">
        <f t="shared" si="1"/>
        <v>22000</v>
      </c>
      <c r="I50" s="257">
        <v>110000</v>
      </c>
      <c r="J50" s="258">
        <f t="shared" si="2"/>
        <v>132000</v>
      </c>
      <c r="K50" s="145">
        <f>280617.276273078-1000</f>
        <v>279617.27627307799</v>
      </c>
      <c r="L50" s="145">
        <v>1122469.1050923117</v>
      </c>
      <c r="M50" s="142">
        <f t="shared" si="3"/>
        <v>1402086.3813653898</v>
      </c>
      <c r="N50" s="99">
        <f t="shared" si="4"/>
        <v>22000</v>
      </c>
      <c r="O50" s="73">
        <f t="shared" si="5"/>
        <v>110000</v>
      </c>
      <c r="P50" s="73">
        <f t="shared" si="6"/>
        <v>132000</v>
      </c>
      <c r="Q50" s="301">
        <f t="shared" si="7"/>
        <v>20460</v>
      </c>
      <c r="R50" s="301">
        <f t="shared" si="8"/>
        <v>102300</v>
      </c>
      <c r="S50" s="300">
        <f t="shared" si="9"/>
        <v>122760</v>
      </c>
    </row>
    <row r="51" spans="1:19" ht="15" x14ac:dyDescent="0.2">
      <c r="A51" s="49">
        <v>46</v>
      </c>
      <c r="B51" s="46" t="s">
        <v>167</v>
      </c>
      <c r="C51" s="33" t="s">
        <v>153</v>
      </c>
      <c r="D51" s="133">
        <v>160000</v>
      </c>
      <c r="E51" s="114">
        <v>47680</v>
      </c>
      <c r="F51" s="114">
        <v>190720</v>
      </c>
      <c r="G51" s="114">
        <v>238400</v>
      </c>
      <c r="H51" s="257">
        <f t="shared" si="1"/>
        <v>30000</v>
      </c>
      <c r="I51" s="257">
        <v>150000</v>
      </c>
      <c r="J51" s="258">
        <f t="shared" si="2"/>
        <v>180000</v>
      </c>
      <c r="K51" s="145">
        <f>47680-1000</f>
        <v>46680</v>
      </c>
      <c r="L51" s="145">
        <v>190720</v>
      </c>
      <c r="M51" s="142">
        <f t="shared" si="3"/>
        <v>237400</v>
      </c>
      <c r="N51" s="99">
        <f t="shared" si="4"/>
        <v>30000</v>
      </c>
      <c r="O51" s="73">
        <f t="shared" si="5"/>
        <v>150000</v>
      </c>
      <c r="P51" s="73">
        <f t="shared" si="6"/>
        <v>180000</v>
      </c>
      <c r="Q51" s="301">
        <f t="shared" si="7"/>
        <v>27900</v>
      </c>
      <c r="R51" s="301">
        <f t="shared" si="8"/>
        <v>139500</v>
      </c>
      <c r="S51" s="300">
        <f t="shared" si="9"/>
        <v>167400</v>
      </c>
    </row>
    <row r="52" spans="1:19" ht="15" x14ac:dyDescent="0.2">
      <c r="A52" s="49">
        <v>47</v>
      </c>
      <c r="B52" s="46" t="s">
        <v>24</v>
      </c>
      <c r="C52" s="33" t="s">
        <v>153</v>
      </c>
      <c r="D52" s="133">
        <v>89053.129199999996</v>
      </c>
      <c r="E52" s="114">
        <v>26715.93875999999</v>
      </c>
      <c r="F52" s="114">
        <v>106863.75504000002</v>
      </c>
      <c r="G52" s="114">
        <v>133579.69380000001</v>
      </c>
      <c r="H52" s="257">
        <f t="shared" si="1"/>
        <v>20000</v>
      </c>
      <c r="I52" s="257">
        <v>100000</v>
      </c>
      <c r="J52" s="258">
        <f t="shared" si="2"/>
        <v>120000</v>
      </c>
      <c r="K52" s="145">
        <f>26715.93876-1000</f>
        <v>25715.938760000001</v>
      </c>
      <c r="L52" s="145">
        <v>106863.75504000002</v>
      </c>
      <c r="M52" s="142">
        <f t="shared" si="3"/>
        <v>132579.69380000001</v>
      </c>
      <c r="N52" s="99">
        <f t="shared" si="4"/>
        <v>20000</v>
      </c>
      <c r="O52" s="73">
        <f t="shared" si="5"/>
        <v>100000</v>
      </c>
      <c r="P52" s="73">
        <f t="shared" si="6"/>
        <v>120000</v>
      </c>
      <c r="Q52" s="301">
        <f t="shared" si="7"/>
        <v>18600</v>
      </c>
      <c r="R52" s="301">
        <f t="shared" si="8"/>
        <v>93000</v>
      </c>
      <c r="S52" s="300">
        <f t="shared" si="9"/>
        <v>111600</v>
      </c>
    </row>
    <row r="53" spans="1:19" ht="15" x14ac:dyDescent="0.2">
      <c r="A53" s="49">
        <v>48</v>
      </c>
      <c r="B53" s="46" t="s">
        <v>25</v>
      </c>
      <c r="C53" s="33" t="s">
        <v>153</v>
      </c>
      <c r="D53" s="133">
        <v>317803.86679999996</v>
      </c>
      <c r="E53" s="114">
        <v>94705.552306399972</v>
      </c>
      <c r="F53" s="114">
        <v>378822.20922559995</v>
      </c>
      <c r="G53" s="114">
        <v>473527.76153199992</v>
      </c>
      <c r="H53" s="257">
        <f t="shared" si="1"/>
        <v>80000</v>
      </c>
      <c r="I53" s="257">
        <v>400000</v>
      </c>
      <c r="J53" s="258">
        <f t="shared" si="2"/>
        <v>480000</v>
      </c>
      <c r="K53" s="145">
        <f>94705.5523064-1000</f>
        <v>93705.552306400001</v>
      </c>
      <c r="L53" s="145">
        <v>378822.20922559995</v>
      </c>
      <c r="M53" s="142">
        <f t="shared" si="3"/>
        <v>472527.76153199992</v>
      </c>
      <c r="N53" s="99">
        <f t="shared" si="4"/>
        <v>80000</v>
      </c>
      <c r="O53" s="73">
        <f t="shared" si="5"/>
        <v>378822.20922559995</v>
      </c>
      <c r="P53" s="73">
        <f t="shared" si="6"/>
        <v>458822.20922559995</v>
      </c>
      <c r="Q53" s="301">
        <f t="shared" si="7"/>
        <v>74400</v>
      </c>
      <c r="R53" s="301">
        <f t="shared" si="8"/>
        <v>352304.65457980795</v>
      </c>
      <c r="S53" s="300">
        <f t="shared" si="9"/>
        <v>426704.65457980795</v>
      </c>
    </row>
    <row r="54" spans="1:19" ht="15" x14ac:dyDescent="0.2">
      <c r="A54" s="49">
        <v>49</v>
      </c>
      <c r="B54" s="46" t="s">
        <v>283</v>
      </c>
      <c r="C54" s="33" t="s">
        <v>153</v>
      </c>
      <c r="D54" s="133">
        <v>7305145.9487999994</v>
      </c>
      <c r="E54" s="114">
        <v>2045440.8656639997</v>
      </c>
      <c r="F54" s="114">
        <v>8181763.4626559988</v>
      </c>
      <c r="G54" s="114">
        <v>10227204.328319998</v>
      </c>
      <c r="H54" s="257">
        <f t="shared" si="1"/>
        <v>1660000</v>
      </c>
      <c r="I54" s="257">
        <v>8300000</v>
      </c>
      <c r="J54" s="258">
        <f t="shared" si="2"/>
        <v>9960000</v>
      </c>
      <c r="K54" s="145">
        <f>2045440.865664-1000</f>
        <v>2044440.8656639999</v>
      </c>
      <c r="L54" s="145">
        <v>8181763.4626559988</v>
      </c>
      <c r="M54" s="142">
        <f t="shared" si="3"/>
        <v>10226204.328319998</v>
      </c>
      <c r="N54" s="99">
        <f t="shared" si="4"/>
        <v>1660000</v>
      </c>
      <c r="O54" s="73">
        <f t="shared" si="5"/>
        <v>8181763.4626559988</v>
      </c>
      <c r="P54" s="73">
        <f t="shared" si="6"/>
        <v>9841763.4626559988</v>
      </c>
      <c r="Q54" s="301">
        <f t="shared" si="7"/>
        <v>1543800</v>
      </c>
      <c r="R54" s="301">
        <f t="shared" si="8"/>
        <v>7609040.0202700784</v>
      </c>
      <c r="S54" s="300">
        <f t="shared" si="9"/>
        <v>9152840.0202700794</v>
      </c>
    </row>
    <row r="55" spans="1:19" ht="15" x14ac:dyDescent="0.2">
      <c r="A55" s="49">
        <v>50</v>
      </c>
      <c r="B55" s="46" t="s">
        <v>285</v>
      </c>
      <c r="C55" s="33" t="s">
        <v>153</v>
      </c>
      <c r="D55" s="133">
        <v>1116703.9433096661</v>
      </c>
      <c r="E55" s="114">
        <v>332777.77510628034</v>
      </c>
      <c r="F55" s="114">
        <v>1331111.1004251221</v>
      </c>
      <c r="G55" s="114">
        <v>1663888.8755314024</v>
      </c>
      <c r="H55" s="257">
        <f t="shared" si="1"/>
        <v>280000</v>
      </c>
      <c r="I55" s="257">
        <v>1400000</v>
      </c>
      <c r="J55" s="258">
        <f t="shared" si="2"/>
        <v>1680000</v>
      </c>
      <c r="K55" s="145">
        <f>332777.77510628-1000</f>
        <v>331777.77510627999</v>
      </c>
      <c r="L55" s="145">
        <v>1331111.1004251221</v>
      </c>
      <c r="M55" s="142">
        <f t="shared" si="3"/>
        <v>1662888.875531402</v>
      </c>
      <c r="N55" s="99">
        <f t="shared" si="4"/>
        <v>280000</v>
      </c>
      <c r="O55" s="73">
        <f t="shared" si="5"/>
        <v>1331111.1004251221</v>
      </c>
      <c r="P55" s="73">
        <f t="shared" si="6"/>
        <v>1611111.1004251221</v>
      </c>
      <c r="Q55" s="301">
        <f t="shared" si="7"/>
        <v>260400</v>
      </c>
      <c r="R55" s="301">
        <f t="shared" si="8"/>
        <v>1237933.3233953635</v>
      </c>
      <c r="S55" s="300">
        <f t="shared" si="9"/>
        <v>1498333.3233953635</v>
      </c>
    </row>
    <row r="56" spans="1:19" ht="15" x14ac:dyDescent="0.2">
      <c r="A56" s="49">
        <v>51</v>
      </c>
      <c r="B56" s="46" t="s">
        <v>284</v>
      </c>
      <c r="C56" s="33" t="s">
        <v>153</v>
      </c>
      <c r="D56" s="133">
        <v>3058239.4892000002</v>
      </c>
      <c r="E56" s="114">
        <v>856307.05697599985</v>
      </c>
      <c r="F56" s="114">
        <v>3425228.2279040003</v>
      </c>
      <c r="G56" s="114">
        <v>4281535.2848800002</v>
      </c>
      <c r="H56" s="257">
        <f t="shared" si="1"/>
        <v>740000</v>
      </c>
      <c r="I56" s="257">
        <v>3700000</v>
      </c>
      <c r="J56" s="258">
        <f t="shared" si="2"/>
        <v>4440000</v>
      </c>
      <c r="K56" s="145">
        <f>856307.056976-1000</f>
        <v>855307.05697599996</v>
      </c>
      <c r="L56" s="145">
        <v>3425228.2279040003</v>
      </c>
      <c r="M56" s="142">
        <f t="shared" si="3"/>
        <v>4280535.2848800002</v>
      </c>
      <c r="N56" s="99">
        <f t="shared" si="4"/>
        <v>740000</v>
      </c>
      <c r="O56" s="73">
        <f t="shared" si="5"/>
        <v>3425228.2279040003</v>
      </c>
      <c r="P56" s="73">
        <f t="shared" si="6"/>
        <v>4165228.2279040003</v>
      </c>
      <c r="Q56" s="301">
        <f t="shared" si="7"/>
        <v>688200</v>
      </c>
      <c r="R56" s="301">
        <f t="shared" si="8"/>
        <v>3185462.2519507203</v>
      </c>
      <c r="S56" s="300">
        <f t="shared" si="9"/>
        <v>3873662.2519507203</v>
      </c>
    </row>
    <row r="57" spans="1:19" ht="15" x14ac:dyDescent="0.2">
      <c r="A57" s="49">
        <v>52</v>
      </c>
      <c r="B57" s="46" t="s">
        <v>286</v>
      </c>
      <c r="C57" s="33" t="s">
        <v>153</v>
      </c>
      <c r="D57" s="133">
        <v>9500000</v>
      </c>
      <c r="E57" s="114">
        <v>2660000</v>
      </c>
      <c r="F57" s="114">
        <v>10640000</v>
      </c>
      <c r="G57" s="114">
        <v>13300000</v>
      </c>
      <c r="H57" s="257">
        <f t="shared" si="1"/>
        <v>1840000</v>
      </c>
      <c r="I57" s="257">
        <v>9200000</v>
      </c>
      <c r="J57" s="258">
        <f t="shared" si="2"/>
        <v>11040000</v>
      </c>
      <c r="K57" s="145">
        <f>2660000-1000</f>
        <v>2659000</v>
      </c>
      <c r="L57" s="145">
        <v>10640000</v>
      </c>
      <c r="M57" s="142">
        <f t="shared" si="3"/>
        <v>13299000</v>
      </c>
      <c r="N57" s="99">
        <f t="shared" si="4"/>
        <v>1840000</v>
      </c>
      <c r="O57" s="73">
        <f t="shared" si="5"/>
        <v>9200000</v>
      </c>
      <c r="P57" s="73">
        <f t="shared" si="6"/>
        <v>11040000</v>
      </c>
      <c r="Q57" s="301">
        <f t="shared" si="7"/>
        <v>1711200</v>
      </c>
      <c r="R57" s="301">
        <f t="shared" si="8"/>
        <v>8556000</v>
      </c>
      <c r="S57" s="300">
        <f t="shared" si="9"/>
        <v>10267200</v>
      </c>
    </row>
    <row r="58" spans="1:19" ht="15" x14ac:dyDescent="0.2">
      <c r="A58" s="49">
        <v>53</v>
      </c>
      <c r="B58" s="46" t="s">
        <v>274</v>
      </c>
      <c r="C58" s="33" t="s">
        <v>153</v>
      </c>
      <c r="D58" s="133">
        <v>2783087.5682041431</v>
      </c>
      <c r="E58" s="114">
        <v>779264.51909715962</v>
      </c>
      <c r="F58" s="114">
        <v>3117058.0763886403</v>
      </c>
      <c r="G58" s="114">
        <v>3896322.5954857999</v>
      </c>
      <c r="H58" s="257">
        <f t="shared" si="1"/>
        <v>640000</v>
      </c>
      <c r="I58" s="257">
        <v>3200000</v>
      </c>
      <c r="J58" s="258">
        <f t="shared" si="2"/>
        <v>3840000</v>
      </c>
      <c r="K58" s="145">
        <f>779264.51909716-1000</f>
        <v>778264.51909715997</v>
      </c>
      <c r="L58" s="145">
        <v>3117058.0763886403</v>
      </c>
      <c r="M58" s="142">
        <f t="shared" si="3"/>
        <v>3895322.5954858004</v>
      </c>
      <c r="N58" s="99">
        <f t="shared" si="4"/>
        <v>640000</v>
      </c>
      <c r="O58" s="73">
        <f t="shared" si="5"/>
        <v>3117058.0763886403</v>
      </c>
      <c r="P58" s="73">
        <f t="shared" si="6"/>
        <v>3757058.0763886403</v>
      </c>
      <c r="Q58" s="301">
        <f t="shared" si="7"/>
        <v>595200</v>
      </c>
      <c r="R58" s="301">
        <f t="shared" si="8"/>
        <v>2898864.0110414354</v>
      </c>
      <c r="S58" s="300">
        <f t="shared" si="9"/>
        <v>3494064.0110414354</v>
      </c>
    </row>
    <row r="59" spans="1:19" ht="15" x14ac:dyDescent="0.2">
      <c r="A59" s="49">
        <v>54</v>
      </c>
      <c r="B59" s="46" t="s">
        <v>287</v>
      </c>
      <c r="C59" s="33" t="s">
        <v>153</v>
      </c>
      <c r="D59" s="133">
        <v>1565785.2</v>
      </c>
      <c r="E59" s="114">
        <v>466603.98959999997</v>
      </c>
      <c r="F59" s="114">
        <v>1866415.9583999999</v>
      </c>
      <c r="G59" s="114">
        <v>2333019.9479999999</v>
      </c>
      <c r="H59" s="257">
        <f t="shared" si="1"/>
        <v>260000</v>
      </c>
      <c r="I59" s="257">
        <v>1300000</v>
      </c>
      <c r="J59" s="258">
        <f t="shared" si="2"/>
        <v>1560000</v>
      </c>
      <c r="K59" s="145">
        <v>466603.98959999997</v>
      </c>
      <c r="L59" s="145">
        <v>1866415.9583999999</v>
      </c>
      <c r="M59" s="142">
        <f t="shared" si="3"/>
        <v>2333019.9479999999</v>
      </c>
      <c r="N59" s="99">
        <f t="shared" si="4"/>
        <v>260000</v>
      </c>
      <c r="O59" s="73">
        <f t="shared" si="5"/>
        <v>1300000</v>
      </c>
      <c r="P59" s="73">
        <f t="shared" si="6"/>
        <v>1560000</v>
      </c>
      <c r="Q59" s="301">
        <f t="shared" si="7"/>
        <v>241800</v>
      </c>
      <c r="R59" s="301">
        <f t="shared" si="8"/>
        <v>1209000</v>
      </c>
      <c r="S59" s="300">
        <f t="shared" si="9"/>
        <v>1450800</v>
      </c>
    </row>
    <row r="60" spans="1:19" ht="15" x14ac:dyDescent="0.2">
      <c r="A60" s="49">
        <v>55</v>
      </c>
      <c r="B60" s="46" t="s">
        <v>288</v>
      </c>
      <c r="C60" s="33" t="s">
        <v>153</v>
      </c>
      <c r="D60" s="133">
        <v>3728490.5854000002</v>
      </c>
      <c r="E60" s="114">
        <v>1043977.3639119999</v>
      </c>
      <c r="F60" s="114">
        <v>4175909.4556479999</v>
      </c>
      <c r="G60" s="114">
        <v>5219886.8195599997</v>
      </c>
      <c r="H60" s="257">
        <f t="shared" si="1"/>
        <v>800000</v>
      </c>
      <c r="I60" s="257">
        <v>4000000</v>
      </c>
      <c r="J60" s="258">
        <f t="shared" si="2"/>
        <v>4800000</v>
      </c>
      <c r="K60" s="145">
        <v>1043977.3639119999</v>
      </c>
      <c r="L60" s="145">
        <v>4175909.4556479999</v>
      </c>
      <c r="M60" s="142">
        <f t="shared" si="3"/>
        <v>5219886.8195599997</v>
      </c>
      <c r="N60" s="99">
        <f t="shared" si="4"/>
        <v>800000</v>
      </c>
      <c r="O60" s="73">
        <f t="shared" si="5"/>
        <v>4000000</v>
      </c>
      <c r="P60" s="73">
        <f t="shared" si="6"/>
        <v>4800000</v>
      </c>
      <c r="Q60" s="301">
        <f t="shared" si="7"/>
        <v>744000</v>
      </c>
      <c r="R60" s="301">
        <f t="shared" si="8"/>
        <v>3720000</v>
      </c>
      <c r="S60" s="300">
        <f t="shared" si="9"/>
        <v>4464000</v>
      </c>
    </row>
    <row r="61" spans="1:19" ht="15" x14ac:dyDescent="0.2">
      <c r="A61" s="49">
        <v>56</v>
      </c>
      <c r="B61" s="46" t="s">
        <v>289</v>
      </c>
      <c r="C61" s="33" t="s">
        <v>153</v>
      </c>
      <c r="D61" s="133">
        <v>1000137.677</v>
      </c>
      <c r="E61" s="114">
        <v>298041.02774599986</v>
      </c>
      <c r="F61" s="114">
        <v>1192164.1109840001</v>
      </c>
      <c r="G61" s="114">
        <v>1490205.13873</v>
      </c>
      <c r="H61" s="257">
        <f t="shared" si="1"/>
        <v>240000</v>
      </c>
      <c r="I61" s="257">
        <v>1200000</v>
      </c>
      <c r="J61" s="258">
        <f t="shared" si="2"/>
        <v>1440000</v>
      </c>
      <c r="K61" s="145">
        <f>298041.027746-1000</f>
        <v>297041.02774599998</v>
      </c>
      <c r="L61" s="145">
        <v>1192164.1109840001</v>
      </c>
      <c r="M61" s="142">
        <f t="shared" si="3"/>
        <v>1489205.1387300002</v>
      </c>
      <c r="N61" s="99">
        <f t="shared" si="4"/>
        <v>240000</v>
      </c>
      <c r="O61" s="73">
        <f t="shared" si="5"/>
        <v>1192164.1109840001</v>
      </c>
      <c r="P61" s="73">
        <f t="shared" si="6"/>
        <v>1432164.1109840001</v>
      </c>
      <c r="Q61" s="301">
        <f t="shared" si="7"/>
        <v>223200</v>
      </c>
      <c r="R61" s="301">
        <f t="shared" si="8"/>
        <v>1108712.6232151201</v>
      </c>
      <c r="S61" s="300">
        <f t="shared" si="9"/>
        <v>1331912.6232151201</v>
      </c>
    </row>
    <row r="62" spans="1:19" ht="15" x14ac:dyDescent="0.2">
      <c r="A62" s="49">
        <v>57</v>
      </c>
      <c r="B62" s="47" t="s">
        <v>357</v>
      </c>
      <c r="C62" s="33" t="s">
        <v>153</v>
      </c>
      <c r="D62" s="133">
        <v>599097.95810267096</v>
      </c>
      <c r="E62" s="114">
        <v>178531.19151459588</v>
      </c>
      <c r="F62" s="114">
        <v>714124.76605838386</v>
      </c>
      <c r="G62" s="114">
        <v>892655.95757297974</v>
      </c>
      <c r="H62" s="257">
        <f t="shared" si="1"/>
        <v>136000</v>
      </c>
      <c r="I62" s="257">
        <v>680000</v>
      </c>
      <c r="J62" s="258">
        <f t="shared" si="2"/>
        <v>816000</v>
      </c>
      <c r="K62" s="145">
        <f>178531.191514596-1000</f>
        <v>177531.19151459599</v>
      </c>
      <c r="L62" s="145">
        <v>714124.76605838386</v>
      </c>
      <c r="M62" s="142">
        <f t="shared" si="3"/>
        <v>891655.95757297985</v>
      </c>
      <c r="N62" s="99">
        <f t="shared" si="4"/>
        <v>136000</v>
      </c>
      <c r="O62" s="73">
        <f t="shared" si="5"/>
        <v>680000</v>
      </c>
      <c r="P62" s="73">
        <f t="shared" si="6"/>
        <v>816000</v>
      </c>
      <c r="Q62" s="301">
        <f t="shared" si="7"/>
        <v>126480</v>
      </c>
      <c r="R62" s="301">
        <f t="shared" si="8"/>
        <v>632400</v>
      </c>
      <c r="S62" s="300">
        <f t="shared" si="9"/>
        <v>758880</v>
      </c>
    </row>
    <row r="63" spans="1:19" ht="22.5" x14ac:dyDescent="0.2">
      <c r="A63" s="49"/>
      <c r="B63" s="30" t="s">
        <v>97</v>
      </c>
      <c r="C63" s="33" t="s">
        <v>153</v>
      </c>
      <c r="D63" s="133"/>
      <c r="E63" s="114"/>
      <c r="F63" s="114"/>
      <c r="G63" s="114"/>
      <c r="H63" s="257">
        <f t="shared" si="1"/>
        <v>0</v>
      </c>
      <c r="I63" s="257"/>
      <c r="J63" s="258">
        <f t="shared" si="2"/>
        <v>0</v>
      </c>
      <c r="K63" s="143"/>
      <c r="L63" s="148"/>
      <c r="M63" s="142">
        <f t="shared" si="3"/>
        <v>0</v>
      </c>
      <c r="N63" s="99">
        <f t="shared" si="4"/>
        <v>0</v>
      </c>
      <c r="O63" s="73">
        <f t="shared" si="5"/>
        <v>0</v>
      </c>
      <c r="P63" s="73">
        <f t="shared" si="6"/>
        <v>0</v>
      </c>
      <c r="Q63" s="301">
        <f t="shared" si="7"/>
        <v>0</v>
      </c>
      <c r="R63" s="301">
        <f t="shared" si="8"/>
        <v>0</v>
      </c>
      <c r="S63" s="300">
        <f t="shared" si="9"/>
        <v>0</v>
      </c>
    </row>
    <row r="64" spans="1:19" ht="15" x14ac:dyDescent="0.2">
      <c r="A64" s="49">
        <v>58</v>
      </c>
      <c r="B64" s="46" t="s">
        <v>169</v>
      </c>
      <c r="C64" s="33" t="s">
        <v>153</v>
      </c>
      <c r="D64" s="133">
        <v>2047680.4229294423</v>
      </c>
      <c r="E64" s="114">
        <v>573350.51842024364</v>
      </c>
      <c r="F64" s="114">
        <v>2293402.0736809755</v>
      </c>
      <c r="G64" s="114">
        <v>2866752.5921012191</v>
      </c>
      <c r="H64" s="257">
        <f t="shared" si="1"/>
        <v>460000</v>
      </c>
      <c r="I64" s="257">
        <v>2300000</v>
      </c>
      <c r="J64" s="258">
        <f t="shared" si="2"/>
        <v>2760000</v>
      </c>
      <c r="K64" s="145">
        <f>573350.518420244-1000</f>
        <v>572350.51842024399</v>
      </c>
      <c r="L64" s="145">
        <v>2293402.0736809755</v>
      </c>
      <c r="M64" s="142">
        <f t="shared" si="3"/>
        <v>2865752.5921012196</v>
      </c>
      <c r="N64" s="99">
        <f t="shared" si="4"/>
        <v>460000</v>
      </c>
      <c r="O64" s="73">
        <f t="shared" si="5"/>
        <v>2293402.0736809755</v>
      </c>
      <c r="P64" s="73">
        <f t="shared" si="6"/>
        <v>2753402.0736809755</v>
      </c>
      <c r="Q64" s="301">
        <f t="shared" si="7"/>
        <v>427800</v>
      </c>
      <c r="R64" s="301">
        <f t="shared" si="8"/>
        <v>2132863.9285233072</v>
      </c>
      <c r="S64" s="300">
        <f t="shared" si="9"/>
        <v>2560663.9285233072</v>
      </c>
    </row>
    <row r="65" spans="1:19" ht="15" x14ac:dyDescent="0.2">
      <c r="A65" s="49">
        <v>59</v>
      </c>
      <c r="B65" s="46" t="s">
        <v>170</v>
      </c>
      <c r="C65" s="33" t="s">
        <v>153</v>
      </c>
      <c r="D65" s="133">
        <v>1273590.3600000001</v>
      </c>
      <c r="E65" s="114">
        <v>379529.92727999995</v>
      </c>
      <c r="F65" s="114">
        <v>1518119.7091200002</v>
      </c>
      <c r="G65" s="114">
        <v>1897649.6364000002</v>
      </c>
      <c r="H65" s="257">
        <f t="shared" si="1"/>
        <v>320000</v>
      </c>
      <c r="I65" s="257">
        <v>1600000</v>
      </c>
      <c r="J65" s="258">
        <f t="shared" si="2"/>
        <v>1920000</v>
      </c>
      <c r="K65" s="145">
        <f>379529.92728-1000</f>
        <v>378529.92728</v>
      </c>
      <c r="L65" s="145">
        <v>1518119.7091200002</v>
      </c>
      <c r="M65" s="142">
        <f t="shared" si="3"/>
        <v>1896649.6364000002</v>
      </c>
      <c r="N65" s="99">
        <f t="shared" si="4"/>
        <v>320000</v>
      </c>
      <c r="O65" s="73">
        <f t="shared" si="5"/>
        <v>1518119.7091200002</v>
      </c>
      <c r="P65" s="73">
        <f t="shared" si="6"/>
        <v>1838119.7091200002</v>
      </c>
      <c r="Q65" s="301">
        <f t="shared" si="7"/>
        <v>297600</v>
      </c>
      <c r="R65" s="301">
        <f t="shared" si="8"/>
        <v>1411851.3294816003</v>
      </c>
      <c r="S65" s="300">
        <f t="shared" si="9"/>
        <v>1709451.3294816003</v>
      </c>
    </row>
    <row r="66" spans="1:19" ht="15" x14ac:dyDescent="0.2">
      <c r="A66" s="49">
        <v>60</v>
      </c>
      <c r="B66" s="46" t="s">
        <v>211</v>
      </c>
      <c r="C66" s="33" t="s">
        <v>153</v>
      </c>
      <c r="D66" s="133">
        <v>735855.77520000003</v>
      </c>
      <c r="E66" s="114">
        <v>219285.02100960002</v>
      </c>
      <c r="F66" s="114">
        <v>877140.08403840009</v>
      </c>
      <c r="G66" s="114">
        <v>1096425.1050480001</v>
      </c>
      <c r="H66" s="257">
        <f t="shared" si="1"/>
        <v>186000</v>
      </c>
      <c r="I66" s="257">
        <v>930000</v>
      </c>
      <c r="J66" s="258">
        <f t="shared" si="2"/>
        <v>1116000</v>
      </c>
      <c r="K66" s="145">
        <f>219285.0210096-1000</f>
        <v>218285.02100959999</v>
      </c>
      <c r="L66" s="145">
        <v>877140.08403840009</v>
      </c>
      <c r="M66" s="142">
        <f t="shared" si="3"/>
        <v>1095425.1050480001</v>
      </c>
      <c r="N66" s="99">
        <f t="shared" si="4"/>
        <v>186000</v>
      </c>
      <c r="O66" s="73">
        <f t="shared" si="5"/>
        <v>877140.08403840009</v>
      </c>
      <c r="P66" s="73">
        <f t="shared" si="6"/>
        <v>1063140.0840384001</v>
      </c>
      <c r="Q66" s="301">
        <f t="shared" si="7"/>
        <v>172980</v>
      </c>
      <c r="R66" s="301">
        <f t="shared" si="8"/>
        <v>815740.27815571206</v>
      </c>
      <c r="S66" s="300">
        <f t="shared" si="9"/>
        <v>988720.27815571206</v>
      </c>
    </row>
    <row r="67" spans="1:19" ht="15" x14ac:dyDescent="0.2">
      <c r="A67" s="49">
        <v>61</v>
      </c>
      <c r="B67" s="46" t="s">
        <v>291</v>
      </c>
      <c r="C67" s="33" t="s">
        <v>153</v>
      </c>
      <c r="D67" s="133">
        <v>215917.62779999999</v>
      </c>
      <c r="E67" s="114">
        <v>64343.453084399982</v>
      </c>
      <c r="F67" s="114">
        <v>257373.81233759999</v>
      </c>
      <c r="G67" s="114">
        <v>321717.26542199997</v>
      </c>
      <c r="H67" s="257">
        <f t="shared" si="1"/>
        <v>54000</v>
      </c>
      <c r="I67" s="257">
        <v>270000</v>
      </c>
      <c r="J67" s="258">
        <f t="shared" si="2"/>
        <v>324000</v>
      </c>
      <c r="K67" s="145">
        <f>64343.4530844-1000</f>
        <v>63343.453084399996</v>
      </c>
      <c r="L67" s="145">
        <v>257373.81233759999</v>
      </c>
      <c r="M67" s="142">
        <f t="shared" si="3"/>
        <v>320717.26542199997</v>
      </c>
      <c r="N67" s="99">
        <f t="shared" si="4"/>
        <v>54000</v>
      </c>
      <c r="O67" s="73">
        <f t="shared" si="5"/>
        <v>257373.81233759999</v>
      </c>
      <c r="P67" s="73">
        <f t="shared" si="6"/>
        <v>311373.81233759999</v>
      </c>
      <c r="Q67" s="301">
        <f t="shared" si="7"/>
        <v>50220</v>
      </c>
      <c r="R67" s="301">
        <f t="shared" si="8"/>
        <v>239357.64547396798</v>
      </c>
      <c r="S67" s="300">
        <f t="shared" si="9"/>
        <v>289577.645473968</v>
      </c>
    </row>
    <row r="68" spans="1:19" ht="15" x14ac:dyDescent="0.2">
      <c r="A68" s="49">
        <v>62</v>
      </c>
      <c r="B68" s="46" t="s">
        <v>17</v>
      </c>
      <c r="C68" s="33" t="s">
        <v>153</v>
      </c>
      <c r="D68" s="133">
        <v>293726.09000000003</v>
      </c>
      <c r="E68" s="114">
        <v>87530.374819999968</v>
      </c>
      <c r="F68" s="114">
        <v>350121.49928000005</v>
      </c>
      <c r="G68" s="114">
        <v>437651.87410000002</v>
      </c>
      <c r="H68" s="257">
        <f t="shared" si="1"/>
        <v>74000</v>
      </c>
      <c r="I68" s="257">
        <v>370000</v>
      </c>
      <c r="J68" s="258">
        <f t="shared" si="2"/>
        <v>444000</v>
      </c>
      <c r="K68" s="145">
        <f>87530.37482-1000</f>
        <v>86530.374819999997</v>
      </c>
      <c r="L68" s="145">
        <v>350121.49928000005</v>
      </c>
      <c r="M68" s="142">
        <f t="shared" si="3"/>
        <v>436651.87410000002</v>
      </c>
      <c r="N68" s="99">
        <f t="shared" si="4"/>
        <v>74000</v>
      </c>
      <c r="O68" s="73">
        <f t="shared" si="5"/>
        <v>350121.49928000005</v>
      </c>
      <c r="P68" s="73">
        <f t="shared" si="6"/>
        <v>424121.49928000005</v>
      </c>
      <c r="Q68" s="301">
        <f t="shared" si="7"/>
        <v>68820</v>
      </c>
      <c r="R68" s="301">
        <f t="shared" si="8"/>
        <v>325612.99433040002</v>
      </c>
      <c r="S68" s="300">
        <f t="shared" si="9"/>
        <v>394432.99433040002</v>
      </c>
    </row>
    <row r="69" spans="1:19" ht="15" x14ac:dyDescent="0.2">
      <c r="A69" s="49">
        <v>63</v>
      </c>
      <c r="B69" s="46" t="s">
        <v>16</v>
      </c>
      <c r="C69" s="33" t="s">
        <v>153</v>
      </c>
      <c r="D69" s="133">
        <v>816661.47521078691</v>
      </c>
      <c r="E69" s="114">
        <v>243365.11961281439</v>
      </c>
      <c r="F69" s="114">
        <v>973460.47845125804</v>
      </c>
      <c r="G69" s="114">
        <v>1216825.5980640724</v>
      </c>
      <c r="H69" s="257">
        <f t="shared" si="1"/>
        <v>194000</v>
      </c>
      <c r="I69" s="257">
        <v>970000</v>
      </c>
      <c r="J69" s="258">
        <f t="shared" si="2"/>
        <v>1164000</v>
      </c>
      <c r="K69" s="145">
        <f>243365.119612814-1000</f>
        <v>242365.11961281399</v>
      </c>
      <c r="L69" s="145">
        <v>973460.47845125804</v>
      </c>
      <c r="M69" s="142">
        <f t="shared" si="3"/>
        <v>1215825.598064072</v>
      </c>
      <c r="N69" s="99">
        <f t="shared" si="4"/>
        <v>194000</v>
      </c>
      <c r="O69" s="73">
        <f t="shared" si="5"/>
        <v>970000</v>
      </c>
      <c r="P69" s="73">
        <f t="shared" si="6"/>
        <v>1164000</v>
      </c>
      <c r="Q69" s="301">
        <f t="shared" si="7"/>
        <v>180420</v>
      </c>
      <c r="R69" s="301">
        <f t="shared" si="8"/>
        <v>902100</v>
      </c>
      <c r="S69" s="300">
        <f t="shared" si="9"/>
        <v>1082520</v>
      </c>
    </row>
    <row r="70" spans="1:19" ht="15" x14ac:dyDescent="0.2">
      <c r="A70" s="49">
        <v>64</v>
      </c>
      <c r="B70" s="47" t="s">
        <v>75</v>
      </c>
      <c r="C70" s="33" t="s">
        <v>153</v>
      </c>
      <c r="D70" s="133">
        <v>374038.84631775296</v>
      </c>
      <c r="E70" s="114">
        <v>111463.57620269037</v>
      </c>
      <c r="F70" s="114">
        <v>445854.30481076159</v>
      </c>
      <c r="G70" s="114">
        <v>557317.88101345196</v>
      </c>
      <c r="H70" s="257">
        <f t="shared" ref="H70:H133" si="10">+I70*20%</f>
        <v>94000</v>
      </c>
      <c r="I70" s="257">
        <v>470000</v>
      </c>
      <c r="J70" s="258">
        <f t="shared" ref="J70:J133" si="11">+I70+H70</f>
        <v>564000</v>
      </c>
      <c r="K70" s="145">
        <f>111463.57620269-1000</f>
        <v>110463.57620269</v>
      </c>
      <c r="L70" s="145">
        <v>445854.30481076159</v>
      </c>
      <c r="M70" s="142">
        <f t="shared" ref="M70:M133" si="12">K70+L70</f>
        <v>556317.88101345161</v>
      </c>
      <c r="N70" s="99">
        <f t="shared" ref="N70:N133" si="13">MIN(E70,H70,K70)</f>
        <v>94000</v>
      </c>
      <c r="O70" s="73">
        <f t="shared" ref="O70:O133" si="14">MIN(F70,I70,L70)</f>
        <v>445854.30481076159</v>
      </c>
      <c r="P70" s="73">
        <f t="shared" ref="P70:P133" si="15">O70+N70</f>
        <v>539854.30481076159</v>
      </c>
      <c r="Q70" s="301">
        <f t="shared" ref="Q70:Q133" si="16">N70-(N70*7%)</f>
        <v>87420</v>
      </c>
      <c r="R70" s="301">
        <f t="shared" ref="R70:R133" si="17">O70-(O70*7%)</f>
        <v>414644.50347400829</v>
      </c>
      <c r="S70" s="300">
        <f t="shared" ref="S70:S133" si="18">R70+Q70</f>
        <v>502064.50347400829</v>
      </c>
    </row>
    <row r="71" spans="1:19" ht="15" x14ac:dyDescent="0.2">
      <c r="A71" s="49">
        <v>65</v>
      </c>
      <c r="B71" s="47" t="s">
        <v>76</v>
      </c>
      <c r="C71" s="33" t="s">
        <v>153</v>
      </c>
      <c r="D71" s="133">
        <v>318803.43020780227</v>
      </c>
      <c r="E71" s="114">
        <v>95003.422201925074</v>
      </c>
      <c r="F71" s="114">
        <v>380013.6888077003</v>
      </c>
      <c r="G71" s="114">
        <v>475017.11100962537</v>
      </c>
      <c r="H71" s="257">
        <f t="shared" si="10"/>
        <v>80000</v>
      </c>
      <c r="I71" s="257">
        <v>400000</v>
      </c>
      <c r="J71" s="258">
        <f t="shared" si="11"/>
        <v>480000</v>
      </c>
      <c r="K71" s="145">
        <f>95003.4222019251-1000</f>
        <v>94003.422201925103</v>
      </c>
      <c r="L71" s="145">
        <v>380013.6888077003</v>
      </c>
      <c r="M71" s="142">
        <f t="shared" si="12"/>
        <v>474017.11100962537</v>
      </c>
      <c r="N71" s="99">
        <f t="shared" si="13"/>
        <v>80000</v>
      </c>
      <c r="O71" s="73">
        <f t="shared" si="14"/>
        <v>380013.6888077003</v>
      </c>
      <c r="P71" s="73">
        <f t="shared" si="15"/>
        <v>460013.6888077003</v>
      </c>
      <c r="Q71" s="301">
        <f t="shared" si="16"/>
        <v>74400</v>
      </c>
      <c r="R71" s="301">
        <f t="shared" si="17"/>
        <v>353412.73059116129</v>
      </c>
      <c r="S71" s="300">
        <f t="shared" si="18"/>
        <v>427812.73059116129</v>
      </c>
    </row>
    <row r="72" spans="1:19" ht="15" x14ac:dyDescent="0.2">
      <c r="A72" s="49">
        <v>66</v>
      </c>
      <c r="B72" s="46" t="s">
        <v>18</v>
      </c>
      <c r="C72" s="33" t="s">
        <v>153</v>
      </c>
      <c r="D72" s="133">
        <v>313894.54879999999</v>
      </c>
      <c r="E72" s="114">
        <v>93540.575542399951</v>
      </c>
      <c r="F72" s="114">
        <v>374162.30216960004</v>
      </c>
      <c r="G72" s="114">
        <v>467702.87771199999</v>
      </c>
      <c r="H72" s="257">
        <f t="shared" si="10"/>
        <v>80000</v>
      </c>
      <c r="I72" s="257">
        <v>400000</v>
      </c>
      <c r="J72" s="258">
        <f t="shared" si="11"/>
        <v>480000</v>
      </c>
      <c r="K72" s="145">
        <f>93540.5755424-1000</f>
        <v>92540.575542399994</v>
      </c>
      <c r="L72" s="145">
        <v>374162.30216960004</v>
      </c>
      <c r="M72" s="142">
        <f t="shared" si="12"/>
        <v>466702.87771200004</v>
      </c>
      <c r="N72" s="99">
        <f t="shared" si="13"/>
        <v>80000</v>
      </c>
      <c r="O72" s="73">
        <f t="shared" si="14"/>
        <v>374162.30216960004</v>
      </c>
      <c r="P72" s="73">
        <f t="shared" si="15"/>
        <v>454162.30216960004</v>
      </c>
      <c r="Q72" s="301">
        <f t="shared" si="16"/>
        <v>74400</v>
      </c>
      <c r="R72" s="301">
        <f t="shared" si="17"/>
        <v>347970.94101772801</v>
      </c>
      <c r="S72" s="300">
        <f t="shared" si="18"/>
        <v>422370.94101772801</v>
      </c>
    </row>
    <row r="73" spans="1:19" ht="15" x14ac:dyDescent="0.2">
      <c r="A73" s="49">
        <v>67</v>
      </c>
      <c r="B73" s="46" t="s">
        <v>21</v>
      </c>
      <c r="C73" s="33" t="s">
        <v>153</v>
      </c>
      <c r="D73" s="133">
        <v>489127.72210783081</v>
      </c>
      <c r="E73" s="114">
        <v>145760.06118813355</v>
      </c>
      <c r="F73" s="114">
        <v>583040.24475253432</v>
      </c>
      <c r="G73" s="114">
        <v>728800.30594066787</v>
      </c>
      <c r="H73" s="257">
        <f t="shared" si="10"/>
        <v>124000</v>
      </c>
      <c r="I73" s="257">
        <v>620000</v>
      </c>
      <c r="J73" s="258">
        <f t="shared" si="11"/>
        <v>744000</v>
      </c>
      <c r="K73" s="145">
        <f>145760.061188134-1000</f>
        <v>144760.06118813399</v>
      </c>
      <c r="L73" s="145">
        <v>583040.24475253432</v>
      </c>
      <c r="M73" s="142">
        <f t="shared" si="12"/>
        <v>727800.30594066833</v>
      </c>
      <c r="N73" s="99">
        <f t="shared" si="13"/>
        <v>124000</v>
      </c>
      <c r="O73" s="73">
        <f t="shared" si="14"/>
        <v>583040.24475253432</v>
      </c>
      <c r="P73" s="73">
        <f t="shared" si="15"/>
        <v>707040.24475253432</v>
      </c>
      <c r="Q73" s="301">
        <f t="shared" si="16"/>
        <v>115320</v>
      </c>
      <c r="R73" s="301">
        <f t="shared" si="17"/>
        <v>542227.4276198569</v>
      </c>
      <c r="S73" s="300">
        <f t="shared" si="18"/>
        <v>657547.4276198569</v>
      </c>
    </row>
    <row r="74" spans="1:19" ht="15" x14ac:dyDescent="0.2">
      <c r="A74" s="49">
        <v>68</v>
      </c>
      <c r="B74" s="46" t="s">
        <v>20</v>
      </c>
      <c r="C74" s="33" t="s">
        <v>153</v>
      </c>
      <c r="D74" s="133">
        <v>224423.30779065177</v>
      </c>
      <c r="E74" s="114">
        <v>66878.145721614244</v>
      </c>
      <c r="F74" s="114">
        <v>267512.58288645692</v>
      </c>
      <c r="G74" s="114">
        <v>334390.72860807116</v>
      </c>
      <c r="H74" s="257">
        <f t="shared" si="10"/>
        <v>56000</v>
      </c>
      <c r="I74" s="257">
        <v>280000</v>
      </c>
      <c r="J74" s="258">
        <f t="shared" si="11"/>
        <v>336000</v>
      </c>
      <c r="K74" s="145">
        <f>66878.1457216142-1000</f>
        <v>65878.145721614201</v>
      </c>
      <c r="L74" s="145">
        <v>267512.58288645692</v>
      </c>
      <c r="M74" s="142">
        <f t="shared" si="12"/>
        <v>333390.72860807111</v>
      </c>
      <c r="N74" s="99">
        <f t="shared" si="13"/>
        <v>56000</v>
      </c>
      <c r="O74" s="73">
        <f t="shared" si="14"/>
        <v>267512.58288645692</v>
      </c>
      <c r="P74" s="73">
        <f t="shared" si="15"/>
        <v>323512.58288645692</v>
      </c>
      <c r="Q74" s="301">
        <f t="shared" si="16"/>
        <v>52080</v>
      </c>
      <c r="R74" s="301">
        <f t="shared" si="17"/>
        <v>248786.70208440494</v>
      </c>
      <c r="S74" s="300">
        <f t="shared" si="18"/>
        <v>300866.70208440494</v>
      </c>
    </row>
    <row r="75" spans="1:19" ht="22.5" x14ac:dyDescent="0.2">
      <c r="A75" s="49">
        <v>69</v>
      </c>
      <c r="B75" s="46" t="s">
        <v>172</v>
      </c>
      <c r="C75" s="33" t="s">
        <v>153</v>
      </c>
      <c r="D75" s="133">
        <v>3637886.8749333564</v>
      </c>
      <c r="E75" s="114">
        <v>1018608.3249813393</v>
      </c>
      <c r="F75" s="114">
        <v>4074433.299925359</v>
      </c>
      <c r="G75" s="114">
        <v>5093041.6249066982</v>
      </c>
      <c r="H75" s="257">
        <f t="shared" si="10"/>
        <v>760000</v>
      </c>
      <c r="I75" s="257">
        <v>3800000</v>
      </c>
      <c r="J75" s="258">
        <f t="shared" si="11"/>
        <v>4560000</v>
      </c>
      <c r="K75" s="145">
        <f>1018608.32498134-1000</f>
        <v>1017608.32498134</v>
      </c>
      <c r="L75" s="145">
        <v>4074433.299925359</v>
      </c>
      <c r="M75" s="142">
        <f t="shared" si="12"/>
        <v>5092041.6249066992</v>
      </c>
      <c r="N75" s="99">
        <f t="shared" si="13"/>
        <v>760000</v>
      </c>
      <c r="O75" s="73">
        <f t="shared" si="14"/>
        <v>3800000</v>
      </c>
      <c r="P75" s="73">
        <f t="shared" si="15"/>
        <v>4560000</v>
      </c>
      <c r="Q75" s="301">
        <f t="shared" si="16"/>
        <v>706800</v>
      </c>
      <c r="R75" s="301">
        <f t="shared" si="17"/>
        <v>3534000</v>
      </c>
      <c r="S75" s="300">
        <f t="shared" si="18"/>
        <v>4240800</v>
      </c>
    </row>
    <row r="76" spans="1:19" ht="15" x14ac:dyDescent="0.2">
      <c r="A76" s="49">
        <v>70</v>
      </c>
      <c r="B76" s="46" t="s">
        <v>294</v>
      </c>
      <c r="C76" s="33" t="s">
        <v>153</v>
      </c>
      <c r="D76" s="133">
        <v>636795.18000000005</v>
      </c>
      <c r="E76" s="114">
        <v>189764.96363999997</v>
      </c>
      <c r="F76" s="114">
        <v>759059.85456000012</v>
      </c>
      <c r="G76" s="114">
        <v>948824.8182000001</v>
      </c>
      <c r="H76" s="257">
        <f t="shared" si="10"/>
        <v>162000</v>
      </c>
      <c r="I76" s="257">
        <v>810000</v>
      </c>
      <c r="J76" s="258">
        <f t="shared" si="11"/>
        <v>972000</v>
      </c>
      <c r="K76" s="145">
        <f>189764.96364-1000</f>
        <v>188764.96364</v>
      </c>
      <c r="L76" s="145">
        <v>759059.85456000012</v>
      </c>
      <c r="M76" s="142">
        <f t="shared" si="12"/>
        <v>947824.8182000001</v>
      </c>
      <c r="N76" s="99">
        <f t="shared" si="13"/>
        <v>162000</v>
      </c>
      <c r="O76" s="73">
        <f t="shared" si="14"/>
        <v>759059.85456000012</v>
      </c>
      <c r="P76" s="73">
        <f t="shared" si="15"/>
        <v>921059.85456000012</v>
      </c>
      <c r="Q76" s="301">
        <f t="shared" si="16"/>
        <v>150660</v>
      </c>
      <c r="R76" s="301">
        <f t="shared" si="17"/>
        <v>705925.66474080016</v>
      </c>
      <c r="S76" s="300">
        <f t="shared" si="18"/>
        <v>856585.66474080016</v>
      </c>
    </row>
    <row r="77" spans="1:19" ht="15" x14ac:dyDescent="0.2">
      <c r="A77" s="49">
        <v>71</v>
      </c>
      <c r="B77" s="47" t="s">
        <v>292</v>
      </c>
      <c r="C77" s="33" t="s">
        <v>153</v>
      </c>
      <c r="D77" s="133">
        <v>227471.96956611678</v>
      </c>
      <c r="E77" s="114">
        <v>67786.646930702787</v>
      </c>
      <c r="F77" s="114">
        <v>271146.58772281121</v>
      </c>
      <c r="G77" s="114">
        <v>338933.23465351399</v>
      </c>
      <c r="H77" s="257">
        <f t="shared" si="10"/>
        <v>56000</v>
      </c>
      <c r="I77" s="257">
        <v>280000</v>
      </c>
      <c r="J77" s="258">
        <f t="shared" si="11"/>
        <v>336000</v>
      </c>
      <c r="K77" s="145">
        <f>67786.6469307028-1000</f>
        <v>66786.646930702802</v>
      </c>
      <c r="L77" s="145">
        <v>271146.58772281121</v>
      </c>
      <c r="M77" s="142">
        <f t="shared" si="12"/>
        <v>337933.23465351399</v>
      </c>
      <c r="N77" s="99">
        <f t="shared" si="13"/>
        <v>56000</v>
      </c>
      <c r="O77" s="73">
        <f t="shared" si="14"/>
        <v>271146.58772281121</v>
      </c>
      <c r="P77" s="73">
        <f t="shared" si="15"/>
        <v>327146.58772281121</v>
      </c>
      <c r="Q77" s="301">
        <f t="shared" si="16"/>
        <v>52080</v>
      </c>
      <c r="R77" s="301">
        <f t="shared" si="17"/>
        <v>252166.32658221442</v>
      </c>
      <c r="S77" s="300">
        <f t="shared" si="18"/>
        <v>304246.32658221445</v>
      </c>
    </row>
    <row r="78" spans="1:19" ht="15" x14ac:dyDescent="0.2">
      <c r="A78" s="49">
        <v>72</v>
      </c>
      <c r="B78" s="47" t="s">
        <v>110</v>
      </c>
      <c r="C78" s="33" t="s">
        <v>153</v>
      </c>
      <c r="D78" s="133">
        <v>501566.19520000002</v>
      </c>
      <c r="E78" s="114">
        <v>149466.72616960004</v>
      </c>
      <c r="F78" s="114">
        <v>597866.90467840002</v>
      </c>
      <c r="G78" s="114">
        <v>747333.63084800006</v>
      </c>
      <c r="H78" s="257">
        <f t="shared" si="10"/>
        <v>126000</v>
      </c>
      <c r="I78" s="257">
        <v>630000</v>
      </c>
      <c r="J78" s="258">
        <f t="shared" si="11"/>
        <v>756000</v>
      </c>
      <c r="K78" s="145">
        <f>149466.7261696-1000</f>
        <v>148466.72616960001</v>
      </c>
      <c r="L78" s="145">
        <v>597866.90467840002</v>
      </c>
      <c r="M78" s="142">
        <f t="shared" si="12"/>
        <v>746333.63084800006</v>
      </c>
      <c r="N78" s="99">
        <f t="shared" si="13"/>
        <v>126000</v>
      </c>
      <c r="O78" s="73">
        <f t="shared" si="14"/>
        <v>597866.90467840002</v>
      </c>
      <c r="P78" s="73">
        <f t="shared" si="15"/>
        <v>723866.90467840002</v>
      </c>
      <c r="Q78" s="301">
        <f t="shared" si="16"/>
        <v>117180</v>
      </c>
      <c r="R78" s="301">
        <f t="shared" si="17"/>
        <v>556016.221350912</v>
      </c>
      <c r="S78" s="300">
        <f t="shared" si="18"/>
        <v>673196.221350912</v>
      </c>
    </row>
    <row r="79" spans="1:19" ht="15" x14ac:dyDescent="0.2">
      <c r="A79" s="49">
        <v>73</v>
      </c>
      <c r="B79" s="46" t="s">
        <v>293</v>
      </c>
      <c r="C79" s="33" t="s">
        <v>153</v>
      </c>
      <c r="D79" s="133">
        <v>818437.2</v>
      </c>
      <c r="E79" s="114">
        <v>243894.28559999994</v>
      </c>
      <c r="F79" s="114">
        <v>975577.1423999999</v>
      </c>
      <c r="G79" s="114">
        <v>1219471.4279999998</v>
      </c>
      <c r="H79" s="257">
        <f t="shared" si="10"/>
        <v>200000</v>
      </c>
      <c r="I79" s="257">
        <v>1000000</v>
      </c>
      <c r="J79" s="258">
        <f t="shared" si="11"/>
        <v>1200000</v>
      </c>
      <c r="K79" s="145">
        <f>243894.2856-1000</f>
        <v>242894.2856</v>
      </c>
      <c r="L79" s="145">
        <v>975577.1423999999</v>
      </c>
      <c r="M79" s="142">
        <f t="shared" si="12"/>
        <v>1218471.4279999998</v>
      </c>
      <c r="N79" s="99">
        <f t="shared" si="13"/>
        <v>200000</v>
      </c>
      <c r="O79" s="73">
        <f t="shared" si="14"/>
        <v>975577.1423999999</v>
      </c>
      <c r="P79" s="73">
        <f t="shared" si="15"/>
        <v>1175577.1423999998</v>
      </c>
      <c r="Q79" s="301">
        <f t="shared" si="16"/>
        <v>186000</v>
      </c>
      <c r="R79" s="301">
        <f t="shared" si="17"/>
        <v>907286.74243199988</v>
      </c>
      <c r="S79" s="300">
        <f t="shared" si="18"/>
        <v>1093286.7424319999</v>
      </c>
    </row>
    <row r="80" spans="1:19" ht="22.5" x14ac:dyDescent="0.2">
      <c r="A80" s="49"/>
      <c r="B80" s="30" t="s">
        <v>124</v>
      </c>
      <c r="C80" s="33" t="s">
        <v>153</v>
      </c>
      <c r="D80" s="133"/>
      <c r="E80" s="114"/>
      <c r="F80" s="114"/>
      <c r="G80" s="114"/>
      <c r="H80" s="257">
        <f t="shared" si="10"/>
        <v>0</v>
      </c>
      <c r="I80" s="257"/>
      <c r="J80" s="258">
        <f t="shared" si="11"/>
        <v>0</v>
      </c>
      <c r="K80" s="143"/>
      <c r="L80" s="148"/>
      <c r="M80" s="142">
        <f t="shared" si="12"/>
        <v>0</v>
      </c>
      <c r="N80" s="99">
        <f t="shared" si="13"/>
        <v>0</v>
      </c>
      <c r="O80" s="73">
        <f t="shared" si="14"/>
        <v>0</v>
      </c>
      <c r="P80" s="73">
        <f t="shared" si="15"/>
        <v>0</v>
      </c>
      <c r="Q80" s="301">
        <f t="shared" si="16"/>
        <v>0</v>
      </c>
      <c r="R80" s="301">
        <f t="shared" si="17"/>
        <v>0</v>
      </c>
      <c r="S80" s="300">
        <f t="shared" si="18"/>
        <v>0</v>
      </c>
    </row>
    <row r="81" spans="1:19" ht="15" x14ac:dyDescent="0.2">
      <c r="A81" s="49">
        <v>74</v>
      </c>
      <c r="B81" s="46" t="s">
        <v>174</v>
      </c>
      <c r="C81" s="33" t="s">
        <v>153</v>
      </c>
      <c r="D81" s="133">
        <v>3201746.6083883434</v>
      </c>
      <c r="E81" s="114">
        <v>896489.05034873588</v>
      </c>
      <c r="F81" s="114">
        <v>3585956.2013949449</v>
      </c>
      <c r="G81" s="114">
        <v>4482445.2517436808</v>
      </c>
      <c r="H81" s="257">
        <f t="shared" si="10"/>
        <v>720000</v>
      </c>
      <c r="I81" s="257">
        <v>3600000</v>
      </c>
      <c r="J81" s="258">
        <f t="shared" si="11"/>
        <v>4320000</v>
      </c>
      <c r="K81" s="145">
        <f>896489.050348736-1000</f>
        <v>895489.050348736</v>
      </c>
      <c r="L81" s="145">
        <v>3585956.2013949449</v>
      </c>
      <c r="M81" s="142">
        <f t="shared" si="12"/>
        <v>4481445.2517436808</v>
      </c>
      <c r="N81" s="99">
        <f t="shared" si="13"/>
        <v>720000</v>
      </c>
      <c r="O81" s="73">
        <f t="shared" si="14"/>
        <v>3585956.2013949449</v>
      </c>
      <c r="P81" s="73">
        <f t="shared" si="15"/>
        <v>4305956.2013949454</v>
      </c>
      <c r="Q81" s="301">
        <f t="shared" si="16"/>
        <v>669600</v>
      </c>
      <c r="R81" s="301">
        <f t="shared" si="17"/>
        <v>3334939.2672972986</v>
      </c>
      <c r="S81" s="300">
        <f t="shared" si="18"/>
        <v>4004539.2672972986</v>
      </c>
    </row>
    <row r="82" spans="1:19" ht="15" x14ac:dyDescent="0.2">
      <c r="A82" s="49">
        <v>75</v>
      </c>
      <c r="B82" s="46" t="s">
        <v>125</v>
      </c>
      <c r="C82" s="33" t="s">
        <v>153</v>
      </c>
      <c r="D82" s="133">
        <v>2842890.3692000001</v>
      </c>
      <c r="E82" s="114">
        <v>796009.30337599991</v>
      </c>
      <c r="F82" s="114">
        <v>3184037.2135040001</v>
      </c>
      <c r="G82" s="114">
        <v>3980046.51688</v>
      </c>
      <c r="H82" s="257">
        <f t="shared" si="10"/>
        <v>700000</v>
      </c>
      <c r="I82" s="257">
        <v>3500000</v>
      </c>
      <c r="J82" s="258">
        <f t="shared" si="11"/>
        <v>4200000</v>
      </c>
      <c r="K82" s="145">
        <f>796009.303376-1000</f>
        <v>795009.30337600003</v>
      </c>
      <c r="L82" s="145">
        <v>3184037.2135040001</v>
      </c>
      <c r="M82" s="142">
        <f t="shared" si="12"/>
        <v>3979046.51688</v>
      </c>
      <c r="N82" s="99">
        <f t="shared" si="13"/>
        <v>700000</v>
      </c>
      <c r="O82" s="73">
        <f t="shared" si="14"/>
        <v>3184037.2135040001</v>
      </c>
      <c r="P82" s="73">
        <f t="shared" si="15"/>
        <v>3884037.2135040001</v>
      </c>
      <c r="Q82" s="301">
        <f t="shared" si="16"/>
        <v>651000</v>
      </c>
      <c r="R82" s="301">
        <f t="shared" si="17"/>
        <v>2961154.60855872</v>
      </c>
      <c r="S82" s="300">
        <f t="shared" si="18"/>
        <v>3612154.60855872</v>
      </c>
    </row>
    <row r="83" spans="1:19" ht="15" x14ac:dyDescent="0.2">
      <c r="A83" s="49">
        <v>76</v>
      </c>
      <c r="B83" s="47" t="s">
        <v>126</v>
      </c>
      <c r="C83" s="33" t="s">
        <v>153</v>
      </c>
      <c r="D83" s="133">
        <v>343210.24919999996</v>
      </c>
      <c r="E83" s="114">
        <v>102276.65426159999</v>
      </c>
      <c r="F83" s="114">
        <v>409106.61704639997</v>
      </c>
      <c r="G83" s="114">
        <v>511383.27130799997</v>
      </c>
      <c r="H83" s="257">
        <f t="shared" si="10"/>
        <v>86000</v>
      </c>
      <c r="I83" s="257">
        <v>430000</v>
      </c>
      <c r="J83" s="258">
        <f t="shared" si="11"/>
        <v>516000</v>
      </c>
      <c r="K83" s="145">
        <f>102276.6542616-1000</f>
        <v>101276.65426159999</v>
      </c>
      <c r="L83" s="145">
        <v>409106.61704639997</v>
      </c>
      <c r="M83" s="142">
        <f t="shared" si="12"/>
        <v>510383.27130799997</v>
      </c>
      <c r="N83" s="99">
        <f t="shared" si="13"/>
        <v>86000</v>
      </c>
      <c r="O83" s="73">
        <f t="shared" si="14"/>
        <v>409106.61704639997</v>
      </c>
      <c r="P83" s="73">
        <f t="shared" si="15"/>
        <v>495106.61704639997</v>
      </c>
      <c r="Q83" s="301">
        <f t="shared" si="16"/>
        <v>79980</v>
      </c>
      <c r="R83" s="301">
        <f t="shared" si="17"/>
        <v>380469.15385315195</v>
      </c>
      <c r="S83" s="300">
        <f t="shared" si="18"/>
        <v>460449.15385315195</v>
      </c>
    </row>
    <row r="84" spans="1:19" ht="15" x14ac:dyDescent="0.2">
      <c r="A84" s="49">
        <v>77</v>
      </c>
      <c r="B84" s="46" t="s">
        <v>127</v>
      </c>
      <c r="C84" s="33" t="s">
        <v>153</v>
      </c>
      <c r="D84" s="133">
        <v>128642.2500774514</v>
      </c>
      <c r="E84" s="114">
        <v>38335.39052308051</v>
      </c>
      <c r="F84" s="114">
        <v>153341.56209232207</v>
      </c>
      <c r="G84" s="114">
        <v>191676.95261540258</v>
      </c>
      <c r="H84" s="257">
        <f t="shared" si="10"/>
        <v>30000</v>
      </c>
      <c r="I84" s="257">
        <v>150000</v>
      </c>
      <c r="J84" s="258">
        <f t="shared" si="11"/>
        <v>180000</v>
      </c>
      <c r="K84" s="145">
        <f>38335.3905230805-1000</f>
        <v>37335.390523080503</v>
      </c>
      <c r="L84" s="145">
        <v>153341.56209232207</v>
      </c>
      <c r="M84" s="142">
        <f t="shared" si="12"/>
        <v>190676.95261540258</v>
      </c>
      <c r="N84" s="99">
        <f t="shared" si="13"/>
        <v>30000</v>
      </c>
      <c r="O84" s="73">
        <f t="shared" si="14"/>
        <v>150000</v>
      </c>
      <c r="P84" s="73">
        <f t="shared" si="15"/>
        <v>180000</v>
      </c>
      <c r="Q84" s="301">
        <f t="shared" si="16"/>
        <v>27900</v>
      </c>
      <c r="R84" s="301">
        <f t="shared" si="17"/>
        <v>139500</v>
      </c>
      <c r="S84" s="300">
        <f t="shared" si="18"/>
        <v>167400</v>
      </c>
    </row>
    <row r="85" spans="1:19" ht="15" x14ac:dyDescent="0.2">
      <c r="A85" s="49">
        <v>78</v>
      </c>
      <c r="B85" s="47" t="s">
        <v>369</v>
      </c>
      <c r="C85" s="33" t="s">
        <v>153</v>
      </c>
      <c r="D85" s="133">
        <v>1373147.6131862788</v>
      </c>
      <c r="E85" s="114">
        <v>409197.98872951092</v>
      </c>
      <c r="F85" s="114">
        <v>1636791.9549180446</v>
      </c>
      <c r="G85" s="114">
        <v>2045989.9436475555</v>
      </c>
      <c r="H85" s="257">
        <f t="shared" si="10"/>
        <v>320000</v>
      </c>
      <c r="I85" s="257">
        <v>1600000</v>
      </c>
      <c r="J85" s="258">
        <f t="shared" si="11"/>
        <v>1920000</v>
      </c>
      <c r="K85" s="145">
        <f>409197.988729511-1000</f>
        <v>408197.98872951098</v>
      </c>
      <c r="L85" s="145">
        <v>1636791.9549180446</v>
      </c>
      <c r="M85" s="142">
        <f t="shared" si="12"/>
        <v>2044989.9436475555</v>
      </c>
      <c r="N85" s="99">
        <f t="shared" si="13"/>
        <v>320000</v>
      </c>
      <c r="O85" s="73">
        <f t="shared" si="14"/>
        <v>1600000</v>
      </c>
      <c r="P85" s="73">
        <f t="shared" si="15"/>
        <v>1920000</v>
      </c>
      <c r="Q85" s="301">
        <f t="shared" si="16"/>
        <v>297600</v>
      </c>
      <c r="R85" s="301">
        <f t="shared" si="17"/>
        <v>1488000</v>
      </c>
      <c r="S85" s="300">
        <f t="shared" si="18"/>
        <v>1785600</v>
      </c>
    </row>
    <row r="86" spans="1:19" ht="15" x14ac:dyDescent="0.2">
      <c r="A86" s="49">
        <v>79</v>
      </c>
      <c r="B86" s="46" t="s">
        <v>326</v>
      </c>
      <c r="C86" s="33" t="s">
        <v>153</v>
      </c>
      <c r="D86" s="133">
        <v>758844.7336029436</v>
      </c>
      <c r="E86" s="114">
        <v>226135.73061367718</v>
      </c>
      <c r="F86" s="114">
        <v>904542.92245470884</v>
      </c>
      <c r="G86" s="114">
        <v>1130678.653068386</v>
      </c>
      <c r="H86" s="257">
        <f t="shared" si="10"/>
        <v>180000</v>
      </c>
      <c r="I86" s="257">
        <v>900000</v>
      </c>
      <c r="J86" s="258">
        <f t="shared" si="11"/>
        <v>1080000</v>
      </c>
      <c r="K86" s="145">
        <f>226135.730613677-1000</f>
        <v>225135.73061367701</v>
      </c>
      <c r="L86" s="145">
        <v>904542.92245470884</v>
      </c>
      <c r="M86" s="142">
        <f t="shared" si="12"/>
        <v>1129678.6530683858</v>
      </c>
      <c r="N86" s="99">
        <f t="shared" si="13"/>
        <v>180000</v>
      </c>
      <c r="O86" s="73">
        <f t="shared" si="14"/>
        <v>900000</v>
      </c>
      <c r="P86" s="73">
        <f t="shared" si="15"/>
        <v>1080000</v>
      </c>
      <c r="Q86" s="301">
        <f t="shared" si="16"/>
        <v>167400</v>
      </c>
      <c r="R86" s="301">
        <f t="shared" si="17"/>
        <v>837000</v>
      </c>
      <c r="S86" s="300">
        <f t="shared" si="18"/>
        <v>1004400</v>
      </c>
    </row>
    <row r="87" spans="1:19" ht="15" x14ac:dyDescent="0.2">
      <c r="A87" s="49">
        <v>80</v>
      </c>
      <c r="B87" s="46" t="s">
        <v>298</v>
      </c>
      <c r="C87" s="33" t="s">
        <v>153</v>
      </c>
      <c r="D87" s="133">
        <v>228384.345</v>
      </c>
      <c r="E87" s="114">
        <v>68058.534809999983</v>
      </c>
      <c r="F87" s="114">
        <v>272234.13923999999</v>
      </c>
      <c r="G87" s="114">
        <v>340292.67404999997</v>
      </c>
      <c r="H87" s="257">
        <f t="shared" si="10"/>
        <v>58000</v>
      </c>
      <c r="I87" s="257">
        <v>290000</v>
      </c>
      <c r="J87" s="258">
        <f t="shared" si="11"/>
        <v>348000</v>
      </c>
      <c r="K87" s="145">
        <f>68058.53481-1000</f>
        <v>67058.534809999997</v>
      </c>
      <c r="L87" s="145">
        <v>272234.13923999999</v>
      </c>
      <c r="M87" s="142">
        <f t="shared" si="12"/>
        <v>339292.67404999997</v>
      </c>
      <c r="N87" s="99">
        <f t="shared" si="13"/>
        <v>58000</v>
      </c>
      <c r="O87" s="73">
        <f t="shared" si="14"/>
        <v>272234.13923999999</v>
      </c>
      <c r="P87" s="73">
        <f t="shared" si="15"/>
        <v>330234.13923999999</v>
      </c>
      <c r="Q87" s="301">
        <f t="shared" si="16"/>
        <v>53940</v>
      </c>
      <c r="R87" s="301">
        <f t="shared" si="17"/>
        <v>253177.74949319998</v>
      </c>
      <c r="S87" s="300">
        <f t="shared" si="18"/>
        <v>307117.74949319998</v>
      </c>
    </row>
    <row r="88" spans="1:19" ht="15" x14ac:dyDescent="0.2">
      <c r="A88" s="49">
        <v>81</v>
      </c>
      <c r="B88" s="46" t="s">
        <v>177</v>
      </c>
      <c r="C88" s="33" t="s">
        <v>153</v>
      </c>
      <c r="D88" s="133">
        <v>686249.77260000003</v>
      </c>
      <c r="E88" s="114">
        <v>204502.43223479996</v>
      </c>
      <c r="F88" s="114">
        <v>818009.72893920005</v>
      </c>
      <c r="G88" s="114">
        <v>1022512.161174</v>
      </c>
      <c r="H88" s="257">
        <f t="shared" si="10"/>
        <v>174000</v>
      </c>
      <c r="I88" s="257">
        <v>870000</v>
      </c>
      <c r="J88" s="258">
        <f t="shared" si="11"/>
        <v>1044000</v>
      </c>
      <c r="K88" s="145">
        <f>204502.4322348-1000</f>
        <v>203502.43223480001</v>
      </c>
      <c r="L88" s="145">
        <v>818009.72893920005</v>
      </c>
      <c r="M88" s="142">
        <f t="shared" si="12"/>
        <v>1021512.161174</v>
      </c>
      <c r="N88" s="99">
        <f t="shared" si="13"/>
        <v>174000</v>
      </c>
      <c r="O88" s="73">
        <f t="shared" si="14"/>
        <v>818009.72893920005</v>
      </c>
      <c r="P88" s="73">
        <f t="shared" si="15"/>
        <v>992009.72893920005</v>
      </c>
      <c r="Q88" s="301">
        <f t="shared" si="16"/>
        <v>161820</v>
      </c>
      <c r="R88" s="301">
        <f t="shared" si="17"/>
        <v>760749.0479134561</v>
      </c>
      <c r="S88" s="300">
        <f t="shared" si="18"/>
        <v>922569.0479134561</v>
      </c>
    </row>
    <row r="89" spans="1:19" ht="15" x14ac:dyDescent="0.2">
      <c r="A89" s="49">
        <v>82</v>
      </c>
      <c r="B89" s="35" t="s">
        <v>102</v>
      </c>
      <c r="C89" s="33" t="s">
        <v>153</v>
      </c>
      <c r="D89" s="133">
        <v>317992.07884313824</v>
      </c>
      <c r="E89" s="114">
        <v>94761.639495255193</v>
      </c>
      <c r="F89" s="114">
        <v>379046.55798102077</v>
      </c>
      <c r="G89" s="114">
        <v>473808.19747627596</v>
      </c>
      <c r="H89" s="257">
        <f t="shared" si="10"/>
        <v>74000</v>
      </c>
      <c r="I89" s="257">
        <v>370000</v>
      </c>
      <c r="J89" s="258">
        <f t="shared" si="11"/>
        <v>444000</v>
      </c>
      <c r="K89" s="145">
        <f>94761.6394952552-1000</f>
        <v>93761.639495255193</v>
      </c>
      <c r="L89" s="145">
        <v>379046.55798102077</v>
      </c>
      <c r="M89" s="142">
        <f t="shared" si="12"/>
        <v>472808.19747627596</v>
      </c>
      <c r="N89" s="99">
        <f t="shared" si="13"/>
        <v>74000</v>
      </c>
      <c r="O89" s="73">
        <f t="shared" si="14"/>
        <v>370000</v>
      </c>
      <c r="P89" s="73">
        <f t="shared" si="15"/>
        <v>444000</v>
      </c>
      <c r="Q89" s="301">
        <f t="shared" si="16"/>
        <v>68820</v>
      </c>
      <c r="R89" s="301">
        <f t="shared" si="17"/>
        <v>344100</v>
      </c>
      <c r="S89" s="300">
        <f t="shared" si="18"/>
        <v>412920</v>
      </c>
    </row>
    <row r="90" spans="1:19" ht="15" x14ac:dyDescent="0.2">
      <c r="A90" s="49">
        <v>83</v>
      </c>
      <c r="B90" s="47" t="s">
        <v>112</v>
      </c>
      <c r="C90" s="33" t="s">
        <v>153</v>
      </c>
      <c r="D90" s="133">
        <v>509957.93520000001</v>
      </c>
      <c r="E90" s="114">
        <v>151967.46468959993</v>
      </c>
      <c r="F90" s="114">
        <v>607869.85875840008</v>
      </c>
      <c r="G90" s="114">
        <v>759837.32344800001</v>
      </c>
      <c r="H90" s="257">
        <f t="shared" si="10"/>
        <v>124000</v>
      </c>
      <c r="I90" s="257">
        <v>620000</v>
      </c>
      <c r="J90" s="258">
        <f t="shared" si="11"/>
        <v>744000</v>
      </c>
      <c r="K90" s="145">
        <f>151967.4646896-1000</f>
        <v>150967.46468959999</v>
      </c>
      <c r="L90" s="145">
        <v>607869.85875840008</v>
      </c>
      <c r="M90" s="142">
        <f t="shared" si="12"/>
        <v>758837.32344800001</v>
      </c>
      <c r="N90" s="99">
        <f t="shared" si="13"/>
        <v>124000</v>
      </c>
      <c r="O90" s="73">
        <f t="shared" si="14"/>
        <v>607869.85875840008</v>
      </c>
      <c r="P90" s="73">
        <f t="shared" si="15"/>
        <v>731869.85875840008</v>
      </c>
      <c r="Q90" s="301">
        <f t="shared" si="16"/>
        <v>115320</v>
      </c>
      <c r="R90" s="301">
        <f t="shared" si="17"/>
        <v>565318.96864531212</v>
      </c>
      <c r="S90" s="300">
        <f t="shared" si="18"/>
        <v>680638.96864531212</v>
      </c>
    </row>
    <row r="91" spans="1:19" ht="15" x14ac:dyDescent="0.2">
      <c r="A91" s="49">
        <v>84</v>
      </c>
      <c r="B91" s="47" t="s">
        <v>78</v>
      </c>
      <c r="C91" s="33" t="s">
        <v>153</v>
      </c>
      <c r="D91" s="133">
        <v>383058.10759999999</v>
      </c>
      <c r="E91" s="114">
        <v>114151.31606479996</v>
      </c>
      <c r="F91" s="114">
        <v>456605.26425920002</v>
      </c>
      <c r="G91" s="114">
        <v>570756.58032399998</v>
      </c>
      <c r="H91" s="257">
        <f t="shared" si="10"/>
        <v>9600</v>
      </c>
      <c r="I91" s="257">
        <v>48000</v>
      </c>
      <c r="J91" s="258">
        <f t="shared" si="11"/>
        <v>57600</v>
      </c>
      <c r="K91" s="145">
        <f>114151.3160648-1000</f>
        <v>113151.3160648</v>
      </c>
      <c r="L91" s="145">
        <v>456605.26425920002</v>
      </c>
      <c r="M91" s="142">
        <f t="shared" si="12"/>
        <v>569756.58032399998</v>
      </c>
      <c r="N91" s="99">
        <f t="shared" si="13"/>
        <v>9600</v>
      </c>
      <c r="O91" s="73">
        <f t="shared" si="14"/>
        <v>48000</v>
      </c>
      <c r="P91" s="73">
        <f t="shared" si="15"/>
        <v>57600</v>
      </c>
      <c r="Q91" s="301">
        <f t="shared" si="16"/>
        <v>8928</v>
      </c>
      <c r="R91" s="301">
        <f t="shared" si="17"/>
        <v>44640</v>
      </c>
      <c r="S91" s="300">
        <f t="shared" si="18"/>
        <v>53568</v>
      </c>
    </row>
    <row r="92" spans="1:19" ht="11.25" customHeight="1" x14ac:dyDescent="0.2">
      <c r="A92" s="49">
        <v>85</v>
      </c>
      <c r="B92" s="46" t="s">
        <v>299</v>
      </c>
      <c r="C92" s="33" t="s">
        <v>153</v>
      </c>
      <c r="D92" s="133">
        <v>3114876.9541225582</v>
      </c>
      <c r="E92" s="114">
        <v>872165.54715431621</v>
      </c>
      <c r="F92" s="114">
        <v>3488662.1886172653</v>
      </c>
      <c r="G92" s="114">
        <v>4360827.7357715815</v>
      </c>
      <c r="H92" s="257">
        <f t="shared" si="10"/>
        <v>680000</v>
      </c>
      <c r="I92" s="257">
        <v>3400000</v>
      </c>
      <c r="J92" s="258">
        <f t="shared" si="11"/>
        <v>4080000</v>
      </c>
      <c r="K92" s="145">
        <f>872165.547154316-1000</f>
        <v>871165.54715431598</v>
      </c>
      <c r="L92" s="145">
        <v>3488662.1886172653</v>
      </c>
      <c r="M92" s="142">
        <f t="shared" si="12"/>
        <v>4359827.7357715815</v>
      </c>
      <c r="N92" s="99">
        <f t="shared" si="13"/>
        <v>680000</v>
      </c>
      <c r="O92" s="73">
        <f t="shared" si="14"/>
        <v>3400000</v>
      </c>
      <c r="P92" s="73">
        <f t="shared" si="15"/>
        <v>4080000</v>
      </c>
      <c r="Q92" s="301">
        <f t="shared" si="16"/>
        <v>632400</v>
      </c>
      <c r="R92" s="301">
        <f t="shared" si="17"/>
        <v>3162000</v>
      </c>
      <c r="S92" s="300">
        <f t="shared" si="18"/>
        <v>3794400</v>
      </c>
    </row>
    <row r="93" spans="1:19" ht="15" x14ac:dyDescent="0.2">
      <c r="A93" s="49">
        <v>86</v>
      </c>
      <c r="B93" s="47" t="s">
        <v>111</v>
      </c>
      <c r="C93" s="33" t="s">
        <v>153</v>
      </c>
      <c r="D93" s="133">
        <v>294641.46879999997</v>
      </c>
      <c r="E93" s="114">
        <v>87803.157702399942</v>
      </c>
      <c r="F93" s="114">
        <v>351212.6308096</v>
      </c>
      <c r="G93" s="114">
        <v>439015.78851199994</v>
      </c>
      <c r="H93" s="257">
        <f t="shared" si="10"/>
        <v>74000</v>
      </c>
      <c r="I93" s="257">
        <v>370000</v>
      </c>
      <c r="J93" s="258">
        <f t="shared" si="11"/>
        <v>444000</v>
      </c>
      <c r="K93" s="145">
        <f>87803.1577023999-1000</f>
        <v>86803.157702399898</v>
      </c>
      <c r="L93" s="145">
        <v>351212.6308096</v>
      </c>
      <c r="M93" s="142">
        <f t="shared" si="12"/>
        <v>438015.78851199988</v>
      </c>
      <c r="N93" s="99">
        <f t="shared" si="13"/>
        <v>74000</v>
      </c>
      <c r="O93" s="73">
        <f t="shared" si="14"/>
        <v>351212.6308096</v>
      </c>
      <c r="P93" s="73">
        <f t="shared" si="15"/>
        <v>425212.6308096</v>
      </c>
      <c r="Q93" s="301">
        <f t="shared" si="16"/>
        <v>68820</v>
      </c>
      <c r="R93" s="301">
        <f t="shared" si="17"/>
        <v>326627.74665292801</v>
      </c>
      <c r="S93" s="300">
        <f t="shared" si="18"/>
        <v>395447.74665292801</v>
      </c>
    </row>
    <row r="94" spans="1:19" ht="15" x14ac:dyDescent="0.2">
      <c r="A94" s="49">
        <v>87</v>
      </c>
      <c r="B94" s="47" t="s">
        <v>300</v>
      </c>
      <c r="C94" s="33" t="s">
        <v>153</v>
      </c>
      <c r="D94" s="133">
        <v>1026697</v>
      </c>
      <c r="E94" s="114">
        <v>305955.70600000001</v>
      </c>
      <c r="F94" s="114">
        <v>1223822.824</v>
      </c>
      <c r="G94" s="114">
        <v>1529778.53</v>
      </c>
      <c r="H94" s="257">
        <f t="shared" si="10"/>
        <v>260000</v>
      </c>
      <c r="I94" s="257">
        <v>1300000</v>
      </c>
      <c r="J94" s="258">
        <f t="shared" si="11"/>
        <v>1560000</v>
      </c>
      <c r="K94" s="145">
        <f>305955.706-1000</f>
        <v>304955.70600000001</v>
      </c>
      <c r="L94" s="145">
        <v>1223822.824</v>
      </c>
      <c r="M94" s="142">
        <f t="shared" si="12"/>
        <v>1528778.53</v>
      </c>
      <c r="N94" s="99">
        <f t="shared" si="13"/>
        <v>260000</v>
      </c>
      <c r="O94" s="73">
        <f t="shared" si="14"/>
        <v>1223822.824</v>
      </c>
      <c r="P94" s="73">
        <f t="shared" si="15"/>
        <v>1483822.824</v>
      </c>
      <c r="Q94" s="301">
        <f t="shared" si="16"/>
        <v>241800</v>
      </c>
      <c r="R94" s="301">
        <f t="shared" si="17"/>
        <v>1138155.2263199999</v>
      </c>
      <c r="S94" s="300">
        <f t="shared" si="18"/>
        <v>1379955.2263199999</v>
      </c>
    </row>
    <row r="95" spans="1:19" ht="22.5" x14ac:dyDescent="0.2">
      <c r="A95" s="49"/>
      <c r="B95" s="30" t="s">
        <v>31</v>
      </c>
      <c r="C95" s="33" t="s">
        <v>153</v>
      </c>
      <c r="D95" s="133"/>
      <c r="E95" s="114"/>
      <c r="F95" s="114"/>
      <c r="G95" s="114"/>
      <c r="H95" s="257">
        <f t="shared" si="10"/>
        <v>0</v>
      </c>
      <c r="I95" s="257"/>
      <c r="J95" s="258">
        <f t="shared" si="11"/>
        <v>0</v>
      </c>
      <c r="K95" s="143"/>
      <c r="L95" s="148"/>
      <c r="M95" s="142">
        <f t="shared" si="12"/>
        <v>0</v>
      </c>
      <c r="N95" s="99">
        <f t="shared" si="13"/>
        <v>0</v>
      </c>
      <c r="O95" s="73">
        <f t="shared" si="14"/>
        <v>0</v>
      </c>
      <c r="P95" s="73">
        <f t="shared" si="15"/>
        <v>0</v>
      </c>
      <c r="Q95" s="301">
        <f t="shared" si="16"/>
        <v>0</v>
      </c>
      <c r="R95" s="301">
        <f t="shared" si="17"/>
        <v>0</v>
      </c>
      <c r="S95" s="300">
        <f t="shared" si="18"/>
        <v>0</v>
      </c>
    </row>
    <row r="96" spans="1:19" ht="15" x14ac:dyDescent="0.2">
      <c r="A96" s="49">
        <v>88</v>
      </c>
      <c r="B96" s="46" t="s">
        <v>323</v>
      </c>
      <c r="C96" s="33" t="s">
        <v>153</v>
      </c>
      <c r="D96" s="133">
        <v>2768193.7892</v>
      </c>
      <c r="E96" s="114">
        <v>775094.26097599976</v>
      </c>
      <c r="F96" s="114">
        <v>3100377.043904</v>
      </c>
      <c r="G96" s="114">
        <v>3875471.3048799997</v>
      </c>
      <c r="H96" s="257">
        <f t="shared" si="10"/>
        <v>660000</v>
      </c>
      <c r="I96" s="257">
        <v>3300000</v>
      </c>
      <c r="J96" s="258">
        <f t="shared" si="11"/>
        <v>3960000</v>
      </c>
      <c r="K96" s="145">
        <f>775094.260976-1000</f>
        <v>774094.26097599999</v>
      </c>
      <c r="L96" s="145">
        <v>3100377.043904</v>
      </c>
      <c r="M96" s="142">
        <f t="shared" si="12"/>
        <v>3874471.3048799997</v>
      </c>
      <c r="N96" s="99">
        <f t="shared" si="13"/>
        <v>660000</v>
      </c>
      <c r="O96" s="73">
        <f t="shared" si="14"/>
        <v>3100377.043904</v>
      </c>
      <c r="P96" s="73">
        <f t="shared" si="15"/>
        <v>3760377.043904</v>
      </c>
      <c r="Q96" s="301">
        <f t="shared" si="16"/>
        <v>613800</v>
      </c>
      <c r="R96" s="301">
        <f t="shared" si="17"/>
        <v>2883350.6508307201</v>
      </c>
      <c r="S96" s="300">
        <f t="shared" si="18"/>
        <v>3497150.6508307201</v>
      </c>
    </row>
    <row r="97" spans="1:19" ht="15" x14ac:dyDescent="0.2">
      <c r="A97" s="49">
        <v>89</v>
      </c>
      <c r="B97" s="46" t="s">
        <v>178</v>
      </c>
      <c r="C97" s="33" t="s">
        <v>153</v>
      </c>
      <c r="D97" s="133">
        <v>1323207.9756</v>
      </c>
      <c r="E97" s="114">
        <v>394315.97672879999</v>
      </c>
      <c r="F97" s="114">
        <v>1577263.9069151999</v>
      </c>
      <c r="G97" s="114">
        <v>1971579.8836439999</v>
      </c>
      <c r="H97" s="257">
        <f t="shared" si="10"/>
        <v>320000</v>
      </c>
      <c r="I97" s="257">
        <v>1600000</v>
      </c>
      <c r="J97" s="258">
        <f t="shared" si="11"/>
        <v>1920000</v>
      </c>
      <c r="K97" s="145">
        <v>394315.97672879999</v>
      </c>
      <c r="L97" s="145">
        <v>1577263.9069151999</v>
      </c>
      <c r="M97" s="142">
        <f t="shared" si="12"/>
        <v>1971579.8836439999</v>
      </c>
      <c r="N97" s="99">
        <f t="shared" si="13"/>
        <v>320000</v>
      </c>
      <c r="O97" s="73">
        <f t="shared" si="14"/>
        <v>1577263.9069151999</v>
      </c>
      <c r="P97" s="73">
        <f t="shared" si="15"/>
        <v>1897263.9069151999</v>
      </c>
      <c r="Q97" s="301">
        <f t="shared" si="16"/>
        <v>297600</v>
      </c>
      <c r="R97" s="301">
        <f t="shared" si="17"/>
        <v>1466855.433431136</v>
      </c>
      <c r="S97" s="300">
        <f t="shared" si="18"/>
        <v>1764455.433431136</v>
      </c>
    </row>
    <row r="98" spans="1:19" ht="15" x14ac:dyDescent="0.2">
      <c r="A98" s="49">
        <v>90</v>
      </c>
      <c r="B98" s="46" t="s">
        <v>301</v>
      </c>
      <c r="C98" s="33" t="s">
        <v>153</v>
      </c>
      <c r="D98" s="133">
        <v>925262.39400000009</v>
      </c>
      <c r="E98" s="114">
        <v>275728.19341200008</v>
      </c>
      <c r="F98" s="114">
        <v>1102912.7736480001</v>
      </c>
      <c r="G98" s="114">
        <v>1378640.9670600002</v>
      </c>
      <c r="H98" s="257">
        <f t="shared" si="10"/>
        <v>220000</v>
      </c>
      <c r="I98" s="257">
        <v>1100000</v>
      </c>
      <c r="J98" s="258">
        <f t="shared" si="11"/>
        <v>1320000</v>
      </c>
      <c r="K98" s="145">
        <f>275728.193412-1000</f>
        <v>274728.19341200002</v>
      </c>
      <c r="L98" s="145">
        <v>1102912.7736480001</v>
      </c>
      <c r="M98" s="142">
        <f t="shared" si="12"/>
        <v>1377640.9670600002</v>
      </c>
      <c r="N98" s="99">
        <f t="shared" si="13"/>
        <v>220000</v>
      </c>
      <c r="O98" s="73">
        <f t="shared" si="14"/>
        <v>1100000</v>
      </c>
      <c r="P98" s="73">
        <f t="shared" si="15"/>
        <v>1320000</v>
      </c>
      <c r="Q98" s="301">
        <f t="shared" si="16"/>
        <v>204600</v>
      </c>
      <c r="R98" s="301">
        <f t="shared" si="17"/>
        <v>1023000</v>
      </c>
      <c r="S98" s="300">
        <f t="shared" si="18"/>
        <v>1227600</v>
      </c>
    </row>
    <row r="99" spans="1:19" ht="15" x14ac:dyDescent="0.2">
      <c r="A99" s="49">
        <v>91</v>
      </c>
      <c r="B99" s="47" t="s">
        <v>79</v>
      </c>
      <c r="C99" s="33" t="s">
        <v>153</v>
      </c>
      <c r="D99" s="133">
        <v>167131.03260000001</v>
      </c>
      <c r="E99" s="114">
        <v>49805.047714799992</v>
      </c>
      <c r="F99" s="114">
        <v>199220.19085920003</v>
      </c>
      <c r="G99" s="114">
        <v>249025.23857400002</v>
      </c>
      <c r="H99" s="257">
        <f t="shared" si="10"/>
        <v>40000</v>
      </c>
      <c r="I99" s="257">
        <v>200000</v>
      </c>
      <c r="J99" s="258">
        <f t="shared" si="11"/>
        <v>240000</v>
      </c>
      <c r="K99" s="145">
        <f>49805.0477148-1000</f>
        <v>48805.047714799999</v>
      </c>
      <c r="L99" s="145">
        <v>199220.19085920003</v>
      </c>
      <c r="M99" s="142">
        <f t="shared" si="12"/>
        <v>248025.23857400002</v>
      </c>
      <c r="N99" s="99">
        <f t="shared" si="13"/>
        <v>40000</v>
      </c>
      <c r="O99" s="73">
        <f t="shared" si="14"/>
        <v>199220.19085920003</v>
      </c>
      <c r="P99" s="73">
        <f t="shared" si="15"/>
        <v>239220.19085920003</v>
      </c>
      <c r="Q99" s="301">
        <f t="shared" si="16"/>
        <v>37200</v>
      </c>
      <c r="R99" s="301">
        <f t="shared" si="17"/>
        <v>185274.77749905601</v>
      </c>
      <c r="S99" s="300">
        <f t="shared" si="18"/>
        <v>222474.77749905601</v>
      </c>
    </row>
    <row r="100" spans="1:19" ht="15" x14ac:dyDescent="0.2">
      <c r="A100" s="49">
        <v>92</v>
      </c>
      <c r="B100" s="46" t="s">
        <v>32</v>
      </c>
      <c r="C100" s="33" t="s">
        <v>153</v>
      </c>
      <c r="D100" s="133">
        <v>214170.70920000001</v>
      </c>
      <c r="E100" s="114">
        <v>63822.871341599996</v>
      </c>
      <c r="F100" s="114">
        <v>255291.48536640001</v>
      </c>
      <c r="G100" s="114">
        <v>319114.35670800001</v>
      </c>
      <c r="H100" s="257">
        <f t="shared" si="10"/>
        <v>50000</v>
      </c>
      <c r="I100" s="257">
        <v>250000</v>
      </c>
      <c r="J100" s="258">
        <f t="shared" si="11"/>
        <v>300000</v>
      </c>
      <c r="K100" s="145">
        <f>63822.8713416-1000</f>
        <v>62822.871341600003</v>
      </c>
      <c r="L100" s="145">
        <v>255291.48536640001</v>
      </c>
      <c r="M100" s="142">
        <f t="shared" si="12"/>
        <v>318114.35670800001</v>
      </c>
      <c r="N100" s="99">
        <f t="shared" si="13"/>
        <v>50000</v>
      </c>
      <c r="O100" s="73">
        <f t="shared" si="14"/>
        <v>250000</v>
      </c>
      <c r="P100" s="73">
        <f t="shared" si="15"/>
        <v>300000</v>
      </c>
      <c r="Q100" s="301">
        <f t="shared" si="16"/>
        <v>46500</v>
      </c>
      <c r="R100" s="301">
        <f t="shared" si="17"/>
        <v>232500</v>
      </c>
      <c r="S100" s="300">
        <f t="shared" si="18"/>
        <v>279000</v>
      </c>
    </row>
    <row r="101" spans="1:19" ht="15" x14ac:dyDescent="0.2">
      <c r="A101" s="49">
        <v>93</v>
      </c>
      <c r="B101" s="47" t="s">
        <v>77</v>
      </c>
      <c r="C101" s="33" t="s">
        <v>153</v>
      </c>
      <c r="D101" s="133">
        <v>454601.05937080737</v>
      </c>
      <c r="E101" s="114">
        <v>135471.11569250061</v>
      </c>
      <c r="F101" s="114">
        <v>541884.46277000243</v>
      </c>
      <c r="G101" s="114">
        <v>677355.57846250304</v>
      </c>
      <c r="H101" s="257">
        <f t="shared" si="10"/>
        <v>112000</v>
      </c>
      <c r="I101" s="257">
        <v>560000</v>
      </c>
      <c r="J101" s="258">
        <f t="shared" si="11"/>
        <v>672000</v>
      </c>
      <c r="K101" s="145">
        <f>135471.115692501-1000</f>
        <v>134471.11569250099</v>
      </c>
      <c r="L101" s="145">
        <v>541884.46277000243</v>
      </c>
      <c r="M101" s="142">
        <f t="shared" si="12"/>
        <v>676355.57846250338</v>
      </c>
      <c r="N101" s="99">
        <f t="shared" si="13"/>
        <v>112000</v>
      </c>
      <c r="O101" s="73">
        <f t="shared" si="14"/>
        <v>541884.46277000243</v>
      </c>
      <c r="P101" s="73">
        <f t="shared" si="15"/>
        <v>653884.46277000243</v>
      </c>
      <c r="Q101" s="301">
        <f t="shared" si="16"/>
        <v>104160</v>
      </c>
      <c r="R101" s="301">
        <f t="shared" si="17"/>
        <v>503952.55037610227</v>
      </c>
      <c r="S101" s="300">
        <f t="shared" si="18"/>
        <v>608112.55037610233</v>
      </c>
    </row>
    <row r="102" spans="1:19" ht="15" x14ac:dyDescent="0.2">
      <c r="A102" s="49">
        <v>94</v>
      </c>
      <c r="B102" s="47" t="s">
        <v>71</v>
      </c>
      <c r="C102" s="33" t="s">
        <v>153</v>
      </c>
      <c r="D102" s="133">
        <v>147249.27279999998</v>
      </c>
      <c r="E102" s="114">
        <v>43880.283294399967</v>
      </c>
      <c r="F102" s="114">
        <v>175521.13317759999</v>
      </c>
      <c r="G102" s="114">
        <v>219401.41647199995</v>
      </c>
      <c r="H102" s="257">
        <f t="shared" si="10"/>
        <v>30000</v>
      </c>
      <c r="I102" s="257">
        <v>150000</v>
      </c>
      <c r="J102" s="258">
        <f t="shared" si="11"/>
        <v>180000</v>
      </c>
      <c r="K102" s="145">
        <f>43880.2832943999-1000</f>
        <v>42880.283294399902</v>
      </c>
      <c r="L102" s="145">
        <v>175521.13317759999</v>
      </c>
      <c r="M102" s="142">
        <f t="shared" si="12"/>
        <v>218401.4164719999</v>
      </c>
      <c r="N102" s="99">
        <f t="shared" si="13"/>
        <v>30000</v>
      </c>
      <c r="O102" s="73">
        <f t="shared" si="14"/>
        <v>150000</v>
      </c>
      <c r="P102" s="73">
        <f t="shared" si="15"/>
        <v>180000</v>
      </c>
      <c r="Q102" s="301">
        <f t="shared" si="16"/>
        <v>27900</v>
      </c>
      <c r="R102" s="301">
        <f t="shared" si="17"/>
        <v>139500</v>
      </c>
      <c r="S102" s="300">
        <f t="shared" si="18"/>
        <v>167400</v>
      </c>
    </row>
    <row r="103" spans="1:19" ht="22.5" x14ac:dyDescent="0.2">
      <c r="A103" s="49"/>
      <c r="B103" s="30" t="s">
        <v>90</v>
      </c>
      <c r="C103" s="33" t="s">
        <v>153</v>
      </c>
      <c r="D103" s="133"/>
      <c r="E103" s="114"/>
      <c r="F103" s="114"/>
      <c r="G103" s="114"/>
      <c r="H103" s="257">
        <f t="shared" si="10"/>
        <v>0</v>
      </c>
      <c r="I103" s="257"/>
      <c r="J103" s="258">
        <f t="shared" si="11"/>
        <v>0</v>
      </c>
      <c r="K103" s="143"/>
      <c r="L103" s="148"/>
      <c r="M103" s="142">
        <f t="shared" si="12"/>
        <v>0</v>
      </c>
      <c r="N103" s="99">
        <f t="shared" si="13"/>
        <v>0</v>
      </c>
      <c r="O103" s="73">
        <f t="shared" si="14"/>
        <v>0</v>
      </c>
      <c r="P103" s="73">
        <f t="shared" si="15"/>
        <v>0</v>
      </c>
      <c r="Q103" s="301">
        <f t="shared" si="16"/>
        <v>0</v>
      </c>
      <c r="R103" s="301">
        <f t="shared" si="17"/>
        <v>0</v>
      </c>
      <c r="S103" s="300">
        <f t="shared" si="18"/>
        <v>0</v>
      </c>
    </row>
    <row r="104" spans="1:19" ht="15" x14ac:dyDescent="0.2">
      <c r="A104" s="49">
        <v>95</v>
      </c>
      <c r="B104" s="46" t="s">
        <v>481</v>
      </c>
      <c r="C104" s="33" t="s">
        <v>153</v>
      </c>
      <c r="D104" s="133">
        <v>103533.4034</v>
      </c>
      <c r="E104" s="114">
        <v>30852.954213199992</v>
      </c>
      <c r="F104" s="114">
        <v>123411.8168528</v>
      </c>
      <c r="G104" s="114">
        <v>154264.77106599999</v>
      </c>
      <c r="H104" s="257">
        <f t="shared" si="10"/>
        <v>24000</v>
      </c>
      <c r="I104" s="257">
        <v>120000</v>
      </c>
      <c r="J104" s="258">
        <f t="shared" si="11"/>
        <v>144000</v>
      </c>
      <c r="K104" s="145">
        <f>30852.9542132-1000</f>
        <v>29852.954213199999</v>
      </c>
      <c r="L104" s="145">
        <v>123411.8168528</v>
      </c>
      <c r="M104" s="142">
        <f t="shared" si="12"/>
        <v>153264.77106599999</v>
      </c>
      <c r="N104" s="99">
        <f t="shared" si="13"/>
        <v>24000</v>
      </c>
      <c r="O104" s="73">
        <f t="shared" si="14"/>
        <v>120000</v>
      </c>
      <c r="P104" s="73">
        <f t="shared" si="15"/>
        <v>144000</v>
      </c>
      <c r="Q104" s="301">
        <f t="shared" si="16"/>
        <v>22320</v>
      </c>
      <c r="R104" s="301">
        <f t="shared" si="17"/>
        <v>111600</v>
      </c>
      <c r="S104" s="300">
        <f t="shared" si="18"/>
        <v>133920</v>
      </c>
    </row>
    <row r="105" spans="1:19" ht="15" x14ac:dyDescent="0.2">
      <c r="A105" s="49">
        <v>96</v>
      </c>
      <c r="B105" s="46" t="s">
        <v>181</v>
      </c>
      <c r="C105" s="33" t="s">
        <v>153</v>
      </c>
      <c r="D105" s="133">
        <v>633880.81377788144</v>
      </c>
      <c r="E105" s="114">
        <v>188896.48250580858</v>
      </c>
      <c r="F105" s="114">
        <v>755585.9300232348</v>
      </c>
      <c r="G105" s="114">
        <v>944482.41252904339</v>
      </c>
      <c r="H105" s="257">
        <f t="shared" si="10"/>
        <v>150000</v>
      </c>
      <c r="I105" s="257">
        <v>750000</v>
      </c>
      <c r="J105" s="258">
        <f t="shared" si="11"/>
        <v>900000</v>
      </c>
      <c r="K105" s="145">
        <f>188896.482505809-1000</f>
        <v>187896.48250580899</v>
      </c>
      <c r="L105" s="145">
        <v>755585.9300232348</v>
      </c>
      <c r="M105" s="142">
        <f t="shared" si="12"/>
        <v>943482.41252904385</v>
      </c>
      <c r="N105" s="99">
        <f t="shared" si="13"/>
        <v>150000</v>
      </c>
      <c r="O105" s="73">
        <f t="shared" si="14"/>
        <v>750000</v>
      </c>
      <c r="P105" s="73">
        <f t="shared" si="15"/>
        <v>900000</v>
      </c>
      <c r="Q105" s="301">
        <f t="shared" si="16"/>
        <v>139500</v>
      </c>
      <c r="R105" s="301">
        <f t="shared" si="17"/>
        <v>697500</v>
      </c>
      <c r="S105" s="300">
        <f t="shared" si="18"/>
        <v>837000</v>
      </c>
    </row>
    <row r="106" spans="1:19" ht="15" x14ac:dyDescent="0.2">
      <c r="A106" s="49">
        <v>97</v>
      </c>
      <c r="B106" s="46" t="s">
        <v>358</v>
      </c>
      <c r="C106" s="33" t="s">
        <v>153</v>
      </c>
      <c r="D106" s="133">
        <v>75944.365000000005</v>
      </c>
      <c r="E106" s="114">
        <v>22783.309500000003</v>
      </c>
      <c r="F106" s="114">
        <v>91133.238000000012</v>
      </c>
      <c r="G106" s="114">
        <v>113916.54750000002</v>
      </c>
      <c r="H106" s="257">
        <f t="shared" si="10"/>
        <v>19200</v>
      </c>
      <c r="I106" s="257">
        <v>96000</v>
      </c>
      <c r="J106" s="258">
        <f t="shared" si="11"/>
        <v>115200</v>
      </c>
      <c r="K106" s="145">
        <f>22783.3095-1000</f>
        <v>21783.309499999999</v>
      </c>
      <c r="L106" s="145">
        <v>91133.238000000012</v>
      </c>
      <c r="M106" s="142">
        <f t="shared" si="12"/>
        <v>112916.54750000002</v>
      </c>
      <c r="N106" s="99">
        <f t="shared" si="13"/>
        <v>19200</v>
      </c>
      <c r="O106" s="73">
        <f t="shared" si="14"/>
        <v>91133.238000000012</v>
      </c>
      <c r="P106" s="73">
        <f t="shared" si="15"/>
        <v>110333.23800000001</v>
      </c>
      <c r="Q106" s="301">
        <f t="shared" si="16"/>
        <v>17856</v>
      </c>
      <c r="R106" s="301">
        <f t="shared" si="17"/>
        <v>84753.911340000006</v>
      </c>
      <c r="S106" s="300">
        <f t="shared" si="18"/>
        <v>102609.91134000001</v>
      </c>
    </row>
    <row r="107" spans="1:19" ht="15" x14ac:dyDescent="0.2">
      <c r="A107" s="49">
        <v>98</v>
      </c>
      <c r="B107" s="47" t="s">
        <v>303</v>
      </c>
      <c r="C107" s="33" t="s">
        <v>153</v>
      </c>
      <c r="D107" s="133">
        <v>1405563.0839377164</v>
      </c>
      <c r="E107" s="114">
        <v>418857.79901343933</v>
      </c>
      <c r="F107" s="114">
        <v>1675431.196053758</v>
      </c>
      <c r="G107" s="114">
        <v>2094288.9950671974</v>
      </c>
      <c r="H107" s="257">
        <f t="shared" si="10"/>
        <v>260000</v>
      </c>
      <c r="I107" s="257">
        <v>1300000</v>
      </c>
      <c r="J107" s="258">
        <f t="shared" si="11"/>
        <v>1560000</v>
      </c>
      <c r="K107" s="145">
        <f>418857.799013439-1000</f>
        <v>417857.79901343898</v>
      </c>
      <c r="L107" s="145">
        <v>1675431.196053758</v>
      </c>
      <c r="M107" s="142">
        <f t="shared" si="12"/>
        <v>2093288.9950671969</v>
      </c>
      <c r="N107" s="99">
        <f t="shared" si="13"/>
        <v>260000</v>
      </c>
      <c r="O107" s="73">
        <f t="shared" si="14"/>
        <v>1300000</v>
      </c>
      <c r="P107" s="73">
        <f t="shared" si="15"/>
        <v>1560000</v>
      </c>
      <c r="Q107" s="301">
        <f t="shared" si="16"/>
        <v>241800</v>
      </c>
      <c r="R107" s="301">
        <f t="shared" si="17"/>
        <v>1209000</v>
      </c>
      <c r="S107" s="300">
        <f t="shared" si="18"/>
        <v>1450800</v>
      </c>
    </row>
    <row r="108" spans="1:19" ht="15" x14ac:dyDescent="0.2">
      <c r="A108" s="49">
        <v>99</v>
      </c>
      <c r="B108" s="47" t="s">
        <v>304</v>
      </c>
      <c r="C108" s="33" t="s">
        <v>153</v>
      </c>
      <c r="D108" s="133">
        <v>1084106.3898</v>
      </c>
      <c r="E108" s="114">
        <v>323063.70416039997</v>
      </c>
      <c r="F108" s="114">
        <v>1292254.8166416001</v>
      </c>
      <c r="G108" s="114">
        <v>1615318.5208020001</v>
      </c>
      <c r="H108" s="257">
        <f t="shared" si="10"/>
        <v>220000</v>
      </c>
      <c r="I108" s="257">
        <v>1100000</v>
      </c>
      <c r="J108" s="258">
        <f t="shared" si="11"/>
        <v>1320000</v>
      </c>
      <c r="K108" s="145">
        <f>323063.7041604-1000</f>
        <v>322063.70416040003</v>
      </c>
      <c r="L108" s="145">
        <v>1292254.8166416001</v>
      </c>
      <c r="M108" s="142">
        <f t="shared" si="12"/>
        <v>1614318.5208020001</v>
      </c>
      <c r="N108" s="99">
        <f t="shared" si="13"/>
        <v>220000</v>
      </c>
      <c r="O108" s="73">
        <f t="shared" si="14"/>
        <v>1100000</v>
      </c>
      <c r="P108" s="73">
        <f t="shared" si="15"/>
        <v>1320000</v>
      </c>
      <c r="Q108" s="301">
        <f t="shared" si="16"/>
        <v>204600</v>
      </c>
      <c r="R108" s="301">
        <f t="shared" si="17"/>
        <v>1023000</v>
      </c>
      <c r="S108" s="300">
        <f t="shared" si="18"/>
        <v>1227600</v>
      </c>
    </row>
    <row r="109" spans="1:19" ht="15" x14ac:dyDescent="0.2">
      <c r="A109" s="49">
        <v>100</v>
      </c>
      <c r="B109" s="47" t="s">
        <v>80</v>
      </c>
      <c r="C109" s="33" t="s">
        <v>153</v>
      </c>
      <c r="D109" s="133">
        <v>569689.93516088522</v>
      </c>
      <c r="E109" s="114">
        <v>169767.60067794379</v>
      </c>
      <c r="F109" s="114">
        <v>679070.40271177515</v>
      </c>
      <c r="G109" s="114">
        <v>848838.00338971894</v>
      </c>
      <c r="H109" s="257">
        <f t="shared" si="10"/>
        <v>144000</v>
      </c>
      <c r="I109" s="257">
        <v>720000</v>
      </c>
      <c r="J109" s="258">
        <f t="shared" si="11"/>
        <v>864000</v>
      </c>
      <c r="K109" s="145">
        <f>169767.600677944-1000</f>
        <v>168767.60067794399</v>
      </c>
      <c r="L109" s="145">
        <v>679070.40271177515</v>
      </c>
      <c r="M109" s="142">
        <f t="shared" si="12"/>
        <v>847838.00338971918</v>
      </c>
      <c r="N109" s="99">
        <f t="shared" si="13"/>
        <v>144000</v>
      </c>
      <c r="O109" s="73">
        <f t="shared" si="14"/>
        <v>679070.40271177515</v>
      </c>
      <c r="P109" s="73">
        <f t="shared" si="15"/>
        <v>823070.40271177515</v>
      </c>
      <c r="Q109" s="301">
        <f t="shared" si="16"/>
        <v>133920</v>
      </c>
      <c r="R109" s="301">
        <f t="shared" si="17"/>
        <v>631535.47452195094</v>
      </c>
      <c r="S109" s="300">
        <f t="shared" si="18"/>
        <v>765455.47452195094</v>
      </c>
    </row>
    <row r="110" spans="1:19" ht="15" x14ac:dyDescent="0.2">
      <c r="A110" s="49">
        <v>101</v>
      </c>
      <c r="B110" s="47" t="s">
        <v>184</v>
      </c>
      <c r="C110" s="33" t="s">
        <v>153</v>
      </c>
      <c r="D110" s="133">
        <v>313675.00919999997</v>
      </c>
      <c r="E110" s="114">
        <v>93475.152741599944</v>
      </c>
      <c r="F110" s="114">
        <v>373900.61096640001</v>
      </c>
      <c r="G110" s="114">
        <v>467375.76370799995</v>
      </c>
      <c r="H110" s="257">
        <f t="shared" si="10"/>
        <v>6000</v>
      </c>
      <c r="I110" s="257">
        <v>30000</v>
      </c>
      <c r="J110" s="258">
        <f t="shared" si="11"/>
        <v>36000</v>
      </c>
      <c r="K110" s="145">
        <f>93475.1527415999-1000</f>
        <v>92475.152741599901</v>
      </c>
      <c r="L110" s="145">
        <v>373900.61096640001</v>
      </c>
      <c r="M110" s="142">
        <f t="shared" si="12"/>
        <v>466375.7637079999</v>
      </c>
      <c r="N110" s="99">
        <f t="shared" si="13"/>
        <v>6000</v>
      </c>
      <c r="O110" s="73">
        <f t="shared" si="14"/>
        <v>30000</v>
      </c>
      <c r="P110" s="73">
        <f t="shared" si="15"/>
        <v>36000</v>
      </c>
      <c r="Q110" s="301">
        <f t="shared" si="16"/>
        <v>5580</v>
      </c>
      <c r="R110" s="301">
        <f t="shared" si="17"/>
        <v>27900</v>
      </c>
      <c r="S110" s="300">
        <f t="shared" si="18"/>
        <v>33480</v>
      </c>
    </row>
    <row r="111" spans="1:19" ht="15" x14ac:dyDescent="0.2">
      <c r="A111" s="49">
        <v>102</v>
      </c>
      <c r="B111" s="35" t="s">
        <v>305</v>
      </c>
      <c r="C111" s="33" t="s">
        <v>153</v>
      </c>
      <c r="D111" s="133">
        <v>682853.81383967504</v>
      </c>
      <c r="E111" s="114">
        <v>203490.43652422307</v>
      </c>
      <c r="F111" s="114">
        <v>813961.74609689275</v>
      </c>
      <c r="G111" s="114">
        <v>1017452.1826211158</v>
      </c>
      <c r="H111" s="257">
        <f t="shared" si="10"/>
        <v>150000</v>
      </c>
      <c r="I111" s="257">
        <v>750000</v>
      </c>
      <c r="J111" s="258">
        <f t="shared" si="11"/>
        <v>900000</v>
      </c>
      <c r="K111" s="145">
        <f>203490.436524223-1000</f>
        <v>202490.43652422301</v>
      </c>
      <c r="L111" s="145">
        <v>813961.74609689275</v>
      </c>
      <c r="M111" s="142">
        <f t="shared" si="12"/>
        <v>1016452.1826211158</v>
      </c>
      <c r="N111" s="99">
        <f t="shared" si="13"/>
        <v>150000</v>
      </c>
      <c r="O111" s="73">
        <f t="shared" si="14"/>
        <v>750000</v>
      </c>
      <c r="P111" s="73">
        <f t="shared" si="15"/>
        <v>900000</v>
      </c>
      <c r="Q111" s="301">
        <f t="shared" si="16"/>
        <v>139500</v>
      </c>
      <c r="R111" s="301">
        <f t="shared" si="17"/>
        <v>697500</v>
      </c>
      <c r="S111" s="300">
        <f t="shared" si="18"/>
        <v>837000</v>
      </c>
    </row>
    <row r="112" spans="1:19" ht="15" x14ac:dyDescent="0.2">
      <c r="A112" s="49">
        <v>103</v>
      </c>
      <c r="B112" s="47" t="s">
        <v>99</v>
      </c>
      <c r="C112" s="33" t="s">
        <v>153</v>
      </c>
      <c r="D112" s="133">
        <v>245931.245</v>
      </c>
      <c r="E112" s="114">
        <v>73287.511009999958</v>
      </c>
      <c r="F112" s="114">
        <v>293150.04404000001</v>
      </c>
      <c r="G112" s="114">
        <v>366437.55504999997</v>
      </c>
      <c r="H112" s="257">
        <f t="shared" si="10"/>
        <v>62000</v>
      </c>
      <c r="I112" s="257">
        <v>310000</v>
      </c>
      <c r="J112" s="258">
        <f t="shared" si="11"/>
        <v>372000</v>
      </c>
      <c r="K112" s="145">
        <f>73287.51101-1000</f>
        <v>72287.511010000002</v>
      </c>
      <c r="L112" s="145">
        <v>293150.04404000001</v>
      </c>
      <c r="M112" s="142">
        <f t="shared" si="12"/>
        <v>365437.55505000002</v>
      </c>
      <c r="N112" s="99">
        <f t="shared" si="13"/>
        <v>62000</v>
      </c>
      <c r="O112" s="73">
        <f t="shared" si="14"/>
        <v>293150.04404000001</v>
      </c>
      <c r="P112" s="73">
        <f t="shared" si="15"/>
        <v>355150.04404000001</v>
      </c>
      <c r="Q112" s="301">
        <f t="shared" si="16"/>
        <v>57660</v>
      </c>
      <c r="R112" s="301">
        <f t="shared" si="17"/>
        <v>272629.54095719999</v>
      </c>
      <c r="S112" s="300">
        <f t="shared" si="18"/>
        <v>330289.54095719999</v>
      </c>
    </row>
    <row r="113" spans="1:19" ht="15" x14ac:dyDescent="0.2">
      <c r="A113" s="49">
        <v>104</v>
      </c>
      <c r="B113" s="46" t="s">
        <v>113</v>
      </c>
      <c r="C113" s="33" t="s">
        <v>153</v>
      </c>
      <c r="D113" s="133">
        <v>666930.42500000005</v>
      </c>
      <c r="E113" s="114">
        <v>198745.26665000001</v>
      </c>
      <c r="F113" s="114">
        <v>794981.06660000002</v>
      </c>
      <c r="G113" s="114">
        <v>993726.33325000003</v>
      </c>
      <c r="H113" s="257">
        <f t="shared" si="10"/>
        <v>154000</v>
      </c>
      <c r="I113" s="257">
        <v>770000</v>
      </c>
      <c r="J113" s="258">
        <f t="shared" si="11"/>
        <v>924000</v>
      </c>
      <c r="K113" s="145">
        <f>198745.26665-1000</f>
        <v>197745.26665000001</v>
      </c>
      <c r="L113" s="145">
        <v>794981.06660000002</v>
      </c>
      <c r="M113" s="142">
        <f t="shared" si="12"/>
        <v>992726.33325000003</v>
      </c>
      <c r="N113" s="99">
        <f t="shared" si="13"/>
        <v>154000</v>
      </c>
      <c r="O113" s="73">
        <f t="shared" si="14"/>
        <v>770000</v>
      </c>
      <c r="P113" s="73">
        <f t="shared" si="15"/>
        <v>924000</v>
      </c>
      <c r="Q113" s="301">
        <f t="shared" si="16"/>
        <v>143220</v>
      </c>
      <c r="R113" s="301">
        <f t="shared" si="17"/>
        <v>716100</v>
      </c>
      <c r="S113" s="300">
        <f t="shared" si="18"/>
        <v>859320</v>
      </c>
    </row>
    <row r="114" spans="1:19" ht="15" x14ac:dyDescent="0.2">
      <c r="A114" s="49">
        <v>105</v>
      </c>
      <c r="B114" s="46" t="s">
        <v>27</v>
      </c>
      <c r="C114" s="33" t="s">
        <v>153</v>
      </c>
      <c r="D114" s="133">
        <v>461131.51279999997</v>
      </c>
      <c r="E114" s="114">
        <v>137417.19081439998</v>
      </c>
      <c r="F114" s="114">
        <v>549668.76325760002</v>
      </c>
      <c r="G114" s="114">
        <v>687085.95407199999</v>
      </c>
      <c r="H114" s="257">
        <f t="shared" si="10"/>
        <v>116000</v>
      </c>
      <c r="I114" s="257">
        <v>580000</v>
      </c>
      <c r="J114" s="258">
        <f t="shared" si="11"/>
        <v>696000</v>
      </c>
      <c r="K114" s="145">
        <f>137417.1908144-1000</f>
        <v>136417.1908144</v>
      </c>
      <c r="L114" s="145">
        <v>549668.76325760002</v>
      </c>
      <c r="M114" s="142">
        <f t="shared" si="12"/>
        <v>686085.95407199999</v>
      </c>
      <c r="N114" s="99">
        <f t="shared" si="13"/>
        <v>116000</v>
      </c>
      <c r="O114" s="73">
        <f t="shared" si="14"/>
        <v>549668.76325760002</v>
      </c>
      <c r="P114" s="73">
        <f t="shared" si="15"/>
        <v>665668.76325760002</v>
      </c>
      <c r="Q114" s="301">
        <f t="shared" si="16"/>
        <v>107880</v>
      </c>
      <c r="R114" s="301">
        <f t="shared" si="17"/>
        <v>511191.94982956804</v>
      </c>
      <c r="S114" s="300">
        <f t="shared" si="18"/>
        <v>619071.94982956804</v>
      </c>
    </row>
    <row r="115" spans="1:19" ht="15" x14ac:dyDescent="0.2">
      <c r="A115" s="49">
        <v>106</v>
      </c>
      <c r="B115" s="47" t="s">
        <v>359</v>
      </c>
      <c r="C115" s="33" t="s">
        <v>153</v>
      </c>
      <c r="D115" s="133">
        <v>864360.28703725745</v>
      </c>
      <c r="E115" s="114">
        <v>257579.36553710268</v>
      </c>
      <c r="F115" s="114">
        <v>1030317.4621484109</v>
      </c>
      <c r="G115" s="114">
        <v>1287896.8276855135</v>
      </c>
      <c r="H115" s="257">
        <f t="shared" si="10"/>
        <v>180000</v>
      </c>
      <c r="I115" s="257">
        <v>900000</v>
      </c>
      <c r="J115" s="258">
        <f t="shared" si="11"/>
        <v>1080000</v>
      </c>
      <c r="K115" s="145">
        <f>257579.365537103-1000</f>
        <v>256579.365537103</v>
      </c>
      <c r="L115" s="145">
        <v>1030317.4621484109</v>
      </c>
      <c r="M115" s="142">
        <f t="shared" si="12"/>
        <v>1286896.8276855138</v>
      </c>
      <c r="N115" s="99">
        <f t="shared" si="13"/>
        <v>180000</v>
      </c>
      <c r="O115" s="73">
        <f t="shared" si="14"/>
        <v>900000</v>
      </c>
      <c r="P115" s="73">
        <f t="shared" si="15"/>
        <v>1080000</v>
      </c>
      <c r="Q115" s="301">
        <f t="shared" si="16"/>
        <v>167400</v>
      </c>
      <c r="R115" s="301">
        <f t="shared" si="17"/>
        <v>837000</v>
      </c>
      <c r="S115" s="300">
        <f t="shared" si="18"/>
        <v>1004400</v>
      </c>
    </row>
    <row r="116" spans="1:19" ht="15" x14ac:dyDescent="0.2">
      <c r="A116" s="49">
        <v>107</v>
      </c>
      <c r="B116" s="47" t="s">
        <v>103</v>
      </c>
      <c r="C116" s="33" t="s">
        <v>153</v>
      </c>
      <c r="D116" s="133">
        <v>145324.69</v>
      </c>
      <c r="E116" s="114">
        <v>43306.757619999989</v>
      </c>
      <c r="F116" s="114">
        <v>173227.03048000002</v>
      </c>
      <c r="G116" s="114">
        <v>216533.78810000001</v>
      </c>
      <c r="H116" s="257">
        <f t="shared" si="10"/>
        <v>36000</v>
      </c>
      <c r="I116" s="257">
        <v>180000</v>
      </c>
      <c r="J116" s="258">
        <f t="shared" si="11"/>
        <v>216000</v>
      </c>
      <c r="K116" s="145">
        <f>43306.75762-1000</f>
        <v>42306.757619999997</v>
      </c>
      <c r="L116" s="145">
        <v>173227.03048000002</v>
      </c>
      <c r="M116" s="142">
        <f t="shared" si="12"/>
        <v>215533.78810000001</v>
      </c>
      <c r="N116" s="99">
        <f t="shared" si="13"/>
        <v>36000</v>
      </c>
      <c r="O116" s="73">
        <f t="shared" si="14"/>
        <v>173227.03048000002</v>
      </c>
      <c r="P116" s="73">
        <f t="shared" si="15"/>
        <v>209227.03048000002</v>
      </c>
      <c r="Q116" s="301">
        <f t="shared" si="16"/>
        <v>33480</v>
      </c>
      <c r="R116" s="301">
        <f t="shared" si="17"/>
        <v>161101.13834640002</v>
      </c>
      <c r="S116" s="300">
        <f t="shared" si="18"/>
        <v>194581.13834640002</v>
      </c>
    </row>
    <row r="117" spans="1:19" ht="15" x14ac:dyDescent="0.2">
      <c r="A117" s="49">
        <v>108</v>
      </c>
      <c r="B117" s="46" t="s">
        <v>308</v>
      </c>
      <c r="C117" s="33" t="s">
        <v>153</v>
      </c>
      <c r="D117" s="133">
        <v>1171415.1484000001</v>
      </c>
      <c r="E117" s="114">
        <v>349081.71422319999</v>
      </c>
      <c r="F117" s="114">
        <v>1396326.8568928002</v>
      </c>
      <c r="G117" s="114">
        <v>1745408.5711160002</v>
      </c>
      <c r="H117" s="257">
        <f t="shared" si="10"/>
        <v>240000</v>
      </c>
      <c r="I117" s="257">
        <v>1200000</v>
      </c>
      <c r="J117" s="258">
        <f t="shared" si="11"/>
        <v>1440000</v>
      </c>
      <c r="K117" s="145">
        <f>349081.7142232-1000</f>
        <v>348081.71422319999</v>
      </c>
      <c r="L117" s="145">
        <v>1396326.8568928002</v>
      </c>
      <c r="M117" s="142">
        <f t="shared" si="12"/>
        <v>1744408.5711160002</v>
      </c>
      <c r="N117" s="99">
        <f t="shared" si="13"/>
        <v>240000</v>
      </c>
      <c r="O117" s="73">
        <f t="shared" si="14"/>
        <v>1200000</v>
      </c>
      <c r="P117" s="73">
        <f t="shared" si="15"/>
        <v>1440000</v>
      </c>
      <c r="Q117" s="301">
        <f t="shared" si="16"/>
        <v>223200</v>
      </c>
      <c r="R117" s="301">
        <f t="shared" si="17"/>
        <v>1116000</v>
      </c>
      <c r="S117" s="300">
        <f t="shared" si="18"/>
        <v>1339200</v>
      </c>
    </row>
    <row r="118" spans="1:19" ht="15" x14ac:dyDescent="0.2">
      <c r="A118" s="49">
        <v>109</v>
      </c>
      <c r="B118" s="46" t="s">
        <v>309</v>
      </c>
      <c r="C118" s="33" t="s">
        <v>153</v>
      </c>
      <c r="D118" s="133">
        <v>281856.61533823615</v>
      </c>
      <c r="E118" s="114">
        <v>83993.271370794333</v>
      </c>
      <c r="F118" s="114">
        <v>335973.08548317751</v>
      </c>
      <c r="G118" s="114">
        <v>419966.35685397184</v>
      </c>
      <c r="H118" s="257">
        <f t="shared" si="10"/>
        <v>60000</v>
      </c>
      <c r="I118" s="257">
        <v>300000</v>
      </c>
      <c r="J118" s="258">
        <f t="shared" si="11"/>
        <v>360000</v>
      </c>
      <c r="K118" s="145">
        <f>83993.2713707943-1000</f>
        <v>82993.271370794304</v>
      </c>
      <c r="L118" s="145">
        <v>335973.08548317751</v>
      </c>
      <c r="M118" s="142">
        <f t="shared" si="12"/>
        <v>418966.35685397184</v>
      </c>
      <c r="N118" s="99">
        <f t="shared" si="13"/>
        <v>60000</v>
      </c>
      <c r="O118" s="73">
        <f t="shared" si="14"/>
        <v>300000</v>
      </c>
      <c r="P118" s="73">
        <f t="shared" si="15"/>
        <v>360000</v>
      </c>
      <c r="Q118" s="301">
        <f t="shared" si="16"/>
        <v>55800</v>
      </c>
      <c r="R118" s="301">
        <f t="shared" si="17"/>
        <v>279000</v>
      </c>
      <c r="S118" s="300">
        <f t="shared" si="18"/>
        <v>334800</v>
      </c>
    </row>
    <row r="119" spans="1:19" ht="15" x14ac:dyDescent="0.2">
      <c r="A119" s="49">
        <v>110</v>
      </c>
      <c r="B119" s="46" t="s">
        <v>311</v>
      </c>
      <c r="C119" s="33" t="s">
        <v>153</v>
      </c>
      <c r="D119" s="133">
        <v>120000</v>
      </c>
      <c r="E119" s="114">
        <v>35760</v>
      </c>
      <c r="F119" s="114">
        <v>143040</v>
      </c>
      <c r="G119" s="114">
        <v>178800</v>
      </c>
      <c r="H119" s="257">
        <f t="shared" si="10"/>
        <v>28000</v>
      </c>
      <c r="I119" s="257">
        <v>140000</v>
      </c>
      <c r="J119" s="258">
        <f t="shared" si="11"/>
        <v>168000</v>
      </c>
      <c r="K119" s="145">
        <f>35760-1000</f>
        <v>34760</v>
      </c>
      <c r="L119" s="145">
        <v>143040</v>
      </c>
      <c r="M119" s="142">
        <f t="shared" si="12"/>
        <v>177800</v>
      </c>
      <c r="N119" s="99">
        <f t="shared" si="13"/>
        <v>28000</v>
      </c>
      <c r="O119" s="73">
        <f t="shared" si="14"/>
        <v>140000</v>
      </c>
      <c r="P119" s="73">
        <f t="shared" si="15"/>
        <v>168000</v>
      </c>
      <c r="Q119" s="301">
        <f t="shared" si="16"/>
        <v>26040</v>
      </c>
      <c r="R119" s="301">
        <f t="shared" si="17"/>
        <v>130200</v>
      </c>
      <c r="S119" s="300">
        <f t="shared" si="18"/>
        <v>156240</v>
      </c>
    </row>
    <row r="120" spans="1:19" ht="22.5" x14ac:dyDescent="0.2">
      <c r="A120" s="49"/>
      <c r="B120" s="30" t="s">
        <v>28</v>
      </c>
      <c r="C120" s="33" t="s">
        <v>153</v>
      </c>
      <c r="D120" s="133"/>
      <c r="E120" s="114"/>
      <c r="F120" s="114"/>
      <c r="G120" s="114"/>
      <c r="H120" s="257">
        <f t="shared" si="10"/>
        <v>0</v>
      </c>
      <c r="I120" s="257"/>
      <c r="J120" s="258">
        <f t="shared" si="11"/>
        <v>0</v>
      </c>
      <c r="K120" s="143"/>
      <c r="L120" s="148"/>
      <c r="M120" s="142">
        <f t="shared" si="12"/>
        <v>0</v>
      </c>
      <c r="N120" s="99">
        <f t="shared" si="13"/>
        <v>0</v>
      </c>
      <c r="O120" s="73">
        <f t="shared" si="14"/>
        <v>0</v>
      </c>
      <c r="P120" s="73">
        <f t="shared" si="15"/>
        <v>0</v>
      </c>
      <c r="Q120" s="301">
        <f t="shared" si="16"/>
        <v>0</v>
      </c>
      <c r="R120" s="301">
        <f t="shared" si="17"/>
        <v>0</v>
      </c>
      <c r="S120" s="300">
        <f t="shared" si="18"/>
        <v>0</v>
      </c>
    </row>
    <row r="121" spans="1:19" ht="15" x14ac:dyDescent="0.2">
      <c r="A121" s="49">
        <v>111</v>
      </c>
      <c r="B121" s="46" t="s">
        <v>114</v>
      </c>
      <c r="C121" s="33" t="s">
        <v>153</v>
      </c>
      <c r="D121" s="133">
        <v>613706.38085918222</v>
      </c>
      <c r="E121" s="114">
        <v>182884.5014960363</v>
      </c>
      <c r="F121" s="114">
        <v>731538.00598414522</v>
      </c>
      <c r="G121" s="114">
        <v>914422.50748018152</v>
      </c>
      <c r="H121" s="257">
        <f t="shared" si="10"/>
        <v>140000</v>
      </c>
      <c r="I121" s="257">
        <v>700000</v>
      </c>
      <c r="J121" s="258">
        <f t="shared" si="11"/>
        <v>840000</v>
      </c>
      <c r="K121" s="145">
        <f>182884.501496036-1000</f>
        <v>181884.50149603601</v>
      </c>
      <c r="L121" s="145">
        <v>731538.00598414522</v>
      </c>
      <c r="M121" s="142">
        <f t="shared" si="12"/>
        <v>913422.50748018129</v>
      </c>
      <c r="N121" s="99">
        <f t="shared" si="13"/>
        <v>140000</v>
      </c>
      <c r="O121" s="73">
        <f t="shared" si="14"/>
        <v>700000</v>
      </c>
      <c r="P121" s="73">
        <f t="shared" si="15"/>
        <v>840000</v>
      </c>
      <c r="Q121" s="301">
        <f t="shared" si="16"/>
        <v>130200</v>
      </c>
      <c r="R121" s="301">
        <f t="shared" si="17"/>
        <v>651000</v>
      </c>
      <c r="S121" s="300">
        <f t="shared" si="18"/>
        <v>781200</v>
      </c>
    </row>
    <row r="122" spans="1:19" ht="15" x14ac:dyDescent="0.2">
      <c r="A122" s="49">
        <v>112</v>
      </c>
      <c r="B122" s="35" t="s">
        <v>191</v>
      </c>
      <c r="C122" s="33" t="s">
        <v>153</v>
      </c>
      <c r="D122" s="133">
        <v>120000</v>
      </c>
      <c r="E122" s="114">
        <v>35760</v>
      </c>
      <c r="F122" s="114">
        <v>143040</v>
      </c>
      <c r="G122" s="114">
        <v>178800</v>
      </c>
      <c r="H122" s="257">
        <f t="shared" si="10"/>
        <v>28000</v>
      </c>
      <c r="I122" s="257">
        <v>140000</v>
      </c>
      <c r="J122" s="258">
        <f t="shared" si="11"/>
        <v>168000</v>
      </c>
      <c r="K122" s="145">
        <f>35760-1000</f>
        <v>34760</v>
      </c>
      <c r="L122" s="145">
        <v>143040</v>
      </c>
      <c r="M122" s="142">
        <f t="shared" si="12"/>
        <v>177800</v>
      </c>
      <c r="N122" s="99">
        <f t="shared" si="13"/>
        <v>28000</v>
      </c>
      <c r="O122" s="73">
        <f t="shared" si="14"/>
        <v>140000</v>
      </c>
      <c r="P122" s="73">
        <f t="shared" si="15"/>
        <v>168000</v>
      </c>
      <c r="Q122" s="301">
        <f t="shared" si="16"/>
        <v>26040</v>
      </c>
      <c r="R122" s="301">
        <f t="shared" si="17"/>
        <v>130200</v>
      </c>
      <c r="S122" s="300">
        <f t="shared" si="18"/>
        <v>156240</v>
      </c>
    </row>
    <row r="123" spans="1:19" ht="15" x14ac:dyDescent="0.2">
      <c r="A123" s="49">
        <v>113</v>
      </c>
      <c r="B123" s="46" t="s">
        <v>117</v>
      </c>
      <c r="C123" s="33" t="s">
        <v>153</v>
      </c>
      <c r="D123" s="133">
        <v>767520.46204485407</v>
      </c>
      <c r="E123" s="114">
        <v>228721.09768936643</v>
      </c>
      <c r="F123" s="114">
        <v>914884.3907574662</v>
      </c>
      <c r="G123" s="114">
        <v>1143605.4884468326</v>
      </c>
      <c r="H123" s="257">
        <f t="shared" si="10"/>
        <v>180000</v>
      </c>
      <c r="I123" s="257">
        <v>900000</v>
      </c>
      <c r="J123" s="258">
        <f t="shared" si="11"/>
        <v>1080000</v>
      </c>
      <c r="K123" s="145">
        <f>228721.097689366-1000</f>
        <v>227721.097689366</v>
      </c>
      <c r="L123" s="145">
        <v>914884.3907574662</v>
      </c>
      <c r="M123" s="142">
        <f t="shared" si="12"/>
        <v>1142605.4884468322</v>
      </c>
      <c r="N123" s="99">
        <f t="shared" si="13"/>
        <v>180000</v>
      </c>
      <c r="O123" s="73">
        <f t="shared" si="14"/>
        <v>900000</v>
      </c>
      <c r="P123" s="73">
        <f t="shared" si="15"/>
        <v>1080000</v>
      </c>
      <c r="Q123" s="301">
        <f t="shared" si="16"/>
        <v>167400</v>
      </c>
      <c r="R123" s="301">
        <f t="shared" si="17"/>
        <v>837000</v>
      </c>
      <c r="S123" s="300">
        <f t="shared" si="18"/>
        <v>1004400</v>
      </c>
    </row>
    <row r="124" spans="1:19" ht="15" x14ac:dyDescent="0.2">
      <c r="A124" s="49">
        <v>114</v>
      </c>
      <c r="B124" s="46" t="s">
        <v>29</v>
      </c>
      <c r="C124" s="33" t="s">
        <v>153</v>
      </c>
      <c r="D124" s="133">
        <v>212914.42021164397</v>
      </c>
      <c r="E124" s="114">
        <v>63448.497223069891</v>
      </c>
      <c r="F124" s="114">
        <v>253793.98889227962</v>
      </c>
      <c r="G124" s="114">
        <v>317242.48611534951</v>
      </c>
      <c r="H124" s="257">
        <f t="shared" si="10"/>
        <v>40000</v>
      </c>
      <c r="I124" s="257">
        <v>200000</v>
      </c>
      <c r="J124" s="258">
        <f t="shared" si="11"/>
        <v>240000</v>
      </c>
      <c r="K124" s="145">
        <f>63448.4972230698-1000</f>
        <v>62448.497223069797</v>
      </c>
      <c r="L124" s="145">
        <v>253793.98889227962</v>
      </c>
      <c r="M124" s="142">
        <f t="shared" si="12"/>
        <v>316242.4861153494</v>
      </c>
      <c r="N124" s="99">
        <f t="shared" si="13"/>
        <v>40000</v>
      </c>
      <c r="O124" s="73">
        <f t="shared" si="14"/>
        <v>200000</v>
      </c>
      <c r="P124" s="73">
        <f t="shared" si="15"/>
        <v>240000</v>
      </c>
      <c r="Q124" s="301">
        <f t="shared" si="16"/>
        <v>37200</v>
      </c>
      <c r="R124" s="301">
        <f t="shared" si="17"/>
        <v>186000</v>
      </c>
      <c r="S124" s="300">
        <f t="shared" si="18"/>
        <v>223200</v>
      </c>
    </row>
    <row r="125" spans="1:19" ht="15" x14ac:dyDescent="0.2">
      <c r="A125" s="49">
        <v>115</v>
      </c>
      <c r="B125" s="35" t="s">
        <v>347</v>
      </c>
      <c r="C125" s="33" t="s">
        <v>153</v>
      </c>
      <c r="D125" s="133">
        <v>437472</v>
      </c>
      <c r="E125" s="114">
        <v>130366.65599999996</v>
      </c>
      <c r="F125" s="114">
        <v>521466.62400000007</v>
      </c>
      <c r="G125" s="114">
        <v>651833.28</v>
      </c>
      <c r="H125" s="257">
        <f t="shared" si="10"/>
        <v>10000</v>
      </c>
      <c r="I125" s="257">
        <v>50000</v>
      </c>
      <c r="J125" s="258">
        <f t="shared" si="11"/>
        <v>60000</v>
      </c>
      <c r="K125" s="145">
        <f>130366.656-1000</f>
        <v>129366.656</v>
      </c>
      <c r="L125" s="145">
        <v>521466.62400000007</v>
      </c>
      <c r="M125" s="142">
        <f t="shared" si="12"/>
        <v>650833.28</v>
      </c>
      <c r="N125" s="99">
        <f t="shared" si="13"/>
        <v>10000</v>
      </c>
      <c r="O125" s="73">
        <f t="shared" si="14"/>
        <v>50000</v>
      </c>
      <c r="P125" s="73">
        <f t="shared" si="15"/>
        <v>60000</v>
      </c>
      <c r="Q125" s="301">
        <f t="shared" si="16"/>
        <v>9300</v>
      </c>
      <c r="R125" s="301">
        <f t="shared" si="17"/>
        <v>46500</v>
      </c>
      <c r="S125" s="300">
        <f t="shared" si="18"/>
        <v>55800</v>
      </c>
    </row>
    <row r="126" spans="1:19" ht="15" x14ac:dyDescent="0.2">
      <c r="A126" s="49">
        <v>116</v>
      </c>
      <c r="B126" s="47" t="s">
        <v>80</v>
      </c>
      <c r="C126" s="33" t="s">
        <v>153</v>
      </c>
      <c r="D126" s="133">
        <v>811601.7</v>
      </c>
      <c r="E126" s="114">
        <v>241857.30659999989</v>
      </c>
      <c r="F126" s="114">
        <v>967429.22639999993</v>
      </c>
      <c r="G126" s="114">
        <v>1209286.5329999998</v>
      </c>
      <c r="H126" s="257">
        <f t="shared" si="10"/>
        <v>180000</v>
      </c>
      <c r="I126" s="257">
        <v>900000</v>
      </c>
      <c r="J126" s="258">
        <f t="shared" si="11"/>
        <v>1080000</v>
      </c>
      <c r="K126" s="145">
        <f>241857.3066-1000</f>
        <v>240857.30660000001</v>
      </c>
      <c r="L126" s="145">
        <v>967429.22639999993</v>
      </c>
      <c r="M126" s="142">
        <f t="shared" si="12"/>
        <v>1208286.5329999998</v>
      </c>
      <c r="N126" s="99">
        <f t="shared" si="13"/>
        <v>180000</v>
      </c>
      <c r="O126" s="73">
        <f t="shared" si="14"/>
        <v>900000</v>
      </c>
      <c r="P126" s="73">
        <f t="shared" si="15"/>
        <v>1080000</v>
      </c>
      <c r="Q126" s="301">
        <f t="shared" si="16"/>
        <v>167400</v>
      </c>
      <c r="R126" s="301">
        <f t="shared" si="17"/>
        <v>837000</v>
      </c>
      <c r="S126" s="300">
        <f t="shared" si="18"/>
        <v>1004400</v>
      </c>
    </row>
    <row r="127" spans="1:19" ht="15" x14ac:dyDescent="0.2">
      <c r="A127" s="49">
        <v>117</v>
      </c>
      <c r="B127" s="47" t="s">
        <v>99</v>
      </c>
      <c r="C127" s="33" t="s">
        <v>153</v>
      </c>
      <c r="D127" s="133">
        <v>250000</v>
      </c>
      <c r="E127" s="114">
        <v>74500</v>
      </c>
      <c r="F127" s="114">
        <v>298000</v>
      </c>
      <c r="G127" s="114">
        <v>372500</v>
      </c>
      <c r="H127" s="257">
        <f t="shared" si="10"/>
        <v>56000</v>
      </c>
      <c r="I127" s="257">
        <v>280000</v>
      </c>
      <c r="J127" s="258">
        <f t="shared" si="11"/>
        <v>336000</v>
      </c>
      <c r="K127" s="145">
        <f>74500-1000</f>
        <v>73500</v>
      </c>
      <c r="L127" s="145">
        <v>298000</v>
      </c>
      <c r="M127" s="142">
        <f t="shared" si="12"/>
        <v>371500</v>
      </c>
      <c r="N127" s="99">
        <f t="shared" si="13"/>
        <v>56000</v>
      </c>
      <c r="O127" s="73">
        <f t="shared" si="14"/>
        <v>280000</v>
      </c>
      <c r="P127" s="73">
        <f t="shared" si="15"/>
        <v>336000</v>
      </c>
      <c r="Q127" s="301">
        <f t="shared" si="16"/>
        <v>52080</v>
      </c>
      <c r="R127" s="301">
        <f t="shared" si="17"/>
        <v>260400</v>
      </c>
      <c r="S127" s="300">
        <f t="shared" si="18"/>
        <v>312480</v>
      </c>
    </row>
    <row r="128" spans="1:19" ht="15" x14ac:dyDescent="0.2">
      <c r="A128" s="49">
        <v>118</v>
      </c>
      <c r="B128" s="47" t="s">
        <v>103</v>
      </c>
      <c r="C128" s="33" t="s">
        <v>153</v>
      </c>
      <c r="D128" s="133">
        <v>136710</v>
      </c>
      <c r="E128" s="114">
        <v>40739.579999999987</v>
      </c>
      <c r="F128" s="114">
        <v>162958.32</v>
      </c>
      <c r="G128" s="114">
        <v>203697.9</v>
      </c>
      <c r="H128" s="257">
        <f t="shared" si="10"/>
        <v>30000</v>
      </c>
      <c r="I128" s="257">
        <v>150000</v>
      </c>
      <c r="J128" s="258">
        <f t="shared" si="11"/>
        <v>180000</v>
      </c>
      <c r="K128" s="145">
        <f>40739.58-1000</f>
        <v>39739.58</v>
      </c>
      <c r="L128" s="145">
        <v>162958.32</v>
      </c>
      <c r="M128" s="142">
        <f t="shared" si="12"/>
        <v>202697.90000000002</v>
      </c>
      <c r="N128" s="99">
        <f t="shared" si="13"/>
        <v>30000</v>
      </c>
      <c r="O128" s="73">
        <f t="shared" si="14"/>
        <v>150000</v>
      </c>
      <c r="P128" s="73">
        <f t="shared" si="15"/>
        <v>180000</v>
      </c>
      <c r="Q128" s="301">
        <f t="shared" si="16"/>
        <v>27900</v>
      </c>
      <c r="R128" s="301">
        <f t="shared" si="17"/>
        <v>139500</v>
      </c>
      <c r="S128" s="300">
        <f t="shared" si="18"/>
        <v>167400</v>
      </c>
    </row>
    <row r="129" spans="1:19" ht="15" x14ac:dyDescent="0.2">
      <c r="A129" s="49">
        <v>119</v>
      </c>
      <c r="B129" s="47" t="s">
        <v>348</v>
      </c>
      <c r="C129" s="33" t="s">
        <v>153</v>
      </c>
      <c r="D129" s="133">
        <v>608135.42299999995</v>
      </c>
      <c r="E129" s="114">
        <v>181224.35605399997</v>
      </c>
      <c r="F129" s="114">
        <v>724897.4242159999</v>
      </c>
      <c r="G129" s="114">
        <v>906121.78026999987</v>
      </c>
      <c r="H129" s="257">
        <f t="shared" si="10"/>
        <v>140000</v>
      </c>
      <c r="I129" s="257">
        <v>700000</v>
      </c>
      <c r="J129" s="258">
        <f t="shared" si="11"/>
        <v>840000</v>
      </c>
      <c r="K129" s="145">
        <f>181224.356054-1000</f>
        <v>180224.356054</v>
      </c>
      <c r="L129" s="145">
        <v>724897.4242159999</v>
      </c>
      <c r="M129" s="142">
        <f t="shared" si="12"/>
        <v>905121.78026999987</v>
      </c>
      <c r="N129" s="99">
        <f t="shared" si="13"/>
        <v>140000</v>
      </c>
      <c r="O129" s="73">
        <f t="shared" si="14"/>
        <v>700000</v>
      </c>
      <c r="P129" s="73">
        <f t="shared" si="15"/>
        <v>840000</v>
      </c>
      <c r="Q129" s="301">
        <f t="shared" si="16"/>
        <v>130200</v>
      </c>
      <c r="R129" s="301">
        <f t="shared" si="17"/>
        <v>651000</v>
      </c>
      <c r="S129" s="300">
        <f t="shared" si="18"/>
        <v>781200</v>
      </c>
    </row>
    <row r="130" spans="1:19" ht="22.5" x14ac:dyDescent="0.2">
      <c r="A130" s="49"/>
      <c r="B130" s="30" t="s">
        <v>35</v>
      </c>
      <c r="C130" s="33" t="s">
        <v>153</v>
      </c>
      <c r="D130" s="133"/>
      <c r="E130" s="114"/>
      <c r="F130" s="114"/>
      <c r="G130" s="114"/>
      <c r="H130" s="257">
        <f t="shared" si="10"/>
        <v>0</v>
      </c>
      <c r="I130" s="257"/>
      <c r="J130" s="258">
        <f t="shared" si="11"/>
        <v>0</v>
      </c>
      <c r="K130" s="143"/>
      <c r="L130" s="148"/>
      <c r="M130" s="142">
        <f t="shared" si="12"/>
        <v>0</v>
      </c>
      <c r="N130" s="99">
        <f t="shared" si="13"/>
        <v>0</v>
      </c>
      <c r="O130" s="73">
        <f t="shared" si="14"/>
        <v>0</v>
      </c>
      <c r="P130" s="73">
        <f t="shared" si="15"/>
        <v>0</v>
      </c>
      <c r="Q130" s="301">
        <f t="shared" si="16"/>
        <v>0</v>
      </c>
      <c r="R130" s="301">
        <f t="shared" si="17"/>
        <v>0</v>
      </c>
      <c r="S130" s="300">
        <f t="shared" si="18"/>
        <v>0</v>
      </c>
    </row>
    <row r="131" spans="1:19" ht="15" x14ac:dyDescent="0.2">
      <c r="A131" s="49">
        <v>120</v>
      </c>
      <c r="B131" s="46" t="s">
        <v>30</v>
      </c>
      <c r="C131" s="33" t="s">
        <v>153</v>
      </c>
      <c r="D131" s="133">
        <v>51277.221886668347</v>
      </c>
      <c r="E131" s="114">
        <v>15383.166566000502</v>
      </c>
      <c r="F131" s="114">
        <v>61532.666264002015</v>
      </c>
      <c r="G131" s="114">
        <v>76915.832830002517</v>
      </c>
      <c r="H131" s="257">
        <f t="shared" si="10"/>
        <v>12000</v>
      </c>
      <c r="I131" s="257">
        <v>60000</v>
      </c>
      <c r="J131" s="258">
        <f t="shared" si="11"/>
        <v>72000</v>
      </c>
      <c r="K131" s="145">
        <f>15383.1665660005-1000</f>
        <v>14383.1665660005</v>
      </c>
      <c r="L131" s="145">
        <v>61532.666264002015</v>
      </c>
      <c r="M131" s="142">
        <f t="shared" si="12"/>
        <v>75915.832830002517</v>
      </c>
      <c r="N131" s="99">
        <f t="shared" si="13"/>
        <v>12000</v>
      </c>
      <c r="O131" s="73">
        <f t="shared" si="14"/>
        <v>60000</v>
      </c>
      <c r="P131" s="73">
        <f t="shared" si="15"/>
        <v>72000</v>
      </c>
      <c r="Q131" s="301">
        <f t="shared" si="16"/>
        <v>11160</v>
      </c>
      <c r="R131" s="301">
        <f t="shared" si="17"/>
        <v>55800</v>
      </c>
      <c r="S131" s="300">
        <f t="shared" si="18"/>
        <v>66960</v>
      </c>
    </row>
    <row r="132" spans="1:19" ht="15" x14ac:dyDescent="0.2">
      <c r="A132" s="49">
        <v>121</v>
      </c>
      <c r="B132" s="47" t="s">
        <v>81</v>
      </c>
      <c r="C132" s="33" t="s">
        <v>153</v>
      </c>
      <c r="D132" s="133">
        <v>448297.72386447177</v>
      </c>
      <c r="E132" s="114">
        <v>133592.72171161254</v>
      </c>
      <c r="F132" s="114">
        <v>534370.88684645039</v>
      </c>
      <c r="G132" s="114">
        <v>667963.60855806293</v>
      </c>
      <c r="H132" s="257">
        <f t="shared" si="10"/>
        <v>92000</v>
      </c>
      <c r="I132" s="257">
        <v>460000</v>
      </c>
      <c r="J132" s="258">
        <f t="shared" si="11"/>
        <v>552000</v>
      </c>
      <c r="K132" s="145">
        <f>133592.721711613-1000</f>
        <v>132592.72171161301</v>
      </c>
      <c r="L132" s="145">
        <v>534370.88684645039</v>
      </c>
      <c r="M132" s="142">
        <f t="shared" si="12"/>
        <v>666963.6085580634</v>
      </c>
      <c r="N132" s="99">
        <f t="shared" si="13"/>
        <v>92000</v>
      </c>
      <c r="O132" s="73">
        <f t="shared" si="14"/>
        <v>460000</v>
      </c>
      <c r="P132" s="73">
        <f t="shared" si="15"/>
        <v>552000</v>
      </c>
      <c r="Q132" s="301">
        <f t="shared" si="16"/>
        <v>85560</v>
      </c>
      <c r="R132" s="301">
        <f t="shared" si="17"/>
        <v>427800</v>
      </c>
      <c r="S132" s="300">
        <f t="shared" si="18"/>
        <v>513360</v>
      </c>
    </row>
    <row r="133" spans="1:19" ht="15" x14ac:dyDescent="0.2">
      <c r="A133" s="49">
        <v>122</v>
      </c>
      <c r="B133" s="47" t="s">
        <v>82</v>
      </c>
      <c r="C133" s="33" t="s">
        <v>153</v>
      </c>
      <c r="D133" s="133">
        <v>266586.49481424695</v>
      </c>
      <c r="E133" s="114">
        <v>79442.775454645569</v>
      </c>
      <c r="F133" s="114">
        <v>317771.10181858239</v>
      </c>
      <c r="G133" s="114">
        <v>397213.87727322796</v>
      </c>
      <c r="H133" s="257">
        <f t="shared" si="10"/>
        <v>62000</v>
      </c>
      <c r="I133" s="257">
        <v>310000</v>
      </c>
      <c r="J133" s="258">
        <f t="shared" si="11"/>
        <v>372000</v>
      </c>
      <c r="K133" s="145">
        <f>79442.7754546456-1000</f>
        <v>78442.775454645598</v>
      </c>
      <c r="L133" s="145">
        <v>317771.10181858239</v>
      </c>
      <c r="M133" s="142">
        <f t="shared" si="12"/>
        <v>396213.87727322802</v>
      </c>
      <c r="N133" s="99">
        <f t="shared" si="13"/>
        <v>62000</v>
      </c>
      <c r="O133" s="73">
        <f t="shared" si="14"/>
        <v>310000</v>
      </c>
      <c r="P133" s="73">
        <f t="shared" si="15"/>
        <v>372000</v>
      </c>
      <c r="Q133" s="301">
        <f t="shared" si="16"/>
        <v>57660</v>
      </c>
      <c r="R133" s="301">
        <f t="shared" si="17"/>
        <v>288300</v>
      </c>
      <c r="S133" s="300">
        <f t="shared" si="18"/>
        <v>345960</v>
      </c>
    </row>
    <row r="134" spans="1:19" ht="15" x14ac:dyDescent="0.2">
      <c r="A134" s="49">
        <v>123</v>
      </c>
      <c r="B134" s="47" t="s">
        <v>328</v>
      </c>
      <c r="C134" s="33" t="s">
        <v>153</v>
      </c>
      <c r="D134" s="133">
        <v>336580.18556280842</v>
      </c>
      <c r="E134" s="114">
        <v>100300.8952977169</v>
      </c>
      <c r="F134" s="114">
        <v>401203.58119086764</v>
      </c>
      <c r="G134" s="114">
        <v>501504.47648858454</v>
      </c>
      <c r="H134" s="257">
        <f t="shared" ref="H134:H197" si="19">+I134*20%</f>
        <v>70000</v>
      </c>
      <c r="I134" s="257">
        <v>350000</v>
      </c>
      <c r="J134" s="258">
        <f t="shared" ref="J134:J197" si="20">+I134+H134</f>
        <v>420000</v>
      </c>
      <c r="K134" s="145">
        <f>100300.895297717-1000</f>
        <v>99300.895297716997</v>
      </c>
      <c r="L134" s="145">
        <v>401203.58119086764</v>
      </c>
      <c r="M134" s="142">
        <f t="shared" ref="M134:M197" si="21">K134+L134</f>
        <v>500504.47648858465</v>
      </c>
      <c r="N134" s="99">
        <f t="shared" ref="N134:N197" si="22">MIN(E134,H134,K134)</f>
        <v>70000</v>
      </c>
      <c r="O134" s="73">
        <f t="shared" ref="O134:O197" si="23">MIN(F134,I134,L134)</f>
        <v>350000</v>
      </c>
      <c r="P134" s="73">
        <f t="shared" ref="P134:P197" si="24">O134+N134</f>
        <v>420000</v>
      </c>
      <c r="Q134" s="301">
        <f t="shared" ref="Q134:Q197" si="25">N134-(N134*7%)</f>
        <v>65100</v>
      </c>
      <c r="R134" s="301">
        <f t="shared" ref="R134:R197" si="26">O134-(O134*7%)</f>
        <v>325500</v>
      </c>
      <c r="S134" s="300">
        <f t="shared" ref="S134:S197" si="27">R134+Q134</f>
        <v>390600</v>
      </c>
    </row>
    <row r="135" spans="1:19" ht="15" x14ac:dyDescent="0.2">
      <c r="A135" s="49">
        <v>124</v>
      </c>
      <c r="B135" s="37" t="s">
        <v>199</v>
      </c>
      <c r="C135" s="33" t="s">
        <v>153</v>
      </c>
      <c r="D135" s="133">
        <v>99342.6</v>
      </c>
      <c r="E135" s="114">
        <v>29802.78</v>
      </c>
      <c r="F135" s="114">
        <v>119211.12000000002</v>
      </c>
      <c r="G135" s="114">
        <v>149013.90000000002</v>
      </c>
      <c r="H135" s="257">
        <f t="shared" si="19"/>
        <v>20000</v>
      </c>
      <c r="I135" s="257">
        <v>100000</v>
      </c>
      <c r="J135" s="258">
        <f t="shared" si="20"/>
        <v>120000</v>
      </c>
      <c r="K135" s="145">
        <f>29802.78-1000</f>
        <v>28802.78</v>
      </c>
      <c r="L135" s="145">
        <v>119211.12000000002</v>
      </c>
      <c r="M135" s="142">
        <f t="shared" si="21"/>
        <v>148013.90000000002</v>
      </c>
      <c r="N135" s="99">
        <f t="shared" si="22"/>
        <v>20000</v>
      </c>
      <c r="O135" s="73">
        <f t="shared" si="23"/>
        <v>100000</v>
      </c>
      <c r="P135" s="73">
        <f t="shared" si="24"/>
        <v>120000</v>
      </c>
      <c r="Q135" s="301">
        <f t="shared" si="25"/>
        <v>18600</v>
      </c>
      <c r="R135" s="301">
        <f t="shared" si="26"/>
        <v>93000</v>
      </c>
      <c r="S135" s="300">
        <f t="shared" si="27"/>
        <v>111600</v>
      </c>
    </row>
    <row r="136" spans="1:19" ht="15" x14ac:dyDescent="0.2">
      <c r="A136" s="49">
        <v>125</v>
      </c>
      <c r="B136" s="46" t="s">
        <v>327</v>
      </c>
      <c r="C136" s="33" t="s">
        <v>153</v>
      </c>
      <c r="D136" s="133">
        <v>420568.0238846768</v>
      </c>
      <c r="E136" s="114">
        <v>125329.27111763367</v>
      </c>
      <c r="F136" s="114">
        <v>501317.08447053481</v>
      </c>
      <c r="G136" s="114">
        <v>626646.35558816849</v>
      </c>
      <c r="H136" s="257">
        <f t="shared" si="19"/>
        <v>90000</v>
      </c>
      <c r="I136" s="257">
        <v>450000</v>
      </c>
      <c r="J136" s="258">
        <f t="shared" si="20"/>
        <v>540000</v>
      </c>
      <c r="K136" s="145">
        <f>125329.271117634-1000</f>
        <v>124329.27111763399</v>
      </c>
      <c r="L136" s="145">
        <v>501317.08447053481</v>
      </c>
      <c r="M136" s="142">
        <f t="shared" si="21"/>
        <v>625646.35558816884</v>
      </c>
      <c r="N136" s="99">
        <f t="shared" si="22"/>
        <v>90000</v>
      </c>
      <c r="O136" s="73">
        <f t="shared" si="23"/>
        <v>450000</v>
      </c>
      <c r="P136" s="73">
        <f t="shared" si="24"/>
        <v>540000</v>
      </c>
      <c r="Q136" s="301">
        <f t="shared" si="25"/>
        <v>83700</v>
      </c>
      <c r="R136" s="301">
        <f t="shared" si="26"/>
        <v>418500</v>
      </c>
      <c r="S136" s="300">
        <f t="shared" si="27"/>
        <v>502200</v>
      </c>
    </row>
    <row r="137" spans="1:19" ht="15" x14ac:dyDescent="0.2">
      <c r="A137" s="49">
        <v>126</v>
      </c>
      <c r="B137" s="37" t="s">
        <v>200</v>
      </c>
      <c r="C137" s="33" t="s">
        <v>153</v>
      </c>
      <c r="D137" s="133">
        <v>107996.5684</v>
      </c>
      <c r="E137" s="114">
        <v>32182.977383199992</v>
      </c>
      <c r="F137" s="114">
        <v>128731.90953280003</v>
      </c>
      <c r="G137" s="114">
        <v>160914.88691600002</v>
      </c>
      <c r="H137" s="257">
        <f t="shared" si="19"/>
        <v>26000</v>
      </c>
      <c r="I137" s="257">
        <v>130000</v>
      </c>
      <c r="J137" s="258">
        <f t="shared" si="20"/>
        <v>156000</v>
      </c>
      <c r="K137" s="145">
        <f>32182.9773832-1000</f>
        <v>31182.977383199999</v>
      </c>
      <c r="L137" s="145">
        <v>128731.90953280003</v>
      </c>
      <c r="M137" s="142">
        <f t="shared" si="21"/>
        <v>159914.88691600002</v>
      </c>
      <c r="N137" s="99">
        <f t="shared" si="22"/>
        <v>26000</v>
      </c>
      <c r="O137" s="73">
        <f t="shared" si="23"/>
        <v>128731.90953280003</v>
      </c>
      <c r="P137" s="73">
        <f t="shared" si="24"/>
        <v>154731.90953280003</v>
      </c>
      <c r="Q137" s="301">
        <f t="shared" si="25"/>
        <v>24180</v>
      </c>
      <c r="R137" s="301">
        <f t="shared" si="26"/>
        <v>119720.67586550402</v>
      </c>
      <c r="S137" s="300">
        <f t="shared" si="27"/>
        <v>143900.67586550402</v>
      </c>
    </row>
    <row r="138" spans="1:19" ht="15" x14ac:dyDescent="0.2">
      <c r="A138" s="49">
        <v>127</v>
      </c>
      <c r="B138" s="46" t="s">
        <v>36</v>
      </c>
      <c r="C138" s="33" t="s">
        <v>153</v>
      </c>
      <c r="D138" s="133">
        <v>1029913.7625318083</v>
      </c>
      <c r="E138" s="114">
        <v>306914.30123447883</v>
      </c>
      <c r="F138" s="114">
        <v>1227657.2049379156</v>
      </c>
      <c r="G138" s="114">
        <v>1534571.5061723944</v>
      </c>
      <c r="H138" s="257">
        <f t="shared" si="19"/>
        <v>210000</v>
      </c>
      <c r="I138" s="257">
        <v>1050000</v>
      </c>
      <c r="J138" s="258">
        <f t="shared" si="20"/>
        <v>1260000</v>
      </c>
      <c r="K138" s="145">
        <f>306914.301234479-1000</f>
        <v>305914.301234479</v>
      </c>
      <c r="L138" s="145">
        <v>1227657.2049379156</v>
      </c>
      <c r="M138" s="142">
        <f t="shared" si="21"/>
        <v>1533571.5061723946</v>
      </c>
      <c r="N138" s="99">
        <f t="shared" si="22"/>
        <v>210000</v>
      </c>
      <c r="O138" s="73">
        <f t="shared" si="23"/>
        <v>1050000</v>
      </c>
      <c r="P138" s="73">
        <f t="shared" si="24"/>
        <v>1260000</v>
      </c>
      <c r="Q138" s="301">
        <f t="shared" si="25"/>
        <v>195300</v>
      </c>
      <c r="R138" s="301">
        <f t="shared" si="26"/>
        <v>976500</v>
      </c>
      <c r="S138" s="300">
        <f t="shared" si="27"/>
        <v>1171800</v>
      </c>
    </row>
    <row r="139" spans="1:19" ht="15" x14ac:dyDescent="0.2">
      <c r="A139" s="49">
        <v>128</v>
      </c>
      <c r="B139" s="35" t="s">
        <v>201</v>
      </c>
      <c r="C139" s="33" t="s">
        <v>153</v>
      </c>
      <c r="D139" s="133">
        <v>485289.15694105352</v>
      </c>
      <c r="E139" s="114">
        <v>144616.16876843397</v>
      </c>
      <c r="F139" s="114">
        <v>578464.67507373577</v>
      </c>
      <c r="G139" s="114">
        <v>723080.84384216974</v>
      </c>
      <c r="H139" s="257">
        <f t="shared" si="19"/>
        <v>10000</v>
      </c>
      <c r="I139" s="257">
        <v>50000</v>
      </c>
      <c r="J139" s="258">
        <f t="shared" si="20"/>
        <v>60000</v>
      </c>
      <c r="K139" s="145">
        <f>144616.168768434-1000</f>
        <v>143616.168768434</v>
      </c>
      <c r="L139" s="145">
        <v>578464.67507373577</v>
      </c>
      <c r="M139" s="142">
        <f t="shared" si="21"/>
        <v>722080.84384216974</v>
      </c>
      <c r="N139" s="99">
        <f t="shared" si="22"/>
        <v>10000</v>
      </c>
      <c r="O139" s="73">
        <f t="shared" si="23"/>
        <v>50000</v>
      </c>
      <c r="P139" s="73">
        <f t="shared" si="24"/>
        <v>60000</v>
      </c>
      <c r="Q139" s="301">
        <f t="shared" si="25"/>
        <v>9300</v>
      </c>
      <c r="R139" s="301">
        <f t="shared" si="26"/>
        <v>46500</v>
      </c>
      <c r="S139" s="300">
        <f t="shared" si="27"/>
        <v>55800</v>
      </c>
    </row>
    <row r="140" spans="1:19" ht="15" x14ac:dyDescent="0.2">
      <c r="A140" s="49">
        <v>129</v>
      </c>
      <c r="B140" s="46" t="s">
        <v>316</v>
      </c>
      <c r="C140" s="33" t="s">
        <v>153</v>
      </c>
      <c r="D140" s="133">
        <v>191816.625</v>
      </c>
      <c r="E140" s="114">
        <v>57161.354249999975</v>
      </c>
      <c r="F140" s="114">
        <v>228645.41700000002</v>
      </c>
      <c r="G140" s="114">
        <v>285806.77124999999</v>
      </c>
      <c r="H140" s="257">
        <f t="shared" si="19"/>
        <v>48000</v>
      </c>
      <c r="I140" s="257">
        <v>240000</v>
      </c>
      <c r="J140" s="258">
        <f t="shared" si="20"/>
        <v>288000</v>
      </c>
      <c r="K140" s="145">
        <f>57161.35425-1000</f>
        <v>56161.354249999997</v>
      </c>
      <c r="L140" s="145">
        <v>228645.41700000002</v>
      </c>
      <c r="M140" s="142">
        <f t="shared" si="21"/>
        <v>284806.77124999999</v>
      </c>
      <c r="N140" s="99">
        <f t="shared" si="22"/>
        <v>48000</v>
      </c>
      <c r="O140" s="73">
        <f t="shared" si="23"/>
        <v>228645.41700000002</v>
      </c>
      <c r="P140" s="73">
        <f t="shared" si="24"/>
        <v>276645.41700000002</v>
      </c>
      <c r="Q140" s="301">
        <f t="shared" si="25"/>
        <v>44640</v>
      </c>
      <c r="R140" s="301">
        <f t="shared" si="26"/>
        <v>212640.23781000002</v>
      </c>
      <c r="S140" s="300">
        <f t="shared" si="27"/>
        <v>257280.23781000002</v>
      </c>
    </row>
    <row r="141" spans="1:19" ht="15" x14ac:dyDescent="0.2">
      <c r="A141" s="49">
        <v>130</v>
      </c>
      <c r="B141" s="37" t="s">
        <v>202</v>
      </c>
      <c r="C141" s="33" t="s">
        <v>153</v>
      </c>
      <c r="D141" s="133">
        <v>128370.69</v>
      </c>
      <c r="E141" s="114">
        <v>38254.465620000003</v>
      </c>
      <c r="F141" s="114">
        <v>153017.86248000001</v>
      </c>
      <c r="G141" s="114">
        <v>191272.32810000001</v>
      </c>
      <c r="H141" s="257">
        <f t="shared" si="19"/>
        <v>32000</v>
      </c>
      <c r="I141" s="257">
        <v>160000</v>
      </c>
      <c r="J141" s="258">
        <f t="shared" si="20"/>
        <v>192000</v>
      </c>
      <c r="K141" s="145">
        <f>38254.46562-1000</f>
        <v>37254.465620000003</v>
      </c>
      <c r="L141" s="145">
        <v>153017.86248000001</v>
      </c>
      <c r="M141" s="142">
        <f t="shared" si="21"/>
        <v>190272.32810000001</v>
      </c>
      <c r="N141" s="99">
        <f t="shared" si="22"/>
        <v>32000</v>
      </c>
      <c r="O141" s="73">
        <f t="shared" si="23"/>
        <v>153017.86248000001</v>
      </c>
      <c r="P141" s="73">
        <f t="shared" si="24"/>
        <v>185017.86248000001</v>
      </c>
      <c r="Q141" s="301">
        <f t="shared" si="25"/>
        <v>29760</v>
      </c>
      <c r="R141" s="301">
        <f t="shared" si="26"/>
        <v>142306.61210640002</v>
      </c>
      <c r="S141" s="300">
        <f t="shared" si="27"/>
        <v>172066.61210640002</v>
      </c>
    </row>
    <row r="142" spans="1:19" ht="15" x14ac:dyDescent="0.2">
      <c r="A142" s="49">
        <v>131</v>
      </c>
      <c r="B142" s="37" t="s">
        <v>271</v>
      </c>
      <c r="C142" s="33" t="s">
        <v>153</v>
      </c>
      <c r="D142" s="133">
        <v>245442.20147999999</v>
      </c>
      <c r="E142" s="114">
        <v>73141.776041039964</v>
      </c>
      <c r="F142" s="114">
        <v>292567.10416416003</v>
      </c>
      <c r="G142" s="114">
        <v>365708.8802052</v>
      </c>
      <c r="H142" s="257">
        <f t="shared" si="19"/>
        <v>62000</v>
      </c>
      <c r="I142" s="257">
        <v>310000</v>
      </c>
      <c r="J142" s="258">
        <f t="shared" si="20"/>
        <v>372000</v>
      </c>
      <c r="K142" s="145">
        <f>73141.77604104-1000</f>
        <v>72141.776041039993</v>
      </c>
      <c r="L142" s="145">
        <v>292567.10416416003</v>
      </c>
      <c r="M142" s="142">
        <f t="shared" si="21"/>
        <v>364708.88020520005</v>
      </c>
      <c r="N142" s="99">
        <f t="shared" si="22"/>
        <v>62000</v>
      </c>
      <c r="O142" s="73">
        <f t="shared" si="23"/>
        <v>292567.10416416003</v>
      </c>
      <c r="P142" s="73">
        <f t="shared" si="24"/>
        <v>354567.10416416003</v>
      </c>
      <c r="Q142" s="301">
        <f t="shared" si="25"/>
        <v>57660</v>
      </c>
      <c r="R142" s="301">
        <f t="shared" si="26"/>
        <v>272087.40687266883</v>
      </c>
      <c r="S142" s="300">
        <f t="shared" si="27"/>
        <v>329747.40687266883</v>
      </c>
    </row>
    <row r="143" spans="1:19" ht="15" x14ac:dyDescent="0.2">
      <c r="A143" s="49">
        <v>132</v>
      </c>
      <c r="B143" s="37" t="s">
        <v>203</v>
      </c>
      <c r="C143" s="33" t="s">
        <v>153</v>
      </c>
      <c r="D143" s="133">
        <v>137449.23360000001</v>
      </c>
      <c r="E143" s="114">
        <v>40959.871612799994</v>
      </c>
      <c r="F143" s="114">
        <v>163839.48645120001</v>
      </c>
      <c r="G143" s="114">
        <v>204799.358064</v>
      </c>
      <c r="H143" s="257">
        <f t="shared" si="19"/>
        <v>34000</v>
      </c>
      <c r="I143" s="257">
        <v>170000</v>
      </c>
      <c r="J143" s="258">
        <f t="shared" si="20"/>
        <v>204000</v>
      </c>
      <c r="K143" s="145">
        <f>40959.8716128-1000</f>
        <v>39959.871612800001</v>
      </c>
      <c r="L143" s="145">
        <v>163839.48645120001</v>
      </c>
      <c r="M143" s="142">
        <f t="shared" si="21"/>
        <v>203799.358064</v>
      </c>
      <c r="N143" s="99">
        <f t="shared" si="22"/>
        <v>34000</v>
      </c>
      <c r="O143" s="73">
        <f t="shared" si="23"/>
        <v>163839.48645120001</v>
      </c>
      <c r="P143" s="73">
        <f t="shared" si="24"/>
        <v>197839.48645120001</v>
      </c>
      <c r="Q143" s="301">
        <f t="shared" si="25"/>
        <v>31620</v>
      </c>
      <c r="R143" s="301">
        <f t="shared" si="26"/>
        <v>152370.722399616</v>
      </c>
      <c r="S143" s="300">
        <f t="shared" si="27"/>
        <v>183990.722399616</v>
      </c>
    </row>
    <row r="144" spans="1:19" ht="15" x14ac:dyDescent="0.2">
      <c r="A144" s="49">
        <v>133</v>
      </c>
      <c r="B144" s="35" t="s">
        <v>204</v>
      </c>
      <c r="C144" s="33" t="s">
        <v>153</v>
      </c>
      <c r="D144" s="133">
        <v>168609</v>
      </c>
      <c r="E144" s="114">
        <v>50245.481999999989</v>
      </c>
      <c r="F144" s="114">
        <v>200981.92800000001</v>
      </c>
      <c r="G144" s="114">
        <v>251227.41</v>
      </c>
      <c r="H144" s="257">
        <f t="shared" si="19"/>
        <v>42000</v>
      </c>
      <c r="I144" s="257">
        <v>210000</v>
      </c>
      <c r="J144" s="258">
        <f t="shared" si="20"/>
        <v>252000</v>
      </c>
      <c r="K144" s="145">
        <f>50245.482-1000</f>
        <v>49245.482000000004</v>
      </c>
      <c r="L144" s="145">
        <v>200981.92800000001</v>
      </c>
      <c r="M144" s="142">
        <f t="shared" si="21"/>
        <v>250227.41000000003</v>
      </c>
      <c r="N144" s="99">
        <f t="shared" si="22"/>
        <v>42000</v>
      </c>
      <c r="O144" s="73">
        <f t="shared" si="23"/>
        <v>200981.92800000001</v>
      </c>
      <c r="P144" s="73">
        <f t="shared" si="24"/>
        <v>242981.92800000001</v>
      </c>
      <c r="Q144" s="301">
        <f t="shared" si="25"/>
        <v>39060</v>
      </c>
      <c r="R144" s="301">
        <f t="shared" si="26"/>
        <v>186913.19304000001</v>
      </c>
      <c r="S144" s="300">
        <f t="shared" si="27"/>
        <v>225973.19304000001</v>
      </c>
    </row>
    <row r="145" spans="1:19" ht="15" x14ac:dyDescent="0.2">
      <c r="A145" s="49">
        <v>134</v>
      </c>
      <c r="B145" s="35" t="s">
        <v>206</v>
      </c>
      <c r="C145" s="33" t="s">
        <v>153</v>
      </c>
      <c r="D145" s="133">
        <v>137218.1692</v>
      </c>
      <c r="E145" s="114">
        <v>40891.014421599975</v>
      </c>
      <c r="F145" s="114">
        <v>163564.05768640002</v>
      </c>
      <c r="G145" s="114">
        <v>204455.07210799999</v>
      </c>
      <c r="H145" s="257">
        <f t="shared" si="19"/>
        <v>34000</v>
      </c>
      <c r="I145" s="257">
        <v>170000</v>
      </c>
      <c r="J145" s="258">
        <f t="shared" si="20"/>
        <v>204000</v>
      </c>
      <c r="K145" s="145">
        <f>40891.0144216-1000</f>
        <v>39891.014421599997</v>
      </c>
      <c r="L145" s="145">
        <v>163564.05768640002</v>
      </c>
      <c r="M145" s="142">
        <f t="shared" si="21"/>
        <v>203455.07210800002</v>
      </c>
      <c r="N145" s="99">
        <f t="shared" si="22"/>
        <v>34000</v>
      </c>
      <c r="O145" s="73">
        <f t="shared" si="23"/>
        <v>163564.05768640002</v>
      </c>
      <c r="P145" s="73">
        <f t="shared" si="24"/>
        <v>197564.05768640002</v>
      </c>
      <c r="Q145" s="301">
        <f t="shared" si="25"/>
        <v>31620</v>
      </c>
      <c r="R145" s="301">
        <f t="shared" si="26"/>
        <v>152114.573648352</v>
      </c>
      <c r="S145" s="300">
        <f t="shared" si="27"/>
        <v>183734.573648352</v>
      </c>
    </row>
    <row r="146" spans="1:19" ht="15" x14ac:dyDescent="0.2">
      <c r="A146" s="49">
        <v>135</v>
      </c>
      <c r="B146" s="35" t="s">
        <v>205</v>
      </c>
      <c r="C146" s="33" t="s">
        <v>153</v>
      </c>
      <c r="D146" s="133">
        <v>170000</v>
      </c>
      <c r="E146" s="114">
        <v>50660</v>
      </c>
      <c r="F146" s="114">
        <v>202640</v>
      </c>
      <c r="G146" s="114">
        <v>253300</v>
      </c>
      <c r="H146" s="257">
        <f t="shared" si="19"/>
        <v>40000</v>
      </c>
      <c r="I146" s="257">
        <v>200000</v>
      </c>
      <c r="J146" s="258">
        <f t="shared" si="20"/>
        <v>240000</v>
      </c>
      <c r="K146" s="145">
        <f>50660-1000</f>
        <v>49660</v>
      </c>
      <c r="L146" s="145">
        <v>202640</v>
      </c>
      <c r="M146" s="142">
        <f t="shared" si="21"/>
        <v>252300</v>
      </c>
      <c r="N146" s="99">
        <f t="shared" si="22"/>
        <v>40000</v>
      </c>
      <c r="O146" s="73">
        <f t="shared" si="23"/>
        <v>200000</v>
      </c>
      <c r="P146" s="73">
        <f t="shared" si="24"/>
        <v>240000</v>
      </c>
      <c r="Q146" s="301">
        <f t="shared" si="25"/>
        <v>37200</v>
      </c>
      <c r="R146" s="301">
        <f t="shared" si="26"/>
        <v>186000</v>
      </c>
      <c r="S146" s="300">
        <f t="shared" si="27"/>
        <v>223200</v>
      </c>
    </row>
    <row r="147" spans="1:19" ht="15" x14ac:dyDescent="0.2">
      <c r="A147" s="49">
        <v>136</v>
      </c>
      <c r="B147" s="35" t="s">
        <v>360</v>
      </c>
      <c r="C147" s="33" t="s">
        <v>153</v>
      </c>
      <c r="D147" s="133">
        <v>109368</v>
      </c>
      <c r="E147" s="114">
        <v>32591.66399999999</v>
      </c>
      <c r="F147" s="114">
        <v>130366.65600000002</v>
      </c>
      <c r="G147" s="114">
        <v>162958.32</v>
      </c>
      <c r="H147" s="257">
        <f t="shared" si="19"/>
        <v>26000</v>
      </c>
      <c r="I147" s="257">
        <v>130000</v>
      </c>
      <c r="J147" s="258">
        <f t="shared" si="20"/>
        <v>156000</v>
      </c>
      <c r="K147" s="145">
        <f>32591.664-1000</f>
        <v>31591.664000000001</v>
      </c>
      <c r="L147" s="145">
        <v>130366.65600000002</v>
      </c>
      <c r="M147" s="142">
        <f t="shared" si="21"/>
        <v>161958.32</v>
      </c>
      <c r="N147" s="99">
        <f t="shared" si="22"/>
        <v>26000</v>
      </c>
      <c r="O147" s="73">
        <f t="shared" si="23"/>
        <v>130000</v>
      </c>
      <c r="P147" s="73">
        <f t="shared" si="24"/>
        <v>156000</v>
      </c>
      <c r="Q147" s="301">
        <f t="shared" si="25"/>
        <v>24180</v>
      </c>
      <c r="R147" s="301">
        <f t="shared" si="26"/>
        <v>120900</v>
      </c>
      <c r="S147" s="300">
        <f t="shared" si="27"/>
        <v>145080</v>
      </c>
    </row>
    <row r="148" spans="1:19" ht="15" x14ac:dyDescent="0.2">
      <c r="A148" s="49">
        <v>137</v>
      </c>
      <c r="B148" s="46" t="s">
        <v>37</v>
      </c>
      <c r="C148" s="33" t="s">
        <v>153</v>
      </c>
      <c r="D148" s="133">
        <v>166478.02920000002</v>
      </c>
      <c r="E148" s="114">
        <v>49610.452701600007</v>
      </c>
      <c r="F148" s="114">
        <v>198441.81080640003</v>
      </c>
      <c r="G148" s="114">
        <v>248052.26350800003</v>
      </c>
      <c r="H148" s="257">
        <f t="shared" si="19"/>
        <v>40000</v>
      </c>
      <c r="I148" s="257">
        <v>200000</v>
      </c>
      <c r="J148" s="258">
        <f t="shared" si="20"/>
        <v>240000</v>
      </c>
      <c r="K148" s="145">
        <f>49610.4527016-1000</f>
        <v>48610.452701599999</v>
      </c>
      <c r="L148" s="145">
        <v>198441.81080640003</v>
      </c>
      <c r="M148" s="142">
        <f t="shared" si="21"/>
        <v>247052.26350800003</v>
      </c>
      <c r="N148" s="99">
        <f t="shared" si="22"/>
        <v>40000</v>
      </c>
      <c r="O148" s="73">
        <f t="shared" si="23"/>
        <v>198441.81080640003</v>
      </c>
      <c r="P148" s="73">
        <f t="shared" si="24"/>
        <v>238441.81080640003</v>
      </c>
      <c r="Q148" s="301">
        <f t="shared" si="25"/>
        <v>37200</v>
      </c>
      <c r="R148" s="301">
        <f t="shared" si="26"/>
        <v>184550.88404995203</v>
      </c>
      <c r="S148" s="300">
        <f t="shared" si="27"/>
        <v>221750.88404995203</v>
      </c>
    </row>
    <row r="149" spans="1:19" ht="15" x14ac:dyDescent="0.2">
      <c r="A149" s="49">
        <v>138</v>
      </c>
      <c r="B149" s="46" t="s">
        <v>337</v>
      </c>
      <c r="C149" s="33" t="s">
        <v>153</v>
      </c>
      <c r="D149" s="133">
        <v>382845.08500000002</v>
      </c>
      <c r="E149" s="114">
        <v>114087.83532999997</v>
      </c>
      <c r="F149" s="114">
        <v>456351.34132000007</v>
      </c>
      <c r="G149" s="114">
        <v>570439.17665000004</v>
      </c>
      <c r="H149" s="257">
        <f t="shared" si="19"/>
        <v>90000</v>
      </c>
      <c r="I149" s="257">
        <v>450000</v>
      </c>
      <c r="J149" s="258">
        <f t="shared" si="20"/>
        <v>540000</v>
      </c>
      <c r="K149" s="145">
        <f>114087.83533-1000</f>
        <v>113087.83533</v>
      </c>
      <c r="L149" s="145">
        <v>456351.34132000007</v>
      </c>
      <c r="M149" s="142">
        <f t="shared" si="21"/>
        <v>569439.17665000004</v>
      </c>
      <c r="N149" s="99">
        <f t="shared" si="22"/>
        <v>90000</v>
      </c>
      <c r="O149" s="73">
        <f t="shared" si="23"/>
        <v>450000</v>
      </c>
      <c r="P149" s="73">
        <f t="shared" si="24"/>
        <v>540000</v>
      </c>
      <c r="Q149" s="301">
        <f t="shared" si="25"/>
        <v>83700</v>
      </c>
      <c r="R149" s="301">
        <f t="shared" si="26"/>
        <v>418500</v>
      </c>
      <c r="S149" s="300">
        <f t="shared" si="27"/>
        <v>502200</v>
      </c>
    </row>
    <row r="150" spans="1:19" ht="15" x14ac:dyDescent="0.2">
      <c r="A150" s="49">
        <v>139</v>
      </c>
      <c r="B150" s="38" t="s">
        <v>207</v>
      </c>
      <c r="C150" s="33" t="s">
        <v>153</v>
      </c>
      <c r="D150" s="133">
        <v>73025.261246426278</v>
      </c>
      <c r="E150" s="114">
        <v>21907.578373927885</v>
      </c>
      <c r="F150" s="114">
        <v>87630.31349571154</v>
      </c>
      <c r="G150" s="114">
        <v>109537.89186963942</v>
      </c>
      <c r="H150" s="257">
        <f t="shared" si="19"/>
        <v>18000</v>
      </c>
      <c r="I150" s="257">
        <v>90000</v>
      </c>
      <c r="J150" s="258">
        <f t="shared" si="20"/>
        <v>108000</v>
      </c>
      <c r="K150" s="145">
        <f>21907.5783739279-1000</f>
        <v>20907.5783739279</v>
      </c>
      <c r="L150" s="145">
        <v>87630.31349571154</v>
      </c>
      <c r="M150" s="142">
        <f t="shared" si="21"/>
        <v>108537.89186963944</v>
      </c>
      <c r="N150" s="99">
        <f t="shared" si="22"/>
        <v>18000</v>
      </c>
      <c r="O150" s="73">
        <f t="shared" si="23"/>
        <v>87630.31349571154</v>
      </c>
      <c r="P150" s="73">
        <f t="shared" si="24"/>
        <v>105630.31349571154</v>
      </c>
      <c r="Q150" s="301">
        <f t="shared" si="25"/>
        <v>16740</v>
      </c>
      <c r="R150" s="301">
        <f t="shared" si="26"/>
        <v>81496.191551011725</v>
      </c>
      <c r="S150" s="300">
        <f t="shared" si="27"/>
        <v>98236.191551011725</v>
      </c>
    </row>
    <row r="151" spans="1:19" ht="15" x14ac:dyDescent="0.2">
      <c r="A151" s="49">
        <v>140</v>
      </c>
      <c r="B151" s="38" t="s">
        <v>317</v>
      </c>
      <c r="C151" s="33" t="s">
        <v>153</v>
      </c>
      <c r="D151" s="133">
        <v>735347.44920000003</v>
      </c>
      <c r="E151" s="114">
        <v>219133.53986159991</v>
      </c>
      <c r="F151" s="114">
        <v>876534.15944640012</v>
      </c>
      <c r="G151" s="114">
        <v>1095667.699308</v>
      </c>
      <c r="H151" s="257">
        <f t="shared" si="19"/>
        <v>176000</v>
      </c>
      <c r="I151" s="257">
        <v>880000</v>
      </c>
      <c r="J151" s="258">
        <f t="shared" si="20"/>
        <v>1056000</v>
      </c>
      <c r="K151" s="145">
        <f>219133.5398616-1000</f>
        <v>218133.5398616</v>
      </c>
      <c r="L151" s="145">
        <v>876534.15944640012</v>
      </c>
      <c r="M151" s="142">
        <f t="shared" si="21"/>
        <v>1094667.699308</v>
      </c>
      <c r="N151" s="99">
        <f t="shared" si="22"/>
        <v>176000</v>
      </c>
      <c r="O151" s="73">
        <f t="shared" si="23"/>
        <v>876534.15944640012</v>
      </c>
      <c r="P151" s="73">
        <f t="shared" si="24"/>
        <v>1052534.1594464001</v>
      </c>
      <c r="Q151" s="301">
        <f t="shared" si="25"/>
        <v>163680</v>
      </c>
      <c r="R151" s="301">
        <f t="shared" si="26"/>
        <v>815176.76828515215</v>
      </c>
      <c r="S151" s="300">
        <f t="shared" si="27"/>
        <v>978856.76828515215</v>
      </c>
    </row>
    <row r="152" spans="1:19" ht="15" x14ac:dyDescent="0.2">
      <c r="A152" s="49">
        <v>141</v>
      </c>
      <c r="B152" s="38" t="s">
        <v>318</v>
      </c>
      <c r="C152" s="33" t="s">
        <v>153</v>
      </c>
      <c r="D152" s="133">
        <v>245347.16500000001</v>
      </c>
      <c r="E152" s="114">
        <v>73113.455169999972</v>
      </c>
      <c r="F152" s="114">
        <v>292453.82068000006</v>
      </c>
      <c r="G152" s="114">
        <v>365567.27585000003</v>
      </c>
      <c r="H152" s="257">
        <f t="shared" si="19"/>
        <v>62000</v>
      </c>
      <c r="I152" s="257">
        <v>310000</v>
      </c>
      <c r="J152" s="258">
        <f t="shared" si="20"/>
        <v>372000</v>
      </c>
      <c r="K152" s="145">
        <f>73113.45517-1000</f>
        <v>72113.455170000001</v>
      </c>
      <c r="L152" s="145">
        <v>292453.82068000006</v>
      </c>
      <c r="M152" s="142">
        <f t="shared" si="21"/>
        <v>364567.27585000009</v>
      </c>
      <c r="N152" s="99">
        <f t="shared" si="22"/>
        <v>62000</v>
      </c>
      <c r="O152" s="73">
        <f t="shared" si="23"/>
        <v>292453.82068000006</v>
      </c>
      <c r="P152" s="73">
        <f t="shared" si="24"/>
        <v>354453.82068000006</v>
      </c>
      <c r="Q152" s="301">
        <f t="shared" si="25"/>
        <v>57660</v>
      </c>
      <c r="R152" s="301">
        <f t="shared" si="26"/>
        <v>271982.05323240004</v>
      </c>
      <c r="S152" s="300">
        <f t="shared" si="27"/>
        <v>329642.05323240004</v>
      </c>
    </row>
    <row r="153" spans="1:19" ht="15" x14ac:dyDescent="0.2">
      <c r="A153" s="49">
        <v>142</v>
      </c>
      <c r="B153" s="38" t="s">
        <v>329</v>
      </c>
      <c r="C153" s="33" t="s">
        <v>153</v>
      </c>
      <c r="D153" s="133">
        <v>1798702.3488</v>
      </c>
      <c r="E153" s="114">
        <v>536013.29994239984</v>
      </c>
      <c r="F153" s="114">
        <v>2144053.1997696003</v>
      </c>
      <c r="G153" s="114">
        <v>2680066.4997120001</v>
      </c>
      <c r="H153" s="257">
        <f t="shared" si="19"/>
        <v>420000</v>
      </c>
      <c r="I153" s="257">
        <v>2100000</v>
      </c>
      <c r="J153" s="258">
        <f t="shared" si="20"/>
        <v>2520000</v>
      </c>
      <c r="K153" s="145">
        <f>536013.2999424-1000</f>
        <v>535013.29994239996</v>
      </c>
      <c r="L153" s="145">
        <v>2144053.1997696003</v>
      </c>
      <c r="M153" s="142">
        <f t="shared" si="21"/>
        <v>2679066.4997120001</v>
      </c>
      <c r="N153" s="99">
        <f t="shared" si="22"/>
        <v>420000</v>
      </c>
      <c r="O153" s="73">
        <f t="shared" si="23"/>
        <v>2100000</v>
      </c>
      <c r="P153" s="73">
        <f t="shared" si="24"/>
        <v>2520000</v>
      </c>
      <c r="Q153" s="301">
        <f t="shared" si="25"/>
        <v>390600</v>
      </c>
      <c r="R153" s="301">
        <f t="shared" si="26"/>
        <v>1953000</v>
      </c>
      <c r="S153" s="300">
        <f t="shared" si="27"/>
        <v>2343600</v>
      </c>
    </row>
    <row r="154" spans="1:19" ht="22.5" x14ac:dyDescent="0.2">
      <c r="A154" s="49"/>
      <c r="B154" s="30" t="s">
        <v>39</v>
      </c>
      <c r="C154" s="33" t="s">
        <v>153</v>
      </c>
      <c r="D154" s="133"/>
      <c r="E154" s="114"/>
      <c r="F154" s="114"/>
      <c r="G154" s="114"/>
      <c r="H154" s="257">
        <f t="shared" si="19"/>
        <v>0</v>
      </c>
      <c r="I154" s="257"/>
      <c r="J154" s="258">
        <f t="shared" si="20"/>
        <v>0</v>
      </c>
      <c r="K154" s="143"/>
      <c r="L154" s="148"/>
      <c r="M154" s="142">
        <f t="shared" si="21"/>
        <v>0</v>
      </c>
      <c r="N154" s="99">
        <f t="shared" si="22"/>
        <v>0</v>
      </c>
      <c r="O154" s="73">
        <f t="shared" si="23"/>
        <v>0</v>
      </c>
      <c r="P154" s="73">
        <f t="shared" si="24"/>
        <v>0</v>
      </c>
      <c r="Q154" s="301">
        <f t="shared" si="25"/>
        <v>0</v>
      </c>
      <c r="R154" s="301">
        <f t="shared" si="26"/>
        <v>0</v>
      </c>
      <c r="S154" s="300">
        <f t="shared" si="27"/>
        <v>0</v>
      </c>
    </row>
    <row r="155" spans="1:19" ht="15" x14ac:dyDescent="0.2">
      <c r="A155" s="49">
        <v>143</v>
      </c>
      <c r="B155" s="46" t="s">
        <v>40</v>
      </c>
      <c r="C155" s="33" t="s">
        <v>153</v>
      </c>
      <c r="D155" s="133">
        <v>1585550.669540955</v>
      </c>
      <c r="E155" s="114">
        <v>472494.09952320438</v>
      </c>
      <c r="F155" s="114">
        <v>1889976.3980928184</v>
      </c>
      <c r="G155" s="114">
        <v>2362470.4976160228</v>
      </c>
      <c r="H155" s="257">
        <f t="shared" si="19"/>
        <v>320000</v>
      </c>
      <c r="I155" s="257">
        <v>1600000</v>
      </c>
      <c r="J155" s="258">
        <f t="shared" si="20"/>
        <v>1920000</v>
      </c>
      <c r="K155" s="145">
        <f>472494.099523204-1000</f>
        <v>471494.09952320397</v>
      </c>
      <c r="L155" s="145">
        <v>1889976.3980928184</v>
      </c>
      <c r="M155" s="142">
        <f t="shared" si="21"/>
        <v>2361470.4976160224</v>
      </c>
      <c r="N155" s="99">
        <f t="shared" si="22"/>
        <v>320000</v>
      </c>
      <c r="O155" s="73">
        <f t="shared" si="23"/>
        <v>1600000</v>
      </c>
      <c r="P155" s="73">
        <f t="shared" si="24"/>
        <v>1920000</v>
      </c>
      <c r="Q155" s="301">
        <f t="shared" si="25"/>
        <v>297600</v>
      </c>
      <c r="R155" s="301">
        <f t="shared" si="26"/>
        <v>1488000</v>
      </c>
      <c r="S155" s="300">
        <f t="shared" si="27"/>
        <v>1785600</v>
      </c>
    </row>
    <row r="156" spans="1:19" ht="22.5" x14ac:dyDescent="0.2">
      <c r="A156" s="49">
        <v>144</v>
      </c>
      <c r="B156" s="46" t="s">
        <v>209</v>
      </c>
      <c r="C156" s="33" t="s">
        <v>153</v>
      </c>
      <c r="D156" s="133">
        <v>556546.41</v>
      </c>
      <c r="E156" s="114">
        <v>165850.83017999993</v>
      </c>
      <c r="F156" s="114">
        <v>663403.32072000008</v>
      </c>
      <c r="G156" s="114">
        <v>829254.15090000001</v>
      </c>
      <c r="H156" s="257">
        <f t="shared" si="19"/>
        <v>140000</v>
      </c>
      <c r="I156" s="257">
        <v>700000</v>
      </c>
      <c r="J156" s="258">
        <f t="shared" si="20"/>
        <v>840000</v>
      </c>
      <c r="K156" s="145">
        <f>165850.83018-1000</f>
        <v>164850.83017999999</v>
      </c>
      <c r="L156" s="145">
        <v>663403.32072000008</v>
      </c>
      <c r="M156" s="142">
        <f t="shared" si="21"/>
        <v>828254.15090000001</v>
      </c>
      <c r="N156" s="99">
        <f t="shared" si="22"/>
        <v>140000</v>
      </c>
      <c r="O156" s="73">
        <f t="shared" si="23"/>
        <v>663403.32072000008</v>
      </c>
      <c r="P156" s="73">
        <f t="shared" si="24"/>
        <v>803403.32072000008</v>
      </c>
      <c r="Q156" s="301">
        <f t="shared" si="25"/>
        <v>130200</v>
      </c>
      <c r="R156" s="301">
        <f t="shared" si="26"/>
        <v>616965.08826960006</v>
      </c>
      <c r="S156" s="300">
        <f t="shared" si="27"/>
        <v>747165.08826960006</v>
      </c>
    </row>
    <row r="157" spans="1:19" ht="15" x14ac:dyDescent="0.2">
      <c r="A157" s="49">
        <v>145</v>
      </c>
      <c r="B157" s="32" t="s">
        <v>208</v>
      </c>
      <c r="C157" s="33" t="s">
        <v>153</v>
      </c>
      <c r="D157" s="133">
        <v>245830.37360000002</v>
      </c>
      <c r="E157" s="114">
        <v>73257.451332799974</v>
      </c>
      <c r="F157" s="114">
        <v>293029.80533120007</v>
      </c>
      <c r="G157" s="114">
        <v>366287.25666400004</v>
      </c>
      <c r="H157" s="257">
        <f t="shared" si="19"/>
        <v>60000</v>
      </c>
      <c r="I157" s="257">
        <v>300000</v>
      </c>
      <c r="J157" s="258">
        <f t="shared" si="20"/>
        <v>360000</v>
      </c>
      <c r="K157" s="145">
        <f>73257.4513328-1000</f>
        <v>72257.451332800003</v>
      </c>
      <c r="L157" s="145">
        <v>293029.80533120007</v>
      </c>
      <c r="M157" s="142">
        <f t="shared" si="21"/>
        <v>365287.2566640001</v>
      </c>
      <c r="N157" s="99">
        <f t="shared" si="22"/>
        <v>60000</v>
      </c>
      <c r="O157" s="73">
        <f t="shared" si="23"/>
        <v>293029.80533120007</v>
      </c>
      <c r="P157" s="73">
        <f t="shared" si="24"/>
        <v>353029.80533120007</v>
      </c>
      <c r="Q157" s="301">
        <f t="shared" si="25"/>
        <v>55800</v>
      </c>
      <c r="R157" s="301">
        <f t="shared" si="26"/>
        <v>272517.71895801608</v>
      </c>
      <c r="S157" s="300">
        <f t="shared" si="27"/>
        <v>328317.71895801608</v>
      </c>
    </row>
    <row r="158" spans="1:19" ht="15" x14ac:dyDescent="0.2">
      <c r="A158" s="49">
        <v>146</v>
      </c>
      <c r="B158" s="46" t="s">
        <v>41</v>
      </c>
      <c r="C158" s="33" t="s">
        <v>153</v>
      </c>
      <c r="D158" s="133">
        <v>1587633.7781927553</v>
      </c>
      <c r="E158" s="114">
        <v>473114.86590144085</v>
      </c>
      <c r="F158" s="114">
        <v>1892459.4636057643</v>
      </c>
      <c r="G158" s="114">
        <v>2365574.3295072052</v>
      </c>
      <c r="H158" s="257">
        <f t="shared" si="19"/>
        <v>340000</v>
      </c>
      <c r="I158" s="257">
        <v>1700000</v>
      </c>
      <c r="J158" s="258">
        <f t="shared" si="20"/>
        <v>2040000</v>
      </c>
      <c r="K158" s="145">
        <f>473114.865901441-1000</f>
        <v>472114.86590144102</v>
      </c>
      <c r="L158" s="145">
        <v>1892459.4636057643</v>
      </c>
      <c r="M158" s="142">
        <f t="shared" si="21"/>
        <v>2364574.3295072052</v>
      </c>
      <c r="N158" s="99">
        <f t="shared" si="22"/>
        <v>340000</v>
      </c>
      <c r="O158" s="73">
        <f t="shared" si="23"/>
        <v>1700000</v>
      </c>
      <c r="P158" s="73">
        <f t="shared" si="24"/>
        <v>2040000</v>
      </c>
      <c r="Q158" s="301">
        <f t="shared" si="25"/>
        <v>316200</v>
      </c>
      <c r="R158" s="301">
        <f t="shared" si="26"/>
        <v>1581000</v>
      </c>
      <c r="S158" s="300">
        <f t="shared" si="27"/>
        <v>1897200</v>
      </c>
    </row>
    <row r="159" spans="1:19" ht="15" x14ac:dyDescent="0.2">
      <c r="A159" s="49">
        <v>147</v>
      </c>
      <c r="B159" s="46" t="s">
        <v>210</v>
      </c>
      <c r="C159" s="33" t="s">
        <v>153</v>
      </c>
      <c r="D159" s="133">
        <v>725449.27280000004</v>
      </c>
      <c r="E159" s="114">
        <v>216183.88329439994</v>
      </c>
      <c r="F159" s="114">
        <v>864735.53317760013</v>
      </c>
      <c r="G159" s="114">
        <v>1080919.4164720001</v>
      </c>
      <c r="H159" s="257">
        <f t="shared" si="19"/>
        <v>160000</v>
      </c>
      <c r="I159" s="257">
        <v>800000</v>
      </c>
      <c r="J159" s="258">
        <f t="shared" si="20"/>
        <v>960000</v>
      </c>
      <c r="K159" s="145">
        <f>216183.8832944-1000</f>
        <v>215183.8832944</v>
      </c>
      <c r="L159" s="145">
        <v>864735.53317760013</v>
      </c>
      <c r="M159" s="142">
        <f t="shared" si="21"/>
        <v>1079919.4164720001</v>
      </c>
      <c r="N159" s="99">
        <f t="shared" si="22"/>
        <v>160000</v>
      </c>
      <c r="O159" s="73">
        <f t="shared" si="23"/>
        <v>800000</v>
      </c>
      <c r="P159" s="73">
        <f t="shared" si="24"/>
        <v>960000</v>
      </c>
      <c r="Q159" s="301">
        <f t="shared" si="25"/>
        <v>148800</v>
      </c>
      <c r="R159" s="301">
        <f t="shared" si="26"/>
        <v>744000</v>
      </c>
      <c r="S159" s="300">
        <f t="shared" si="27"/>
        <v>892800</v>
      </c>
    </row>
    <row r="160" spans="1:19" ht="15" x14ac:dyDescent="0.2">
      <c r="A160" s="49">
        <v>148</v>
      </c>
      <c r="B160" s="32" t="s">
        <v>212</v>
      </c>
      <c r="C160" s="33" t="s">
        <v>153</v>
      </c>
      <c r="D160" s="133">
        <v>247369.88496558028</v>
      </c>
      <c r="E160" s="114">
        <v>73716.225719742884</v>
      </c>
      <c r="F160" s="114">
        <v>294864.90287897171</v>
      </c>
      <c r="G160" s="114">
        <v>368581.1285987146</v>
      </c>
      <c r="H160" s="257">
        <f t="shared" si="19"/>
        <v>6000</v>
      </c>
      <c r="I160" s="257">
        <v>30000</v>
      </c>
      <c r="J160" s="258">
        <f t="shared" si="20"/>
        <v>36000</v>
      </c>
      <c r="K160" s="145">
        <f>73716.2257197429-1000</f>
        <v>72716.225719742899</v>
      </c>
      <c r="L160" s="145">
        <v>294864.90287897171</v>
      </c>
      <c r="M160" s="142">
        <f t="shared" si="21"/>
        <v>367581.1285987146</v>
      </c>
      <c r="N160" s="99">
        <f t="shared" si="22"/>
        <v>6000</v>
      </c>
      <c r="O160" s="73">
        <f t="shared" si="23"/>
        <v>30000</v>
      </c>
      <c r="P160" s="73">
        <f t="shared" si="24"/>
        <v>36000</v>
      </c>
      <c r="Q160" s="301">
        <f t="shared" si="25"/>
        <v>5580</v>
      </c>
      <c r="R160" s="301">
        <f t="shared" si="26"/>
        <v>27900</v>
      </c>
      <c r="S160" s="300">
        <f t="shared" si="27"/>
        <v>33480</v>
      </c>
    </row>
    <row r="161" spans="1:19" ht="22.5" x14ac:dyDescent="0.2">
      <c r="A161" s="49">
        <v>149</v>
      </c>
      <c r="B161" s="32" t="s">
        <v>213</v>
      </c>
      <c r="C161" s="33" t="s">
        <v>153</v>
      </c>
      <c r="D161" s="133">
        <v>693306.69624104141</v>
      </c>
      <c r="E161" s="114">
        <v>206605.39547983033</v>
      </c>
      <c r="F161" s="114">
        <v>826421.58191932132</v>
      </c>
      <c r="G161" s="114">
        <v>1033026.9773991517</v>
      </c>
      <c r="H161" s="257">
        <f t="shared" si="19"/>
        <v>132000</v>
      </c>
      <c r="I161" s="257">
        <v>660000</v>
      </c>
      <c r="J161" s="258">
        <f t="shared" si="20"/>
        <v>792000</v>
      </c>
      <c r="K161" s="145">
        <f>206605.39547983-1000</f>
        <v>205605.39547983001</v>
      </c>
      <c r="L161" s="145">
        <v>826421.58191932132</v>
      </c>
      <c r="M161" s="142">
        <f t="shared" si="21"/>
        <v>1032026.9773991513</v>
      </c>
      <c r="N161" s="99">
        <f t="shared" si="22"/>
        <v>132000</v>
      </c>
      <c r="O161" s="73">
        <f t="shared" si="23"/>
        <v>660000</v>
      </c>
      <c r="P161" s="73">
        <f t="shared" si="24"/>
        <v>792000</v>
      </c>
      <c r="Q161" s="301">
        <f t="shared" si="25"/>
        <v>122760</v>
      </c>
      <c r="R161" s="301">
        <f t="shared" si="26"/>
        <v>613800</v>
      </c>
      <c r="S161" s="300">
        <f t="shared" si="27"/>
        <v>736560</v>
      </c>
    </row>
    <row r="162" spans="1:19" ht="15" x14ac:dyDescent="0.2">
      <c r="A162" s="49">
        <v>150</v>
      </c>
      <c r="B162" s="46" t="s">
        <v>214</v>
      </c>
      <c r="C162" s="33" t="s">
        <v>153</v>
      </c>
      <c r="D162" s="133">
        <v>666931.47359999991</v>
      </c>
      <c r="E162" s="114">
        <v>198745.57913279987</v>
      </c>
      <c r="F162" s="114">
        <v>794982.31653119996</v>
      </c>
      <c r="G162" s="114">
        <v>993727.89566399984</v>
      </c>
      <c r="H162" s="257">
        <f t="shared" si="19"/>
        <v>147000</v>
      </c>
      <c r="I162" s="257">
        <v>735000</v>
      </c>
      <c r="J162" s="258">
        <f t="shared" si="20"/>
        <v>882000</v>
      </c>
      <c r="K162" s="145">
        <f>198745.5791328-1000</f>
        <v>197745.57913279999</v>
      </c>
      <c r="L162" s="145">
        <v>794982.31653119996</v>
      </c>
      <c r="M162" s="142">
        <f t="shared" si="21"/>
        <v>992727.89566399995</v>
      </c>
      <c r="N162" s="99">
        <f t="shared" si="22"/>
        <v>147000</v>
      </c>
      <c r="O162" s="73">
        <f t="shared" si="23"/>
        <v>735000</v>
      </c>
      <c r="P162" s="73">
        <f t="shared" si="24"/>
        <v>882000</v>
      </c>
      <c r="Q162" s="301">
        <f t="shared" si="25"/>
        <v>136710</v>
      </c>
      <c r="R162" s="301">
        <f t="shared" si="26"/>
        <v>683550</v>
      </c>
      <c r="S162" s="300">
        <f t="shared" si="27"/>
        <v>820260</v>
      </c>
    </row>
    <row r="163" spans="1:19" ht="15" x14ac:dyDescent="0.2">
      <c r="A163" s="49">
        <v>151</v>
      </c>
      <c r="B163" s="46" t="s">
        <v>355</v>
      </c>
      <c r="C163" s="33" t="s">
        <v>153</v>
      </c>
      <c r="D163" s="133">
        <v>493783.88170178584</v>
      </c>
      <c r="E163" s="114">
        <v>147147.59674713213</v>
      </c>
      <c r="F163" s="114">
        <v>588590.38698852877</v>
      </c>
      <c r="G163" s="114">
        <v>735737.98373566091</v>
      </c>
      <c r="H163" s="257">
        <f t="shared" si="19"/>
        <v>99000</v>
      </c>
      <c r="I163" s="257">
        <v>495000</v>
      </c>
      <c r="J163" s="258">
        <f t="shared" si="20"/>
        <v>594000</v>
      </c>
      <c r="K163" s="145">
        <f>147147.596747132-1000</f>
        <v>146147.59674713199</v>
      </c>
      <c r="L163" s="145">
        <v>588590.38698852877</v>
      </c>
      <c r="M163" s="142">
        <f t="shared" si="21"/>
        <v>734737.98373566079</v>
      </c>
      <c r="N163" s="99">
        <f t="shared" si="22"/>
        <v>99000</v>
      </c>
      <c r="O163" s="73">
        <f t="shared" si="23"/>
        <v>495000</v>
      </c>
      <c r="P163" s="73">
        <f t="shared" si="24"/>
        <v>594000</v>
      </c>
      <c r="Q163" s="301">
        <f t="shared" si="25"/>
        <v>92070</v>
      </c>
      <c r="R163" s="301">
        <f t="shared" si="26"/>
        <v>460350</v>
      </c>
      <c r="S163" s="300">
        <f t="shared" si="27"/>
        <v>552420</v>
      </c>
    </row>
    <row r="164" spans="1:19" ht="15" x14ac:dyDescent="0.2">
      <c r="A164" s="49">
        <v>152</v>
      </c>
      <c r="B164" s="46" t="s">
        <v>215</v>
      </c>
      <c r="C164" s="33" t="s">
        <v>153</v>
      </c>
      <c r="D164" s="133">
        <v>31899</v>
      </c>
      <c r="E164" s="114">
        <v>9569.6999999999971</v>
      </c>
      <c r="F164" s="114">
        <v>38278.800000000003</v>
      </c>
      <c r="G164" s="114">
        <v>47848.5</v>
      </c>
      <c r="H164" s="257">
        <f t="shared" si="19"/>
        <v>8000</v>
      </c>
      <c r="I164" s="257">
        <v>40000</v>
      </c>
      <c r="J164" s="258">
        <f t="shared" si="20"/>
        <v>48000</v>
      </c>
      <c r="K164" s="145">
        <f>9569.7-1000</f>
        <v>8569.7000000000007</v>
      </c>
      <c r="L164" s="145">
        <v>38278.800000000003</v>
      </c>
      <c r="M164" s="142">
        <f t="shared" si="21"/>
        <v>46848.5</v>
      </c>
      <c r="N164" s="99">
        <f t="shared" si="22"/>
        <v>8000</v>
      </c>
      <c r="O164" s="73">
        <f t="shared" si="23"/>
        <v>38278.800000000003</v>
      </c>
      <c r="P164" s="73">
        <f t="shared" si="24"/>
        <v>46278.8</v>
      </c>
      <c r="Q164" s="301">
        <f t="shared" si="25"/>
        <v>7440</v>
      </c>
      <c r="R164" s="301">
        <f t="shared" si="26"/>
        <v>35599.284</v>
      </c>
      <c r="S164" s="300">
        <f t="shared" si="27"/>
        <v>43039.284</v>
      </c>
    </row>
    <row r="165" spans="1:19" ht="15" x14ac:dyDescent="0.2">
      <c r="A165" s="49">
        <v>153</v>
      </c>
      <c r="B165" s="32" t="s">
        <v>216</v>
      </c>
      <c r="C165" s="33" t="s">
        <v>153</v>
      </c>
      <c r="D165" s="133">
        <v>5175.576</v>
      </c>
      <c r="E165" s="114">
        <v>1980</v>
      </c>
      <c r="F165" s="114">
        <v>7920</v>
      </c>
      <c r="G165" s="114">
        <v>9900</v>
      </c>
      <c r="H165" s="257">
        <f t="shared" si="19"/>
        <v>1400</v>
      </c>
      <c r="I165" s="257">
        <v>7000</v>
      </c>
      <c r="J165" s="258">
        <f t="shared" si="20"/>
        <v>8400</v>
      </c>
      <c r="K165" s="145">
        <f>1980-200</f>
        <v>1780</v>
      </c>
      <c r="L165" s="145">
        <v>7920</v>
      </c>
      <c r="M165" s="142">
        <f t="shared" si="21"/>
        <v>9700</v>
      </c>
      <c r="N165" s="99">
        <f t="shared" si="22"/>
        <v>1400</v>
      </c>
      <c r="O165" s="73">
        <f t="shared" si="23"/>
        <v>7000</v>
      </c>
      <c r="P165" s="73">
        <f t="shared" si="24"/>
        <v>8400</v>
      </c>
      <c r="Q165" s="301">
        <f t="shared" si="25"/>
        <v>1302</v>
      </c>
      <c r="R165" s="301">
        <f t="shared" si="26"/>
        <v>6510</v>
      </c>
      <c r="S165" s="300">
        <f t="shared" si="27"/>
        <v>7812</v>
      </c>
    </row>
    <row r="166" spans="1:19" ht="15" x14ac:dyDescent="0.2">
      <c r="A166" s="49">
        <v>154</v>
      </c>
      <c r="B166" s="32" t="s">
        <v>221</v>
      </c>
      <c r="C166" s="33" t="s">
        <v>153</v>
      </c>
      <c r="D166" s="133">
        <v>5175.576</v>
      </c>
      <c r="E166" s="114">
        <v>1980</v>
      </c>
      <c r="F166" s="114">
        <v>7920</v>
      </c>
      <c r="G166" s="114">
        <v>9900</v>
      </c>
      <c r="H166" s="257">
        <f t="shared" si="19"/>
        <v>1400</v>
      </c>
      <c r="I166" s="257">
        <v>7000</v>
      </c>
      <c r="J166" s="258">
        <f t="shared" si="20"/>
        <v>8400</v>
      </c>
      <c r="K166" s="145">
        <f t="shared" ref="K166:K168" si="28">1980-200</f>
        <v>1780</v>
      </c>
      <c r="L166" s="145">
        <v>7920</v>
      </c>
      <c r="M166" s="142">
        <f t="shared" si="21"/>
        <v>9700</v>
      </c>
      <c r="N166" s="99">
        <f t="shared" si="22"/>
        <v>1400</v>
      </c>
      <c r="O166" s="73">
        <f t="shared" si="23"/>
        <v>7000</v>
      </c>
      <c r="P166" s="73">
        <f t="shared" si="24"/>
        <v>8400</v>
      </c>
      <c r="Q166" s="301">
        <f t="shared" si="25"/>
        <v>1302</v>
      </c>
      <c r="R166" s="301">
        <f t="shared" si="26"/>
        <v>6510</v>
      </c>
      <c r="S166" s="300">
        <f t="shared" si="27"/>
        <v>7812</v>
      </c>
    </row>
    <row r="167" spans="1:19" ht="15" x14ac:dyDescent="0.2">
      <c r="A167" s="49">
        <v>155</v>
      </c>
      <c r="B167" s="32" t="s">
        <v>217</v>
      </c>
      <c r="C167" s="33" t="s">
        <v>153</v>
      </c>
      <c r="D167" s="133">
        <v>5175.576</v>
      </c>
      <c r="E167" s="114">
        <v>1980</v>
      </c>
      <c r="F167" s="114">
        <v>7920</v>
      </c>
      <c r="G167" s="114">
        <v>9900</v>
      </c>
      <c r="H167" s="257">
        <f t="shared" si="19"/>
        <v>1400</v>
      </c>
      <c r="I167" s="257">
        <v>7000</v>
      </c>
      <c r="J167" s="258">
        <f t="shared" si="20"/>
        <v>8400</v>
      </c>
      <c r="K167" s="145">
        <f t="shared" si="28"/>
        <v>1780</v>
      </c>
      <c r="L167" s="145">
        <v>7920</v>
      </c>
      <c r="M167" s="142">
        <f t="shared" si="21"/>
        <v>9700</v>
      </c>
      <c r="N167" s="99">
        <f t="shared" si="22"/>
        <v>1400</v>
      </c>
      <c r="O167" s="73">
        <f t="shared" si="23"/>
        <v>7000</v>
      </c>
      <c r="P167" s="73">
        <f t="shared" si="24"/>
        <v>8400</v>
      </c>
      <c r="Q167" s="301">
        <f t="shared" si="25"/>
        <v>1302</v>
      </c>
      <c r="R167" s="301">
        <f t="shared" si="26"/>
        <v>6510</v>
      </c>
      <c r="S167" s="300">
        <f t="shared" si="27"/>
        <v>7812</v>
      </c>
    </row>
    <row r="168" spans="1:19" ht="15" x14ac:dyDescent="0.2">
      <c r="A168" s="49">
        <v>156</v>
      </c>
      <c r="B168" s="32" t="s">
        <v>218</v>
      </c>
      <c r="C168" s="33" t="s">
        <v>153</v>
      </c>
      <c r="D168" s="133">
        <v>3528.49</v>
      </c>
      <c r="E168" s="114">
        <v>1980</v>
      </c>
      <c r="F168" s="114">
        <v>7920</v>
      </c>
      <c r="G168" s="114">
        <v>9900</v>
      </c>
      <c r="H168" s="257">
        <f t="shared" si="19"/>
        <v>800</v>
      </c>
      <c r="I168" s="257">
        <v>4000</v>
      </c>
      <c r="J168" s="258">
        <f t="shared" si="20"/>
        <v>4800</v>
      </c>
      <c r="K168" s="145">
        <f t="shared" si="28"/>
        <v>1780</v>
      </c>
      <c r="L168" s="145">
        <v>7920</v>
      </c>
      <c r="M168" s="142">
        <f t="shared" si="21"/>
        <v>9700</v>
      </c>
      <c r="N168" s="99">
        <f t="shared" si="22"/>
        <v>800</v>
      </c>
      <c r="O168" s="73">
        <f t="shared" si="23"/>
        <v>4000</v>
      </c>
      <c r="P168" s="73">
        <f t="shared" si="24"/>
        <v>4800</v>
      </c>
      <c r="Q168" s="301">
        <f t="shared" si="25"/>
        <v>744</v>
      </c>
      <c r="R168" s="301">
        <f t="shared" si="26"/>
        <v>3720</v>
      </c>
      <c r="S168" s="300">
        <f t="shared" si="27"/>
        <v>4464</v>
      </c>
    </row>
    <row r="169" spans="1:19" ht="15" x14ac:dyDescent="0.2">
      <c r="A169" s="49">
        <v>157</v>
      </c>
      <c r="B169" s="32" t="s">
        <v>219</v>
      </c>
      <c r="C169" s="33" t="s">
        <v>153</v>
      </c>
      <c r="D169" s="133">
        <v>31899</v>
      </c>
      <c r="E169" s="114">
        <v>9569.6999999999971</v>
      </c>
      <c r="F169" s="114">
        <v>38278.800000000003</v>
      </c>
      <c r="G169" s="114">
        <v>47848.5</v>
      </c>
      <c r="H169" s="257">
        <f t="shared" si="19"/>
        <v>8000</v>
      </c>
      <c r="I169" s="257">
        <v>40000</v>
      </c>
      <c r="J169" s="258">
        <f t="shared" si="20"/>
        <v>48000</v>
      </c>
      <c r="K169" s="145">
        <f>9569.7-5000</f>
        <v>4569.7000000000007</v>
      </c>
      <c r="L169" s="145">
        <v>38278.800000000003</v>
      </c>
      <c r="M169" s="142">
        <f t="shared" si="21"/>
        <v>42848.5</v>
      </c>
      <c r="N169" s="99">
        <f t="shared" si="22"/>
        <v>4569.7000000000007</v>
      </c>
      <c r="O169" s="73">
        <f t="shared" si="23"/>
        <v>38278.800000000003</v>
      </c>
      <c r="P169" s="73">
        <f t="shared" si="24"/>
        <v>42848.5</v>
      </c>
      <c r="Q169" s="301">
        <f t="shared" si="25"/>
        <v>4249.8210000000008</v>
      </c>
      <c r="R169" s="301">
        <f t="shared" si="26"/>
        <v>35599.284</v>
      </c>
      <c r="S169" s="300">
        <f t="shared" si="27"/>
        <v>39849.105000000003</v>
      </c>
    </row>
    <row r="170" spans="1:19" ht="15" x14ac:dyDescent="0.2">
      <c r="A170" s="49">
        <v>158</v>
      </c>
      <c r="B170" s="32" t="s">
        <v>220</v>
      </c>
      <c r="C170" s="33" t="s">
        <v>153</v>
      </c>
      <c r="D170" s="133">
        <v>6174.5291999999999</v>
      </c>
      <c r="E170" s="114">
        <v>1852.3587599999992</v>
      </c>
      <c r="F170" s="114">
        <v>7409.4350400000003</v>
      </c>
      <c r="G170" s="114">
        <v>9261.7937999999995</v>
      </c>
      <c r="H170" s="257">
        <f t="shared" si="19"/>
        <v>1400</v>
      </c>
      <c r="I170" s="257">
        <v>7000</v>
      </c>
      <c r="J170" s="258">
        <f t="shared" si="20"/>
        <v>8400</v>
      </c>
      <c r="K170" s="145">
        <f>1852.35876-500</f>
        <v>1352.3587600000001</v>
      </c>
      <c r="L170" s="145">
        <v>7409.4350400000003</v>
      </c>
      <c r="M170" s="142">
        <f t="shared" si="21"/>
        <v>8761.7937999999995</v>
      </c>
      <c r="N170" s="99">
        <f t="shared" si="22"/>
        <v>1352.3587600000001</v>
      </c>
      <c r="O170" s="73">
        <f t="shared" si="23"/>
        <v>7000</v>
      </c>
      <c r="P170" s="73">
        <f t="shared" si="24"/>
        <v>8352.3587599999992</v>
      </c>
      <c r="Q170" s="301">
        <f t="shared" si="25"/>
        <v>1257.6936468000001</v>
      </c>
      <c r="R170" s="301">
        <f t="shared" si="26"/>
        <v>6510</v>
      </c>
      <c r="S170" s="300">
        <f t="shared" si="27"/>
        <v>7767.6936468000004</v>
      </c>
    </row>
    <row r="171" spans="1:19" ht="15" x14ac:dyDescent="0.2">
      <c r="A171" s="49">
        <v>159</v>
      </c>
      <c r="B171" s="50" t="s">
        <v>223</v>
      </c>
      <c r="C171" s="33" t="s">
        <v>153</v>
      </c>
      <c r="D171" s="133">
        <v>735444.92</v>
      </c>
      <c r="E171" s="114">
        <v>219162.58615999995</v>
      </c>
      <c r="F171" s="114">
        <v>876650.34464000002</v>
      </c>
      <c r="G171" s="114">
        <v>1095812.9308</v>
      </c>
      <c r="H171" s="257">
        <f t="shared" si="19"/>
        <v>166000</v>
      </c>
      <c r="I171" s="257">
        <v>830000</v>
      </c>
      <c r="J171" s="258">
        <f t="shared" si="20"/>
        <v>996000</v>
      </c>
      <c r="K171" s="145">
        <f>219162.58616-1000</f>
        <v>218162.58616000001</v>
      </c>
      <c r="L171" s="145">
        <v>876650.34464000002</v>
      </c>
      <c r="M171" s="142">
        <f t="shared" si="21"/>
        <v>1094812.9308</v>
      </c>
      <c r="N171" s="99">
        <f t="shared" si="22"/>
        <v>166000</v>
      </c>
      <c r="O171" s="73">
        <f t="shared" si="23"/>
        <v>830000</v>
      </c>
      <c r="P171" s="73">
        <f t="shared" si="24"/>
        <v>996000</v>
      </c>
      <c r="Q171" s="301">
        <f t="shared" si="25"/>
        <v>154380</v>
      </c>
      <c r="R171" s="301">
        <f t="shared" si="26"/>
        <v>771900</v>
      </c>
      <c r="S171" s="300">
        <f t="shared" si="27"/>
        <v>926280</v>
      </c>
    </row>
    <row r="172" spans="1:19" ht="15" x14ac:dyDescent="0.2">
      <c r="A172" s="49">
        <v>160</v>
      </c>
      <c r="B172" s="38" t="s">
        <v>222</v>
      </c>
      <c r="C172" s="33" t="s">
        <v>153</v>
      </c>
      <c r="D172" s="133">
        <v>240878.99972367717</v>
      </c>
      <c r="E172" s="114">
        <v>71781.941917655815</v>
      </c>
      <c r="F172" s="114">
        <v>287127.7676706232</v>
      </c>
      <c r="G172" s="114">
        <v>358909.70958827902</v>
      </c>
      <c r="H172" s="257">
        <f t="shared" si="19"/>
        <v>52000</v>
      </c>
      <c r="I172" s="257">
        <v>260000</v>
      </c>
      <c r="J172" s="258">
        <f t="shared" si="20"/>
        <v>312000</v>
      </c>
      <c r="K172" s="145">
        <f>71781.9419176558-1000</f>
        <v>70781.9419176558</v>
      </c>
      <c r="L172" s="145">
        <v>287127.7676706232</v>
      </c>
      <c r="M172" s="142">
        <f t="shared" si="21"/>
        <v>357909.70958827902</v>
      </c>
      <c r="N172" s="99">
        <f t="shared" si="22"/>
        <v>52000</v>
      </c>
      <c r="O172" s="73">
        <f t="shared" si="23"/>
        <v>260000</v>
      </c>
      <c r="P172" s="73">
        <f t="shared" si="24"/>
        <v>312000</v>
      </c>
      <c r="Q172" s="301">
        <f t="shared" si="25"/>
        <v>48360</v>
      </c>
      <c r="R172" s="301">
        <f t="shared" si="26"/>
        <v>241800</v>
      </c>
      <c r="S172" s="300">
        <f t="shared" si="27"/>
        <v>290160</v>
      </c>
    </row>
    <row r="173" spans="1:19" ht="15" x14ac:dyDescent="0.2">
      <c r="A173" s="49">
        <v>161</v>
      </c>
      <c r="B173" s="38" t="s">
        <v>224</v>
      </c>
      <c r="C173" s="33" t="s">
        <v>153</v>
      </c>
      <c r="D173" s="133">
        <v>601618.53692045994</v>
      </c>
      <c r="E173" s="114">
        <v>179282.32400229701</v>
      </c>
      <c r="F173" s="114">
        <v>717129.29600918829</v>
      </c>
      <c r="G173" s="114">
        <v>896411.6200114853</v>
      </c>
      <c r="H173" s="257">
        <f t="shared" si="19"/>
        <v>134000</v>
      </c>
      <c r="I173" s="257">
        <v>670000</v>
      </c>
      <c r="J173" s="258">
        <f t="shared" si="20"/>
        <v>804000</v>
      </c>
      <c r="K173" s="145">
        <f>179282.324002297-1000</f>
        <v>178282.32400229701</v>
      </c>
      <c r="L173" s="145">
        <v>717129.29600918829</v>
      </c>
      <c r="M173" s="142">
        <f t="shared" si="21"/>
        <v>895411.6200114853</v>
      </c>
      <c r="N173" s="99">
        <f t="shared" si="22"/>
        <v>134000</v>
      </c>
      <c r="O173" s="73">
        <f t="shared" si="23"/>
        <v>670000</v>
      </c>
      <c r="P173" s="73">
        <f t="shared" si="24"/>
        <v>804000</v>
      </c>
      <c r="Q173" s="301">
        <f t="shared" si="25"/>
        <v>124620</v>
      </c>
      <c r="R173" s="301">
        <f t="shared" si="26"/>
        <v>623100</v>
      </c>
      <c r="S173" s="300">
        <f t="shared" si="27"/>
        <v>747720</v>
      </c>
    </row>
    <row r="174" spans="1:19" ht="22.5" x14ac:dyDescent="0.2">
      <c r="A174" s="49">
        <v>162</v>
      </c>
      <c r="B174" s="32" t="s">
        <v>226</v>
      </c>
      <c r="C174" s="33" t="s">
        <v>153</v>
      </c>
      <c r="D174" s="133">
        <v>700697.3814161726</v>
      </c>
      <c r="E174" s="114">
        <v>208807.81966201938</v>
      </c>
      <c r="F174" s="114">
        <v>835231.27864807774</v>
      </c>
      <c r="G174" s="114">
        <v>1044039.0983100971</v>
      </c>
      <c r="H174" s="257">
        <f t="shared" si="19"/>
        <v>156000</v>
      </c>
      <c r="I174" s="257">
        <v>780000</v>
      </c>
      <c r="J174" s="258">
        <f t="shared" si="20"/>
        <v>936000</v>
      </c>
      <c r="K174" s="145">
        <f>208807.819662019-1000</f>
        <v>207807.819662019</v>
      </c>
      <c r="L174" s="145">
        <v>835231.27864807774</v>
      </c>
      <c r="M174" s="142">
        <f t="shared" si="21"/>
        <v>1043039.0983100968</v>
      </c>
      <c r="N174" s="99">
        <f t="shared" si="22"/>
        <v>156000</v>
      </c>
      <c r="O174" s="73">
        <f t="shared" si="23"/>
        <v>780000</v>
      </c>
      <c r="P174" s="73">
        <f t="shared" si="24"/>
        <v>936000</v>
      </c>
      <c r="Q174" s="301">
        <f t="shared" si="25"/>
        <v>145080</v>
      </c>
      <c r="R174" s="301">
        <f t="shared" si="26"/>
        <v>725400</v>
      </c>
      <c r="S174" s="300">
        <f t="shared" si="27"/>
        <v>870480</v>
      </c>
    </row>
    <row r="175" spans="1:19" ht="15" x14ac:dyDescent="0.2">
      <c r="A175" s="49">
        <v>163</v>
      </c>
      <c r="B175" s="46" t="s">
        <v>42</v>
      </c>
      <c r="C175" s="33" t="s">
        <v>153</v>
      </c>
      <c r="D175" s="133">
        <v>118211.24559999999</v>
      </c>
      <c r="E175" s="114">
        <v>35226.951188799983</v>
      </c>
      <c r="F175" s="114">
        <v>140907.80475520002</v>
      </c>
      <c r="G175" s="114">
        <v>176134.755944</v>
      </c>
      <c r="H175" s="257">
        <f t="shared" si="19"/>
        <v>28000</v>
      </c>
      <c r="I175" s="257">
        <v>140000</v>
      </c>
      <c r="J175" s="258">
        <f t="shared" si="20"/>
        <v>168000</v>
      </c>
      <c r="K175" s="145">
        <f>35226.9511888-1000</f>
        <v>34226.951188799998</v>
      </c>
      <c r="L175" s="145">
        <v>140907.80475520002</v>
      </c>
      <c r="M175" s="142">
        <f t="shared" si="21"/>
        <v>175134.75594400003</v>
      </c>
      <c r="N175" s="99">
        <f t="shared" si="22"/>
        <v>28000</v>
      </c>
      <c r="O175" s="73">
        <f t="shared" si="23"/>
        <v>140000</v>
      </c>
      <c r="P175" s="73">
        <f t="shared" si="24"/>
        <v>168000</v>
      </c>
      <c r="Q175" s="301">
        <f t="shared" si="25"/>
        <v>26040</v>
      </c>
      <c r="R175" s="301">
        <f t="shared" si="26"/>
        <v>130200</v>
      </c>
      <c r="S175" s="300">
        <f t="shared" si="27"/>
        <v>156240</v>
      </c>
    </row>
    <row r="176" spans="1:19" ht="15" x14ac:dyDescent="0.2">
      <c r="A176" s="49">
        <v>164</v>
      </c>
      <c r="B176" s="53" t="s">
        <v>95</v>
      </c>
      <c r="C176" s="33" t="s">
        <v>153</v>
      </c>
      <c r="D176" s="133">
        <v>918409.22880482103</v>
      </c>
      <c r="E176" s="114">
        <v>273685.95018383651</v>
      </c>
      <c r="F176" s="114">
        <v>1094743.8007353467</v>
      </c>
      <c r="G176" s="114">
        <v>1368429.7509191833</v>
      </c>
      <c r="H176" s="257">
        <f t="shared" si="19"/>
        <v>200000</v>
      </c>
      <c r="I176" s="257">
        <v>1000000</v>
      </c>
      <c r="J176" s="258">
        <f t="shared" si="20"/>
        <v>1200000</v>
      </c>
      <c r="K176" s="145">
        <f>273685.950183837-1000</f>
        <v>272685.95018383698</v>
      </c>
      <c r="L176" s="145">
        <v>1094743.8007353467</v>
      </c>
      <c r="M176" s="142">
        <f t="shared" si="21"/>
        <v>1367429.7509191837</v>
      </c>
      <c r="N176" s="99">
        <f t="shared" si="22"/>
        <v>200000</v>
      </c>
      <c r="O176" s="73">
        <f t="shared" si="23"/>
        <v>1000000</v>
      </c>
      <c r="P176" s="73">
        <f t="shared" si="24"/>
        <v>1200000</v>
      </c>
      <c r="Q176" s="301">
        <f t="shared" si="25"/>
        <v>186000</v>
      </c>
      <c r="R176" s="301">
        <f t="shared" si="26"/>
        <v>930000</v>
      </c>
      <c r="S176" s="300">
        <f t="shared" si="27"/>
        <v>1116000</v>
      </c>
    </row>
    <row r="177" spans="1:19" ht="15" x14ac:dyDescent="0.2">
      <c r="A177" s="49">
        <v>165</v>
      </c>
      <c r="B177" s="53" t="s">
        <v>228</v>
      </c>
      <c r="C177" s="33" t="s">
        <v>153</v>
      </c>
      <c r="D177" s="133">
        <v>2439.3670000000002</v>
      </c>
      <c r="E177" s="114">
        <v>731.81009999999969</v>
      </c>
      <c r="F177" s="114">
        <v>2927.2404000000006</v>
      </c>
      <c r="G177" s="114">
        <v>3659.0505000000003</v>
      </c>
      <c r="H177" s="257">
        <f t="shared" si="19"/>
        <v>600</v>
      </c>
      <c r="I177" s="257">
        <v>3000</v>
      </c>
      <c r="J177" s="258">
        <f t="shared" si="20"/>
        <v>3600</v>
      </c>
      <c r="K177" s="145">
        <f>731.8101-200</f>
        <v>531.81010000000003</v>
      </c>
      <c r="L177" s="145">
        <v>2927.2404000000006</v>
      </c>
      <c r="M177" s="142">
        <f t="shared" si="21"/>
        <v>3459.0505000000007</v>
      </c>
      <c r="N177" s="99">
        <f t="shared" si="22"/>
        <v>531.81010000000003</v>
      </c>
      <c r="O177" s="73">
        <f t="shared" si="23"/>
        <v>2927.2404000000006</v>
      </c>
      <c r="P177" s="73">
        <f t="shared" si="24"/>
        <v>3459.0505000000007</v>
      </c>
      <c r="Q177" s="301">
        <f t="shared" si="25"/>
        <v>494.583393</v>
      </c>
      <c r="R177" s="301">
        <f t="shared" si="26"/>
        <v>2722.3335720000005</v>
      </c>
      <c r="S177" s="300">
        <f t="shared" si="27"/>
        <v>3216.9169650000003</v>
      </c>
    </row>
    <row r="178" spans="1:19" ht="15" x14ac:dyDescent="0.2">
      <c r="A178" s="49">
        <v>166</v>
      </c>
      <c r="B178" s="53" t="s">
        <v>229</v>
      </c>
      <c r="C178" s="33" t="s">
        <v>153</v>
      </c>
      <c r="D178" s="133">
        <v>54537.98</v>
      </c>
      <c r="E178" s="114">
        <v>16361.394</v>
      </c>
      <c r="F178" s="114">
        <v>65445.576000000001</v>
      </c>
      <c r="G178" s="114">
        <v>81806.97</v>
      </c>
      <c r="H178" s="257">
        <f t="shared" si="19"/>
        <v>13600</v>
      </c>
      <c r="I178" s="257">
        <v>68000</v>
      </c>
      <c r="J178" s="258">
        <f t="shared" si="20"/>
        <v>81600</v>
      </c>
      <c r="K178" s="145">
        <f>16361.394-1000</f>
        <v>15361.394</v>
      </c>
      <c r="L178" s="145">
        <v>65445.576000000001</v>
      </c>
      <c r="M178" s="142">
        <f t="shared" si="21"/>
        <v>80806.97</v>
      </c>
      <c r="N178" s="99">
        <f t="shared" si="22"/>
        <v>13600</v>
      </c>
      <c r="O178" s="73">
        <f t="shared" si="23"/>
        <v>65445.576000000001</v>
      </c>
      <c r="P178" s="73">
        <f t="shared" si="24"/>
        <v>79045.576000000001</v>
      </c>
      <c r="Q178" s="301">
        <f t="shared" si="25"/>
        <v>12648</v>
      </c>
      <c r="R178" s="301">
        <f t="shared" si="26"/>
        <v>60864.385679999999</v>
      </c>
      <c r="S178" s="300">
        <f t="shared" si="27"/>
        <v>73512.385680000007</v>
      </c>
    </row>
    <row r="179" spans="1:19" ht="15" x14ac:dyDescent="0.2">
      <c r="A179" s="49">
        <v>167</v>
      </c>
      <c r="B179" s="53" t="s">
        <v>241</v>
      </c>
      <c r="C179" s="33" t="s">
        <v>153</v>
      </c>
      <c r="D179" s="133">
        <v>224751.24</v>
      </c>
      <c r="E179" s="114">
        <v>66975.869520000007</v>
      </c>
      <c r="F179" s="114">
        <v>267903.47807999997</v>
      </c>
      <c r="G179" s="114">
        <v>334879.34759999998</v>
      </c>
      <c r="H179" s="257">
        <f t="shared" si="19"/>
        <v>56000</v>
      </c>
      <c r="I179" s="257">
        <v>280000</v>
      </c>
      <c r="J179" s="258">
        <f t="shared" si="20"/>
        <v>336000</v>
      </c>
      <c r="K179" s="145">
        <f>66975.86952-1000</f>
        <v>65975.869519999993</v>
      </c>
      <c r="L179" s="145">
        <v>267903.47807999997</v>
      </c>
      <c r="M179" s="142">
        <f t="shared" si="21"/>
        <v>333879.34759999998</v>
      </c>
      <c r="N179" s="99">
        <f t="shared" si="22"/>
        <v>56000</v>
      </c>
      <c r="O179" s="73">
        <f t="shared" si="23"/>
        <v>267903.47807999997</v>
      </c>
      <c r="P179" s="73">
        <f t="shared" si="24"/>
        <v>323903.47807999997</v>
      </c>
      <c r="Q179" s="301">
        <f t="shared" si="25"/>
        <v>52080</v>
      </c>
      <c r="R179" s="301">
        <f t="shared" si="26"/>
        <v>249150.23461439996</v>
      </c>
      <c r="S179" s="300">
        <f t="shared" si="27"/>
        <v>301230.23461439996</v>
      </c>
    </row>
    <row r="180" spans="1:19" ht="15" x14ac:dyDescent="0.2">
      <c r="A180" s="49">
        <v>168</v>
      </c>
      <c r="B180" s="47" t="s">
        <v>85</v>
      </c>
      <c r="C180" s="33" t="s">
        <v>153</v>
      </c>
      <c r="D180" s="133">
        <v>116377.8737638876</v>
      </c>
      <c r="E180" s="114">
        <v>34680.606381638499</v>
      </c>
      <c r="F180" s="114">
        <v>138722.42552655403</v>
      </c>
      <c r="G180" s="114">
        <v>173403.03190819253</v>
      </c>
      <c r="H180" s="257">
        <f t="shared" si="19"/>
        <v>26000</v>
      </c>
      <c r="I180" s="257">
        <v>130000</v>
      </c>
      <c r="J180" s="258">
        <f t="shared" si="20"/>
        <v>156000</v>
      </c>
      <c r="K180" s="145">
        <f>34680.6063816385-1000</f>
        <v>33680.606381638499</v>
      </c>
      <c r="L180" s="145">
        <v>138722.42552655403</v>
      </c>
      <c r="M180" s="142">
        <f t="shared" si="21"/>
        <v>172403.03190819253</v>
      </c>
      <c r="N180" s="99">
        <f t="shared" si="22"/>
        <v>26000</v>
      </c>
      <c r="O180" s="73">
        <f t="shared" si="23"/>
        <v>130000</v>
      </c>
      <c r="P180" s="73">
        <f t="shared" si="24"/>
        <v>156000</v>
      </c>
      <c r="Q180" s="301">
        <f t="shared" si="25"/>
        <v>24180</v>
      </c>
      <c r="R180" s="301">
        <f t="shared" si="26"/>
        <v>120900</v>
      </c>
      <c r="S180" s="300">
        <f t="shared" si="27"/>
        <v>145080</v>
      </c>
    </row>
    <row r="181" spans="1:19" ht="15" x14ac:dyDescent="0.2">
      <c r="A181" s="49">
        <v>169</v>
      </c>
      <c r="B181" s="47" t="s">
        <v>232</v>
      </c>
      <c r="C181" s="33" t="s">
        <v>153</v>
      </c>
      <c r="D181" s="133">
        <v>663447.1099500017</v>
      </c>
      <c r="E181" s="114">
        <v>197707.23876510048</v>
      </c>
      <c r="F181" s="114">
        <v>790828.95506040205</v>
      </c>
      <c r="G181" s="114">
        <v>988536.19382550253</v>
      </c>
      <c r="H181" s="257">
        <f t="shared" si="19"/>
        <v>150000</v>
      </c>
      <c r="I181" s="257">
        <v>750000</v>
      </c>
      <c r="J181" s="258">
        <f t="shared" si="20"/>
        <v>900000</v>
      </c>
      <c r="K181" s="145">
        <f>197707.2387651-1000</f>
        <v>196707.23876509999</v>
      </c>
      <c r="L181" s="145">
        <v>790828.95506040205</v>
      </c>
      <c r="M181" s="142">
        <f t="shared" si="21"/>
        <v>987536.19382550207</v>
      </c>
      <c r="N181" s="99">
        <f t="shared" si="22"/>
        <v>150000</v>
      </c>
      <c r="O181" s="73">
        <f t="shared" si="23"/>
        <v>750000</v>
      </c>
      <c r="P181" s="73">
        <f t="shared" si="24"/>
        <v>900000</v>
      </c>
      <c r="Q181" s="301">
        <f t="shared" si="25"/>
        <v>139500</v>
      </c>
      <c r="R181" s="301">
        <f t="shared" si="26"/>
        <v>697500</v>
      </c>
      <c r="S181" s="300">
        <f t="shared" si="27"/>
        <v>837000</v>
      </c>
    </row>
    <row r="182" spans="1:19" ht="15" x14ac:dyDescent="0.2">
      <c r="A182" s="49">
        <v>170</v>
      </c>
      <c r="B182" s="47" t="s">
        <v>67</v>
      </c>
      <c r="C182" s="33" t="s">
        <v>153</v>
      </c>
      <c r="D182" s="133">
        <v>1063800.1980711573</v>
      </c>
      <c r="E182" s="114">
        <v>317012.45902520488</v>
      </c>
      <c r="F182" s="114">
        <v>1268049.8361008195</v>
      </c>
      <c r="G182" s="114">
        <v>1585062.2951260244</v>
      </c>
      <c r="H182" s="257">
        <f t="shared" si="19"/>
        <v>200000</v>
      </c>
      <c r="I182" s="257">
        <v>1000000</v>
      </c>
      <c r="J182" s="258">
        <f t="shared" si="20"/>
        <v>1200000</v>
      </c>
      <c r="K182" s="145">
        <f>317012.459025205-1000</f>
        <v>316012.459025205</v>
      </c>
      <c r="L182" s="145">
        <v>1268049.8361008195</v>
      </c>
      <c r="M182" s="142">
        <f t="shared" si="21"/>
        <v>1584062.2951260246</v>
      </c>
      <c r="N182" s="99">
        <f t="shared" si="22"/>
        <v>200000</v>
      </c>
      <c r="O182" s="73">
        <f t="shared" si="23"/>
        <v>1000000</v>
      </c>
      <c r="P182" s="73">
        <f t="shared" si="24"/>
        <v>1200000</v>
      </c>
      <c r="Q182" s="301">
        <f t="shared" si="25"/>
        <v>186000</v>
      </c>
      <c r="R182" s="301">
        <f t="shared" si="26"/>
        <v>930000</v>
      </c>
      <c r="S182" s="300">
        <f t="shared" si="27"/>
        <v>1116000</v>
      </c>
    </row>
    <row r="183" spans="1:19" ht="15" x14ac:dyDescent="0.2">
      <c r="A183" s="49">
        <v>171</v>
      </c>
      <c r="B183" s="38" t="s">
        <v>237</v>
      </c>
      <c r="C183" s="33" t="s">
        <v>153</v>
      </c>
      <c r="D183" s="133">
        <v>671180.47562487633</v>
      </c>
      <c r="E183" s="114">
        <v>200011.78173621313</v>
      </c>
      <c r="F183" s="114">
        <v>800047.12694485264</v>
      </c>
      <c r="G183" s="114">
        <v>1000058.9086810658</v>
      </c>
      <c r="H183" s="257">
        <f t="shared" si="19"/>
        <v>170000</v>
      </c>
      <c r="I183" s="257">
        <v>850000</v>
      </c>
      <c r="J183" s="258">
        <f t="shared" si="20"/>
        <v>1020000</v>
      </c>
      <c r="K183" s="145">
        <f>200011.781736213-1000</f>
        <v>199011.78173621299</v>
      </c>
      <c r="L183" s="145">
        <v>800047.12694485264</v>
      </c>
      <c r="M183" s="142">
        <f t="shared" si="21"/>
        <v>999058.90868106566</v>
      </c>
      <c r="N183" s="99">
        <f t="shared" si="22"/>
        <v>170000</v>
      </c>
      <c r="O183" s="73">
        <f t="shared" si="23"/>
        <v>800047.12694485264</v>
      </c>
      <c r="P183" s="73">
        <f t="shared" si="24"/>
        <v>970047.12694485264</v>
      </c>
      <c r="Q183" s="301">
        <f t="shared" si="25"/>
        <v>158100</v>
      </c>
      <c r="R183" s="301">
        <f t="shared" si="26"/>
        <v>744043.828058713</v>
      </c>
      <c r="S183" s="300">
        <f t="shared" si="27"/>
        <v>902143.828058713</v>
      </c>
    </row>
    <row r="184" spans="1:19" ht="15" x14ac:dyDescent="0.2">
      <c r="A184" s="49">
        <v>172</v>
      </c>
      <c r="B184" s="38" t="s">
        <v>238</v>
      </c>
      <c r="C184" s="33" t="s">
        <v>153</v>
      </c>
      <c r="D184" s="133">
        <v>609998.66301760217</v>
      </c>
      <c r="E184" s="114">
        <v>181779.60157924541</v>
      </c>
      <c r="F184" s="114">
        <v>727118.40631698177</v>
      </c>
      <c r="G184" s="114">
        <v>908898.00789622718</v>
      </c>
      <c r="H184" s="257">
        <f t="shared" si="19"/>
        <v>148000</v>
      </c>
      <c r="I184" s="257">
        <v>740000</v>
      </c>
      <c r="J184" s="258">
        <f t="shared" si="20"/>
        <v>888000</v>
      </c>
      <c r="K184" s="145">
        <f>181779.601579245-1000</f>
        <v>180779.60157924501</v>
      </c>
      <c r="L184" s="145">
        <v>727118.40631698177</v>
      </c>
      <c r="M184" s="142">
        <f t="shared" si="21"/>
        <v>907898.00789622683</v>
      </c>
      <c r="N184" s="99">
        <f t="shared" si="22"/>
        <v>148000</v>
      </c>
      <c r="O184" s="73">
        <f t="shared" si="23"/>
        <v>727118.40631698177</v>
      </c>
      <c r="P184" s="73">
        <f t="shared" si="24"/>
        <v>875118.40631698177</v>
      </c>
      <c r="Q184" s="301">
        <f t="shared" si="25"/>
        <v>137640</v>
      </c>
      <c r="R184" s="301">
        <f t="shared" si="26"/>
        <v>676220.11787479301</v>
      </c>
      <c r="S184" s="300">
        <f t="shared" si="27"/>
        <v>813860.11787479301</v>
      </c>
    </row>
    <row r="185" spans="1:19" ht="15" x14ac:dyDescent="0.2">
      <c r="A185" s="49">
        <v>173</v>
      </c>
      <c r="B185" s="38" t="s">
        <v>233</v>
      </c>
      <c r="C185" s="33" t="s">
        <v>153</v>
      </c>
      <c r="D185" s="133">
        <v>647393.34053931409</v>
      </c>
      <c r="E185" s="114">
        <v>192923.2154807155</v>
      </c>
      <c r="F185" s="114">
        <v>771692.86192286247</v>
      </c>
      <c r="G185" s="114">
        <v>964616.07740357798</v>
      </c>
      <c r="H185" s="257">
        <f t="shared" si="19"/>
        <v>160000</v>
      </c>
      <c r="I185" s="257">
        <v>800000</v>
      </c>
      <c r="J185" s="258">
        <f t="shared" si="20"/>
        <v>960000</v>
      </c>
      <c r="K185" s="145">
        <f>192923.215480716-1000</f>
        <v>191923.215480716</v>
      </c>
      <c r="L185" s="145">
        <v>771692.86192286247</v>
      </c>
      <c r="M185" s="142">
        <f t="shared" si="21"/>
        <v>963616.07740357844</v>
      </c>
      <c r="N185" s="99">
        <f t="shared" si="22"/>
        <v>160000</v>
      </c>
      <c r="O185" s="73">
        <f t="shared" si="23"/>
        <v>771692.86192286247</v>
      </c>
      <c r="P185" s="73">
        <f t="shared" si="24"/>
        <v>931692.86192286247</v>
      </c>
      <c r="Q185" s="301">
        <f t="shared" si="25"/>
        <v>148800</v>
      </c>
      <c r="R185" s="301">
        <f t="shared" si="26"/>
        <v>717674.36158826214</v>
      </c>
      <c r="S185" s="300">
        <f t="shared" si="27"/>
        <v>866474.36158826214</v>
      </c>
    </row>
    <row r="186" spans="1:19" ht="15" x14ac:dyDescent="0.2">
      <c r="A186" s="49">
        <v>174</v>
      </c>
      <c r="B186" s="38" t="s">
        <v>234</v>
      </c>
      <c r="C186" s="33" t="s">
        <v>153</v>
      </c>
      <c r="D186" s="133">
        <v>638684.56530827913</v>
      </c>
      <c r="E186" s="114">
        <v>190328.00046186708</v>
      </c>
      <c r="F186" s="114">
        <v>761312.00184746878</v>
      </c>
      <c r="G186" s="114">
        <v>951640.00230933586</v>
      </c>
      <c r="H186" s="257">
        <f t="shared" si="19"/>
        <v>140000</v>
      </c>
      <c r="I186" s="257">
        <v>700000</v>
      </c>
      <c r="J186" s="258">
        <f t="shared" si="20"/>
        <v>840000</v>
      </c>
      <c r="K186" s="145">
        <f>190328.000461867-1000</f>
        <v>189328.00046186699</v>
      </c>
      <c r="L186" s="145">
        <v>761312.00184746878</v>
      </c>
      <c r="M186" s="142">
        <f t="shared" si="21"/>
        <v>950640.00230933574</v>
      </c>
      <c r="N186" s="99">
        <f t="shared" si="22"/>
        <v>140000</v>
      </c>
      <c r="O186" s="73">
        <f t="shared" si="23"/>
        <v>700000</v>
      </c>
      <c r="P186" s="73">
        <f t="shared" si="24"/>
        <v>840000</v>
      </c>
      <c r="Q186" s="301">
        <f t="shared" si="25"/>
        <v>130200</v>
      </c>
      <c r="R186" s="301">
        <f t="shared" si="26"/>
        <v>651000</v>
      </c>
      <c r="S186" s="300">
        <f t="shared" si="27"/>
        <v>781200</v>
      </c>
    </row>
    <row r="187" spans="1:19" ht="15" x14ac:dyDescent="0.2">
      <c r="A187" s="49">
        <v>175</v>
      </c>
      <c r="B187" s="38" t="s">
        <v>235</v>
      </c>
      <c r="C187" s="33" t="s">
        <v>153</v>
      </c>
      <c r="D187" s="133">
        <v>1764531.5177</v>
      </c>
      <c r="E187" s="114">
        <v>525830.39227459999</v>
      </c>
      <c r="F187" s="114">
        <v>2103321.5690984</v>
      </c>
      <c r="G187" s="114">
        <v>2629151.9613729999</v>
      </c>
      <c r="H187" s="257">
        <f t="shared" si="19"/>
        <v>340000</v>
      </c>
      <c r="I187" s="257">
        <v>1700000</v>
      </c>
      <c r="J187" s="258">
        <f t="shared" si="20"/>
        <v>2040000</v>
      </c>
      <c r="K187" s="145">
        <f>525830.3922746-1000</f>
        <v>524830.39227459999</v>
      </c>
      <c r="L187" s="145">
        <v>2103321.5690984</v>
      </c>
      <c r="M187" s="142">
        <f t="shared" si="21"/>
        <v>2628151.9613729999</v>
      </c>
      <c r="N187" s="99">
        <f t="shared" si="22"/>
        <v>340000</v>
      </c>
      <c r="O187" s="73">
        <f t="shared" si="23"/>
        <v>1700000</v>
      </c>
      <c r="P187" s="73">
        <f t="shared" si="24"/>
        <v>2040000</v>
      </c>
      <c r="Q187" s="301">
        <f t="shared" si="25"/>
        <v>316200</v>
      </c>
      <c r="R187" s="301">
        <f t="shared" si="26"/>
        <v>1581000</v>
      </c>
      <c r="S187" s="300">
        <f t="shared" si="27"/>
        <v>1897200</v>
      </c>
    </row>
    <row r="188" spans="1:19" ht="15" x14ac:dyDescent="0.2">
      <c r="A188" s="49">
        <v>176</v>
      </c>
      <c r="B188" s="47" t="s">
        <v>84</v>
      </c>
      <c r="C188" s="33" t="s">
        <v>153</v>
      </c>
      <c r="D188" s="133">
        <v>1074338.3863821537</v>
      </c>
      <c r="E188" s="114">
        <v>320152.83914188179</v>
      </c>
      <c r="F188" s="114">
        <v>1280611.3565675272</v>
      </c>
      <c r="G188" s="114">
        <v>1600764.195709409</v>
      </c>
      <c r="H188" s="257">
        <f t="shared" si="19"/>
        <v>240000</v>
      </c>
      <c r="I188" s="257">
        <v>1200000</v>
      </c>
      <c r="J188" s="258">
        <f t="shared" si="20"/>
        <v>1440000</v>
      </c>
      <c r="K188" s="145">
        <v>320152.83914188179</v>
      </c>
      <c r="L188" s="145">
        <v>1280611.3565675272</v>
      </c>
      <c r="M188" s="142">
        <f t="shared" si="21"/>
        <v>1600764.195709409</v>
      </c>
      <c r="N188" s="99">
        <f t="shared" si="22"/>
        <v>240000</v>
      </c>
      <c r="O188" s="73">
        <f t="shared" si="23"/>
        <v>1200000</v>
      </c>
      <c r="P188" s="73">
        <f t="shared" si="24"/>
        <v>1440000</v>
      </c>
      <c r="Q188" s="301">
        <f t="shared" si="25"/>
        <v>223200</v>
      </c>
      <c r="R188" s="301">
        <f t="shared" si="26"/>
        <v>1116000</v>
      </c>
      <c r="S188" s="300">
        <f t="shared" si="27"/>
        <v>1339200</v>
      </c>
    </row>
    <row r="189" spans="1:19" ht="15" x14ac:dyDescent="0.2">
      <c r="A189" s="49">
        <v>177</v>
      </c>
      <c r="B189" s="47" t="s">
        <v>236</v>
      </c>
      <c r="C189" s="33" t="s">
        <v>153</v>
      </c>
      <c r="D189" s="133">
        <v>224687.33420000001</v>
      </c>
      <c r="E189" s="114">
        <v>66956.825591599976</v>
      </c>
      <c r="F189" s="114">
        <v>267827.30236640002</v>
      </c>
      <c r="G189" s="114">
        <v>334784.127958</v>
      </c>
      <c r="H189" s="257">
        <f t="shared" si="19"/>
        <v>52000</v>
      </c>
      <c r="I189" s="257">
        <v>260000</v>
      </c>
      <c r="J189" s="258">
        <f t="shared" si="20"/>
        <v>312000</v>
      </c>
      <c r="K189" s="145">
        <f>66956.8255916-1000</f>
        <v>65956.825591600005</v>
      </c>
      <c r="L189" s="145">
        <v>267827.30236640002</v>
      </c>
      <c r="M189" s="142">
        <f t="shared" si="21"/>
        <v>333784.12795800006</v>
      </c>
      <c r="N189" s="99">
        <f t="shared" si="22"/>
        <v>52000</v>
      </c>
      <c r="O189" s="73">
        <f t="shared" si="23"/>
        <v>260000</v>
      </c>
      <c r="P189" s="73">
        <f t="shared" si="24"/>
        <v>312000</v>
      </c>
      <c r="Q189" s="301">
        <f t="shared" si="25"/>
        <v>48360</v>
      </c>
      <c r="R189" s="301">
        <f t="shared" si="26"/>
        <v>241800</v>
      </c>
      <c r="S189" s="300">
        <f t="shared" si="27"/>
        <v>290160</v>
      </c>
    </row>
    <row r="190" spans="1:19" ht="15" x14ac:dyDescent="0.2">
      <c r="A190" s="49">
        <v>178</v>
      </c>
      <c r="B190" s="53" t="s">
        <v>239</v>
      </c>
      <c r="C190" s="33" t="s">
        <v>153</v>
      </c>
      <c r="D190" s="133">
        <v>304985.52084370627</v>
      </c>
      <c r="E190" s="114">
        <v>90885.685211424425</v>
      </c>
      <c r="F190" s="114">
        <v>363542.74084569793</v>
      </c>
      <c r="G190" s="114">
        <v>454428.42605712236</v>
      </c>
      <c r="H190" s="257">
        <f t="shared" si="19"/>
        <v>72000</v>
      </c>
      <c r="I190" s="257">
        <v>360000</v>
      </c>
      <c r="J190" s="258">
        <f t="shared" si="20"/>
        <v>432000</v>
      </c>
      <c r="K190" s="145">
        <f>90885.6852114244-1000</f>
        <v>89885.685211424396</v>
      </c>
      <c r="L190" s="145">
        <v>363542.74084569793</v>
      </c>
      <c r="M190" s="142">
        <f t="shared" si="21"/>
        <v>453428.4260571223</v>
      </c>
      <c r="N190" s="99">
        <f t="shared" si="22"/>
        <v>72000</v>
      </c>
      <c r="O190" s="73">
        <f t="shared" si="23"/>
        <v>360000</v>
      </c>
      <c r="P190" s="73">
        <f t="shared" si="24"/>
        <v>432000</v>
      </c>
      <c r="Q190" s="301">
        <f t="shared" si="25"/>
        <v>66960</v>
      </c>
      <c r="R190" s="301">
        <f t="shared" si="26"/>
        <v>334800</v>
      </c>
      <c r="S190" s="300">
        <f t="shared" si="27"/>
        <v>401760</v>
      </c>
    </row>
    <row r="191" spans="1:19" ht="15" x14ac:dyDescent="0.2">
      <c r="A191" s="49">
        <v>179</v>
      </c>
      <c r="B191" s="53" t="s">
        <v>240</v>
      </c>
      <c r="C191" s="33" t="s">
        <v>153</v>
      </c>
      <c r="D191" s="133">
        <v>342964.84985443199</v>
      </c>
      <c r="E191" s="114">
        <v>102203.52525662072</v>
      </c>
      <c r="F191" s="114">
        <v>408814.10102648294</v>
      </c>
      <c r="G191" s="114">
        <v>511017.62628310366</v>
      </c>
      <c r="H191" s="257">
        <f t="shared" si="19"/>
        <v>85000</v>
      </c>
      <c r="I191" s="257">
        <v>425000</v>
      </c>
      <c r="J191" s="258">
        <f t="shared" si="20"/>
        <v>510000</v>
      </c>
      <c r="K191" s="145">
        <f>102203.525256621-1000</f>
        <v>101203.525256621</v>
      </c>
      <c r="L191" s="145">
        <v>408814.10102648294</v>
      </c>
      <c r="M191" s="142">
        <f t="shared" si="21"/>
        <v>510017.62628310395</v>
      </c>
      <c r="N191" s="99">
        <f t="shared" si="22"/>
        <v>85000</v>
      </c>
      <c r="O191" s="73">
        <f t="shared" si="23"/>
        <v>408814.10102648294</v>
      </c>
      <c r="P191" s="73">
        <f t="shared" si="24"/>
        <v>493814.10102648294</v>
      </c>
      <c r="Q191" s="301">
        <f t="shared" si="25"/>
        <v>79050</v>
      </c>
      <c r="R191" s="301">
        <f t="shared" si="26"/>
        <v>380197.11395462911</v>
      </c>
      <c r="S191" s="300">
        <f t="shared" si="27"/>
        <v>459247.11395462911</v>
      </c>
    </row>
    <row r="192" spans="1:19" ht="15" x14ac:dyDescent="0.2">
      <c r="A192" s="49">
        <v>180</v>
      </c>
      <c r="B192" s="47" t="s">
        <v>361</v>
      </c>
      <c r="C192" s="33" t="s">
        <v>153</v>
      </c>
      <c r="D192" s="133">
        <v>820997.73083137511</v>
      </c>
      <c r="E192" s="114">
        <v>244657.32378774974</v>
      </c>
      <c r="F192" s="114">
        <v>978629.29515099921</v>
      </c>
      <c r="G192" s="114">
        <v>1223286.618938749</v>
      </c>
      <c r="H192" s="257">
        <f t="shared" si="19"/>
        <v>148000</v>
      </c>
      <c r="I192" s="257">
        <v>740000</v>
      </c>
      <c r="J192" s="258">
        <f t="shared" si="20"/>
        <v>888000</v>
      </c>
      <c r="K192" s="145">
        <f>244657.32378775-1000</f>
        <v>243657.32378775001</v>
      </c>
      <c r="L192" s="145">
        <v>978629.29515099921</v>
      </c>
      <c r="M192" s="142">
        <f t="shared" si="21"/>
        <v>1222286.6189387492</v>
      </c>
      <c r="N192" s="99">
        <f t="shared" si="22"/>
        <v>148000</v>
      </c>
      <c r="O192" s="73">
        <f t="shared" si="23"/>
        <v>740000</v>
      </c>
      <c r="P192" s="73">
        <f t="shared" si="24"/>
        <v>888000</v>
      </c>
      <c r="Q192" s="301">
        <f t="shared" si="25"/>
        <v>137640</v>
      </c>
      <c r="R192" s="301">
        <f t="shared" si="26"/>
        <v>688200</v>
      </c>
      <c r="S192" s="300">
        <f t="shared" si="27"/>
        <v>825840</v>
      </c>
    </row>
    <row r="193" spans="1:19" ht="15" x14ac:dyDescent="0.2">
      <c r="A193" s="49">
        <v>181</v>
      </c>
      <c r="B193" s="47" t="s">
        <v>362</v>
      </c>
      <c r="C193" s="33" t="s">
        <v>153</v>
      </c>
      <c r="D193" s="133">
        <v>650000</v>
      </c>
      <c r="E193" s="114">
        <v>193700</v>
      </c>
      <c r="F193" s="114">
        <v>774800</v>
      </c>
      <c r="G193" s="114">
        <v>968500</v>
      </c>
      <c r="H193" s="257">
        <f t="shared" si="19"/>
        <v>240000</v>
      </c>
      <c r="I193" s="257">
        <v>1200000</v>
      </c>
      <c r="J193" s="258">
        <f t="shared" si="20"/>
        <v>1440000</v>
      </c>
      <c r="K193" s="145">
        <f>193700-1000</f>
        <v>192700</v>
      </c>
      <c r="L193" s="145">
        <v>774800</v>
      </c>
      <c r="M193" s="142">
        <f t="shared" si="21"/>
        <v>967500</v>
      </c>
      <c r="N193" s="99">
        <f t="shared" si="22"/>
        <v>192700</v>
      </c>
      <c r="O193" s="73">
        <f t="shared" si="23"/>
        <v>774800</v>
      </c>
      <c r="P193" s="73">
        <f t="shared" si="24"/>
        <v>967500</v>
      </c>
      <c r="Q193" s="301">
        <f t="shared" si="25"/>
        <v>179211</v>
      </c>
      <c r="R193" s="301">
        <f t="shared" si="26"/>
        <v>720564</v>
      </c>
      <c r="S193" s="300">
        <f t="shared" si="27"/>
        <v>899775</v>
      </c>
    </row>
    <row r="194" spans="1:19" ht="15" x14ac:dyDescent="0.2">
      <c r="A194" s="49">
        <v>182</v>
      </c>
      <c r="B194" s="53" t="s">
        <v>272</v>
      </c>
      <c r="C194" s="33" t="s">
        <v>153</v>
      </c>
      <c r="D194" s="133">
        <v>1068710.8936000001</v>
      </c>
      <c r="E194" s="114">
        <v>318475.84629280004</v>
      </c>
      <c r="F194" s="114">
        <v>1273903.3851712001</v>
      </c>
      <c r="G194" s="114">
        <v>1592379.2314640002</v>
      </c>
      <c r="H194" s="257">
        <f t="shared" si="19"/>
        <v>220000</v>
      </c>
      <c r="I194" s="257">
        <v>1100000</v>
      </c>
      <c r="J194" s="258">
        <f t="shared" si="20"/>
        <v>1320000</v>
      </c>
      <c r="K194" s="145">
        <f>318475.8462928-1000</f>
        <v>317475.84629279998</v>
      </c>
      <c r="L194" s="145">
        <v>1273903.3851712001</v>
      </c>
      <c r="M194" s="142">
        <f t="shared" si="21"/>
        <v>1591379.2314640002</v>
      </c>
      <c r="N194" s="99">
        <f t="shared" si="22"/>
        <v>220000</v>
      </c>
      <c r="O194" s="73">
        <f t="shared" si="23"/>
        <v>1100000</v>
      </c>
      <c r="P194" s="73">
        <f t="shared" si="24"/>
        <v>1320000</v>
      </c>
      <c r="Q194" s="301">
        <f t="shared" si="25"/>
        <v>204600</v>
      </c>
      <c r="R194" s="301">
        <f t="shared" si="26"/>
        <v>1023000</v>
      </c>
      <c r="S194" s="300">
        <f t="shared" si="27"/>
        <v>1227600</v>
      </c>
    </row>
    <row r="195" spans="1:19" ht="15" x14ac:dyDescent="0.2">
      <c r="A195" s="49">
        <v>183</v>
      </c>
      <c r="B195" s="53" t="s">
        <v>273</v>
      </c>
      <c r="C195" s="33" t="s">
        <v>153</v>
      </c>
      <c r="D195" s="133">
        <v>871779.82499999995</v>
      </c>
      <c r="E195" s="114">
        <v>259790.38784999994</v>
      </c>
      <c r="F195" s="114">
        <v>1039161.5513999999</v>
      </c>
      <c r="G195" s="114">
        <v>1298951.9392499998</v>
      </c>
      <c r="H195" s="257">
        <f t="shared" si="19"/>
        <v>98000</v>
      </c>
      <c r="I195" s="257">
        <v>490000</v>
      </c>
      <c r="J195" s="258">
        <f t="shared" si="20"/>
        <v>588000</v>
      </c>
      <c r="K195" s="145">
        <f>259790.38785-1000</f>
        <v>258790.38785</v>
      </c>
      <c r="L195" s="145">
        <v>1039161.5513999999</v>
      </c>
      <c r="M195" s="142">
        <f t="shared" si="21"/>
        <v>1297951.9392499998</v>
      </c>
      <c r="N195" s="99">
        <f t="shared" si="22"/>
        <v>98000</v>
      </c>
      <c r="O195" s="73">
        <f t="shared" si="23"/>
        <v>490000</v>
      </c>
      <c r="P195" s="73">
        <f t="shared" si="24"/>
        <v>588000</v>
      </c>
      <c r="Q195" s="301">
        <f t="shared" si="25"/>
        <v>91140</v>
      </c>
      <c r="R195" s="301">
        <f t="shared" si="26"/>
        <v>455700</v>
      </c>
      <c r="S195" s="300">
        <f t="shared" si="27"/>
        <v>546840</v>
      </c>
    </row>
    <row r="196" spans="1:19" ht="15" x14ac:dyDescent="0.2">
      <c r="A196" s="49">
        <v>184</v>
      </c>
      <c r="B196" s="53" t="s">
        <v>94</v>
      </c>
      <c r="C196" s="33" t="s">
        <v>153</v>
      </c>
      <c r="D196" s="133">
        <v>389699.20500000002</v>
      </c>
      <c r="E196" s="114">
        <v>116130.36309</v>
      </c>
      <c r="F196" s="114">
        <v>464521.45236</v>
      </c>
      <c r="G196" s="114">
        <v>580651.81544999999</v>
      </c>
      <c r="H196" s="257">
        <f t="shared" si="19"/>
        <v>4000</v>
      </c>
      <c r="I196" s="257">
        <v>20000</v>
      </c>
      <c r="J196" s="258">
        <f t="shared" si="20"/>
        <v>24000</v>
      </c>
      <c r="K196" s="145">
        <f>116130.36309-1000</f>
        <v>115130.36309</v>
      </c>
      <c r="L196" s="145">
        <v>464521.45236</v>
      </c>
      <c r="M196" s="142">
        <f t="shared" si="21"/>
        <v>579651.81544999999</v>
      </c>
      <c r="N196" s="99">
        <f t="shared" si="22"/>
        <v>4000</v>
      </c>
      <c r="O196" s="73">
        <f t="shared" si="23"/>
        <v>20000</v>
      </c>
      <c r="P196" s="73">
        <f t="shared" si="24"/>
        <v>24000</v>
      </c>
      <c r="Q196" s="301">
        <f t="shared" si="25"/>
        <v>3720</v>
      </c>
      <c r="R196" s="301">
        <f t="shared" si="26"/>
        <v>18600</v>
      </c>
      <c r="S196" s="300">
        <f t="shared" si="27"/>
        <v>22320</v>
      </c>
    </row>
    <row r="197" spans="1:19" ht="15" x14ac:dyDescent="0.2">
      <c r="A197" s="49">
        <v>185</v>
      </c>
      <c r="B197" s="53" t="s">
        <v>250</v>
      </c>
      <c r="C197" s="33" t="s">
        <v>153</v>
      </c>
      <c r="D197" s="133">
        <v>167090.2254</v>
      </c>
      <c r="E197" s="114">
        <v>49792.887169199996</v>
      </c>
      <c r="F197" s="114">
        <v>199171.54867679998</v>
      </c>
      <c r="G197" s="114">
        <v>248964.43584599998</v>
      </c>
      <c r="H197" s="257">
        <f t="shared" si="19"/>
        <v>1520000</v>
      </c>
      <c r="I197" s="257">
        <v>7600000</v>
      </c>
      <c r="J197" s="258">
        <f t="shared" si="20"/>
        <v>9120000</v>
      </c>
      <c r="K197" s="145">
        <f>49792.8871691999-1000</f>
        <v>48792.887169199901</v>
      </c>
      <c r="L197" s="145">
        <v>199171.54867679998</v>
      </c>
      <c r="M197" s="142">
        <f t="shared" si="21"/>
        <v>247964.43584599989</v>
      </c>
      <c r="N197" s="99">
        <f t="shared" si="22"/>
        <v>48792.887169199901</v>
      </c>
      <c r="O197" s="73">
        <f t="shared" si="23"/>
        <v>199171.54867679998</v>
      </c>
      <c r="P197" s="73">
        <f t="shared" si="24"/>
        <v>247964.43584599989</v>
      </c>
      <c r="Q197" s="301">
        <f t="shared" si="25"/>
        <v>45377.385067355906</v>
      </c>
      <c r="R197" s="301">
        <f t="shared" si="26"/>
        <v>185229.54026942397</v>
      </c>
      <c r="S197" s="300">
        <f t="shared" si="27"/>
        <v>230606.92533677988</v>
      </c>
    </row>
    <row r="198" spans="1:19" ht="15" x14ac:dyDescent="0.2">
      <c r="A198" s="49">
        <v>186</v>
      </c>
      <c r="B198" s="47" t="s">
        <v>120</v>
      </c>
      <c r="C198" s="33" t="s">
        <v>153</v>
      </c>
      <c r="D198" s="133">
        <v>7630624.2347999997</v>
      </c>
      <c r="E198" s="114">
        <v>2136574.7857440002</v>
      </c>
      <c r="F198" s="114">
        <v>8546299.142975999</v>
      </c>
      <c r="G198" s="114">
        <v>10682873.928719999</v>
      </c>
      <c r="H198" s="257">
        <f t="shared" ref="H198:H259" si="29">+I198*20%</f>
        <v>34000</v>
      </c>
      <c r="I198" s="257">
        <v>170000</v>
      </c>
      <c r="J198" s="258">
        <f t="shared" ref="J198:J259" si="30">+I198+H198</f>
        <v>204000</v>
      </c>
      <c r="K198" s="145">
        <f>2136574.785744-1000</f>
        <v>2135574.7857440002</v>
      </c>
      <c r="L198" s="145">
        <v>8546299.142975999</v>
      </c>
      <c r="M198" s="142">
        <f t="shared" ref="M198:M256" si="31">K198+L198</f>
        <v>10681873.928719999</v>
      </c>
      <c r="N198" s="99">
        <f t="shared" ref="N198:N259" si="32">MIN(E198,H198,K198)</f>
        <v>34000</v>
      </c>
      <c r="O198" s="73">
        <f t="shared" ref="O198:O259" si="33">MIN(F198,I198,L198)</f>
        <v>170000</v>
      </c>
      <c r="P198" s="73">
        <f t="shared" ref="P198:P259" si="34">O198+N198</f>
        <v>204000</v>
      </c>
      <c r="Q198" s="301">
        <f t="shared" ref="Q198:Q261" si="35">N198-(N198*7%)</f>
        <v>31620</v>
      </c>
      <c r="R198" s="301">
        <f t="shared" ref="R198:R261" si="36">O198-(O198*7%)</f>
        <v>158100</v>
      </c>
      <c r="S198" s="300">
        <f t="shared" ref="S198:S261" si="37">R198+Q198</f>
        <v>189720</v>
      </c>
    </row>
    <row r="199" spans="1:19" ht="15" x14ac:dyDescent="0.2">
      <c r="A199" s="49">
        <v>187</v>
      </c>
      <c r="B199" s="47" t="s">
        <v>242</v>
      </c>
      <c r="C199" s="33" t="s">
        <v>153</v>
      </c>
      <c r="D199" s="133">
        <v>147245.32339999999</v>
      </c>
      <c r="E199" s="114">
        <v>43879.106373199989</v>
      </c>
      <c r="F199" s="114">
        <v>175516.42549279999</v>
      </c>
      <c r="G199" s="114">
        <v>219395.53186599998</v>
      </c>
      <c r="H199" s="257">
        <f t="shared" si="29"/>
        <v>128000</v>
      </c>
      <c r="I199" s="257">
        <v>640000</v>
      </c>
      <c r="J199" s="258">
        <f t="shared" si="30"/>
        <v>768000</v>
      </c>
      <c r="K199" s="145">
        <f>43879.1063732-1000</f>
        <v>42879.106373199997</v>
      </c>
      <c r="L199" s="145">
        <v>175516.42549279999</v>
      </c>
      <c r="M199" s="142">
        <f t="shared" si="31"/>
        <v>218395.53186599998</v>
      </c>
      <c r="N199" s="99">
        <f t="shared" si="32"/>
        <v>42879.106373199997</v>
      </c>
      <c r="O199" s="73">
        <f t="shared" si="33"/>
        <v>175516.42549279999</v>
      </c>
      <c r="P199" s="73">
        <f t="shared" si="34"/>
        <v>218395.53186599998</v>
      </c>
      <c r="Q199" s="301">
        <f t="shared" si="35"/>
        <v>39877.568927075998</v>
      </c>
      <c r="R199" s="301">
        <f t="shared" si="36"/>
        <v>163230.27570830399</v>
      </c>
      <c r="S199" s="300">
        <f t="shared" si="37"/>
        <v>203107.84463538</v>
      </c>
    </row>
    <row r="200" spans="1:19" ht="15" x14ac:dyDescent="0.2">
      <c r="A200" s="49">
        <v>188</v>
      </c>
      <c r="B200" s="50" t="s">
        <v>230</v>
      </c>
      <c r="C200" s="33" t="s">
        <v>153</v>
      </c>
      <c r="D200" s="133">
        <v>647375.7892</v>
      </c>
      <c r="E200" s="114">
        <v>192917.98518159997</v>
      </c>
      <c r="F200" s="114">
        <v>771671.9407264</v>
      </c>
      <c r="G200" s="114">
        <v>964589.92590799998</v>
      </c>
      <c r="H200" s="257">
        <f t="shared" si="29"/>
        <v>5000</v>
      </c>
      <c r="I200" s="257">
        <v>25000</v>
      </c>
      <c r="J200" s="258">
        <f t="shared" si="30"/>
        <v>30000</v>
      </c>
      <c r="K200" s="145">
        <f>192917.9851816-1000</f>
        <v>191917.9851816</v>
      </c>
      <c r="L200" s="145">
        <v>771671.9407264</v>
      </c>
      <c r="M200" s="142">
        <f t="shared" si="31"/>
        <v>963589.92590799998</v>
      </c>
      <c r="N200" s="99">
        <f t="shared" si="32"/>
        <v>5000</v>
      </c>
      <c r="O200" s="73">
        <f t="shared" si="33"/>
        <v>25000</v>
      </c>
      <c r="P200" s="73">
        <f t="shared" si="34"/>
        <v>30000</v>
      </c>
      <c r="Q200" s="301">
        <f t="shared" si="35"/>
        <v>4650</v>
      </c>
      <c r="R200" s="301">
        <f t="shared" si="36"/>
        <v>23250</v>
      </c>
      <c r="S200" s="300">
        <f t="shared" si="37"/>
        <v>27900</v>
      </c>
    </row>
    <row r="201" spans="1:19" ht="15" x14ac:dyDescent="0.2">
      <c r="A201" s="49">
        <v>189</v>
      </c>
      <c r="B201" s="50" t="s">
        <v>231</v>
      </c>
      <c r="C201" s="33" t="s">
        <v>153</v>
      </c>
      <c r="D201" s="133">
        <v>19905.221000000001</v>
      </c>
      <c r="E201" s="114">
        <v>5971.5662999999986</v>
      </c>
      <c r="F201" s="114">
        <v>23886.265200000002</v>
      </c>
      <c r="G201" s="114">
        <v>29857.8315</v>
      </c>
      <c r="H201" s="257">
        <f t="shared" si="29"/>
        <v>0</v>
      </c>
      <c r="I201" s="257"/>
      <c r="J201" s="258">
        <f t="shared" si="30"/>
        <v>0</v>
      </c>
      <c r="K201" s="143"/>
      <c r="L201" s="148"/>
      <c r="M201" s="142">
        <f t="shared" si="31"/>
        <v>0</v>
      </c>
      <c r="N201" s="99">
        <f t="shared" si="32"/>
        <v>0</v>
      </c>
      <c r="O201" s="73">
        <f t="shared" si="33"/>
        <v>23886.265200000002</v>
      </c>
      <c r="P201" s="73">
        <f t="shared" si="34"/>
        <v>23886.265200000002</v>
      </c>
      <c r="Q201" s="301">
        <f t="shared" si="35"/>
        <v>0</v>
      </c>
      <c r="R201" s="301">
        <f t="shared" si="36"/>
        <v>22214.226636000003</v>
      </c>
      <c r="S201" s="300">
        <f t="shared" si="37"/>
        <v>22214.226636000003</v>
      </c>
    </row>
    <row r="202" spans="1:19" ht="22.5" x14ac:dyDescent="0.2">
      <c r="A202" s="49"/>
      <c r="B202" s="29" t="s">
        <v>44</v>
      </c>
      <c r="C202" s="33" t="s">
        <v>153</v>
      </c>
      <c r="D202" s="133"/>
      <c r="E202" s="114"/>
      <c r="F202" s="114"/>
      <c r="G202" s="114"/>
      <c r="H202" s="257">
        <f t="shared" si="29"/>
        <v>0</v>
      </c>
      <c r="I202" s="257"/>
      <c r="J202" s="258">
        <f t="shared" si="30"/>
        <v>0</v>
      </c>
      <c r="K202" s="145">
        <f>5971.5663-1000</f>
        <v>4971.5663000000004</v>
      </c>
      <c r="L202" s="145">
        <v>23886.265200000002</v>
      </c>
      <c r="M202" s="142">
        <f t="shared" si="31"/>
        <v>28857.8315</v>
      </c>
      <c r="N202" s="99">
        <f t="shared" si="32"/>
        <v>0</v>
      </c>
      <c r="O202" s="73">
        <f t="shared" si="33"/>
        <v>23886.265200000002</v>
      </c>
      <c r="P202" s="73">
        <f t="shared" si="34"/>
        <v>23886.265200000002</v>
      </c>
      <c r="Q202" s="301">
        <f t="shared" si="35"/>
        <v>0</v>
      </c>
      <c r="R202" s="301">
        <f t="shared" si="36"/>
        <v>22214.226636000003</v>
      </c>
      <c r="S202" s="300">
        <f t="shared" si="37"/>
        <v>22214.226636000003</v>
      </c>
    </row>
    <row r="203" spans="1:19" ht="15" x14ac:dyDescent="0.2">
      <c r="A203" s="49">
        <v>190</v>
      </c>
      <c r="B203" s="47" t="s">
        <v>86</v>
      </c>
      <c r="C203" s="33" t="s">
        <v>153</v>
      </c>
      <c r="D203" s="133">
        <v>101515.0052</v>
      </c>
      <c r="E203" s="114">
        <v>30251.471549599999</v>
      </c>
      <c r="F203" s="114">
        <v>121005.88619840001</v>
      </c>
      <c r="G203" s="114">
        <v>151257.35774800001</v>
      </c>
      <c r="H203" s="257">
        <f t="shared" si="29"/>
        <v>258000</v>
      </c>
      <c r="I203" s="257">
        <v>1290000</v>
      </c>
      <c r="J203" s="258">
        <f t="shared" si="30"/>
        <v>1548000</v>
      </c>
      <c r="K203" s="145">
        <f>30251.4715496-1000</f>
        <v>29251.471549599999</v>
      </c>
      <c r="L203" s="145">
        <v>121005.88619840001</v>
      </c>
      <c r="M203" s="142">
        <f t="shared" si="31"/>
        <v>150257.35774800001</v>
      </c>
      <c r="N203" s="99">
        <f t="shared" si="32"/>
        <v>29251.471549599999</v>
      </c>
      <c r="O203" s="73">
        <f t="shared" si="33"/>
        <v>121005.88619840001</v>
      </c>
      <c r="P203" s="73">
        <f t="shared" si="34"/>
        <v>150257.35774800001</v>
      </c>
      <c r="Q203" s="301">
        <f t="shared" si="35"/>
        <v>27203.868541127998</v>
      </c>
      <c r="R203" s="301">
        <f t="shared" si="36"/>
        <v>112535.47416451201</v>
      </c>
      <c r="S203" s="300">
        <f t="shared" si="37"/>
        <v>139739.34270564001</v>
      </c>
    </row>
    <row r="204" spans="1:19" ht="15" x14ac:dyDescent="0.2">
      <c r="A204" s="49">
        <v>191</v>
      </c>
      <c r="B204" s="50" t="s">
        <v>45</v>
      </c>
      <c r="C204" s="33" t="s">
        <v>153</v>
      </c>
      <c r="D204" s="133">
        <v>715058.86199999996</v>
      </c>
      <c r="E204" s="114">
        <v>213087.54087599996</v>
      </c>
      <c r="F204" s="114">
        <v>852350.16350400005</v>
      </c>
      <c r="G204" s="114">
        <v>1065437.70438</v>
      </c>
      <c r="H204" s="257">
        <f t="shared" si="29"/>
        <v>180000</v>
      </c>
      <c r="I204" s="257">
        <v>900000</v>
      </c>
      <c r="J204" s="258">
        <f t="shared" si="30"/>
        <v>1080000</v>
      </c>
      <c r="K204" s="145">
        <f>213087.540876-1000</f>
        <v>212087.54087600001</v>
      </c>
      <c r="L204" s="145">
        <v>852350.16350400005</v>
      </c>
      <c r="M204" s="142">
        <f t="shared" si="31"/>
        <v>1064437.70438</v>
      </c>
      <c r="N204" s="99">
        <f t="shared" si="32"/>
        <v>180000</v>
      </c>
      <c r="O204" s="73">
        <f t="shared" si="33"/>
        <v>852350.16350400005</v>
      </c>
      <c r="P204" s="73">
        <f t="shared" si="34"/>
        <v>1032350.1635040001</v>
      </c>
      <c r="Q204" s="301">
        <f t="shared" si="35"/>
        <v>167400</v>
      </c>
      <c r="R204" s="301">
        <f t="shared" si="36"/>
        <v>792685.65205872001</v>
      </c>
      <c r="S204" s="300">
        <f t="shared" si="37"/>
        <v>960085.65205872001</v>
      </c>
    </row>
    <row r="205" spans="1:19" ht="15" x14ac:dyDescent="0.2">
      <c r="A205" s="49">
        <v>192</v>
      </c>
      <c r="B205" s="40" t="s">
        <v>243</v>
      </c>
      <c r="C205" s="33" t="s">
        <v>153</v>
      </c>
      <c r="D205" s="133">
        <v>360769.89899999998</v>
      </c>
      <c r="E205" s="114">
        <v>107509.429902</v>
      </c>
      <c r="F205" s="114">
        <v>430037.71960800001</v>
      </c>
      <c r="G205" s="114">
        <v>537547.14951000002</v>
      </c>
      <c r="H205" s="257">
        <f t="shared" si="29"/>
        <v>90000</v>
      </c>
      <c r="I205" s="257">
        <v>450000</v>
      </c>
      <c r="J205" s="258">
        <f t="shared" si="30"/>
        <v>540000</v>
      </c>
      <c r="K205" s="145">
        <f>107509.429902-1000</f>
        <v>106509.429902</v>
      </c>
      <c r="L205" s="145">
        <v>430037.71960800001</v>
      </c>
      <c r="M205" s="142">
        <f t="shared" si="31"/>
        <v>536547.14951000002</v>
      </c>
      <c r="N205" s="99">
        <f t="shared" si="32"/>
        <v>90000</v>
      </c>
      <c r="O205" s="73">
        <f t="shared" si="33"/>
        <v>430037.71960800001</v>
      </c>
      <c r="P205" s="73">
        <f t="shared" si="34"/>
        <v>520037.71960800001</v>
      </c>
      <c r="Q205" s="301">
        <f t="shared" si="35"/>
        <v>83700</v>
      </c>
      <c r="R205" s="301">
        <f t="shared" si="36"/>
        <v>399935.07923544</v>
      </c>
      <c r="S205" s="300">
        <f t="shared" si="37"/>
        <v>483635.07923544</v>
      </c>
    </row>
    <row r="206" spans="1:19" ht="15" x14ac:dyDescent="0.2">
      <c r="A206" s="49">
        <v>193</v>
      </c>
      <c r="B206" s="50" t="s">
        <v>46</v>
      </c>
      <c r="C206" s="33" t="s">
        <v>153</v>
      </c>
      <c r="D206" s="133">
        <v>92972.678400000004</v>
      </c>
      <c r="E206" s="114">
        <v>27891.803520000001</v>
      </c>
      <c r="F206" s="114">
        <v>111567.21408000002</v>
      </c>
      <c r="G206" s="114">
        <v>139459.01760000002</v>
      </c>
      <c r="H206" s="257">
        <f t="shared" si="29"/>
        <v>236000</v>
      </c>
      <c r="I206" s="257">
        <v>1180000</v>
      </c>
      <c r="J206" s="258">
        <f t="shared" si="30"/>
        <v>1416000</v>
      </c>
      <c r="K206" s="145">
        <f>27891.80352-1000</f>
        <v>26891.803520000001</v>
      </c>
      <c r="L206" s="145">
        <v>111567.21408000002</v>
      </c>
      <c r="M206" s="142">
        <f t="shared" si="31"/>
        <v>138459.01760000002</v>
      </c>
      <c r="N206" s="99">
        <f t="shared" si="32"/>
        <v>26891.803520000001</v>
      </c>
      <c r="O206" s="73">
        <f t="shared" si="33"/>
        <v>111567.21408000002</v>
      </c>
      <c r="P206" s="73">
        <f t="shared" si="34"/>
        <v>138459.01760000002</v>
      </c>
      <c r="Q206" s="301">
        <f t="shared" si="35"/>
        <v>25009.377273600003</v>
      </c>
      <c r="R206" s="301">
        <f t="shared" si="36"/>
        <v>103757.50909440001</v>
      </c>
      <c r="S206" s="300">
        <f t="shared" si="37"/>
        <v>128766.88636800001</v>
      </c>
    </row>
    <row r="207" spans="1:19" ht="15" x14ac:dyDescent="0.2">
      <c r="A207" s="49">
        <v>194</v>
      </c>
      <c r="B207" s="47" t="s">
        <v>87</v>
      </c>
      <c r="C207" s="33" t="s">
        <v>153</v>
      </c>
      <c r="D207" s="133">
        <v>96487.565999999992</v>
      </c>
      <c r="E207" s="114">
        <v>28946.269799999995</v>
      </c>
      <c r="F207" s="114">
        <v>115785.07919999999</v>
      </c>
      <c r="G207" s="114">
        <v>144731.34899999999</v>
      </c>
      <c r="H207" s="257">
        <f t="shared" si="29"/>
        <v>24000</v>
      </c>
      <c r="I207" s="257">
        <v>120000</v>
      </c>
      <c r="J207" s="258">
        <f t="shared" si="30"/>
        <v>144000</v>
      </c>
      <c r="K207" s="145">
        <f>28946.2698-1000</f>
        <v>27946.269799999998</v>
      </c>
      <c r="L207" s="145">
        <v>115785.07919999999</v>
      </c>
      <c r="M207" s="142">
        <f t="shared" si="31"/>
        <v>143731.34899999999</v>
      </c>
      <c r="N207" s="99">
        <f t="shared" si="32"/>
        <v>24000</v>
      </c>
      <c r="O207" s="73">
        <f t="shared" si="33"/>
        <v>115785.07919999999</v>
      </c>
      <c r="P207" s="73">
        <f t="shared" si="34"/>
        <v>139785.07919999998</v>
      </c>
      <c r="Q207" s="301">
        <f t="shared" si="35"/>
        <v>22320</v>
      </c>
      <c r="R207" s="301">
        <f t="shared" si="36"/>
        <v>107680.123656</v>
      </c>
      <c r="S207" s="300">
        <f t="shared" si="37"/>
        <v>130000.123656</v>
      </c>
    </row>
    <row r="208" spans="1:19" ht="15" x14ac:dyDescent="0.2">
      <c r="A208" s="49">
        <v>195</v>
      </c>
      <c r="B208" s="55" t="s">
        <v>129</v>
      </c>
      <c r="C208" s="33" t="s">
        <v>153</v>
      </c>
      <c r="D208" s="133">
        <v>283354.79165514931</v>
      </c>
      <c r="E208" s="114">
        <v>84439.727913234499</v>
      </c>
      <c r="F208" s="114">
        <v>337758.911652938</v>
      </c>
      <c r="G208" s="114">
        <v>422198.6395661725</v>
      </c>
      <c r="H208" s="257">
        <f t="shared" si="29"/>
        <v>66000</v>
      </c>
      <c r="I208" s="257">
        <v>330000</v>
      </c>
      <c r="J208" s="258">
        <f t="shared" si="30"/>
        <v>396000</v>
      </c>
      <c r="K208" s="145">
        <f>84439.7279132345-1000</f>
        <v>83439.727913234499</v>
      </c>
      <c r="L208" s="145">
        <v>337758.911652938</v>
      </c>
      <c r="M208" s="142">
        <f t="shared" si="31"/>
        <v>421198.6395661725</v>
      </c>
      <c r="N208" s="99">
        <f t="shared" si="32"/>
        <v>66000</v>
      </c>
      <c r="O208" s="73">
        <f t="shared" si="33"/>
        <v>330000</v>
      </c>
      <c r="P208" s="73">
        <f t="shared" si="34"/>
        <v>396000</v>
      </c>
      <c r="Q208" s="301">
        <f t="shared" si="35"/>
        <v>61380</v>
      </c>
      <c r="R208" s="301">
        <f t="shared" si="36"/>
        <v>306900</v>
      </c>
      <c r="S208" s="300">
        <f t="shared" si="37"/>
        <v>368280</v>
      </c>
    </row>
    <row r="209" spans="1:19" ht="15" x14ac:dyDescent="0.2">
      <c r="A209" s="49">
        <v>196</v>
      </c>
      <c r="B209" s="47" t="s">
        <v>363</v>
      </c>
      <c r="C209" s="33" t="s">
        <v>153</v>
      </c>
      <c r="D209" s="133">
        <v>294537.03999999998</v>
      </c>
      <c r="E209" s="114">
        <v>87772.037919999973</v>
      </c>
      <c r="F209" s="114">
        <v>351088.15168000001</v>
      </c>
      <c r="G209" s="114">
        <v>438860.18959999998</v>
      </c>
      <c r="H209" s="257">
        <f t="shared" si="29"/>
        <v>74000</v>
      </c>
      <c r="I209" s="257">
        <v>370000</v>
      </c>
      <c r="J209" s="258">
        <f t="shared" si="30"/>
        <v>444000</v>
      </c>
      <c r="K209" s="145">
        <f>87772.03792-1000</f>
        <v>86772.037920000002</v>
      </c>
      <c r="L209" s="145">
        <v>351088.15168000001</v>
      </c>
      <c r="M209" s="142">
        <f t="shared" si="31"/>
        <v>437860.18960000004</v>
      </c>
      <c r="N209" s="99">
        <f t="shared" si="32"/>
        <v>74000</v>
      </c>
      <c r="O209" s="73">
        <f t="shared" si="33"/>
        <v>351088.15168000001</v>
      </c>
      <c r="P209" s="73">
        <f t="shared" si="34"/>
        <v>425088.15168000001</v>
      </c>
      <c r="Q209" s="301">
        <f t="shared" si="35"/>
        <v>68820</v>
      </c>
      <c r="R209" s="301">
        <f t="shared" si="36"/>
        <v>326511.98106239998</v>
      </c>
      <c r="S209" s="300">
        <f t="shared" si="37"/>
        <v>395331.98106239998</v>
      </c>
    </row>
    <row r="210" spans="1:19" ht="22.5" x14ac:dyDescent="0.2">
      <c r="A210" s="49"/>
      <c r="B210" s="29" t="s">
        <v>59</v>
      </c>
      <c r="C210" s="33" t="s">
        <v>153</v>
      </c>
      <c r="D210" s="133"/>
      <c r="E210" s="114"/>
      <c r="F210" s="114"/>
      <c r="G210" s="114"/>
      <c r="H210" s="257">
        <f t="shared" si="29"/>
        <v>0</v>
      </c>
      <c r="I210" s="257"/>
      <c r="J210" s="258">
        <f t="shared" si="30"/>
        <v>0</v>
      </c>
      <c r="K210" s="143"/>
      <c r="L210" s="148"/>
      <c r="M210" s="142">
        <f t="shared" si="31"/>
        <v>0</v>
      </c>
      <c r="N210" s="99">
        <f t="shared" si="32"/>
        <v>0</v>
      </c>
      <c r="O210" s="73">
        <f t="shared" si="33"/>
        <v>0</v>
      </c>
      <c r="P210" s="73">
        <f t="shared" si="34"/>
        <v>0</v>
      </c>
      <c r="Q210" s="301">
        <f t="shared" si="35"/>
        <v>0</v>
      </c>
      <c r="R210" s="301">
        <f t="shared" si="36"/>
        <v>0</v>
      </c>
      <c r="S210" s="300">
        <f t="shared" si="37"/>
        <v>0</v>
      </c>
    </row>
    <row r="211" spans="1:19" ht="15" x14ac:dyDescent="0.2">
      <c r="A211" s="49">
        <v>197</v>
      </c>
      <c r="B211" s="50" t="s">
        <v>60</v>
      </c>
      <c r="C211" s="33" t="s">
        <v>153</v>
      </c>
      <c r="D211" s="133">
        <v>192610.42499999999</v>
      </c>
      <c r="E211" s="114">
        <v>58000</v>
      </c>
      <c r="F211" s="114">
        <v>232000</v>
      </c>
      <c r="G211" s="114">
        <v>290000</v>
      </c>
      <c r="H211" s="257">
        <f t="shared" si="29"/>
        <v>46000</v>
      </c>
      <c r="I211" s="257">
        <v>230000</v>
      </c>
      <c r="J211" s="258">
        <f t="shared" si="30"/>
        <v>276000</v>
      </c>
      <c r="K211" s="145">
        <f>58000-1000</f>
        <v>57000</v>
      </c>
      <c r="L211" s="145">
        <v>232000</v>
      </c>
      <c r="M211" s="142">
        <f t="shared" si="31"/>
        <v>289000</v>
      </c>
      <c r="N211" s="99">
        <f t="shared" si="32"/>
        <v>46000</v>
      </c>
      <c r="O211" s="73">
        <f t="shared" si="33"/>
        <v>230000</v>
      </c>
      <c r="P211" s="73">
        <f t="shared" si="34"/>
        <v>276000</v>
      </c>
      <c r="Q211" s="301">
        <f t="shared" si="35"/>
        <v>42780</v>
      </c>
      <c r="R211" s="301">
        <f t="shared" si="36"/>
        <v>213900</v>
      </c>
      <c r="S211" s="300">
        <f t="shared" si="37"/>
        <v>256680</v>
      </c>
    </row>
    <row r="212" spans="1:19" ht="15" x14ac:dyDescent="0.2">
      <c r="A212" s="49">
        <v>198</v>
      </c>
      <c r="B212" s="50" t="s">
        <v>131</v>
      </c>
      <c r="C212" s="33" t="s">
        <v>153</v>
      </c>
      <c r="D212" s="133">
        <v>37749.9136</v>
      </c>
      <c r="E212" s="114">
        <v>11324.97408</v>
      </c>
      <c r="F212" s="114">
        <v>45299.89632</v>
      </c>
      <c r="G212" s="114">
        <v>56624.8704</v>
      </c>
      <c r="H212" s="257">
        <f t="shared" si="29"/>
        <v>9600</v>
      </c>
      <c r="I212" s="257">
        <v>48000</v>
      </c>
      <c r="J212" s="258">
        <f t="shared" si="30"/>
        <v>57600</v>
      </c>
      <c r="K212" s="145">
        <f>11324.97408-1000</f>
        <v>10324.97408</v>
      </c>
      <c r="L212" s="145">
        <v>45299.89632</v>
      </c>
      <c r="M212" s="142">
        <f t="shared" si="31"/>
        <v>55624.8704</v>
      </c>
      <c r="N212" s="99">
        <f t="shared" si="32"/>
        <v>9600</v>
      </c>
      <c r="O212" s="73">
        <f t="shared" si="33"/>
        <v>45299.89632</v>
      </c>
      <c r="P212" s="73">
        <f t="shared" si="34"/>
        <v>54899.89632</v>
      </c>
      <c r="Q212" s="301">
        <f t="shared" si="35"/>
        <v>8928</v>
      </c>
      <c r="R212" s="301">
        <f t="shared" si="36"/>
        <v>42128.903577600002</v>
      </c>
      <c r="S212" s="300">
        <f t="shared" si="37"/>
        <v>51056.903577600002</v>
      </c>
    </row>
    <row r="213" spans="1:19" ht="15" x14ac:dyDescent="0.2">
      <c r="A213" s="49">
        <v>199</v>
      </c>
      <c r="B213" s="50" t="s">
        <v>244</v>
      </c>
      <c r="C213" s="33" t="s">
        <v>153</v>
      </c>
      <c r="D213" s="133">
        <v>102385.43436660001</v>
      </c>
      <c r="E213" s="114">
        <v>30510.859441246794</v>
      </c>
      <c r="F213" s="114">
        <v>122043.43776498722</v>
      </c>
      <c r="G213" s="114">
        <v>152554.29720623401</v>
      </c>
      <c r="H213" s="257">
        <f t="shared" si="29"/>
        <v>26000</v>
      </c>
      <c r="I213" s="257">
        <v>130000</v>
      </c>
      <c r="J213" s="258">
        <f t="shared" si="30"/>
        <v>156000</v>
      </c>
      <c r="K213" s="145">
        <f>30510.8594412468-1000</f>
        <v>29510.859441246801</v>
      </c>
      <c r="L213" s="145">
        <v>122043.43776498722</v>
      </c>
      <c r="M213" s="142">
        <f t="shared" si="31"/>
        <v>151554.29720623401</v>
      </c>
      <c r="N213" s="99">
        <f t="shared" si="32"/>
        <v>26000</v>
      </c>
      <c r="O213" s="73">
        <f t="shared" si="33"/>
        <v>122043.43776498722</v>
      </c>
      <c r="P213" s="73">
        <f t="shared" si="34"/>
        <v>148043.43776498723</v>
      </c>
      <c r="Q213" s="301">
        <f t="shared" si="35"/>
        <v>24180</v>
      </c>
      <c r="R213" s="301">
        <f t="shared" si="36"/>
        <v>113500.39712143812</v>
      </c>
      <c r="S213" s="300">
        <f t="shared" si="37"/>
        <v>137680.39712143812</v>
      </c>
    </row>
    <row r="214" spans="1:19" ht="15" x14ac:dyDescent="0.2">
      <c r="A214" s="49">
        <v>200</v>
      </c>
      <c r="B214" s="50" t="s">
        <v>61</v>
      </c>
      <c r="C214" s="33" t="s">
        <v>153</v>
      </c>
      <c r="D214" s="133">
        <v>63936.405400000003</v>
      </c>
      <c r="E214" s="114">
        <v>19180.921619999994</v>
      </c>
      <c r="F214" s="114">
        <v>76723.686480000018</v>
      </c>
      <c r="G214" s="114">
        <v>95904.608100000012</v>
      </c>
      <c r="H214" s="257">
        <f t="shared" si="29"/>
        <v>16000</v>
      </c>
      <c r="I214" s="257">
        <v>80000</v>
      </c>
      <c r="J214" s="258">
        <f t="shared" si="30"/>
        <v>96000</v>
      </c>
      <c r="K214" s="145">
        <f>19180.92162-1000</f>
        <v>18180.921620000001</v>
      </c>
      <c r="L214" s="145">
        <v>76723.686480000018</v>
      </c>
      <c r="M214" s="142">
        <f t="shared" si="31"/>
        <v>94904.608100000012</v>
      </c>
      <c r="N214" s="99">
        <f t="shared" si="32"/>
        <v>16000</v>
      </c>
      <c r="O214" s="73">
        <f t="shared" si="33"/>
        <v>76723.686480000018</v>
      </c>
      <c r="P214" s="73">
        <f t="shared" si="34"/>
        <v>92723.686480000018</v>
      </c>
      <c r="Q214" s="301">
        <f t="shared" si="35"/>
        <v>14880</v>
      </c>
      <c r="R214" s="301">
        <f t="shared" si="36"/>
        <v>71353.028426400022</v>
      </c>
      <c r="S214" s="300">
        <f t="shared" si="37"/>
        <v>86233.028426400022</v>
      </c>
    </row>
    <row r="215" spans="1:19" ht="15" x14ac:dyDescent="0.2">
      <c r="A215" s="49">
        <v>201</v>
      </c>
      <c r="B215" s="50" t="s">
        <v>118</v>
      </c>
      <c r="C215" s="33" t="s">
        <v>153</v>
      </c>
      <c r="D215" s="133">
        <v>171912.1292</v>
      </c>
      <c r="E215" s="114">
        <v>51229.814501599991</v>
      </c>
      <c r="F215" s="114">
        <v>204919.25800639999</v>
      </c>
      <c r="G215" s="114">
        <v>256149.07250799998</v>
      </c>
      <c r="H215" s="257">
        <f t="shared" si="29"/>
        <v>40000</v>
      </c>
      <c r="I215" s="257">
        <v>200000</v>
      </c>
      <c r="J215" s="258">
        <f t="shared" si="30"/>
        <v>240000</v>
      </c>
      <c r="K215" s="145">
        <f>51229.8145016-1000</f>
        <v>50229.814501599998</v>
      </c>
      <c r="L215" s="145">
        <v>204919.25800639999</v>
      </c>
      <c r="M215" s="142">
        <f t="shared" si="31"/>
        <v>255149.07250799998</v>
      </c>
      <c r="N215" s="99">
        <f t="shared" si="32"/>
        <v>40000</v>
      </c>
      <c r="O215" s="73">
        <f t="shared" si="33"/>
        <v>200000</v>
      </c>
      <c r="P215" s="73">
        <f t="shared" si="34"/>
        <v>240000</v>
      </c>
      <c r="Q215" s="301">
        <f t="shared" si="35"/>
        <v>37200</v>
      </c>
      <c r="R215" s="301">
        <f t="shared" si="36"/>
        <v>186000</v>
      </c>
      <c r="S215" s="300">
        <f t="shared" si="37"/>
        <v>223200</v>
      </c>
    </row>
    <row r="216" spans="1:19" ht="15" x14ac:dyDescent="0.2">
      <c r="A216" s="49">
        <v>202</v>
      </c>
      <c r="B216" s="50" t="s">
        <v>321</v>
      </c>
      <c r="C216" s="33" t="s">
        <v>153</v>
      </c>
      <c r="D216" s="133">
        <v>224067.69</v>
      </c>
      <c r="E216" s="114">
        <v>66772.171619999979</v>
      </c>
      <c r="F216" s="114">
        <v>267088.68648000003</v>
      </c>
      <c r="G216" s="114">
        <v>333860.85810000001</v>
      </c>
      <c r="H216" s="257">
        <f t="shared" si="29"/>
        <v>52000</v>
      </c>
      <c r="I216" s="257">
        <v>260000</v>
      </c>
      <c r="J216" s="258">
        <f t="shared" si="30"/>
        <v>312000</v>
      </c>
      <c r="K216" s="145">
        <f>66772.17162-1000</f>
        <v>65772.171619999994</v>
      </c>
      <c r="L216" s="145">
        <v>267088.68648000003</v>
      </c>
      <c r="M216" s="142">
        <f t="shared" si="31"/>
        <v>332860.85810000001</v>
      </c>
      <c r="N216" s="99">
        <f t="shared" si="32"/>
        <v>52000</v>
      </c>
      <c r="O216" s="73">
        <f t="shared" si="33"/>
        <v>260000</v>
      </c>
      <c r="P216" s="73">
        <f t="shared" si="34"/>
        <v>312000</v>
      </c>
      <c r="Q216" s="301">
        <f t="shared" si="35"/>
        <v>48360</v>
      </c>
      <c r="R216" s="301">
        <f t="shared" si="36"/>
        <v>241800</v>
      </c>
      <c r="S216" s="300">
        <f t="shared" si="37"/>
        <v>290160</v>
      </c>
    </row>
    <row r="217" spans="1:19" ht="15" x14ac:dyDescent="0.2">
      <c r="A217" s="49">
        <v>203</v>
      </c>
      <c r="B217" s="50" t="s">
        <v>104</v>
      </c>
      <c r="C217" s="33" t="s">
        <v>153</v>
      </c>
      <c r="D217" s="133">
        <v>224067.69</v>
      </c>
      <c r="E217" s="114">
        <v>66772.171619999979</v>
      </c>
      <c r="F217" s="114">
        <v>267088.68648000003</v>
      </c>
      <c r="G217" s="114">
        <v>333860.85810000001</v>
      </c>
      <c r="H217" s="257">
        <f t="shared" si="29"/>
        <v>52000</v>
      </c>
      <c r="I217" s="257">
        <v>260000</v>
      </c>
      <c r="J217" s="258">
        <f t="shared" si="30"/>
        <v>312000</v>
      </c>
      <c r="K217" s="145">
        <f>66772.17162-1000</f>
        <v>65772.171619999994</v>
      </c>
      <c r="L217" s="145">
        <v>267088.68648000003</v>
      </c>
      <c r="M217" s="142">
        <f t="shared" si="31"/>
        <v>332860.85810000001</v>
      </c>
      <c r="N217" s="99">
        <f t="shared" si="32"/>
        <v>52000</v>
      </c>
      <c r="O217" s="73">
        <f t="shared" si="33"/>
        <v>260000</v>
      </c>
      <c r="P217" s="73">
        <f t="shared" si="34"/>
        <v>312000</v>
      </c>
      <c r="Q217" s="301">
        <f t="shared" si="35"/>
        <v>48360</v>
      </c>
      <c r="R217" s="301">
        <f t="shared" si="36"/>
        <v>241800</v>
      </c>
      <c r="S217" s="300">
        <f t="shared" si="37"/>
        <v>290160</v>
      </c>
    </row>
    <row r="218" spans="1:19" ht="15" x14ac:dyDescent="0.2">
      <c r="A218" s="49">
        <v>204</v>
      </c>
      <c r="B218" s="50" t="s">
        <v>247</v>
      </c>
      <c r="C218" s="33" t="s">
        <v>153</v>
      </c>
      <c r="D218" s="133">
        <v>15000</v>
      </c>
      <c r="E218" s="114">
        <v>4500</v>
      </c>
      <c r="F218" s="114">
        <v>18000</v>
      </c>
      <c r="G218" s="114">
        <v>22500</v>
      </c>
      <c r="H218" s="257">
        <f t="shared" si="29"/>
        <v>3000</v>
      </c>
      <c r="I218" s="257">
        <v>15000</v>
      </c>
      <c r="J218" s="258">
        <f t="shared" si="30"/>
        <v>18000</v>
      </c>
      <c r="K218" s="145">
        <f>4500-500</f>
        <v>4000</v>
      </c>
      <c r="L218" s="145">
        <v>18000</v>
      </c>
      <c r="M218" s="142">
        <f t="shared" si="31"/>
        <v>22000</v>
      </c>
      <c r="N218" s="99">
        <f t="shared" si="32"/>
        <v>3000</v>
      </c>
      <c r="O218" s="73">
        <f t="shared" si="33"/>
        <v>15000</v>
      </c>
      <c r="P218" s="73">
        <f t="shared" si="34"/>
        <v>18000</v>
      </c>
      <c r="Q218" s="301">
        <f t="shared" si="35"/>
        <v>2790</v>
      </c>
      <c r="R218" s="301">
        <f t="shared" si="36"/>
        <v>13950</v>
      </c>
      <c r="S218" s="300">
        <f t="shared" si="37"/>
        <v>16740</v>
      </c>
    </row>
    <row r="219" spans="1:19" ht="15" x14ac:dyDescent="0.2">
      <c r="A219" s="49">
        <v>205</v>
      </c>
      <c r="B219" s="50" t="s">
        <v>248</v>
      </c>
      <c r="C219" s="33" t="s">
        <v>153</v>
      </c>
      <c r="D219" s="133">
        <v>29494.789702487076</v>
      </c>
      <c r="E219" s="114">
        <v>8848.4369107461243</v>
      </c>
      <c r="F219" s="114">
        <v>35393.74764298449</v>
      </c>
      <c r="G219" s="114">
        <v>44242.184553730614</v>
      </c>
      <c r="H219" s="257">
        <f t="shared" si="29"/>
        <v>7000</v>
      </c>
      <c r="I219" s="257">
        <v>35000</v>
      </c>
      <c r="J219" s="258">
        <f t="shared" si="30"/>
        <v>42000</v>
      </c>
      <c r="K219" s="145">
        <f>8848.43691074612-500</f>
        <v>8348.4369107461207</v>
      </c>
      <c r="L219" s="145">
        <v>35393.74764298449</v>
      </c>
      <c r="M219" s="142">
        <f t="shared" si="31"/>
        <v>43742.184553730607</v>
      </c>
      <c r="N219" s="99">
        <f t="shared" si="32"/>
        <v>7000</v>
      </c>
      <c r="O219" s="73">
        <f t="shared" si="33"/>
        <v>35000</v>
      </c>
      <c r="P219" s="73">
        <f t="shared" si="34"/>
        <v>42000</v>
      </c>
      <c r="Q219" s="301">
        <f t="shared" si="35"/>
        <v>6510</v>
      </c>
      <c r="R219" s="301">
        <f t="shared" si="36"/>
        <v>32550</v>
      </c>
      <c r="S219" s="300">
        <f t="shared" si="37"/>
        <v>39060</v>
      </c>
    </row>
    <row r="220" spans="1:19" ht="15" x14ac:dyDescent="0.2">
      <c r="A220" s="49">
        <v>206</v>
      </c>
      <c r="B220" s="50" t="s">
        <v>249</v>
      </c>
      <c r="C220" s="33" t="s">
        <v>153</v>
      </c>
      <c r="D220" s="133">
        <v>24445.600200000001</v>
      </c>
      <c r="E220" s="114">
        <v>7333.6800599999988</v>
      </c>
      <c r="F220" s="114">
        <v>29334.720240000002</v>
      </c>
      <c r="G220" s="114">
        <v>36668.400300000001</v>
      </c>
      <c r="H220" s="257">
        <f t="shared" si="29"/>
        <v>6000</v>
      </c>
      <c r="I220" s="257">
        <v>30000</v>
      </c>
      <c r="J220" s="258">
        <f t="shared" si="30"/>
        <v>36000</v>
      </c>
      <c r="K220" s="145">
        <f>7333.68006-500</f>
        <v>6833.6800599999997</v>
      </c>
      <c r="L220" s="145">
        <v>29334.720240000002</v>
      </c>
      <c r="M220" s="142">
        <f t="shared" si="31"/>
        <v>36168.400300000001</v>
      </c>
      <c r="N220" s="99">
        <f t="shared" si="32"/>
        <v>6000</v>
      </c>
      <c r="O220" s="73">
        <f t="shared" si="33"/>
        <v>29334.720240000002</v>
      </c>
      <c r="P220" s="73">
        <f t="shared" si="34"/>
        <v>35334.720240000002</v>
      </c>
      <c r="Q220" s="301">
        <f t="shared" si="35"/>
        <v>5580</v>
      </c>
      <c r="R220" s="301">
        <f t="shared" si="36"/>
        <v>27281.289823200001</v>
      </c>
      <c r="S220" s="300">
        <f t="shared" si="37"/>
        <v>32861.289823200001</v>
      </c>
    </row>
    <row r="221" spans="1:19" ht="22.5" x14ac:dyDescent="0.2">
      <c r="A221" s="49"/>
      <c r="B221" s="41" t="s">
        <v>47</v>
      </c>
      <c r="C221" s="33" t="s">
        <v>153</v>
      </c>
      <c r="D221" s="133"/>
      <c r="E221" s="114"/>
      <c r="F221" s="114"/>
      <c r="G221" s="114"/>
      <c r="H221" s="257">
        <f t="shared" si="29"/>
        <v>0</v>
      </c>
      <c r="I221" s="257"/>
      <c r="J221" s="258">
        <f t="shared" si="30"/>
        <v>0</v>
      </c>
      <c r="K221" s="143"/>
      <c r="L221" s="148"/>
      <c r="M221" s="142">
        <f t="shared" si="31"/>
        <v>0</v>
      </c>
      <c r="N221" s="99">
        <f t="shared" si="32"/>
        <v>0</v>
      </c>
      <c r="O221" s="73">
        <f t="shared" si="33"/>
        <v>0</v>
      </c>
      <c r="P221" s="73">
        <f t="shared" si="34"/>
        <v>0</v>
      </c>
      <c r="Q221" s="301">
        <f t="shared" si="35"/>
        <v>0</v>
      </c>
      <c r="R221" s="301">
        <f t="shared" si="36"/>
        <v>0</v>
      </c>
      <c r="S221" s="300">
        <f t="shared" si="37"/>
        <v>0</v>
      </c>
    </row>
    <row r="222" spans="1:19" ht="15" x14ac:dyDescent="0.2">
      <c r="A222" s="49">
        <v>207</v>
      </c>
      <c r="B222" s="50" t="s">
        <v>48</v>
      </c>
      <c r="C222" s="33" t="s">
        <v>153</v>
      </c>
      <c r="D222" s="133">
        <v>844381.52292983525</v>
      </c>
      <c r="E222" s="114">
        <v>251625.69383309083</v>
      </c>
      <c r="F222" s="114">
        <v>1006502.7753323638</v>
      </c>
      <c r="G222" s="114">
        <v>1258128.4691654546</v>
      </c>
      <c r="H222" s="257">
        <f t="shared" si="29"/>
        <v>194000</v>
      </c>
      <c r="I222" s="257">
        <v>970000</v>
      </c>
      <c r="J222" s="258">
        <f t="shared" si="30"/>
        <v>1164000</v>
      </c>
      <c r="K222" s="145">
        <f>251625.693833091-1000</f>
        <v>250625.69383309101</v>
      </c>
      <c r="L222" s="145">
        <v>1006502.7753323638</v>
      </c>
      <c r="M222" s="142">
        <f t="shared" si="31"/>
        <v>1257128.4691654549</v>
      </c>
      <c r="N222" s="99">
        <f t="shared" si="32"/>
        <v>194000</v>
      </c>
      <c r="O222" s="73">
        <f t="shared" si="33"/>
        <v>970000</v>
      </c>
      <c r="P222" s="73">
        <f t="shared" si="34"/>
        <v>1164000</v>
      </c>
      <c r="Q222" s="301">
        <f t="shared" si="35"/>
        <v>180420</v>
      </c>
      <c r="R222" s="301">
        <f t="shared" si="36"/>
        <v>902100</v>
      </c>
      <c r="S222" s="300">
        <f t="shared" si="37"/>
        <v>1082520</v>
      </c>
    </row>
    <row r="223" spans="1:19" ht="15" x14ac:dyDescent="0.2">
      <c r="A223" s="49">
        <v>208</v>
      </c>
      <c r="B223" s="50" t="s">
        <v>49</v>
      </c>
      <c r="C223" s="33" t="s">
        <v>153</v>
      </c>
      <c r="D223" s="133">
        <v>578506.397</v>
      </c>
      <c r="E223" s="114">
        <v>172394.90630599996</v>
      </c>
      <c r="F223" s="114">
        <v>689579.62522400008</v>
      </c>
      <c r="G223" s="114">
        <v>861974.53153000004</v>
      </c>
      <c r="H223" s="257">
        <f t="shared" si="29"/>
        <v>140000</v>
      </c>
      <c r="I223" s="257">
        <v>700000</v>
      </c>
      <c r="J223" s="258">
        <f t="shared" si="30"/>
        <v>840000</v>
      </c>
      <c r="K223" s="145">
        <f>172394.906306-500</f>
        <v>171894.90630599999</v>
      </c>
      <c r="L223" s="145">
        <v>689579.62522400008</v>
      </c>
      <c r="M223" s="142">
        <f t="shared" si="31"/>
        <v>861474.53153000004</v>
      </c>
      <c r="N223" s="99">
        <f t="shared" si="32"/>
        <v>140000</v>
      </c>
      <c r="O223" s="73">
        <f t="shared" si="33"/>
        <v>689579.62522400008</v>
      </c>
      <c r="P223" s="73">
        <f t="shared" si="34"/>
        <v>829579.62522400008</v>
      </c>
      <c r="Q223" s="301">
        <f t="shared" si="35"/>
        <v>130200</v>
      </c>
      <c r="R223" s="301">
        <f t="shared" si="36"/>
        <v>641309.05145832011</v>
      </c>
      <c r="S223" s="300">
        <f t="shared" si="37"/>
        <v>771509.05145832011</v>
      </c>
    </row>
    <row r="224" spans="1:19" ht="15" x14ac:dyDescent="0.2">
      <c r="A224" s="49">
        <v>209</v>
      </c>
      <c r="B224" s="50" t="s">
        <v>50</v>
      </c>
      <c r="C224" s="33" t="s">
        <v>153</v>
      </c>
      <c r="D224" s="133">
        <v>169999.67080752109</v>
      </c>
      <c r="E224" s="114">
        <v>50659.901900641271</v>
      </c>
      <c r="F224" s="114">
        <v>202639.60760256514</v>
      </c>
      <c r="G224" s="114">
        <v>253299.50950320641</v>
      </c>
      <c r="H224" s="257">
        <f t="shared" si="29"/>
        <v>40000</v>
      </c>
      <c r="I224" s="257">
        <v>200000</v>
      </c>
      <c r="J224" s="258">
        <f t="shared" si="30"/>
        <v>240000</v>
      </c>
      <c r="K224" s="145">
        <f>50659.9019006413-1000</f>
        <v>49659.9019006413</v>
      </c>
      <c r="L224" s="145">
        <v>202639.60760256514</v>
      </c>
      <c r="M224" s="142">
        <f t="shared" si="31"/>
        <v>252299.50950320644</v>
      </c>
      <c r="N224" s="99">
        <f t="shared" si="32"/>
        <v>40000</v>
      </c>
      <c r="O224" s="73">
        <f t="shared" si="33"/>
        <v>200000</v>
      </c>
      <c r="P224" s="73">
        <f t="shared" si="34"/>
        <v>240000</v>
      </c>
      <c r="Q224" s="301">
        <f t="shared" si="35"/>
        <v>37200</v>
      </c>
      <c r="R224" s="301">
        <f t="shared" si="36"/>
        <v>186000</v>
      </c>
      <c r="S224" s="300">
        <f t="shared" si="37"/>
        <v>223200</v>
      </c>
    </row>
    <row r="225" spans="1:19" ht="15" x14ac:dyDescent="0.2">
      <c r="A225" s="49">
        <v>210</v>
      </c>
      <c r="B225" s="50" t="s">
        <v>51</v>
      </c>
      <c r="C225" s="33" t="s">
        <v>153</v>
      </c>
      <c r="D225" s="133">
        <v>288091.29060752701</v>
      </c>
      <c r="E225" s="114">
        <v>85851.20460104302</v>
      </c>
      <c r="F225" s="114">
        <v>343404.81840417226</v>
      </c>
      <c r="G225" s="114">
        <v>429256.02300521528</v>
      </c>
      <c r="H225" s="257">
        <f t="shared" si="29"/>
        <v>68000</v>
      </c>
      <c r="I225" s="257">
        <v>340000</v>
      </c>
      <c r="J225" s="258">
        <f t="shared" si="30"/>
        <v>408000</v>
      </c>
      <c r="K225" s="145">
        <f>85851.204601043-1000</f>
        <v>84851.204601043006</v>
      </c>
      <c r="L225" s="145">
        <v>343404.81840417226</v>
      </c>
      <c r="M225" s="142">
        <f t="shared" si="31"/>
        <v>428256.02300521528</v>
      </c>
      <c r="N225" s="99">
        <f t="shared" si="32"/>
        <v>68000</v>
      </c>
      <c r="O225" s="73">
        <f t="shared" si="33"/>
        <v>340000</v>
      </c>
      <c r="P225" s="73">
        <f t="shared" si="34"/>
        <v>408000</v>
      </c>
      <c r="Q225" s="301">
        <f t="shared" si="35"/>
        <v>63240</v>
      </c>
      <c r="R225" s="301">
        <f t="shared" si="36"/>
        <v>316200</v>
      </c>
      <c r="S225" s="300">
        <f t="shared" si="37"/>
        <v>379440</v>
      </c>
    </row>
    <row r="226" spans="1:19" ht="15" x14ac:dyDescent="0.2">
      <c r="A226" s="49">
        <v>211</v>
      </c>
      <c r="B226" s="50" t="s">
        <v>52</v>
      </c>
      <c r="C226" s="33" t="s">
        <v>153</v>
      </c>
      <c r="D226" s="133">
        <v>343612.02960000001</v>
      </c>
      <c r="E226" s="114">
        <v>102396.38482079998</v>
      </c>
      <c r="F226" s="114">
        <v>409585.53928320005</v>
      </c>
      <c r="G226" s="114">
        <v>511981.92410400003</v>
      </c>
      <c r="H226" s="257">
        <f t="shared" si="29"/>
        <v>86000</v>
      </c>
      <c r="I226" s="257">
        <v>430000</v>
      </c>
      <c r="J226" s="258">
        <f t="shared" si="30"/>
        <v>516000</v>
      </c>
      <c r="K226" s="145">
        <f>102396.3848208-1000</f>
        <v>101396.3848208</v>
      </c>
      <c r="L226" s="145">
        <v>409585.53928320005</v>
      </c>
      <c r="M226" s="142">
        <f t="shared" si="31"/>
        <v>510981.92410400003</v>
      </c>
      <c r="N226" s="99">
        <f t="shared" si="32"/>
        <v>86000</v>
      </c>
      <c r="O226" s="73">
        <f t="shared" si="33"/>
        <v>409585.53928320005</v>
      </c>
      <c r="P226" s="73">
        <f t="shared" si="34"/>
        <v>495585.53928320005</v>
      </c>
      <c r="Q226" s="301">
        <f t="shared" si="35"/>
        <v>79980</v>
      </c>
      <c r="R226" s="301">
        <f t="shared" si="36"/>
        <v>380914.55153337604</v>
      </c>
      <c r="S226" s="300">
        <f t="shared" si="37"/>
        <v>460894.55153337604</v>
      </c>
    </row>
    <row r="227" spans="1:19" ht="15" x14ac:dyDescent="0.2">
      <c r="A227" s="49">
        <v>212</v>
      </c>
      <c r="B227" s="50" t="s">
        <v>53</v>
      </c>
      <c r="C227" s="33" t="s">
        <v>153</v>
      </c>
      <c r="D227" s="133">
        <v>450493.505</v>
      </c>
      <c r="E227" s="114">
        <v>134247.06449000002</v>
      </c>
      <c r="F227" s="114">
        <v>536988.25795999996</v>
      </c>
      <c r="G227" s="114">
        <v>671235.32244999998</v>
      </c>
      <c r="H227" s="257">
        <f t="shared" si="29"/>
        <v>112000</v>
      </c>
      <c r="I227" s="257">
        <v>560000</v>
      </c>
      <c r="J227" s="258">
        <f t="shared" si="30"/>
        <v>672000</v>
      </c>
      <c r="K227" s="145">
        <f>134247.06449-1000</f>
        <v>133247.06448999999</v>
      </c>
      <c r="L227" s="145">
        <v>536988.25795999996</v>
      </c>
      <c r="M227" s="142">
        <f t="shared" si="31"/>
        <v>670235.32244999998</v>
      </c>
      <c r="N227" s="99">
        <f t="shared" si="32"/>
        <v>112000</v>
      </c>
      <c r="O227" s="73">
        <f t="shared" si="33"/>
        <v>536988.25795999996</v>
      </c>
      <c r="P227" s="73">
        <f t="shared" si="34"/>
        <v>648988.25795999996</v>
      </c>
      <c r="Q227" s="301">
        <f t="shared" si="35"/>
        <v>104160</v>
      </c>
      <c r="R227" s="301">
        <f t="shared" si="36"/>
        <v>499399.07990279997</v>
      </c>
      <c r="S227" s="300">
        <f t="shared" si="37"/>
        <v>603559.07990280003</v>
      </c>
    </row>
    <row r="228" spans="1:19" ht="15" x14ac:dyDescent="0.2">
      <c r="A228" s="49">
        <v>213</v>
      </c>
      <c r="B228" s="50" t="s">
        <v>54</v>
      </c>
      <c r="C228" s="33" t="s">
        <v>153</v>
      </c>
      <c r="D228" s="133">
        <v>570432.17700000003</v>
      </c>
      <c r="E228" s="114">
        <v>169988.78874599992</v>
      </c>
      <c r="F228" s="114">
        <v>679955.15498400014</v>
      </c>
      <c r="G228" s="114">
        <v>849943.94373000006</v>
      </c>
      <c r="H228" s="257">
        <f t="shared" si="29"/>
        <v>120000</v>
      </c>
      <c r="I228" s="257">
        <v>600000</v>
      </c>
      <c r="J228" s="258">
        <f t="shared" si="30"/>
        <v>720000</v>
      </c>
      <c r="K228" s="145">
        <f>169988.788746-1000</f>
        <v>168988.78874600001</v>
      </c>
      <c r="L228" s="145">
        <v>679955.15498400014</v>
      </c>
      <c r="M228" s="142">
        <f t="shared" si="31"/>
        <v>848943.94373000017</v>
      </c>
      <c r="N228" s="99">
        <f t="shared" si="32"/>
        <v>120000</v>
      </c>
      <c r="O228" s="73">
        <f t="shared" si="33"/>
        <v>600000</v>
      </c>
      <c r="P228" s="73">
        <f t="shared" si="34"/>
        <v>720000</v>
      </c>
      <c r="Q228" s="301">
        <f t="shared" si="35"/>
        <v>111600</v>
      </c>
      <c r="R228" s="301">
        <f t="shared" si="36"/>
        <v>558000</v>
      </c>
      <c r="S228" s="300">
        <f t="shared" si="37"/>
        <v>669600</v>
      </c>
    </row>
    <row r="229" spans="1:19" ht="15" x14ac:dyDescent="0.2">
      <c r="A229" s="49">
        <v>214</v>
      </c>
      <c r="B229" s="50" t="s">
        <v>251</v>
      </c>
      <c r="C229" s="33" t="s">
        <v>153</v>
      </c>
      <c r="D229" s="133">
        <v>887868.6463341848</v>
      </c>
      <c r="E229" s="114">
        <v>264584.85660758708</v>
      </c>
      <c r="F229" s="114">
        <v>1058339.4264303483</v>
      </c>
      <c r="G229" s="114">
        <v>1322924.2830379354</v>
      </c>
      <c r="H229" s="257">
        <f t="shared" si="29"/>
        <v>200000</v>
      </c>
      <c r="I229" s="257">
        <v>1000000</v>
      </c>
      <c r="J229" s="258">
        <f t="shared" si="30"/>
        <v>1200000</v>
      </c>
      <c r="K229" s="145">
        <f>264584.856607587-1000</f>
        <v>263584.85660758702</v>
      </c>
      <c r="L229" s="145">
        <v>1058339.4264303483</v>
      </c>
      <c r="M229" s="142">
        <f t="shared" si="31"/>
        <v>1321924.2830379354</v>
      </c>
      <c r="N229" s="99">
        <f t="shared" si="32"/>
        <v>200000</v>
      </c>
      <c r="O229" s="73">
        <f t="shared" si="33"/>
        <v>1000000</v>
      </c>
      <c r="P229" s="73">
        <f t="shared" si="34"/>
        <v>1200000</v>
      </c>
      <c r="Q229" s="301">
        <f t="shared" si="35"/>
        <v>186000</v>
      </c>
      <c r="R229" s="301">
        <f t="shared" si="36"/>
        <v>930000</v>
      </c>
      <c r="S229" s="300">
        <f t="shared" si="37"/>
        <v>1116000</v>
      </c>
    </row>
    <row r="230" spans="1:19" ht="15" x14ac:dyDescent="0.2">
      <c r="A230" s="49">
        <v>215</v>
      </c>
      <c r="B230" s="50" t="s">
        <v>252</v>
      </c>
      <c r="C230" s="33" t="s">
        <v>153</v>
      </c>
      <c r="D230" s="133">
        <v>1017623.67</v>
      </c>
      <c r="E230" s="114">
        <v>303251.85366000002</v>
      </c>
      <c r="F230" s="114">
        <v>1213007.4146400001</v>
      </c>
      <c r="G230" s="114">
        <v>1516259.2683000001</v>
      </c>
      <c r="H230" s="257">
        <f t="shared" si="29"/>
        <v>240000</v>
      </c>
      <c r="I230" s="257">
        <v>1200000</v>
      </c>
      <c r="J230" s="258">
        <f t="shared" si="30"/>
        <v>1440000</v>
      </c>
      <c r="K230" s="145">
        <f>303251.85366-1000</f>
        <v>302251.85366000002</v>
      </c>
      <c r="L230" s="145">
        <v>1213007.4146400001</v>
      </c>
      <c r="M230" s="142">
        <f t="shared" si="31"/>
        <v>1515259.2683000001</v>
      </c>
      <c r="N230" s="99">
        <f t="shared" si="32"/>
        <v>240000</v>
      </c>
      <c r="O230" s="73">
        <f t="shared" si="33"/>
        <v>1200000</v>
      </c>
      <c r="P230" s="73">
        <f t="shared" si="34"/>
        <v>1440000</v>
      </c>
      <c r="Q230" s="301">
        <f t="shared" si="35"/>
        <v>223200</v>
      </c>
      <c r="R230" s="301">
        <f t="shared" si="36"/>
        <v>1116000</v>
      </c>
      <c r="S230" s="300">
        <f t="shared" si="37"/>
        <v>1339200</v>
      </c>
    </row>
    <row r="231" spans="1:19" ht="15" x14ac:dyDescent="0.2">
      <c r="A231" s="49">
        <v>216</v>
      </c>
      <c r="B231" s="48" t="s">
        <v>58</v>
      </c>
      <c r="C231" s="33" t="s">
        <v>153</v>
      </c>
      <c r="D231" s="133">
        <v>355446</v>
      </c>
      <c r="E231" s="114">
        <v>105922.908</v>
      </c>
      <c r="F231" s="114">
        <v>423691.63200000004</v>
      </c>
      <c r="G231" s="114">
        <v>529614.54</v>
      </c>
      <c r="H231" s="257">
        <f t="shared" si="29"/>
        <v>90000</v>
      </c>
      <c r="I231" s="257">
        <v>450000</v>
      </c>
      <c r="J231" s="258">
        <f t="shared" si="30"/>
        <v>540000</v>
      </c>
      <c r="K231" s="145">
        <f>105922.908-1000</f>
        <v>104922.908</v>
      </c>
      <c r="L231" s="145">
        <v>423691.63200000004</v>
      </c>
      <c r="M231" s="142">
        <f t="shared" si="31"/>
        <v>528614.54</v>
      </c>
      <c r="N231" s="99">
        <f t="shared" si="32"/>
        <v>90000</v>
      </c>
      <c r="O231" s="73">
        <f t="shared" si="33"/>
        <v>423691.63200000004</v>
      </c>
      <c r="P231" s="73">
        <f t="shared" si="34"/>
        <v>513691.63200000004</v>
      </c>
      <c r="Q231" s="301">
        <f t="shared" si="35"/>
        <v>83700</v>
      </c>
      <c r="R231" s="301">
        <f t="shared" si="36"/>
        <v>394033.21776000003</v>
      </c>
      <c r="S231" s="300">
        <f t="shared" si="37"/>
        <v>477733.21776000003</v>
      </c>
    </row>
    <row r="232" spans="1:19" ht="15" x14ac:dyDescent="0.2">
      <c r="A232" s="49">
        <v>217</v>
      </c>
      <c r="B232" s="48" t="s">
        <v>136</v>
      </c>
      <c r="C232" s="33" t="s">
        <v>153</v>
      </c>
      <c r="D232" s="133">
        <v>5106158.5526000001</v>
      </c>
      <c r="E232" s="114">
        <v>1429724.3947279993</v>
      </c>
      <c r="F232" s="114">
        <v>5718897.5789120002</v>
      </c>
      <c r="G232" s="114">
        <v>7148621.9736399995</v>
      </c>
      <c r="H232" s="257">
        <f t="shared" si="29"/>
        <v>1020000</v>
      </c>
      <c r="I232" s="257">
        <v>5100000</v>
      </c>
      <c r="J232" s="258">
        <f t="shared" si="30"/>
        <v>6120000</v>
      </c>
      <c r="K232" s="145">
        <f>1429724.394728-300000</f>
        <v>1129724.394728</v>
      </c>
      <c r="L232" s="145">
        <v>5718897.5789120002</v>
      </c>
      <c r="M232" s="142">
        <f t="shared" si="31"/>
        <v>6848621.9736400004</v>
      </c>
      <c r="N232" s="99">
        <f t="shared" si="32"/>
        <v>1020000</v>
      </c>
      <c r="O232" s="73">
        <f t="shared" si="33"/>
        <v>5100000</v>
      </c>
      <c r="P232" s="73">
        <f t="shared" si="34"/>
        <v>6120000</v>
      </c>
      <c r="Q232" s="301">
        <f t="shared" si="35"/>
        <v>948600</v>
      </c>
      <c r="R232" s="301">
        <f t="shared" si="36"/>
        <v>4743000</v>
      </c>
      <c r="S232" s="300">
        <f t="shared" si="37"/>
        <v>5691600</v>
      </c>
    </row>
    <row r="233" spans="1:19" ht="15" x14ac:dyDescent="0.2">
      <c r="A233" s="49">
        <v>218</v>
      </c>
      <c r="B233" s="47" t="s">
        <v>364</v>
      </c>
      <c r="C233" s="33" t="s">
        <v>153</v>
      </c>
      <c r="D233" s="133">
        <v>980000</v>
      </c>
      <c r="E233" s="114">
        <v>292040</v>
      </c>
      <c r="F233" s="114">
        <v>1168160</v>
      </c>
      <c r="G233" s="114">
        <v>1460200</v>
      </c>
      <c r="H233" s="257">
        <f t="shared" si="29"/>
        <v>220000</v>
      </c>
      <c r="I233" s="257">
        <v>1100000</v>
      </c>
      <c r="J233" s="258">
        <f t="shared" si="30"/>
        <v>1320000</v>
      </c>
      <c r="K233" s="145">
        <f>292040-1000</f>
        <v>291040</v>
      </c>
      <c r="L233" s="145">
        <v>1168160</v>
      </c>
      <c r="M233" s="142">
        <f t="shared" si="31"/>
        <v>1459200</v>
      </c>
      <c r="N233" s="99">
        <f t="shared" si="32"/>
        <v>220000</v>
      </c>
      <c r="O233" s="73">
        <f t="shared" si="33"/>
        <v>1100000</v>
      </c>
      <c r="P233" s="73">
        <f t="shared" si="34"/>
        <v>1320000</v>
      </c>
      <c r="Q233" s="301">
        <f t="shared" si="35"/>
        <v>204600</v>
      </c>
      <c r="R233" s="301">
        <f t="shared" si="36"/>
        <v>1023000</v>
      </c>
      <c r="S233" s="300">
        <f t="shared" si="37"/>
        <v>1227600</v>
      </c>
    </row>
    <row r="234" spans="1:19" ht="15" x14ac:dyDescent="0.2">
      <c r="A234" s="49">
        <v>219</v>
      </c>
      <c r="B234" s="47" t="s">
        <v>330</v>
      </c>
      <c r="C234" s="33" t="s">
        <v>153</v>
      </c>
      <c r="D234" s="133">
        <v>43701.63</v>
      </c>
      <c r="E234" s="114">
        <v>13110.488999999994</v>
      </c>
      <c r="F234" s="114">
        <v>52441.955999999998</v>
      </c>
      <c r="G234" s="114">
        <v>65552.444999999992</v>
      </c>
      <c r="H234" s="257">
        <f t="shared" si="29"/>
        <v>11000</v>
      </c>
      <c r="I234" s="257">
        <v>55000</v>
      </c>
      <c r="J234" s="258">
        <f t="shared" si="30"/>
        <v>66000</v>
      </c>
      <c r="K234" s="145">
        <f>13110.489-1000</f>
        <v>12110.489</v>
      </c>
      <c r="L234" s="145">
        <v>52441.955999999998</v>
      </c>
      <c r="M234" s="142">
        <f t="shared" si="31"/>
        <v>64552.445</v>
      </c>
      <c r="N234" s="99">
        <f t="shared" si="32"/>
        <v>11000</v>
      </c>
      <c r="O234" s="73">
        <f t="shared" si="33"/>
        <v>52441.955999999998</v>
      </c>
      <c r="P234" s="73">
        <f t="shared" si="34"/>
        <v>63441.955999999998</v>
      </c>
      <c r="Q234" s="301">
        <f t="shared" si="35"/>
        <v>10230</v>
      </c>
      <c r="R234" s="301">
        <f t="shared" si="36"/>
        <v>48771.019079999998</v>
      </c>
      <c r="S234" s="300">
        <f t="shared" si="37"/>
        <v>59001.019079999998</v>
      </c>
    </row>
    <row r="235" spans="1:19" ht="15" x14ac:dyDescent="0.2">
      <c r="A235" s="49">
        <v>220</v>
      </c>
      <c r="B235" s="47" t="s">
        <v>331</v>
      </c>
      <c r="C235" s="33" t="s">
        <v>153</v>
      </c>
      <c r="D235" s="133">
        <v>43701.63</v>
      </c>
      <c r="E235" s="114">
        <v>13110.488999999994</v>
      </c>
      <c r="F235" s="114">
        <v>52441.955999999998</v>
      </c>
      <c r="G235" s="114">
        <v>65552.444999999992</v>
      </c>
      <c r="H235" s="257">
        <f t="shared" si="29"/>
        <v>11000</v>
      </c>
      <c r="I235" s="257">
        <v>55000</v>
      </c>
      <c r="J235" s="258">
        <f t="shared" si="30"/>
        <v>66000</v>
      </c>
      <c r="K235" s="145">
        <f>13110.489-1000</f>
        <v>12110.489</v>
      </c>
      <c r="L235" s="145">
        <v>52441.955999999998</v>
      </c>
      <c r="M235" s="142">
        <f t="shared" si="31"/>
        <v>64552.445</v>
      </c>
      <c r="N235" s="99">
        <f t="shared" si="32"/>
        <v>11000</v>
      </c>
      <c r="O235" s="73">
        <f t="shared" si="33"/>
        <v>52441.955999999998</v>
      </c>
      <c r="P235" s="73">
        <f t="shared" si="34"/>
        <v>63441.955999999998</v>
      </c>
      <c r="Q235" s="301">
        <f t="shared" si="35"/>
        <v>10230</v>
      </c>
      <c r="R235" s="301">
        <f t="shared" si="36"/>
        <v>48771.019079999998</v>
      </c>
      <c r="S235" s="300">
        <f t="shared" si="37"/>
        <v>59001.019079999998</v>
      </c>
    </row>
    <row r="236" spans="1:19" ht="22.5" x14ac:dyDescent="0.2">
      <c r="A236" s="49"/>
      <c r="B236" s="29" t="s">
        <v>98</v>
      </c>
      <c r="C236" s="33" t="s">
        <v>153</v>
      </c>
      <c r="D236" s="133"/>
      <c r="E236" s="114"/>
      <c r="F236" s="114"/>
      <c r="G236" s="114"/>
      <c r="H236" s="257">
        <f t="shared" si="29"/>
        <v>0</v>
      </c>
      <c r="I236" s="257"/>
      <c r="J236" s="258">
        <f t="shared" si="30"/>
        <v>0</v>
      </c>
      <c r="K236" s="143"/>
      <c r="L236" s="148"/>
      <c r="M236" s="142">
        <f t="shared" si="31"/>
        <v>0</v>
      </c>
      <c r="N236" s="99">
        <f t="shared" si="32"/>
        <v>0</v>
      </c>
      <c r="O236" s="73">
        <f t="shared" si="33"/>
        <v>0</v>
      </c>
      <c r="P236" s="73">
        <f t="shared" si="34"/>
        <v>0</v>
      </c>
      <c r="Q236" s="301">
        <f t="shared" si="35"/>
        <v>0</v>
      </c>
      <c r="R236" s="301">
        <f t="shared" si="36"/>
        <v>0</v>
      </c>
      <c r="S236" s="300">
        <f t="shared" si="37"/>
        <v>0</v>
      </c>
    </row>
    <row r="237" spans="1:19" ht="15" x14ac:dyDescent="0.2">
      <c r="A237" s="49">
        <v>221</v>
      </c>
      <c r="B237" s="50" t="s">
        <v>253</v>
      </c>
      <c r="C237" s="33" t="s">
        <v>153</v>
      </c>
      <c r="D237" s="133">
        <v>314436.92</v>
      </c>
      <c r="E237" s="114">
        <v>93702.202159999986</v>
      </c>
      <c r="F237" s="114">
        <v>374808.80864</v>
      </c>
      <c r="G237" s="114">
        <v>468511.01079999999</v>
      </c>
      <c r="H237" s="257">
        <f t="shared" si="29"/>
        <v>60000</v>
      </c>
      <c r="I237" s="257">
        <v>300000</v>
      </c>
      <c r="J237" s="258">
        <f t="shared" si="30"/>
        <v>360000</v>
      </c>
      <c r="K237" s="145">
        <f>93702.20216-1000</f>
        <v>92702.202160000001</v>
      </c>
      <c r="L237" s="145">
        <v>374808.80864</v>
      </c>
      <c r="M237" s="142">
        <f t="shared" si="31"/>
        <v>467511.01079999999</v>
      </c>
      <c r="N237" s="99">
        <f t="shared" si="32"/>
        <v>60000</v>
      </c>
      <c r="O237" s="73">
        <f t="shared" si="33"/>
        <v>300000</v>
      </c>
      <c r="P237" s="73">
        <f t="shared" si="34"/>
        <v>360000</v>
      </c>
      <c r="Q237" s="301">
        <f t="shared" si="35"/>
        <v>55800</v>
      </c>
      <c r="R237" s="301">
        <f t="shared" si="36"/>
        <v>279000</v>
      </c>
      <c r="S237" s="300">
        <f t="shared" si="37"/>
        <v>334800</v>
      </c>
    </row>
    <row r="238" spans="1:19" ht="15" x14ac:dyDescent="0.2">
      <c r="A238" s="49">
        <v>222</v>
      </c>
      <c r="B238" s="50" t="s">
        <v>254</v>
      </c>
      <c r="C238" s="33" t="s">
        <v>153</v>
      </c>
      <c r="D238" s="133">
        <v>92316.627200000003</v>
      </c>
      <c r="E238" s="114">
        <v>27694.988159999994</v>
      </c>
      <c r="F238" s="114">
        <v>110779.95264000002</v>
      </c>
      <c r="G238" s="114">
        <v>138474.94080000001</v>
      </c>
      <c r="H238" s="257">
        <f t="shared" si="29"/>
        <v>22000</v>
      </c>
      <c r="I238" s="257">
        <v>110000</v>
      </c>
      <c r="J238" s="258">
        <f t="shared" si="30"/>
        <v>132000</v>
      </c>
      <c r="K238" s="145">
        <f>27694.98816-1000</f>
        <v>26694.988160000001</v>
      </c>
      <c r="L238" s="145">
        <v>110779.95264000002</v>
      </c>
      <c r="M238" s="142">
        <f t="shared" si="31"/>
        <v>137474.94080000001</v>
      </c>
      <c r="N238" s="99">
        <f t="shared" si="32"/>
        <v>22000</v>
      </c>
      <c r="O238" s="73">
        <f t="shared" si="33"/>
        <v>110000</v>
      </c>
      <c r="P238" s="73">
        <f t="shared" si="34"/>
        <v>132000</v>
      </c>
      <c r="Q238" s="301">
        <f t="shared" si="35"/>
        <v>20460</v>
      </c>
      <c r="R238" s="301">
        <f t="shared" si="36"/>
        <v>102300</v>
      </c>
      <c r="S238" s="300">
        <f t="shared" si="37"/>
        <v>122760</v>
      </c>
    </row>
    <row r="239" spans="1:19" ht="15" x14ac:dyDescent="0.2">
      <c r="A239" s="49">
        <v>223</v>
      </c>
      <c r="B239" s="39" t="s">
        <v>255</v>
      </c>
      <c r="C239" s="33" t="s">
        <v>153</v>
      </c>
      <c r="D239" s="133">
        <v>804130.52299999993</v>
      </c>
      <c r="E239" s="114">
        <v>239630.89585399989</v>
      </c>
      <c r="F239" s="114">
        <v>958523.58341599989</v>
      </c>
      <c r="G239" s="114">
        <v>1198154.4792699998</v>
      </c>
      <c r="H239" s="257">
        <f t="shared" si="29"/>
        <v>200000</v>
      </c>
      <c r="I239" s="257">
        <v>1000000</v>
      </c>
      <c r="J239" s="258">
        <f t="shared" si="30"/>
        <v>1200000</v>
      </c>
      <c r="K239" s="145">
        <f>239630.895854-1000</f>
        <v>238630.895854</v>
      </c>
      <c r="L239" s="145">
        <v>958523.58341599989</v>
      </c>
      <c r="M239" s="142">
        <f t="shared" si="31"/>
        <v>1197154.47927</v>
      </c>
      <c r="N239" s="99">
        <f t="shared" si="32"/>
        <v>200000</v>
      </c>
      <c r="O239" s="73">
        <f t="shared" si="33"/>
        <v>958523.58341599989</v>
      </c>
      <c r="P239" s="73">
        <f t="shared" si="34"/>
        <v>1158523.583416</v>
      </c>
      <c r="Q239" s="301">
        <f t="shared" si="35"/>
        <v>186000</v>
      </c>
      <c r="R239" s="301">
        <f t="shared" si="36"/>
        <v>891426.93257687986</v>
      </c>
      <c r="S239" s="300">
        <f t="shared" si="37"/>
        <v>1077426.9325768799</v>
      </c>
    </row>
    <row r="240" spans="1:19" ht="15" x14ac:dyDescent="0.2">
      <c r="A240" s="49">
        <v>224</v>
      </c>
      <c r="B240" s="39" t="s">
        <v>256</v>
      </c>
      <c r="C240" s="33" t="s">
        <v>153</v>
      </c>
      <c r="D240" s="133">
        <v>412172.565</v>
      </c>
      <c r="E240" s="114">
        <v>122827.42436999996</v>
      </c>
      <c r="F240" s="114">
        <v>491309.69748000003</v>
      </c>
      <c r="G240" s="114">
        <v>614137.12185</v>
      </c>
      <c r="H240" s="257">
        <f t="shared" si="29"/>
        <v>98000</v>
      </c>
      <c r="I240" s="257">
        <v>490000</v>
      </c>
      <c r="J240" s="258">
        <f t="shared" si="30"/>
        <v>588000</v>
      </c>
      <c r="K240" s="145">
        <f>122827.42437-1000</f>
        <v>121827.42436999999</v>
      </c>
      <c r="L240" s="145">
        <v>491309.69748000003</v>
      </c>
      <c r="M240" s="142">
        <f t="shared" si="31"/>
        <v>613137.12185</v>
      </c>
      <c r="N240" s="99">
        <f t="shared" si="32"/>
        <v>98000</v>
      </c>
      <c r="O240" s="73">
        <f t="shared" si="33"/>
        <v>490000</v>
      </c>
      <c r="P240" s="73">
        <f t="shared" si="34"/>
        <v>588000</v>
      </c>
      <c r="Q240" s="301">
        <f t="shared" si="35"/>
        <v>91140</v>
      </c>
      <c r="R240" s="301">
        <f t="shared" si="36"/>
        <v>455700</v>
      </c>
      <c r="S240" s="300">
        <f t="shared" si="37"/>
        <v>546840</v>
      </c>
    </row>
    <row r="241" spans="1:19" ht="15" x14ac:dyDescent="0.2">
      <c r="A241" s="49">
        <v>225</v>
      </c>
      <c r="B241" s="47" t="s">
        <v>69</v>
      </c>
      <c r="C241" s="33" t="s">
        <v>153</v>
      </c>
      <c r="D241" s="133">
        <v>93971.650874467217</v>
      </c>
      <c r="E241" s="114">
        <v>28191.495262340162</v>
      </c>
      <c r="F241" s="114">
        <v>112765.98104936066</v>
      </c>
      <c r="G241" s="114">
        <v>140957.47631170083</v>
      </c>
      <c r="H241" s="257">
        <f t="shared" si="29"/>
        <v>22000</v>
      </c>
      <c r="I241" s="257">
        <v>110000</v>
      </c>
      <c r="J241" s="258">
        <f t="shared" si="30"/>
        <v>132000</v>
      </c>
      <c r="K241" s="145">
        <f>28191.4952623402-1000</f>
        <v>27191.495262340199</v>
      </c>
      <c r="L241" s="145">
        <v>112765.98104936066</v>
      </c>
      <c r="M241" s="142">
        <f t="shared" si="31"/>
        <v>139957.47631170086</v>
      </c>
      <c r="N241" s="99">
        <f t="shared" si="32"/>
        <v>22000</v>
      </c>
      <c r="O241" s="73">
        <f t="shared" si="33"/>
        <v>110000</v>
      </c>
      <c r="P241" s="73">
        <f t="shared" si="34"/>
        <v>132000</v>
      </c>
      <c r="Q241" s="301">
        <f t="shared" si="35"/>
        <v>20460</v>
      </c>
      <c r="R241" s="301">
        <f t="shared" si="36"/>
        <v>102300</v>
      </c>
      <c r="S241" s="300">
        <f t="shared" si="37"/>
        <v>122760</v>
      </c>
    </row>
    <row r="242" spans="1:19" ht="15" x14ac:dyDescent="0.2">
      <c r="A242" s="49">
        <v>226</v>
      </c>
      <c r="B242" s="47" t="s">
        <v>70</v>
      </c>
      <c r="C242" s="33" t="s">
        <v>153</v>
      </c>
      <c r="D242" s="133">
        <v>690970.90299999993</v>
      </c>
      <c r="E242" s="114">
        <v>205909.32909399993</v>
      </c>
      <c r="F242" s="114">
        <v>823637.31637599994</v>
      </c>
      <c r="G242" s="114">
        <v>1029546.6454699999</v>
      </c>
      <c r="H242" s="257">
        <f t="shared" si="29"/>
        <v>160000</v>
      </c>
      <c r="I242" s="257">
        <v>800000</v>
      </c>
      <c r="J242" s="258">
        <f t="shared" si="30"/>
        <v>960000</v>
      </c>
      <c r="K242" s="145">
        <f>205909.329094-1000</f>
        <v>204909.32909399999</v>
      </c>
      <c r="L242" s="145">
        <v>823637.31637599994</v>
      </c>
      <c r="M242" s="142">
        <f t="shared" si="31"/>
        <v>1028546.6454699999</v>
      </c>
      <c r="N242" s="99">
        <f t="shared" si="32"/>
        <v>160000</v>
      </c>
      <c r="O242" s="73">
        <f t="shared" si="33"/>
        <v>800000</v>
      </c>
      <c r="P242" s="73">
        <f t="shared" si="34"/>
        <v>960000</v>
      </c>
      <c r="Q242" s="301">
        <f t="shared" si="35"/>
        <v>148800</v>
      </c>
      <c r="R242" s="301">
        <f t="shared" si="36"/>
        <v>744000</v>
      </c>
      <c r="S242" s="300">
        <f t="shared" si="37"/>
        <v>892800</v>
      </c>
    </row>
    <row r="243" spans="1:19" ht="15" x14ac:dyDescent="0.2">
      <c r="A243" s="49">
        <v>227</v>
      </c>
      <c r="B243" s="47" t="s">
        <v>1</v>
      </c>
      <c r="C243" s="33" t="s">
        <v>153</v>
      </c>
      <c r="D243" s="133">
        <v>179019.72745547819</v>
      </c>
      <c r="E243" s="114">
        <v>53347.878781732492</v>
      </c>
      <c r="F243" s="114">
        <v>213391.51512693</v>
      </c>
      <c r="G243" s="114">
        <v>266739.39390866249</v>
      </c>
      <c r="H243" s="257">
        <f t="shared" si="29"/>
        <v>40000</v>
      </c>
      <c r="I243" s="257">
        <v>200000</v>
      </c>
      <c r="J243" s="258">
        <f t="shared" si="30"/>
        <v>240000</v>
      </c>
      <c r="K243" s="145">
        <f>53347.8787817325-1000</f>
        <v>52347.878781732499</v>
      </c>
      <c r="L243" s="145">
        <v>213391.51512693</v>
      </c>
      <c r="M243" s="142">
        <f t="shared" si="31"/>
        <v>265739.39390866249</v>
      </c>
      <c r="N243" s="99">
        <f t="shared" si="32"/>
        <v>40000</v>
      </c>
      <c r="O243" s="73">
        <f t="shared" si="33"/>
        <v>200000</v>
      </c>
      <c r="P243" s="73">
        <f t="shared" si="34"/>
        <v>240000</v>
      </c>
      <c r="Q243" s="301">
        <f t="shared" si="35"/>
        <v>37200</v>
      </c>
      <c r="R243" s="301">
        <f t="shared" si="36"/>
        <v>186000</v>
      </c>
      <c r="S243" s="300">
        <f t="shared" si="37"/>
        <v>223200</v>
      </c>
    </row>
    <row r="244" spans="1:19" ht="15" x14ac:dyDescent="0.2">
      <c r="A244" s="49">
        <v>228</v>
      </c>
      <c r="B244" s="50" t="s">
        <v>56</v>
      </c>
      <c r="C244" s="33" t="s">
        <v>153</v>
      </c>
      <c r="D244" s="133">
        <v>74825.94</v>
      </c>
      <c r="E244" s="114">
        <v>22447.781999999992</v>
      </c>
      <c r="F244" s="114">
        <v>89791.128000000012</v>
      </c>
      <c r="G244" s="114">
        <v>112238.91</v>
      </c>
      <c r="H244" s="257">
        <f t="shared" si="29"/>
        <v>190000</v>
      </c>
      <c r="I244" s="257">
        <v>950000</v>
      </c>
      <c r="J244" s="258">
        <f t="shared" si="30"/>
        <v>1140000</v>
      </c>
      <c r="K244" s="145">
        <f>22447.782-1000</f>
        <v>21447.781999999999</v>
      </c>
      <c r="L244" s="145">
        <v>89791.128000000012</v>
      </c>
      <c r="M244" s="142">
        <f t="shared" si="31"/>
        <v>111238.91</v>
      </c>
      <c r="N244" s="99">
        <f t="shared" si="32"/>
        <v>21447.781999999999</v>
      </c>
      <c r="O244" s="73">
        <f t="shared" si="33"/>
        <v>89791.128000000012</v>
      </c>
      <c r="P244" s="73">
        <f t="shared" si="34"/>
        <v>111238.91</v>
      </c>
      <c r="Q244" s="301">
        <f t="shared" si="35"/>
        <v>19946.437259999999</v>
      </c>
      <c r="R244" s="301">
        <f t="shared" si="36"/>
        <v>83505.74904000001</v>
      </c>
      <c r="S244" s="300">
        <f t="shared" si="37"/>
        <v>103452.1863</v>
      </c>
    </row>
    <row r="245" spans="1:19" ht="15" x14ac:dyDescent="0.2">
      <c r="A245" s="49">
        <v>229</v>
      </c>
      <c r="B245" s="50" t="s">
        <v>57</v>
      </c>
      <c r="C245" s="33" t="s">
        <v>153</v>
      </c>
      <c r="D245" s="133">
        <v>28891.38</v>
      </c>
      <c r="E245" s="114">
        <v>8667.413999999997</v>
      </c>
      <c r="F245" s="114">
        <v>34669.656000000003</v>
      </c>
      <c r="G245" s="114">
        <v>43337.07</v>
      </c>
      <c r="H245" s="257">
        <f t="shared" si="29"/>
        <v>7000</v>
      </c>
      <c r="I245" s="257">
        <v>35000</v>
      </c>
      <c r="J245" s="258">
        <f t="shared" si="30"/>
        <v>42000</v>
      </c>
      <c r="K245" s="145">
        <f>8667.414-500</f>
        <v>8167.4140000000007</v>
      </c>
      <c r="L245" s="145">
        <v>34669.656000000003</v>
      </c>
      <c r="M245" s="142">
        <f t="shared" si="31"/>
        <v>42837.070000000007</v>
      </c>
      <c r="N245" s="99">
        <f t="shared" si="32"/>
        <v>7000</v>
      </c>
      <c r="O245" s="73">
        <f t="shared" si="33"/>
        <v>34669.656000000003</v>
      </c>
      <c r="P245" s="73">
        <f t="shared" si="34"/>
        <v>41669.656000000003</v>
      </c>
      <c r="Q245" s="301">
        <f t="shared" si="35"/>
        <v>6510</v>
      </c>
      <c r="R245" s="301">
        <f t="shared" si="36"/>
        <v>32242.780080000004</v>
      </c>
      <c r="S245" s="300">
        <f t="shared" si="37"/>
        <v>38752.780080000004</v>
      </c>
    </row>
    <row r="246" spans="1:19" ht="15" x14ac:dyDescent="0.2">
      <c r="A246" s="49">
        <v>230</v>
      </c>
      <c r="B246" s="39" t="s">
        <v>257</v>
      </c>
      <c r="C246" s="33" t="s">
        <v>153</v>
      </c>
      <c r="D246" s="133">
        <v>118531.38219999999</v>
      </c>
      <c r="E246" s="114">
        <v>35322.351895600004</v>
      </c>
      <c r="F246" s="114">
        <v>141289.40758239999</v>
      </c>
      <c r="G246" s="114">
        <v>176611.75947799999</v>
      </c>
      <c r="H246" s="257">
        <f t="shared" si="29"/>
        <v>30000</v>
      </c>
      <c r="I246" s="257">
        <v>150000</v>
      </c>
      <c r="J246" s="258">
        <f t="shared" si="30"/>
        <v>180000</v>
      </c>
      <c r="K246" s="145">
        <f>35322.3518956-500</f>
        <v>34822.351895599997</v>
      </c>
      <c r="L246" s="145">
        <v>141289.40758239999</v>
      </c>
      <c r="M246" s="142">
        <f t="shared" si="31"/>
        <v>176111.75947799999</v>
      </c>
      <c r="N246" s="99">
        <f t="shared" si="32"/>
        <v>30000</v>
      </c>
      <c r="O246" s="73">
        <f t="shared" si="33"/>
        <v>141289.40758239999</v>
      </c>
      <c r="P246" s="73">
        <f t="shared" si="34"/>
        <v>171289.40758239999</v>
      </c>
      <c r="Q246" s="301">
        <f t="shared" si="35"/>
        <v>27900</v>
      </c>
      <c r="R246" s="301">
        <f t="shared" si="36"/>
        <v>131399.14905163198</v>
      </c>
      <c r="S246" s="300">
        <f t="shared" si="37"/>
        <v>159299.14905163198</v>
      </c>
    </row>
    <row r="247" spans="1:19" ht="15" x14ac:dyDescent="0.2">
      <c r="A247" s="49">
        <v>231</v>
      </c>
      <c r="B247" s="50" t="s">
        <v>258</v>
      </c>
      <c r="C247" s="33" t="s">
        <v>153</v>
      </c>
      <c r="D247" s="133">
        <v>100254</v>
      </c>
      <c r="E247" s="114">
        <v>29875.691999999995</v>
      </c>
      <c r="F247" s="114">
        <v>119502.768</v>
      </c>
      <c r="G247" s="114">
        <v>149378.46</v>
      </c>
      <c r="H247" s="257">
        <f t="shared" si="29"/>
        <v>24000</v>
      </c>
      <c r="I247" s="257">
        <v>120000</v>
      </c>
      <c r="J247" s="258">
        <f t="shared" si="30"/>
        <v>144000</v>
      </c>
      <c r="K247" s="145">
        <f>29875.692-1000</f>
        <v>28875.691999999999</v>
      </c>
      <c r="L247" s="145">
        <v>119502.768</v>
      </c>
      <c r="M247" s="142">
        <f t="shared" si="31"/>
        <v>148378.46</v>
      </c>
      <c r="N247" s="99">
        <f t="shared" si="32"/>
        <v>24000</v>
      </c>
      <c r="O247" s="73">
        <f t="shared" si="33"/>
        <v>119502.768</v>
      </c>
      <c r="P247" s="73">
        <f t="shared" si="34"/>
        <v>143502.76799999998</v>
      </c>
      <c r="Q247" s="301">
        <f t="shared" si="35"/>
        <v>22320</v>
      </c>
      <c r="R247" s="301">
        <f t="shared" si="36"/>
        <v>111137.57424</v>
      </c>
      <c r="S247" s="300">
        <f t="shared" si="37"/>
        <v>133457.57423999999</v>
      </c>
    </row>
    <row r="248" spans="1:19" ht="15" x14ac:dyDescent="0.2">
      <c r="A248" s="49">
        <v>232</v>
      </c>
      <c r="B248" s="50" t="s">
        <v>259</v>
      </c>
      <c r="C248" s="33" t="s">
        <v>153</v>
      </c>
      <c r="D248" s="133">
        <v>25970</v>
      </c>
      <c r="E248" s="114">
        <v>7791</v>
      </c>
      <c r="F248" s="114">
        <v>31164</v>
      </c>
      <c r="G248" s="114">
        <v>38955</v>
      </c>
      <c r="H248" s="257">
        <f t="shared" si="29"/>
        <v>6600</v>
      </c>
      <c r="I248" s="257">
        <v>33000</v>
      </c>
      <c r="J248" s="258">
        <f t="shared" si="30"/>
        <v>39600</v>
      </c>
      <c r="K248" s="145">
        <f>7791-500</f>
        <v>7291</v>
      </c>
      <c r="L248" s="145">
        <v>31164</v>
      </c>
      <c r="M248" s="142">
        <f t="shared" si="31"/>
        <v>38455</v>
      </c>
      <c r="N248" s="99">
        <f t="shared" si="32"/>
        <v>6600</v>
      </c>
      <c r="O248" s="73">
        <f t="shared" si="33"/>
        <v>31164</v>
      </c>
      <c r="P248" s="73">
        <f t="shared" si="34"/>
        <v>37764</v>
      </c>
      <c r="Q248" s="301">
        <f t="shared" si="35"/>
        <v>6138</v>
      </c>
      <c r="R248" s="301">
        <f t="shared" si="36"/>
        <v>28982.52</v>
      </c>
      <c r="S248" s="300">
        <f t="shared" si="37"/>
        <v>35120.520000000004</v>
      </c>
    </row>
    <row r="249" spans="1:19" ht="15" x14ac:dyDescent="0.2">
      <c r="A249" s="49">
        <v>233</v>
      </c>
      <c r="B249" s="46" t="s">
        <v>260</v>
      </c>
      <c r="C249" s="33" t="s">
        <v>153</v>
      </c>
      <c r="D249" s="133">
        <v>29415.944599999999</v>
      </c>
      <c r="E249" s="114">
        <v>8824.7833800000008</v>
      </c>
      <c r="F249" s="114">
        <v>35299.133519999996</v>
      </c>
      <c r="G249" s="114">
        <v>44123.916899999997</v>
      </c>
      <c r="H249" s="257">
        <f t="shared" si="29"/>
        <v>7400</v>
      </c>
      <c r="I249" s="257">
        <v>37000</v>
      </c>
      <c r="J249" s="258">
        <f t="shared" si="30"/>
        <v>44400</v>
      </c>
      <c r="K249" s="145">
        <f>8824.78338-500</f>
        <v>8324.7833800000008</v>
      </c>
      <c r="L249" s="145">
        <v>35299.133519999996</v>
      </c>
      <c r="M249" s="142">
        <f t="shared" si="31"/>
        <v>43623.916899999997</v>
      </c>
      <c r="N249" s="99">
        <f t="shared" si="32"/>
        <v>7400</v>
      </c>
      <c r="O249" s="73">
        <f t="shared" si="33"/>
        <v>35299.133519999996</v>
      </c>
      <c r="P249" s="73">
        <f t="shared" si="34"/>
        <v>42699.133519999996</v>
      </c>
      <c r="Q249" s="301">
        <f t="shared" si="35"/>
        <v>6882</v>
      </c>
      <c r="R249" s="301">
        <f t="shared" si="36"/>
        <v>32828.194173599994</v>
      </c>
      <c r="S249" s="300">
        <f t="shared" si="37"/>
        <v>39710.194173599994</v>
      </c>
    </row>
    <row r="250" spans="1:19" ht="15" x14ac:dyDescent="0.2">
      <c r="A250" s="49">
        <v>234</v>
      </c>
      <c r="B250" s="42" t="s">
        <v>261</v>
      </c>
      <c r="C250" s="33" t="s">
        <v>153</v>
      </c>
      <c r="D250" s="133">
        <v>205800</v>
      </c>
      <c r="E250" s="114">
        <v>61328.399999999994</v>
      </c>
      <c r="F250" s="114">
        <v>245313.6</v>
      </c>
      <c r="G250" s="114">
        <v>306642</v>
      </c>
      <c r="H250" s="257">
        <f t="shared" si="29"/>
        <v>52000</v>
      </c>
      <c r="I250" s="257">
        <v>260000</v>
      </c>
      <c r="J250" s="258">
        <f t="shared" si="30"/>
        <v>312000</v>
      </c>
      <c r="K250" s="145">
        <f>61328.4-500</f>
        <v>60828.4</v>
      </c>
      <c r="L250" s="145">
        <v>245313.6</v>
      </c>
      <c r="M250" s="142">
        <f t="shared" si="31"/>
        <v>306142</v>
      </c>
      <c r="N250" s="99">
        <f t="shared" si="32"/>
        <v>52000</v>
      </c>
      <c r="O250" s="73">
        <f t="shared" si="33"/>
        <v>245313.6</v>
      </c>
      <c r="P250" s="73">
        <f t="shared" si="34"/>
        <v>297313.59999999998</v>
      </c>
      <c r="Q250" s="301">
        <f t="shared" si="35"/>
        <v>48360</v>
      </c>
      <c r="R250" s="301">
        <f t="shared" si="36"/>
        <v>228141.64800000002</v>
      </c>
      <c r="S250" s="300">
        <f t="shared" si="37"/>
        <v>276501.64800000004</v>
      </c>
    </row>
    <row r="251" spans="1:19" ht="15" x14ac:dyDescent="0.2">
      <c r="A251" s="49">
        <v>235</v>
      </c>
      <c r="B251" s="46" t="s">
        <v>262</v>
      </c>
      <c r="C251" s="33" t="s">
        <v>153</v>
      </c>
      <c r="D251" s="133">
        <v>580000</v>
      </c>
      <c r="E251" s="114">
        <v>172840</v>
      </c>
      <c r="F251" s="114">
        <v>691360</v>
      </c>
      <c r="G251" s="114">
        <f t="shared" ref="G251:G255" si="38">E251+F251</f>
        <v>864200</v>
      </c>
      <c r="H251" s="257">
        <f t="shared" si="29"/>
        <v>112000</v>
      </c>
      <c r="I251" s="257">
        <v>560000</v>
      </c>
      <c r="J251" s="258">
        <f t="shared" si="30"/>
        <v>672000</v>
      </c>
      <c r="K251" s="145">
        <f>172840-1000</f>
        <v>171840</v>
      </c>
      <c r="L251" s="145">
        <v>691360</v>
      </c>
      <c r="M251" s="142">
        <f t="shared" si="31"/>
        <v>863200</v>
      </c>
      <c r="N251" s="99">
        <f t="shared" si="32"/>
        <v>112000</v>
      </c>
      <c r="O251" s="73">
        <f t="shared" si="33"/>
        <v>560000</v>
      </c>
      <c r="P251" s="73">
        <f t="shared" si="34"/>
        <v>672000</v>
      </c>
      <c r="Q251" s="301">
        <f t="shared" si="35"/>
        <v>104160</v>
      </c>
      <c r="R251" s="301">
        <f t="shared" si="36"/>
        <v>520800</v>
      </c>
      <c r="S251" s="300">
        <f t="shared" si="37"/>
        <v>624960</v>
      </c>
    </row>
    <row r="252" spans="1:19" ht="22.5" x14ac:dyDescent="0.2">
      <c r="A252" s="56"/>
      <c r="B252" s="29" t="s">
        <v>62</v>
      </c>
      <c r="C252" s="33" t="s">
        <v>153</v>
      </c>
      <c r="D252" s="133"/>
      <c r="E252" s="114"/>
      <c r="F252" s="114"/>
      <c r="G252" s="114"/>
      <c r="H252" s="257">
        <f t="shared" si="29"/>
        <v>0</v>
      </c>
      <c r="I252" s="257"/>
      <c r="J252" s="258">
        <f t="shared" si="30"/>
        <v>0</v>
      </c>
      <c r="K252" s="143"/>
      <c r="L252" s="148"/>
      <c r="M252" s="142">
        <f t="shared" si="31"/>
        <v>0</v>
      </c>
      <c r="N252" s="99">
        <f t="shared" si="32"/>
        <v>0</v>
      </c>
      <c r="O252" s="73">
        <f t="shared" si="33"/>
        <v>0</v>
      </c>
      <c r="P252" s="73">
        <f t="shared" si="34"/>
        <v>0</v>
      </c>
      <c r="Q252" s="301">
        <f t="shared" si="35"/>
        <v>0</v>
      </c>
      <c r="R252" s="301">
        <f t="shared" si="36"/>
        <v>0</v>
      </c>
      <c r="S252" s="300">
        <f t="shared" si="37"/>
        <v>0</v>
      </c>
    </row>
    <row r="253" spans="1:19" ht="22.5" x14ac:dyDescent="0.2">
      <c r="A253" s="56">
        <v>236</v>
      </c>
      <c r="B253" s="50" t="s">
        <v>382</v>
      </c>
      <c r="C253" s="33" t="s">
        <v>153</v>
      </c>
      <c r="D253" s="133">
        <v>383035.91315196198</v>
      </c>
      <c r="E253" s="114">
        <v>414144.70211928501</v>
      </c>
      <c r="F253" s="114">
        <v>456578.80847713898</v>
      </c>
      <c r="G253" s="114">
        <f t="shared" si="38"/>
        <v>870723.51059642399</v>
      </c>
      <c r="H253" s="257">
        <f t="shared" si="29"/>
        <v>100000</v>
      </c>
      <c r="I253" s="257">
        <v>500000</v>
      </c>
      <c r="J253" s="258">
        <f t="shared" si="30"/>
        <v>600000</v>
      </c>
      <c r="K253" s="145">
        <f>414144.702119285-1000</f>
        <v>413144.70211928501</v>
      </c>
      <c r="L253" s="145">
        <v>456578.80847713898</v>
      </c>
      <c r="M253" s="142">
        <f t="shared" si="31"/>
        <v>869723.51059642399</v>
      </c>
      <c r="N253" s="99">
        <f t="shared" si="32"/>
        <v>100000</v>
      </c>
      <c r="O253" s="73">
        <f t="shared" si="33"/>
        <v>456578.80847713898</v>
      </c>
      <c r="P253" s="73">
        <f t="shared" si="34"/>
        <v>556578.80847713898</v>
      </c>
      <c r="Q253" s="301">
        <f t="shared" si="35"/>
        <v>93000</v>
      </c>
      <c r="R253" s="301">
        <f t="shared" si="36"/>
        <v>424618.29188373924</v>
      </c>
      <c r="S253" s="300">
        <f t="shared" si="37"/>
        <v>517618.29188373924</v>
      </c>
    </row>
    <row r="254" spans="1:19" ht="15" x14ac:dyDescent="0.2">
      <c r="A254" s="56">
        <v>237</v>
      </c>
      <c r="B254" s="50" t="s">
        <v>63</v>
      </c>
      <c r="C254" s="33" t="s">
        <v>153</v>
      </c>
      <c r="D254" s="133">
        <v>2054336.4328528894</v>
      </c>
      <c r="E254" s="114">
        <v>575214.20119880885</v>
      </c>
      <c r="F254" s="114">
        <v>2300856.8047952363</v>
      </c>
      <c r="G254" s="114">
        <f t="shared" si="38"/>
        <v>2876071.0059940452</v>
      </c>
      <c r="H254" s="257">
        <f t="shared" si="29"/>
        <v>460000</v>
      </c>
      <c r="I254" s="257">
        <v>2300000</v>
      </c>
      <c r="J254" s="258">
        <f t="shared" si="30"/>
        <v>2760000</v>
      </c>
      <c r="K254" s="145">
        <f>575214.201198809-1000</f>
        <v>574214.20119880897</v>
      </c>
      <c r="L254" s="145">
        <v>2300856.8047952363</v>
      </c>
      <c r="M254" s="142">
        <f t="shared" si="31"/>
        <v>2875071.0059940452</v>
      </c>
      <c r="N254" s="99">
        <f t="shared" si="32"/>
        <v>460000</v>
      </c>
      <c r="O254" s="73">
        <f t="shared" si="33"/>
        <v>2300000</v>
      </c>
      <c r="P254" s="73">
        <f t="shared" si="34"/>
        <v>2760000</v>
      </c>
      <c r="Q254" s="301">
        <f t="shared" si="35"/>
        <v>427800</v>
      </c>
      <c r="R254" s="301">
        <f t="shared" si="36"/>
        <v>2139000</v>
      </c>
      <c r="S254" s="300">
        <f t="shared" si="37"/>
        <v>2566800</v>
      </c>
    </row>
    <row r="255" spans="1:19" ht="15" x14ac:dyDescent="0.2">
      <c r="A255" s="56">
        <v>238</v>
      </c>
      <c r="B255" s="50" t="s">
        <v>134</v>
      </c>
      <c r="C255" s="33" t="s">
        <v>153</v>
      </c>
      <c r="D255" s="133">
        <v>182280</v>
      </c>
      <c r="E255" s="114">
        <v>54319.44</v>
      </c>
      <c r="F255" s="114">
        <v>217277.76</v>
      </c>
      <c r="G255" s="114">
        <f t="shared" si="38"/>
        <v>271597.2</v>
      </c>
      <c r="H255" s="257">
        <f t="shared" si="29"/>
        <v>46000</v>
      </c>
      <c r="I255" s="257">
        <v>230000</v>
      </c>
      <c r="J255" s="258">
        <f t="shared" si="30"/>
        <v>276000</v>
      </c>
      <c r="K255" s="145">
        <f>54319.44-100</f>
        <v>54219.44</v>
      </c>
      <c r="L255" s="145">
        <v>217277.76</v>
      </c>
      <c r="M255" s="142">
        <f t="shared" si="31"/>
        <v>271497.2</v>
      </c>
      <c r="N255" s="99">
        <f t="shared" si="32"/>
        <v>46000</v>
      </c>
      <c r="O255" s="73">
        <f t="shared" si="33"/>
        <v>217277.76</v>
      </c>
      <c r="P255" s="73">
        <f t="shared" si="34"/>
        <v>263277.76</v>
      </c>
      <c r="Q255" s="301">
        <f t="shared" si="35"/>
        <v>42780</v>
      </c>
      <c r="R255" s="301">
        <f t="shared" si="36"/>
        <v>202068.3168</v>
      </c>
      <c r="S255" s="300">
        <f t="shared" si="37"/>
        <v>244848.3168</v>
      </c>
    </row>
    <row r="256" spans="1:19" ht="15" x14ac:dyDescent="0.2">
      <c r="A256" s="56">
        <v>239</v>
      </c>
      <c r="B256" s="57" t="s">
        <v>264</v>
      </c>
      <c r="C256" s="33" t="s">
        <v>153</v>
      </c>
      <c r="D256" s="133">
        <v>209585.68832843201</v>
      </c>
      <c r="E256" s="114">
        <v>525754</v>
      </c>
      <c r="F256" s="114">
        <v>249826.14048749101</v>
      </c>
      <c r="G256" s="114">
        <f>E256+F256</f>
        <v>775580.14048749104</v>
      </c>
      <c r="H256" s="257">
        <f t="shared" si="29"/>
        <v>54000</v>
      </c>
      <c r="I256" s="257">
        <v>270000</v>
      </c>
      <c r="J256" s="258">
        <f t="shared" si="30"/>
        <v>324000</v>
      </c>
      <c r="K256" s="145">
        <f>525754-1000</f>
        <v>524754</v>
      </c>
      <c r="L256" s="145">
        <v>249826.14048749101</v>
      </c>
      <c r="M256" s="142">
        <f t="shared" si="31"/>
        <v>774580.14048749104</v>
      </c>
      <c r="N256" s="99">
        <f t="shared" si="32"/>
        <v>54000</v>
      </c>
      <c r="O256" s="73">
        <f t="shared" si="33"/>
        <v>249826.14048749101</v>
      </c>
      <c r="P256" s="73">
        <f t="shared" si="34"/>
        <v>303826.14048749104</v>
      </c>
      <c r="Q256" s="301">
        <f t="shared" si="35"/>
        <v>50220</v>
      </c>
      <c r="R256" s="301">
        <f t="shared" si="36"/>
        <v>232338.31065336664</v>
      </c>
      <c r="S256" s="300">
        <f t="shared" si="37"/>
        <v>282558.31065336661</v>
      </c>
    </row>
    <row r="257" spans="1:19" ht="15" x14ac:dyDescent="0.2">
      <c r="A257" s="56">
        <v>240</v>
      </c>
      <c r="B257" s="58" t="s">
        <v>73</v>
      </c>
      <c r="C257" s="33" t="s">
        <v>153</v>
      </c>
      <c r="D257" s="133">
        <v>63798</v>
      </c>
      <c r="E257" s="114">
        <v>19139.399999999994</v>
      </c>
      <c r="F257" s="114">
        <v>76557.600000000006</v>
      </c>
      <c r="G257" s="114">
        <v>95697</v>
      </c>
      <c r="H257" s="257">
        <f t="shared" si="29"/>
        <v>16000</v>
      </c>
      <c r="I257" s="257">
        <v>80000</v>
      </c>
      <c r="J257" s="258">
        <f t="shared" si="30"/>
        <v>96000</v>
      </c>
      <c r="K257" s="145">
        <f>19139.4-1000</f>
        <v>18139.400000000001</v>
      </c>
      <c r="L257" s="145">
        <v>76557.600000000006</v>
      </c>
      <c r="M257" s="142">
        <f>K257+L257</f>
        <v>94697</v>
      </c>
      <c r="N257" s="99">
        <f t="shared" si="32"/>
        <v>16000</v>
      </c>
      <c r="O257" s="73">
        <f t="shared" si="33"/>
        <v>76557.600000000006</v>
      </c>
      <c r="P257" s="73">
        <f t="shared" si="34"/>
        <v>92557.6</v>
      </c>
      <c r="Q257" s="301">
        <f t="shared" si="35"/>
        <v>14880</v>
      </c>
      <c r="R257" s="301">
        <f t="shared" si="36"/>
        <v>71198.567999999999</v>
      </c>
      <c r="S257" s="300">
        <f t="shared" si="37"/>
        <v>86078.567999999999</v>
      </c>
    </row>
    <row r="258" spans="1:19" ht="15" x14ac:dyDescent="0.2">
      <c r="A258" s="56">
        <v>241</v>
      </c>
      <c r="B258" s="47" t="s">
        <v>72</v>
      </c>
      <c r="C258" s="33" t="s">
        <v>153</v>
      </c>
      <c r="D258" s="133">
        <v>996240.21020206343</v>
      </c>
      <c r="E258" s="114">
        <v>296879.58264021482</v>
      </c>
      <c r="F258" s="114">
        <v>1187518.3305608598</v>
      </c>
      <c r="G258" s="114">
        <v>1484397.9132010746</v>
      </c>
      <c r="H258" s="257">
        <f t="shared" si="29"/>
        <v>240000</v>
      </c>
      <c r="I258" s="257">
        <v>1200000</v>
      </c>
      <c r="J258" s="258">
        <f t="shared" si="30"/>
        <v>1440000</v>
      </c>
      <c r="K258" s="145">
        <f>296879.582640215-1000</f>
        <v>295879.582640215</v>
      </c>
      <c r="L258" s="145">
        <v>1187518.3305608598</v>
      </c>
      <c r="M258" s="142">
        <f t="shared" ref="M258:M259" si="39">K258+L258</f>
        <v>1483397.9132010748</v>
      </c>
      <c r="N258" s="99">
        <f t="shared" si="32"/>
        <v>240000</v>
      </c>
      <c r="O258" s="73">
        <f t="shared" si="33"/>
        <v>1187518.3305608598</v>
      </c>
      <c r="P258" s="73">
        <f t="shared" si="34"/>
        <v>1427518.3305608598</v>
      </c>
      <c r="Q258" s="301">
        <f t="shared" si="35"/>
        <v>223200</v>
      </c>
      <c r="R258" s="301">
        <f t="shared" si="36"/>
        <v>1104392.0474215995</v>
      </c>
      <c r="S258" s="300">
        <f t="shared" si="37"/>
        <v>1327592.0474215995</v>
      </c>
    </row>
    <row r="259" spans="1:19" ht="15" x14ac:dyDescent="0.2">
      <c r="A259" s="56">
        <v>242</v>
      </c>
      <c r="B259" s="47" t="s">
        <v>365</v>
      </c>
      <c r="C259" s="33" t="s">
        <v>153</v>
      </c>
      <c r="D259" s="133">
        <v>268452.87</v>
      </c>
      <c r="E259" s="114">
        <v>79998.955259999959</v>
      </c>
      <c r="F259" s="114">
        <v>319995.82104000001</v>
      </c>
      <c r="G259" s="114">
        <v>399994.77629999997</v>
      </c>
      <c r="H259" s="257">
        <f t="shared" si="29"/>
        <v>68000</v>
      </c>
      <c r="I259" s="257">
        <v>340000</v>
      </c>
      <c r="J259" s="258">
        <f t="shared" si="30"/>
        <v>408000</v>
      </c>
      <c r="K259" s="145">
        <f>79998.95526-1000</f>
        <v>78998.955260000002</v>
      </c>
      <c r="L259" s="145">
        <v>319995.82104000001</v>
      </c>
      <c r="M259" s="142">
        <f t="shared" si="39"/>
        <v>398994.77630000003</v>
      </c>
      <c r="N259" s="99">
        <f t="shared" si="32"/>
        <v>68000</v>
      </c>
      <c r="O259" s="73">
        <f t="shared" si="33"/>
        <v>319995.82104000001</v>
      </c>
      <c r="P259" s="73">
        <f t="shared" si="34"/>
        <v>387995.82104000001</v>
      </c>
      <c r="Q259" s="301">
        <f t="shared" si="35"/>
        <v>63240</v>
      </c>
      <c r="R259" s="301">
        <f t="shared" si="36"/>
        <v>297596.11356720002</v>
      </c>
      <c r="S259" s="300">
        <f t="shared" si="37"/>
        <v>360836.11356720002</v>
      </c>
    </row>
    <row r="260" spans="1:19" x14ac:dyDescent="0.2">
      <c r="A260" s="273" t="s">
        <v>491</v>
      </c>
      <c r="B260" s="273"/>
      <c r="C260" s="273"/>
      <c r="D260" s="81">
        <f t="shared" ref="D260:P260" si="40">SUM(D5:D259)</f>
        <v>202418058.51665145</v>
      </c>
      <c r="E260" s="44">
        <f t="shared" si="40"/>
        <v>59314884.018609747</v>
      </c>
      <c r="F260" s="44">
        <f t="shared" si="40"/>
        <v>234206346.21492651</v>
      </c>
      <c r="G260" s="44">
        <f t="shared" si="40"/>
        <v>293521230.23353642</v>
      </c>
      <c r="H260" s="44">
        <f t="shared" ref="H260:J260" si="41">SUM(H5:H259)</f>
        <v>43350000</v>
      </c>
      <c r="I260" s="44">
        <f t="shared" si="41"/>
        <v>216750000</v>
      </c>
      <c r="J260" s="44">
        <f t="shared" si="41"/>
        <v>260100000</v>
      </c>
      <c r="K260" s="149">
        <f t="shared" si="40"/>
        <v>58785784.018609755</v>
      </c>
      <c r="L260" s="149">
        <f t="shared" si="40"/>
        <v>234206346.21492651</v>
      </c>
      <c r="M260" s="149">
        <f t="shared" si="40"/>
        <v>292992130.23353642</v>
      </c>
      <c r="N260" s="83">
        <f t="shared" si="40"/>
        <v>41136416.919471994</v>
      </c>
      <c r="O260" s="83">
        <f t="shared" si="40"/>
        <v>201525790.87558016</v>
      </c>
      <c r="P260" s="83">
        <f t="shared" si="40"/>
        <v>242662207.79505217</v>
      </c>
      <c r="Q260" s="301">
        <f t="shared" si="35"/>
        <v>38256867.735108957</v>
      </c>
      <c r="R260" s="301">
        <f t="shared" si="36"/>
        <v>187418985.51428956</v>
      </c>
      <c r="S260" s="300">
        <f t="shared" si="37"/>
        <v>225675853.24939853</v>
      </c>
    </row>
    <row r="261" spans="1:19" x14ac:dyDescent="0.2">
      <c r="A261" s="273" t="s">
        <v>492</v>
      </c>
      <c r="B261" s="273"/>
      <c r="C261" s="273"/>
      <c r="D261" s="121">
        <v>1</v>
      </c>
      <c r="E261" s="122">
        <f>+E260/G260</f>
        <v>0.20208038775054402</v>
      </c>
      <c r="F261" s="122">
        <f>+F260/G260</f>
        <v>0.7979196122494554</v>
      </c>
      <c r="G261" s="122">
        <f>+E261+F261</f>
        <v>0.99999999999999944</v>
      </c>
      <c r="H261" s="122">
        <f>+H260/J260</f>
        <v>0.16666666666666666</v>
      </c>
      <c r="I261" s="122">
        <f>+I260/J260</f>
        <v>0.83333333333333337</v>
      </c>
      <c r="J261" s="122">
        <f>+H261+I261</f>
        <v>1</v>
      </c>
      <c r="K261" s="122">
        <f t="shared" ref="K261" si="42">+K260/M260</f>
        <v>0.20063946417862191</v>
      </c>
      <c r="L261" s="122">
        <f t="shared" ref="L261" si="43">+L260/M260</f>
        <v>0.79936053582137756</v>
      </c>
      <c r="M261" s="122">
        <f t="shared" ref="M261" si="44">+K261+L261</f>
        <v>0.99999999999999944</v>
      </c>
      <c r="N261" s="122">
        <f t="shared" ref="N261" si="45">+N260/P260</f>
        <v>0.16952131645573348</v>
      </c>
      <c r="O261" s="122">
        <f t="shared" ref="O261" si="46">+O260/P260</f>
        <v>0.83047868354426646</v>
      </c>
      <c r="P261" s="122">
        <f t="shared" ref="P261" si="47">+N261+O261</f>
        <v>1</v>
      </c>
      <c r="Q261" s="301"/>
      <c r="R261" s="301"/>
      <c r="S261" s="300"/>
    </row>
  </sheetData>
  <mergeCells count="8">
    <mergeCell ref="Q3:S3"/>
    <mergeCell ref="N3:P3"/>
    <mergeCell ref="K3:M3"/>
    <mergeCell ref="A260:C260"/>
    <mergeCell ref="A261:C261"/>
    <mergeCell ref="A2:C2"/>
    <mergeCell ref="E3:G3"/>
    <mergeCell ref="H3:J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92D050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0000"/>
  </sheetPr>
  <dimension ref="A1:O246"/>
  <sheetViews>
    <sheetView topLeftCell="H226" workbookViewId="0">
      <selection activeCell="M2" sqref="M2:O4"/>
    </sheetView>
  </sheetViews>
  <sheetFormatPr baseColWidth="10" defaultRowHeight="15" x14ac:dyDescent="0.25"/>
  <cols>
    <col min="2" max="2" width="44.85546875" bestFit="1" customWidth="1"/>
    <col min="3" max="3" width="8.42578125" bestFit="1" customWidth="1"/>
    <col min="4" max="4" width="17.140625" bestFit="1" customWidth="1"/>
    <col min="5" max="6" width="16.140625" bestFit="1" customWidth="1"/>
    <col min="7" max="7" width="17.140625" bestFit="1" customWidth="1"/>
    <col min="8" max="8" width="16.28515625" bestFit="1" customWidth="1"/>
    <col min="9" max="9" width="16.42578125" bestFit="1" customWidth="1"/>
    <col min="10" max="10" width="17.140625" bestFit="1" customWidth="1"/>
    <col min="11" max="11" width="13.7109375" bestFit="1" customWidth="1"/>
    <col min="12" max="12" width="16.42578125" bestFit="1" customWidth="1"/>
    <col min="13" max="13" width="15.140625" customWidth="1"/>
    <col min="14" max="14" width="12.28515625" customWidth="1"/>
    <col min="15" max="15" width="12" customWidth="1"/>
  </cols>
  <sheetData>
    <row r="1" spans="1:15" x14ac:dyDescent="0.25">
      <c r="A1" s="279" t="s">
        <v>494</v>
      </c>
      <c r="B1" s="279"/>
      <c r="C1" s="279"/>
      <c r="D1" s="150"/>
      <c r="E1" s="150"/>
      <c r="F1" s="150"/>
    </row>
    <row r="2" spans="1:15" x14ac:dyDescent="0.25">
      <c r="A2" s="28"/>
      <c r="B2" s="27"/>
      <c r="C2" s="27"/>
      <c r="D2" s="280" t="s">
        <v>473</v>
      </c>
      <c r="E2" s="280"/>
      <c r="F2" s="280"/>
      <c r="G2" s="277" t="s">
        <v>490</v>
      </c>
      <c r="H2" s="277"/>
      <c r="I2" s="277"/>
      <c r="J2" s="266" t="s">
        <v>480</v>
      </c>
      <c r="K2" s="266"/>
      <c r="L2" s="266"/>
      <c r="M2" s="295" t="s">
        <v>576</v>
      </c>
      <c r="N2" s="296"/>
      <c r="O2" s="297"/>
    </row>
    <row r="3" spans="1:15" ht="45" x14ac:dyDescent="0.25">
      <c r="A3" s="29" t="s">
        <v>0</v>
      </c>
      <c r="B3" s="30" t="s">
        <v>91</v>
      </c>
      <c r="C3" s="45" t="s">
        <v>152</v>
      </c>
      <c r="D3" s="171" t="s">
        <v>469</v>
      </c>
      <c r="E3" s="171" t="s">
        <v>470</v>
      </c>
      <c r="F3" s="172" t="s">
        <v>471</v>
      </c>
      <c r="G3" s="115" t="s">
        <v>469</v>
      </c>
      <c r="H3" s="115" t="s">
        <v>470</v>
      </c>
      <c r="I3" s="116" t="s">
        <v>471</v>
      </c>
      <c r="J3" s="196" t="s">
        <v>469</v>
      </c>
      <c r="K3" s="196" t="s">
        <v>470</v>
      </c>
      <c r="L3" s="197" t="s">
        <v>471</v>
      </c>
      <c r="M3" s="298" t="s">
        <v>574</v>
      </c>
      <c r="N3" s="298" t="s">
        <v>575</v>
      </c>
      <c r="O3" s="299" t="s">
        <v>471</v>
      </c>
    </row>
    <row r="4" spans="1:15" ht="33.75" x14ac:dyDescent="0.25">
      <c r="A4" s="151">
        <v>1</v>
      </c>
      <c r="B4" s="152" t="s">
        <v>276</v>
      </c>
      <c r="C4" s="153" t="s">
        <v>153</v>
      </c>
      <c r="D4" s="173">
        <v>1817000</v>
      </c>
      <c r="E4" s="173">
        <v>5415000</v>
      </c>
      <c r="F4" s="174">
        <f>(D4+E4)</f>
        <v>7232000</v>
      </c>
      <c r="G4" s="144">
        <f>1771517.0259144-120000</f>
        <v>1651517.0259143999</v>
      </c>
      <c r="H4" s="144">
        <v>7086068.1036575921</v>
      </c>
      <c r="I4" s="142">
        <f>G4+H4</f>
        <v>8737585.1295719929</v>
      </c>
      <c r="J4" s="203">
        <f>MIN(D4,G4)</f>
        <v>1651517.0259143999</v>
      </c>
      <c r="K4" s="203">
        <f>MIN(E4)</f>
        <v>5415000</v>
      </c>
      <c r="L4" s="203">
        <f>J4+K4</f>
        <v>7066517.0259143999</v>
      </c>
      <c r="M4" s="301">
        <f>J4-(J4*7%)</f>
        <v>1535910.8341003919</v>
      </c>
      <c r="N4" s="301">
        <f>K4-(K4*7%)</f>
        <v>5035950</v>
      </c>
      <c r="O4" s="300">
        <f>N4+M4</f>
        <v>6571860.8341003917</v>
      </c>
    </row>
    <row r="5" spans="1:15" x14ac:dyDescent="0.25">
      <c r="A5" s="151">
        <v>2</v>
      </c>
      <c r="B5" s="55" t="s">
        <v>277</v>
      </c>
      <c r="C5" s="153" t="s">
        <v>153</v>
      </c>
      <c r="D5" s="173">
        <v>165000</v>
      </c>
      <c r="E5" s="173">
        <v>931000</v>
      </c>
      <c r="F5" s="174">
        <f t="shared" ref="F5:F68" si="0">(D5+E5)</f>
        <v>1096000</v>
      </c>
      <c r="G5" s="144">
        <f>246177.712122219-1000</f>
        <v>245177.712122219</v>
      </c>
      <c r="H5" s="144">
        <v>984710.8484888752</v>
      </c>
      <c r="I5" s="142">
        <f t="shared" ref="I5:I68" si="1">G5+H5</f>
        <v>1229888.5606110941</v>
      </c>
      <c r="J5" s="203">
        <f t="shared" ref="J5:J68" si="2">MIN(D5,G5)</f>
        <v>165000</v>
      </c>
      <c r="K5" s="203">
        <v>931000</v>
      </c>
      <c r="L5" s="203">
        <f t="shared" ref="L5:L68" si="3">J5+K5</f>
        <v>1096000</v>
      </c>
      <c r="M5" s="301">
        <f>J5-(J5*7%)</f>
        <v>153450</v>
      </c>
      <c r="N5" s="301">
        <f>K5-(K5*7%)</f>
        <v>865830</v>
      </c>
      <c r="O5" s="300">
        <f t="shared" ref="O5:O68" si="4">N5+M5</f>
        <v>1019280</v>
      </c>
    </row>
    <row r="6" spans="1:15" x14ac:dyDescent="0.25">
      <c r="A6" s="151">
        <v>3</v>
      </c>
      <c r="B6" s="55" t="s">
        <v>156</v>
      </c>
      <c r="C6" s="153" t="s">
        <v>153</v>
      </c>
      <c r="D6" s="173">
        <v>71000</v>
      </c>
      <c r="E6" s="173">
        <v>244000</v>
      </c>
      <c r="F6" s="174">
        <f t="shared" si="0"/>
        <v>315000</v>
      </c>
      <c r="G6" s="144">
        <f>64638.8406130965-1000</f>
        <v>63638.840613096501</v>
      </c>
      <c r="H6" s="144">
        <v>258555.36245238618</v>
      </c>
      <c r="I6" s="142">
        <f t="shared" si="1"/>
        <v>322194.20306548267</v>
      </c>
      <c r="J6" s="203">
        <f t="shared" si="2"/>
        <v>63638.840613096501</v>
      </c>
      <c r="K6" s="203">
        <f>MIN(E6)</f>
        <v>244000</v>
      </c>
      <c r="L6" s="203">
        <f t="shared" si="3"/>
        <v>307638.84061309649</v>
      </c>
      <c r="M6" s="301">
        <f t="shared" ref="M6:M69" si="5">J6-(J6*7%)</f>
        <v>59184.121770179743</v>
      </c>
      <c r="N6" s="301">
        <f>K6-(K6*7%)</f>
        <v>226920</v>
      </c>
      <c r="O6" s="300">
        <f t="shared" si="4"/>
        <v>286104.12177017971</v>
      </c>
    </row>
    <row r="7" spans="1:15" x14ac:dyDescent="0.25">
      <c r="A7" s="151">
        <v>4</v>
      </c>
      <c r="B7" s="55" t="s">
        <v>133</v>
      </c>
      <c r="C7" s="153" t="s">
        <v>153</v>
      </c>
      <c r="D7" s="173">
        <v>776000</v>
      </c>
      <c r="E7" s="173">
        <v>3012000</v>
      </c>
      <c r="F7" s="174">
        <f t="shared" si="0"/>
        <v>3788000</v>
      </c>
      <c r="G7" s="144">
        <f>785080.074932215-80000</f>
        <v>705080.07493221504</v>
      </c>
      <c r="H7" s="144">
        <v>3140320.2997288629</v>
      </c>
      <c r="I7" s="142">
        <f t="shared" si="1"/>
        <v>3845400.3746610777</v>
      </c>
      <c r="J7" s="203">
        <f t="shared" si="2"/>
        <v>705080.07493221504</v>
      </c>
      <c r="K7" s="203">
        <f>MIN(E7)</f>
        <v>3012000</v>
      </c>
      <c r="L7" s="203">
        <f t="shared" si="3"/>
        <v>3717080.0749322148</v>
      </c>
      <c r="M7" s="301">
        <f t="shared" si="5"/>
        <v>655724.46968695999</v>
      </c>
      <c r="N7" s="301">
        <f t="shared" ref="N6:N69" si="6">K7-(K7*7%)</f>
        <v>2801160</v>
      </c>
      <c r="O7" s="300">
        <f t="shared" si="4"/>
        <v>3456884.4696869599</v>
      </c>
    </row>
    <row r="8" spans="1:15" x14ac:dyDescent="0.25">
      <c r="A8" s="151">
        <v>5</v>
      </c>
      <c r="B8" s="55" t="s">
        <v>4</v>
      </c>
      <c r="C8" s="153" t="s">
        <v>153</v>
      </c>
      <c r="D8" s="173">
        <v>321000</v>
      </c>
      <c r="E8" s="173">
        <v>1103000</v>
      </c>
      <c r="F8" s="174">
        <f t="shared" si="0"/>
        <v>1424000</v>
      </c>
      <c r="G8" s="144">
        <f>291507.418220254-1000</f>
        <v>290507.41822025401</v>
      </c>
      <c r="H8" s="144">
        <v>1166029.6728810167</v>
      </c>
      <c r="I8" s="142">
        <f t="shared" si="1"/>
        <v>1456537.0911012706</v>
      </c>
      <c r="J8" s="203">
        <f t="shared" si="2"/>
        <v>290507.41822025401</v>
      </c>
      <c r="K8" s="203">
        <f>MIN(E8)</f>
        <v>1103000</v>
      </c>
      <c r="L8" s="203">
        <f t="shared" si="3"/>
        <v>1393507.4182202541</v>
      </c>
      <c r="M8" s="301">
        <f t="shared" si="5"/>
        <v>270171.89894483623</v>
      </c>
      <c r="N8" s="301">
        <f t="shared" si="6"/>
        <v>1025790</v>
      </c>
      <c r="O8" s="300">
        <f t="shared" si="4"/>
        <v>1295961.8989448361</v>
      </c>
    </row>
    <row r="9" spans="1:15" x14ac:dyDescent="0.25">
      <c r="A9" s="151">
        <v>6</v>
      </c>
      <c r="B9" s="55" t="s">
        <v>96</v>
      </c>
      <c r="C9" s="153" t="s">
        <v>153</v>
      </c>
      <c r="D9" s="173">
        <v>263000</v>
      </c>
      <c r="E9" s="173">
        <v>903000</v>
      </c>
      <c r="F9" s="174">
        <f t="shared" si="0"/>
        <v>1166000</v>
      </c>
      <c r="G9" s="144">
        <f>238829.238650646-1000</f>
        <v>237829.238650646</v>
      </c>
      <c r="H9" s="144">
        <v>955316.95460258599</v>
      </c>
      <c r="I9" s="142">
        <f t="shared" si="1"/>
        <v>1193146.1932532319</v>
      </c>
      <c r="J9" s="203">
        <f t="shared" si="2"/>
        <v>237829.238650646</v>
      </c>
      <c r="K9" s="203">
        <f>MIN(E9)</f>
        <v>903000</v>
      </c>
      <c r="L9" s="203">
        <f t="shared" si="3"/>
        <v>1140829.2386506461</v>
      </c>
      <c r="M9" s="301">
        <f t="shared" si="5"/>
        <v>221181.19194510079</v>
      </c>
      <c r="N9" s="301">
        <f t="shared" si="6"/>
        <v>839790</v>
      </c>
      <c r="O9" s="300">
        <f t="shared" si="4"/>
        <v>1060971.1919451007</v>
      </c>
    </row>
    <row r="10" spans="1:15" x14ac:dyDescent="0.25">
      <c r="A10" s="151">
        <v>7</v>
      </c>
      <c r="B10" s="55" t="s">
        <v>8</v>
      </c>
      <c r="C10" s="153" t="s">
        <v>153</v>
      </c>
      <c r="D10" s="173">
        <v>36000</v>
      </c>
      <c r="E10" s="173">
        <v>125000</v>
      </c>
      <c r="F10" s="174">
        <f t="shared" si="0"/>
        <v>161000</v>
      </c>
      <c r="G10" s="144">
        <f>33100.626002222-1000</f>
        <v>32100.626002222001</v>
      </c>
      <c r="H10" s="144">
        <v>132402.50400888809</v>
      </c>
      <c r="I10" s="142">
        <f t="shared" si="1"/>
        <v>164503.1300111101</v>
      </c>
      <c r="J10" s="203">
        <f t="shared" si="2"/>
        <v>32100.626002222001</v>
      </c>
      <c r="K10" s="203">
        <f>MIN(E10)</f>
        <v>125000</v>
      </c>
      <c r="L10" s="203">
        <f t="shared" si="3"/>
        <v>157100.62600222201</v>
      </c>
      <c r="M10" s="301">
        <f t="shared" si="5"/>
        <v>29853.582182066461</v>
      </c>
      <c r="N10" s="301">
        <f t="shared" si="6"/>
        <v>116250</v>
      </c>
      <c r="O10" s="300">
        <f t="shared" si="4"/>
        <v>146103.58218206646</v>
      </c>
    </row>
    <row r="11" spans="1:15" x14ac:dyDescent="0.25">
      <c r="A11" s="151">
        <v>8</v>
      </c>
      <c r="B11" s="55" t="s">
        <v>157</v>
      </c>
      <c r="C11" s="153" t="s">
        <v>153</v>
      </c>
      <c r="D11" s="173">
        <v>47000</v>
      </c>
      <c r="E11" s="173">
        <v>161000</v>
      </c>
      <c r="F11" s="174">
        <f t="shared" si="0"/>
        <v>208000</v>
      </c>
      <c r="G11" s="144">
        <f>42557.9477171426-1000</f>
        <v>41557.947717142597</v>
      </c>
      <c r="H11" s="144">
        <v>170231.79086857042</v>
      </c>
      <c r="I11" s="142">
        <f t="shared" si="1"/>
        <v>211789.73858571303</v>
      </c>
      <c r="J11" s="203">
        <f t="shared" si="2"/>
        <v>41557.947717142597</v>
      </c>
      <c r="K11" s="203">
        <f t="shared" ref="K11:K74" si="7">MIN(E11)</f>
        <v>161000</v>
      </c>
      <c r="L11" s="203">
        <f t="shared" si="3"/>
        <v>202557.94771714258</v>
      </c>
      <c r="M11" s="301">
        <f t="shared" si="5"/>
        <v>38648.891376942614</v>
      </c>
      <c r="N11" s="301">
        <f t="shared" si="6"/>
        <v>149730</v>
      </c>
      <c r="O11" s="300">
        <f t="shared" si="4"/>
        <v>188378.89137694263</v>
      </c>
    </row>
    <row r="12" spans="1:15" x14ac:dyDescent="0.25">
      <c r="A12" s="151">
        <v>9</v>
      </c>
      <c r="B12" s="55" t="s">
        <v>10</v>
      </c>
      <c r="C12" s="153" t="s">
        <v>153</v>
      </c>
      <c r="D12" s="173">
        <v>37000</v>
      </c>
      <c r="E12" s="173">
        <v>126000</v>
      </c>
      <c r="F12" s="174">
        <f t="shared" si="0"/>
        <v>163000</v>
      </c>
      <c r="G12" s="144">
        <f>33364.0939944144-1000</f>
        <v>32364.093994414397</v>
      </c>
      <c r="H12" s="144">
        <v>133456.37597765771</v>
      </c>
      <c r="I12" s="142">
        <f t="shared" si="1"/>
        <v>165820.46997207211</v>
      </c>
      <c r="J12" s="203">
        <f t="shared" si="2"/>
        <v>32364.093994414397</v>
      </c>
      <c r="K12" s="203">
        <f t="shared" si="7"/>
        <v>126000</v>
      </c>
      <c r="L12" s="203">
        <f t="shared" si="3"/>
        <v>158364.0939944144</v>
      </c>
      <c r="M12" s="301">
        <f t="shared" si="5"/>
        <v>30098.607414805389</v>
      </c>
      <c r="N12" s="301">
        <f t="shared" si="6"/>
        <v>117180</v>
      </c>
      <c r="O12" s="300">
        <f t="shared" si="4"/>
        <v>147278.60741480539</v>
      </c>
    </row>
    <row r="13" spans="1:15" x14ac:dyDescent="0.25">
      <c r="A13" s="151">
        <v>10</v>
      </c>
      <c r="B13" s="55" t="s">
        <v>65</v>
      </c>
      <c r="C13" s="153" t="s">
        <v>153</v>
      </c>
      <c r="D13" s="173">
        <v>158000</v>
      </c>
      <c r="E13" s="173">
        <v>542000</v>
      </c>
      <c r="F13" s="174">
        <f t="shared" si="0"/>
        <v>700000</v>
      </c>
      <c r="G13" s="144">
        <f>143210.085463744-1000</f>
        <v>142210.08546374401</v>
      </c>
      <c r="H13" s="144">
        <v>572840.34185497556</v>
      </c>
      <c r="I13" s="142">
        <f t="shared" si="1"/>
        <v>715050.42731871956</v>
      </c>
      <c r="J13" s="203">
        <f t="shared" si="2"/>
        <v>142210.08546374401</v>
      </c>
      <c r="K13" s="203">
        <f t="shared" si="7"/>
        <v>542000</v>
      </c>
      <c r="L13" s="203">
        <f t="shared" si="3"/>
        <v>684210.08546374401</v>
      </c>
      <c r="M13" s="301">
        <f t="shared" si="5"/>
        <v>132255.37948128191</v>
      </c>
      <c r="N13" s="301">
        <f t="shared" si="6"/>
        <v>504060</v>
      </c>
      <c r="O13" s="300">
        <f t="shared" si="4"/>
        <v>636315.37948128185</v>
      </c>
    </row>
    <row r="14" spans="1:15" x14ac:dyDescent="0.25">
      <c r="A14" s="151">
        <v>11</v>
      </c>
      <c r="B14" s="55" t="s">
        <v>9</v>
      </c>
      <c r="C14" s="153" t="s">
        <v>153</v>
      </c>
      <c r="D14" s="173">
        <v>54000</v>
      </c>
      <c r="E14" s="173">
        <v>185000</v>
      </c>
      <c r="F14" s="174">
        <f t="shared" si="0"/>
        <v>239000</v>
      </c>
      <c r="G14" s="144">
        <f>48960.4835282178-1000</f>
        <v>47960.483528217803</v>
      </c>
      <c r="H14" s="144">
        <v>195841.9341128713</v>
      </c>
      <c r="I14" s="142">
        <f t="shared" si="1"/>
        <v>243802.41764108909</v>
      </c>
      <c r="J14" s="203">
        <f t="shared" si="2"/>
        <v>47960.483528217803</v>
      </c>
      <c r="K14" s="203">
        <f t="shared" si="7"/>
        <v>185000</v>
      </c>
      <c r="L14" s="203">
        <f t="shared" si="3"/>
        <v>232960.4835282178</v>
      </c>
      <c r="M14" s="301">
        <f t="shared" si="5"/>
        <v>44603.249681242552</v>
      </c>
      <c r="N14" s="301">
        <f t="shared" si="6"/>
        <v>172050</v>
      </c>
      <c r="O14" s="300">
        <f t="shared" si="4"/>
        <v>216653.24968124257</v>
      </c>
    </row>
    <row r="15" spans="1:15" x14ac:dyDescent="0.25">
      <c r="A15" s="151">
        <v>12</v>
      </c>
      <c r="B15" s="55" t="s">
        <v>324</v>
      </c>
      <c r="C15" s="153" t="s">
        <v>153</v>
      </c>
      <c r="D15" s="173">
        <v>278000</v>
      </c>
      <c r="E15" s="173">
        <v>956000</v>
      </c>
      <c r="F15" s="174">
        <f t="shared" si="0"/>
        <v>1234000</v>
      </c>
      <c r="G15" s="144">
        <f>252632.032555025-1000</f>
        <v>251632.03255502501</v>
      </c>
      <c r="H15" s="144">
        <v>1010528.1302200987</v>
      </c>
      <c r="I15" s="142">
        <f t="shared" si="1"/>
        <v>1262160.1627751237</v>
      </c>
      <c r="J15" s="203">
        <f t="shared" si="2"/>
        <v>251632.03255502501</v>
      </c>
      <c r="K15" s="203">
        <f t="shared" si="7"/>
        <v>956000</v>
      </c>
      <c r="L15" s="203">
        <f t="shared" si="3"/>
        <v>1207632.0325550251</v>
      </c>
      <c r="M15" s="301">
        <f t="shared" si="5"/>
        <v>234017.79027617327</v>
      </c>
      <c r="N15" s="301">
        <f t="shared" si="6"/>
        <v>889080</v>
      </c>
      <c r="O15" s="300">
        <f t="shared" si="4"/>
        <v>1123097.7902761733</v>
      </c>
    </row>
    <row r="16" spans="1:15" x14ac:dyDescent="0.25">
      <c r="A16" s="151">
        <v>13</v>
      </c>
      <c r="B16" s="58" t="s">
        <v>158</v>
      </c>
      <c r="C16" s="153" t="s">
        <v>153</v>
      </c>
      <c r="D16" s="173">
        <v>1072000</v>
      </c>
      <c r="E16" s="173">
        <v>3739000</v>
      </c>
      <c r="F16" s="174">
        <f t="shared" si="0"/>
        <v>4811000</v>
      </c>
      <c r="G16" s="144">
        <f>974590.843715462-1000</f>
        <v>973590.84371546202</v>
      </c>
      <c r="H16" s="144">
        <v>3898363.3748618495</v>
      </c>
      <c r="I16" s="142">
        <f t="shared" si="1"/>
        <v>4871954.2185773114</v>
      </c>
      <c r="J16" s="203">
        <f t="shared" si="2"/>
        <v>973590.84371546202</v>
      </c>
      <c r="K16" s="203">
        <f t="shared" si="7"/>
        <v>3739000</v>
      </c>
      <c r="L16" s="203">
        <f t="shared" si="3"/>
        <v>4712590.8437154619</v>
      </c>
      <c r="M16" s="301">
        <f t="shared" si="5"/>
        <v>905439.48465537967</v>
      </c>
      <c r="N16" s="301">
        <f t="shared" si="6"/>
        <v>3477270</v>
      </c>
      <c r="O16" s="300">
        <f t="shared" si="4"/>
        <v>4382709.4846553793</v>
      </c>
    </row>
    <row r="17" spans="1:15" x14ac:dyDescent="0.25">
      <c r="A17" s="151">
        <v>14</v>
      </c>
      <c r="B17" s="55" t="s">
        <v>2</v>
      </c>
      <c r="C17" s="153" t="s">
        <v>153</v>
      </c>
      <c r="D17" s="173">
        <v>112000</v>
      </c>
      <c r="E17" s="173">
        <v>385000</v>
      </c>
      <c r="F17" s="174">
        <f t="shared" si="0"/>
        <v>497000</v>
      </c>
      <c r="G17" s="144">
        <f>101884.015633259-1000</f>
        <v>100884.015633259</v>
      </c>
      <c r="H17" s="144">
        <v>407536.06253303611</v>
      </c>
      <c r="I17" s="142">
        <f t="shared" si="1"/>
        <v>508420.07816629508</v>
      </c>
      <c r="J17" s="203">
        <f t="shared" si="2"/>
        <v>100884.015633259</v>
      </c>
      <c r="K17" s="203">
        <f t="shared" si="7"/>
        <v>385000</v>
      </c>
      <c r="L17" s="203">
        <f t="shared" si="3"/>
        <v>485884.01563325897</v>
      </c>
      <c r="M17" s="301">
        <f t="shared" si="5"/>
        <v>93822.13453893087</v>
      </c>
      <c r="N17" s="301">
        <f t="shared" si="6"/>
        <v>358050</v>
      </c>
      <c r="O17" s="300">
        <f t="shared" si="4"/>
        <v>451872.13453893084</v>
      </c>
    </row>
    <row r="18" spans="1:15" x14ac:dyDescent="0.25">
      <c r="A18" s="151">
        <v>15</v>
      </c>
      <c r="B18" s="55" t="s">
        <v>3</v>
      </c>
      <c r="C18" s="153" t="s">
        <v>153</v>
      </c>
      <c r="D18" s="173">
        <v>112000</v>
      </c>
      <c r="E18" s="173">
        <v>385000</v>
      </c>
      <c r="F18" s="174">
        <f t="shared" si="0"/>
        <v>497000</v>
      </c>
      <c r="G18" s="144">
        <f>101884.015633259-1000</f>
        <v>100884.015633259</v>
      </c>
      <c r="H18" s="144">
        <v>407536.06253303611</v>
      </c>
      <c r="I18" s="142">
        <f t="shared" si="1"/>
        <v>508420.07816629508</v>
      </c>
      <c r="J18" s="203">
        <f t="shared" si="2"/>
        <v>100884.015633259</v>
      </c>
      <c r="K18" s="203">
        <f t="shared" si="7"/>
        <v>385000</v>
      </c>
      <c r="L18" s="203">
        <f t="shared" si="3"/>
        <v>485884.01563325897</v>
      </c>
      <c r="M18" s="301">
        <f t="shared" si="5"/>
        <v>93822.13453893087</v>
      </c>
      <c r="N18" s="301">
        <f t="shared" si="6"/>
        <v>358050</v>
      </c>
      <c r="O18" s="300">
        <f t="shared" si="4"/>
        <v>451872.13453893084</v>
      </c>
    </row>
    <row r="19" spans="1:15" x14ac:dyDescent="0.25">
      <c r="A19" s="151">
        <v>16</v>
      </c>
      <c r="B19" s="55" t="s">
        <v>15</v>
      </c>
      <c r="C19" s="153" t="s">
        <v>153</v>
      </c>
      <c r="D19" s="173">
        <v>343000</v>
      </c>
      <c r="E19" s="173">
        <v>1179000</v>
      </c>
      <c r="F19" s="174">
        <f t="shared" si="0"/>
        <v>1522000</v>
      </c>
      <c r="G19" s="144">
        <f>311758.629454889-1000</f>
        <v>310758.62945488899</v>
      </c>
      <c r="H19" s="144">
        <v>1247034.5178195571</v>
      </c>
      <c r="I19" s="142">
        <f t="shared" si="1"/>
        <v>1557793.1472744462</v>
      </c>
      <c r="J19" s="203">
        <f t="shared" si="2"/>
        <v>310758.62945488899</v>
      </c>
      <c r="K19" s="203">
        <f t="shared" si="7"/>
        <v>1179000</v>
      </c>
      <c r="L19" s="203">
        <f t="shared" si="3"/>
        <v>1489758.6294548889</v>
      </c>
      <c r="M19" s="301">
        <f t="shared" si="5"/>
        <v>289005.52539304673</v>
      </c>
      <c r="N19" s="301">
        <f t="shared" si="6"/>
        <v>1096470</v>
      </c>
      <c r="O19" s="300">
        <f t="shared" si="4"/>
        <v>1385475.5253930467</v>
      </c>
    </row>
    <row r="20" spans="1:15" x14ac:dyDescent="0.25">
      <c r="A20" s="151">
        <v>17</v>
      </c>
      <c r="B20" s="55" t="s">
        <v>105</v>
      </c>
      <c r="C20" s="153" t="s">
        <v>153</v>
      </c>
      <c r="D20" s="173">
        <v>84000</v>
      </c>
      <c r="E20" s="173">
        <v>290000</v>
      </c>
      <c r="F20" s="174">
        <f t="shared" si="0"/>
        <v>374000</v>
      </c>
      <c r="G20" s="144">
        <f>76568.7516882402-1000</f>
        <v>75568.751688240198</v>
      </c>
      <c r="H20" s="144">
        <v>306275.00675296097</v>
      </c>
      <c r="I20" s="142">
        <f t="shared" si="1"/>
        <v>381843.75844120118</v>
      </c>
      <c r="J20" s="203">
        <f t="shared" si="2"/>
        <v>75568.751688240198</v>
      </c>
      <c r="K20" s="203">
        <f t="shared" si="7"/>
        <v>290000</v>
      </c>
      <c r="L20" s="203">
        <f t="shared" si="3"/>
        <v>365568.75168824021</v>
      </c>
      <c r="M20" s="301">
        <f t="shared" si="5"/>
        <v>70278.939070063381</v>
      </c>
      <c r="N20" s="301">
        <f t="shared" si="6"/>
        <v>269700</v>
      </c>
      <c r="O20" s="300">
        <f t="shared" si="4"/>
        <v>339978.93907006341</v>
      </c>
    </row>
    <row r="21" spans="1:15" x14ac:dyDescent="0.25">
      <c r="A21" s="151">
        <v>18</v>
      </c>
      <c r="B21" s="55" t="s">
        <v>106</v>
      </c>
      <c r="C21" s="153" t="s">
        <v>153</v>
      </c>
      <c r="D21" s="173">
        <v>121000</v>
      </c>
      <c r="E21" s="173">
        <v>415000</v>
      </c>
      <c r="F21" s="174">
        <f t="shared" si="0"/>
        <v>536000</v>
      </c>
      <c r="G21" s="144">
        <f>109812.9200039-1000</f>
        <v>108812.9200039</v>
      </c>
      <c r="H21" s="144">
        <v>439251.6800156004</v>
      </c>
      <c r="I21" s="142">
        <f t="shared" si="1"/>
        <v>548064.60001950036</v>
      </c>
      <c r="J21" s="203">
        <f t="shared" si="2"/>
        <v>108812.9200039</v>
      </c>
      <c r="K21" s="203">
        <f t="shared" si="7"/>
        <v>415000</v>
      </c>
      <c r="L21" s="203">
        <f t="shared" si="3"/>
        <v>523812.92000390001</v>
      </c>
      <c r="M21" s="301">
        <f t="shared" si="5"/>
        <v>101196.01560362699</v>
      </c>
      <c r="N21" s="301">
        <f t="shared" si="6"/>
        <v>385950</v>
      </c>
      <c r="O21" s="300">
        <f t="shared" si="4"/>
        <v>487146.01560362696</v>
      </c>
    </row>
    <row r="22" spans="1:15" x14ac:dyDescent="0.25">
      <c r="A22" s="151">
        <v>19</v>
      </c>
      <c r="B22" s="55" t="s">
        <v>6</v>
      </c>
      <c r="C22" s="153" t="s">
        <v>153</v>
      </c>
      <c r="D22" s="173">
        <v>56000</v>
      </c>
      <c r="E22" s="173">
        <v>192000</v>
      </c>
      <c r="F22" s="174">
        <f t="shared" si="0"/>
        <v>248000</v>
      </c>
      <c r="G22" s="144">
        <f>50885.8958017994-1000</f>
        <v>49885.895801799401</v>
      </c>
      <c r="H22" s="144">
        <v>203543.58320719769</v>
      </c>
      <c r="I22" s="142">
        <f t="shared" si="1"/>
        <v>253429.47900899709</v>
      </c>
      <c r="J22" s="203">
        <f t="shared" si="2"/>
        <v>49885.895801799401</v>
      </c>
      <c r="K22" s="203">
        <f t="shared" si="7"/>
        <v>192000</v>
      </c>
      <c r="L22" s="203">
        <f t="shared" si="3"/>
        <v>241885.8958017994</v>
      </c>
      <c r="M22" s="301">
        <f t="shared" si="5"/>
        <v>46393.883095673445</v>
      </c>
      <c r="N22" s="301">
        <f t="shared" si="6"/>
        <v>178560</v>
      </c>
      <c r="O22" s="300">
        <f t="shared" si="4"/>
        <v>224953.88309567346</v>
      </c>
    </row>
    <row r="23" spans="1:15" x14ac:dyDescent="0.25">
      <c r="A23" s="151">
        <v>20</v>
      </c>
      <c r="B23" s="55" t="s">
        <v>159</v>
      </c>
      <c r="C23" s="153" t="s">
        <v>153</v>
      </c>
      <c r="D23" s="173">
        <v>460000</v>
      </c>
      <c r="E23" s="173">
        <v>1581000</v>
      </c>
      <c r="F23" s="174">
        <f t="shared" si="0"/>
        <v>2041000</v>
      </c>
      <c r="G23" s="144">
        <f>418089.522263433-1000</f>
        <v>417089.52226343303</v>
      </c>
      <c r="H23" s="144">
        <v>1672358.0890537316</v>
      </c>
      <c r="I23" s="142">
        <f t="shared" si="1"/>
        <v>2089447.6113171647</v>
      </c>
      <c r="J23" s="203">
        <f t="shared" si="2"/>
        <v>417089.52226343303</v>
      </c>
      <c r="K23" s="203">
        <f t="shared" si="7"/>
        <v>1581000</v>
      </c>
      <c r="L23" s="203">
        <f t="shared" si="3"/>
        <v>1998089.5222634331</v>
      </c>
      <c r="M23" s="301">
        <f t="shared" si="5"/>
        <v>387893.25570499268</v>
      </c>
      <c r="N23" s="301">
        <f t="shared" si="6"/>
        <v>1470330</v>
      </c>
      <c r="O23" s="300">
        <f t="shared" si="4"/>
        <v>1858223.2557049927</v>
      </c>
    </row>
    <row r="24" spans="1:15" ht="22.5" x14ac:dyDescent="0.25">
      <c r="A24" s="151">
        <v>21</v>
      </c>
      <c r="B24" s="55" t="s">
        <v>160</v>
      </c>
      <c r="C24" s="153" t="s">
        <v>153</v>
      </c>
      <c r="D24" s="173">
        <v>60000</v>
      </c>
      <c r="E24" s="173">
        <v>206000</v>
      </c>
      <c r="F24" s="174">
        <f t="shared" si="0"/>
        <v>266000</v>
      </c>
      <c r="G24" s="144">
        <f>54407.66352-1000</f>
        <v>53407.663520000002</v>
      </c>
      <c r="H24" s="144">
        <v>217630.65408000001</v>
      </c>
      <c r="I24" s="142">
        <f t="shared" si="1"/>
        <v>271038.31760000001</v>
      </c>
      <c r="J24" s="203">
        <f t="shared" si="2"/>
        <v>53407.663520000002</v>
      </c>
      <c r="K24" s="203">
        <f t="shared" si="7"/>
        <v>206000</v>
      </c>
      <c r="L24" s="203">
        <f t="shared" si="3"/>
        <v>259407.66352</v>
      </c>
      <c r="M24" s="301">
        <f t="shared" si="5"/>
        <v>49669.127073600001</v>
      </c>
      <c r="N24" s="301">
        <f t="shared" si="6"/>
        <v>191580</v>
      </c>
      <c r="O24" s="300">
        <f t="shared" si="4"/>
        <v>241249.12707360002</v>
      </c>
    </row>
    <row r="25" spans="1:15" x14ac:dyDescent="0.25">
      <c r="A25" s="151">
        <v>22</v>
      </c>
      <c r="B25" s="55" t="s">
        <v>5</v>
      </c>
      <c r="C25" s="153" t="s">
        <v>153</v>
      </c>
      <c r="D25" s="173">
        <v>41000</v>
      </c>
      <c r="E25" s="173">
        <v>140000</v>
      </c>
      <c r="F25" s="174">
        <f t="shared" si="0"/>
        <v>181000</v>
      </c>
      <c r="G25" s="144">
        <f>37132.9509905023-1000</f>
        <v>36132.950990502301</v>
      </c>
      <c r="H25" s="144">
        <v>148531.80396200911</v>
      </c>
      <c r="I25" s="142">
        <f t="shared" si="1"/>
        <v>184664.7549525114</v>
      </c>
      <c r="J25" s="203">
        <f t="shared" si="2"/>
        <v>36132.950990502301</v>
      </c>
      <c r="K25" s="203">
        <f t="shared" si="7"/>
        <v>140000</v>
      </c>
      <c r="L25" s="203">
        <f t="shared" si="3"/>
        <v>176132.95099050232</v>
      </c>
      <c r="M25" s="301">
        <f t="shared" si="5"/>
        <v>33603.644421167141</v>
      </c>
      <c r="N25" s="301">
        <f t="shared" si="6"/>
        <v>130200</v>
      </c>
      <c r="O25" s="300">
        <f t="shared" si="4"/>
        <v>163803.64442116715</v>
      </c>
    </row>
    <row r="26" spans="1:15" x14ac:dyDescent="0.25">
      <c r="A26" s="151">
        <v>23</v>
      </c>
      <c r="B26" s="58" t="s">
        <v>132</v>
      </c>
      <c r="C26" s="153" t="s">
        <v>153</v>
      </c>
      <c r="D26" s="173">
        <v>191000</v>
      </c>
      <c r="E26" s="173">
        <v>657000</v>
      </c>
      <c r="F26" s="174">
        <f t="shared" si="0"/>
        <v>848000</v>
      </c>
      <c r="G26" s="144">
        <f>173754.979804824-1000</f>
        <v>172754.97980482399</v>
      </c>
      <c r="H26" s="144">
        <v>695019.91921929724</v>
      </c>
      <c r="I26" s="142">
        <f t="shared" si="1"/>
        <v>867774.89902412123</v>
      </c>
      <c r="J26" s="203">
        <f t="shared" si="2"/>
        <v>172754.97980482399</v>
      </c>
      <c r="K26" s="203">
        <f t="shared" si="7"/>
        <v>657000</v>
      </c>
      <c r="L26" s="203">
        <f t="shared" si="3"/>
        <v>829754.97980482399</v>
      </c>
      <c r="M26" s="301">
        <f t="shared" si="5"/>
        <v>160662.13121848632</v>
      </c>
      <c r="N26" s="301">
        <f t="shared" si="6"/>
        <v>611010</v>
      </c>
      <c r="O26" s="300">
        <f t="shared" si="4"/>
        <v>771672.13121848635</v>
      </c>
    </row>
    <row r="27" spans="1:15" x14ac:dyDescent="0.25">
      <c r="A27" s="151">
        <v>24</v>
      </c>
      <c r="B27" s="58" t="s">
        <v>149</v>
      </c>
      <c r="C27" s="153" t="s">
        <v>153</v>
      </c>
      <c r="D27" s="173">
        <v>90000</v>
      </c>
      <c r="E27" s="173">
        <v>309000</v>
      </c>
      <c r="F27" s="174">
        <f t="shared" si="0"/>
        <v>399000</v>
      </c>
      <c r="G27" s="144">
        <f>81653.4338158409-1000</f>
        <v>80653.433815840894</v>
      </c>
      <c r="H27" s="144">
        <v>326613.73526336369</v>
      </c>
      <c r="I27" s="142">
        <f t="shared" si="1"/>
        <v>407267.16907920456</v>
      </c>
      <c r="J27" s="203">
        <f t="shared" si="2"/>
        <v>80653.433815840894</v>
      </c>
      <c r="K27" s="203">
        <f t="shared" si="7"/>
        <v>309000</v>
      </c>
      <c r="L27" s="203">
        <f t="shared" si="3"/>
        <v>389653.43381584086</v>
      </c>
      <c r="M27" s="301">
        <f t="shared" si="5"/>
        <v>75007.693448732025</v>
      </c>
      <c r="N27" s="301">
        <f t="shared" si="6"/>
        <v>287370</v>
      </c>
      <c r="O27" s="300">
        <f t="shared" si="4"/>
        <v>362377.69344873202</v>
      </c>
    </row>
    <row r="28" spans="1:15" x14ac:dyDescent="0.25">
      <c r="A28" s="151">
        <v>25</v>
      </c>
      <c r="B28" s="55" t="s">
        <v>11</v>
      </c>
      <c r="C28" s="153" t="s">
        <v>153</v>
      </c>
      <c r="D28" s="173">
        <v>57000</v>
      </c>
      <c r="E28" s="173">
        <v>195000</v>
      </c>
      <c r="F28" s="174">
        <f t="shared" si="0"/>
        <v>252000</v>
      </c>
      <c r="G28" s="144">
        <f>51442.0648899683-1000</f>
        <v>50442.0648899683</v>
      </c>
      <c r="H28" s="144">
        <v>205768.25955987311</v>
      </c>
      <c r="I28" s="142">
        <f t="shared" si="1"/>
        <v>256210.3244498414</v>
      </c>
      <c r="J28" s="203">
        <f t="shared" si="2"/>
        <v>50442.0648899683</v>
      </c>
      <c r="K28" s="203">
        <f t="shared" si="7"/>
        <v>195000</v>
      </c>
      <c r="L28" s="203">
        <f t="shared" si="3"/>
        <v>245442.06488996831</v>
      </c>
      <c r="M28" s="301">
        <f t="shared" si="5"/>
        <v>46911.12034767052</v>
      </c>
      <c r="N28" s="301">
        <f t="shared" si="6"/>
        <v>181350</v>
      </c>
      <c r="O28" s="300">
        <f t="shared" si="4"/>
        <v>228261.12034767051</v>
      </c>
    </row>
    <row r="29" spans="1:15" x14ac:dyDescent="0.25">
      <c r="A29" s="151">
        <v>26</v>
      </c>
      <c r="B29" s="58" t="s">
        <v>66</v>
      </c>
      <c r="C29" s="153" t="s">
        <v>153</v>
      </c>
      <c r="D29" s="173">
        <v>89000</v>
      </c>
      <c r="E29" s="173">
        <v>307000</v>
      </c>
      <c r="F29" s="174">
        <f t="shared" si="0"/>
        <v>396000</v>
      </c>
      <c r="G29" s="144">
        <f>81142.3743866531-500</f>
        <v>80642.3743866531</v>
      </c>
      <c r="H29" s="144">
        <v>324569.49754661258</v>
      </c>
      <c r="I29" s="142">
        <f t="shared" si="1"/>
        <v>405211.87193326571</v>
      </c>
      <c r="J29" s="203">
        <f t="shared" si="2"/>
        <v>80642.3743866531</v>
      </c>
      <c r="K29" s="203">
        <f t="shared" si="7"/>
        <v>307000</v>
      </c>
      <c r="L29" s="203">
        <f t="shared" si="3"/>
        <v>387642.37438665307</v>
      </c>
      <c r="M29" s="301">
        <f t="shared" si="5"/>
        <v>74997.408179587379</v>
      </c>
      <c r="N29" s="301">
        <f t="shared" si="6"/>
        <v>285510</v>
      </c>
      <c r="O29" s="300">
        <f t="shared" si="4"/>
        <v>360507.40817958739</v>
      </c>
    </row>
    <row r="30" spans="1:15" x14ac:dyDescent="0.25">
      <c r="A30" s="151">
        <v>27</v>
      </c>
      <c r="B30" s="55" t="s">
        <v>13</v>
      </c>
      <c r="C30" s="153" t="s">
        <v>153</v>
      </c>
      <c r="D30" s="173">
        <v>292000</v>
      </c>
      <c r="E30" s="173">
        <v>1004000</v>
      </c>
      <c r="F30" s="174">
        <f t="shared" si="0"/>
        <v>1296000</v>
      </c>
      <c r="G30" s="144">
        <f>265431.834858035-1000</f>
        <v>264431.83485803503</v>
      </c>
      <c r="H30" s="144">
        <v>1061727.3394321394</v>
      </c>
      <c r="I30" s="142">
        <f t="shared" si="1"/>
        <v>1326159.1742901744</v>
      </c>
      <c r="J30" s="203">
        <f t="shared" si="2"/>
        <v>264431.83485803503</v>
      </c>
      <c r="K30" s="203">
        <f t="shared" si="7"/>
        <v>1004000</v>
      </c>
      <c r="L30" s="203">
        <f t="shared" si="3"/>
        <v>1268431.834858035</v>
      </c>
      <c r="M30" s="301">
        <f t="shared" si="5"/>
        <v>245921.60641797257</v>
      </c>
      <c r="N30" s="301">
        <f t="shared" si="6"/>
        <v>933720</v>
      </c>
      <c r="O30" s="300">
        <f t="shared" si="4"/>
        <v>1179641.6064179726</v>
      </c>
    </row>
    <row r="31" spans="1:15" x14ac:dyDescent="0.25">
      <c r="A31" s="151">
        <v>28</v>
      </c>
      <c r="B31" s="55" t="s">
        <v>14</v>
      </c>
      <c r="C31" s="153" t="s">
        <v>153</v>
      </c>
      <c r="D31" s="173">
        <v>97000</v>
      </c>
      <c r="E31" s="173">
        <v>333000</v>
      </c>
      <c r="F31" s="174">
        <f t="shared" si="0"/>
        <v>430000</v>
      </c>
      <c r="G31" s="144">
        <f>87953.0919487613-1000</f>
        <v>86953.091948761299</v>
      </c>
      <c r="H31" s="144">
        <v>351812.36779504543</v>
      </c>
      <c r="I31" s="142">
        <f t="shared" si="1"/>
        <v>438765.45974380674</v>
      </c>
      <c r="J31" s="203">
        <f t="shared" si="2"/>
        <v>86953.091948761299</v>
      </c>
      <c r="K31" s="203">
        <f t="shared" si="7"/>
        <v>333000</v>
      </c>
      <c r="L31" s="203">
        <f t="shared" si="3"/>
        <v>419953.09194876131</v>
      </c>
      <c r="M31" s="301">
        <f t="shared" si="5"/>
        <v>80866.375512348008</v>
      </c>
      <c r="N31" s="301">
        <f t="shared" si="6"/>
        <v>309690</v>
      </c>
      <c r="O31" s="300">
        <f t="shared" si="4"/>
        <v>390556.37551234802</v>
      </c>
    </row>
    <row r="32" spans="1:15" x14ac:dyDescent="0.25">
      <c r="A32" s="151">
        <v>29</v>
      </c>
      <c r="B32" s="55" t="s">
        <v>280</v>
      </c>
      <c r="C32" s="153" t="s">
        <v>153</v>
      </c>
      <c r="D32" s="173">
        <v>19000</v>
      </c>
      <c r="E32" s="173">
        <v>60000</v>
      </c>
      <c r="F32" s="174">
        <f t="shared" si="0"/>
        <v>79000</v>
      </c>
      <c r="G32" s="144">
        <f>16856.343-1000</f>
        <v>15856.343000000001</v>
      </c>
      <c r="H32" s="144">
        <v>67425.372000000003</v>
      </c>
      <c r="I32" s="142">
        <f t="shared" si="1"/>
        <v>83281.714999999997</v>
      </c>
      <c r="J32" s="203">
        <f t="shared" si="2"/>
        <v>15856.343000000001</v>
      </c>
      <c r="K32" s="203">
        <f t="shared" si="7"/>
        <v>60000</v>
      </c>
      <c r="L32" s="203">
        <f t="shared" si="3"/>
        <v>75856.342999999993</v>
      </c>
      <c r="M32" s="301">
        <f t="shared" si="5"/>
        <v>14746.398990000002</v>
      </c>
      <c r="N32" s="301">
        <f t="shared" si="6"/>
        <v>55800</v>
      </c>
      <c r="O32" s="300">
        <f t="shared" si="4"/>
        <v>70546.398990000002</v>
      </c>
    </row>
    <row r="33" spans="1:15" x14ac:dyDescent="0.25">
      <c r="A33" s="151">
        <v>30</v>
      </c>
      <c r="B33" s="55" t="s">
        <v>163</v>
      </c>
      <c r="C33" s="153" t="s">
        <v>153</v>
      </c>
      <c r="D33" s="173">
        <v>32000</v>
      </c>
      <c r="E33" s="173">
        <v>111000</v>
      </c>
      <c r="F33" s="174">
        <f t="shared" si="0"/>
        <v>143000</v>
      </c>
      <c r="G33" s="144">
        <f>29317.6973162538-1000</f>
        <v>28317.697316253802</v>
      </c>
      <c r="H33" s="144">
        <v>117270.78926501512</v>
      </c>
      <c r="I33" s="142">
        <f t="shared" si="1"/>
        <v>145588.48658126892</v>
      </c>
      <c r="J33" s="203">
        <f t="shared" si="2"/>
        <v>28317.697316253802</v>
      </c>
      <c r="K33" s="203">
        <f t="shared" si="7"/>
        <v>111000</v>
      </c>
      <c r="L33" s="203">
        <f t="shared" si="3"/>
        <v>139317.69731625379</v>
      </c>
      <c r="M33" s="301">
        <f t="shared" si="5"/>
        <v>26335.458504116035</v>
      </c>
      <c r="N33" s="301">
        <f t="shared" si="6"/>
        <v>103230</v>
      </c>
      <c r="O33" s="300">
        <f t="shared" si="4"/>
        <v>129565.45850411603</v>
      </c>
    </row>
    <row r="34" spans="1:15" x14ac:dyDescent="0.25">
      <c r="A34" s="151">
        <v>31</v>
      </c>
      <c r="B34" s="55" t="s">
        <v>281</v>
      </c>
      <c r="C34" s="153" t="s">
        <v>153</v>
      </c>
      <c r="D34" s="173">
        <v>55000</v>
      </c>
      <c r="E34" s="173">
        <v>190000</v>
      </c>
      <c r="F34" s="174">
        <f t="shared" si="0"/>
        <v>245000</v>
      </c>
      <c r="G34" s="144">
        <f>50123.805089079-1000</f>
        <v>49123.805089078996</v>
      </c>
      <c r="H34" s="144">
        <v>200495.22035631619</v>
      </c>
      <c r="I34" s="142">
        <f t="shared" si="1"/>
        <v>249619.02544539518</v>
      </c>
      <c r="J34" s="203">
        <f t="shared" si="2"/>
        <v>49123.805089078996</v>
      </c>
      <c r="K34" s="203">
        <f t="shared" si="7"/>
        <v>190000</v>
      </c>
      <c r="L34" s="203">
        <f t="shared" si="3"/>
        <v>239123.80508907899</v>
      </c>
      <c r="M34" s="301">
        <f t="shared" si="5"/>
        <v>45685.138732843465</v>
      </c>
      <c r="N34" s="301">
        <f t="shared" si="6"/>
        <v>176700</v>
      </c>
      <c r="O34" s="300">
        <f t="shared" si="4"/>
        <v>222385.13873284345</v>
      </c>
    </row>
    <row r="35" spans="1:15" x14ac:dyDescent="0.25">
      <c r="A35" s="151">
        <v>32</v>
      </c>
      <c r="B35" s="55" t="s">
        <v>7</v>
      </c>
      <c r="C35" s="153" t="s">
        <v>153</v>
      </c>
      <c r="D35" s="173">
        <v>90000</v>
      </c>
      <c r="E35" s="173">
        <v>309000</v>
      </c>
      <c r="F35" s="174">
        <f t="shared" si="0"/>
        <v>399000</v>
      </c>
      <c r="G35" s="144">
        <f>81757.4060786143-1000</f>
        <v>80757.406078614295</v>
      </c>
      <c r="H35" s="144">
        <v>327029.62431445741</v>
      </c>
      <c r="I35" s="142">
        <f t="shared" si="1"/>
        <v>407787.03039307171</v>
      </c>
      <c r="J35" s="203">
        <f t="shared" si="2"/>
        <v>80757.406078614295</v>
      </c>
      <c r="K35" s="203">
        <f t="shared" si="7"/>
        <v>309000</v>
      </c>
      <c r="L35" s="203">
        <f t="shared" si="3"/>
        <v>389757.40607861429</v>
      </c>
      <c r="M35" s="301">
        <f t="shared" si="5"/>
        <v>75104.387653111291</v>
      </c>
      <c r="N35" s="301">
        <f t="shared" si="6"/>
        <v>287370</v>
      </c>
      <c r="O35" s="300">
        <f t="shared" si="4"/>
        <v>362474.38765311131</v>
      </c>
    </row>
    <row r="36" spans="1:15" x14ac:dyDescent="0.25">
      <c r="A36" s="151">
        <v>33</v>
      </c>
      <c r="B36" s="58" t="s">
        <v>353</v>
      </c>
      <c r="C36" s="153" t="s">
        <v>153</v>
      </c>
      <c r="D36" s="173">
        <v>78000</v>
      </c>
      <c r="E36" s="173">
        <v>268000</v>
      </c>
      <c r="F36" s="174">
        <f t="shared" si="0"/>
        <v>346000</v>
      </c>
      <c r="G36" s="144">
        <f>70929.9128619043-1000</f>
        <v>69929.912861904304</v>
      </c>
      <c r="H36" s="144">
        <v>283719.65144761722</v>
      </c>
      <c r="I36" s="142">
        <f t="shared" si="1"/>
        <v>353649.56430952152</v>
      </c>
      <c r="J36" s="203">
        <f t="shared" si="2"/>
        <v>69929.912861904304</v>
      </c>
      <c r="K36" s="203">
        <f t="shared" si="7"/>
        <v>268000</v>
      </c>
      <c r="L36" s="203">
        <f t="shared" si="3"/>
        <v>337929.9128619043</v>
      </c>
      <c r="M36" s="301">
        <f t="shared" si="5"/>
        <v>65034.818961571</v>
      </c>
      <c r="N36" s="301">
        <f t="shared" si="6"/>
        <v>249240</v>
      </c>
      <c r="O36" s="300">
        <f t="shared" si="4"/>
        <v>314274.81896157097</v>
      </c>
    </row>
    <row r="37" spans="1:15" x14ac:dyDescent="0.25">
      <c r="A37" s="151">
        <v>34</v>
      </c>
      <c r="B37" s="58" t="s">
        <v>109</v>
      </c>
      <c r="C37" s="153" t="s">
        <v>153</v>
      </c>
      <c r="D37" s="173">
        <v>135000</v>
      </c>
      <c r="E37" s="173">
        <v>465000</v>
      </c>
      <c r="F37" s="174">
        <f t="shared" si="0"/>
        <v>600000</v>
      </c>
      <c r="G37" s="144">
        <f>122945.182293967-1000</f>
        <v>121945.18229396699</v>
      </c>
      <c r="H37" s="144">
        <v>491780.72917586996</v>
      </c>
      <c r="I37" s="142">
        <f t="shared" si="1"/>
        <v>613725.91146983695</v>
      </c>
      <c r="J37" s="203">
        <f t="shared" si="2"/>
        <v>121945.18229396699</v>
      </c>
      <c r="K37" s="203">
        <f t="shared" si="7"/>
        <v>465000</v>
      </c>
      <c r="L37" s="203">
        <f t="shared" si="3"/>
        <v>586945.18229396699</v>
      </c>
      <c r="M37" s="301">
        <f t="shared" si="5"/>
        <v>113409.01953338931</v>
      </c>
      <c r="N37" s="301">
        <f t="shared" si="6"/>
        <v>432450</v>
      </c>
      <c r="O37" s="300">
        <f t="shared" si="4"/>
        <v>545859.01953338925</v>
      </c>
    </row>
    <row r="38" spans="1:15" x14ac:dyDescent="0.25">
      <c r="A38" s="151">
        <v>35</v>
      </c>
      <c r="B38" s="154" t="s">
        <v>89</v>
      </c>
      <c r="C38" s="153" t="s">
        <v>153</v>
      </c>
      <c r="D38" s="173">
        <v>95000</v>
      </c>
      <c r="E38" s="173">
        <v>327000</v>
      </c>
      <c r="F38" s="174">
        <f t="shared" si="0"/>
        <v>422000</v>
      </c>
      <c r="G38" s="144">
        <f>86518.7985975337-1000</f>
        <v>85518.798597533707</v>
      </c>
      <c r="H38" s="144">
        <v>346075.19439013471</v>
      </c>
      <c r="I38" s="142">
        <f t="shared" si="1"/>
        <v>431593.99298766843</v>
      </c>
      <c r="J38" s="203">
        <f t="shared" si="2"/>
        <v>85518.798597533707</v>
      </c>
      <c r="K38" s="203">
        <f t="shared" si="7"/>
        <v>327000</v>
      </c>
      <c r="L38" s="203">
        <f t="shared" si="3"/>
        <v>412518.79859753372</v>
      </c>
      <c r="M38" s="301">
        <f t="shared" si="5"/>
        <v>79532.482695706349</v>
      </c>
      <c r="N38" s="301">
        <f t="shared" si="6"/>
        <v>304110</v>
      </c>
      <c r="O38" s="300">
        <f t="shared" si="4"/>
        <v>383642.48269570636</v>
      </c>
    </row>
    <row r="39" spans="1:15" x14ac:dyDescent="0.25">
      <c r="A39" s="151">
        <v>36</v>
      </c>
      <c r="B39" s="55" t="s">
        <v>137</v>
      </c>
      <c r="C39" s="153" t="s">
        <v>153</v>
      </c>
      <c r="D39" s="173">
        <v>56000</v>
      </c>
      <c r="E39" s="173">
        <v>192000</v>
      </c>
      <c r="F39" s="174">
        <f t="shared" si="0"/>
        <v>248000</v>
      </c>
      <c r="G39" s="144">
        <f>50885.8958017994-1000</f>
        <v>49885.895801799401</v>
      </c>
      <c r="H39" s="144">
        <v>203543.58320719769</v>
      </c>
      <c r="I39" s="142">
        <f t="shared" si="1"/>
        <v>253429.47900899709</v>
      </c>
      <c r="J39" s="203">
        <f t="shared" si="2"/>
        <v>49885.895801799401</v>
      </c>
      <c r="K39" s="203">
        <f t="shared" si="7"/>
        <v>192000</v>
      </c>
      <c r="L39" s="203">
        <f t="shared" si="3"/>
        <v>241885.8958017994</v>
      </c>
      <c r="M39" s="301">
        <f t="shared" si="5"/>
        <v>46393.883095673445</v>
      </c>
      <c r="N39" s="301">
        <f t="shared" si="6"/>
        <v>178560</v>
      </c>
      <c r="O39" s="300">
        <f t="shared" si="4"/>
        <v>224953.88309567346</v>
      </c>
    </row>
    <row r="40" spans="1:15" x14ac:dyDescent="0.25">
      <c r="A40" s="151">
        <v>37</v>
      </c>
      <c r="B40" s="55" t="s">
        <v>138</v>
      </c>
      <c r="C40" s="153" t="s">
        <v>153</v>
      </c>
      <c r="D40" s="173">
        <v>111000</v>
      </c>
      <c r="E40" s="173">
        <v>381000</v>
      </c>
      <c r="F40" s="174">
        <f t="shared" si="0"/>
        <v>492000</v>
      </c>
      <c r="G40" s="144">
        <f>100672.049508456-1000</f>
        <v>99672.049508455995</v>
      </c>
      <c r="H40" s="144">
        <v>402688.19803382218</v>
      </c>
      <c r="I40" s="142">
        <f t="shared" si="1"/>
        <v>502360.24754227814</v>
      </c>
      <c r="J40" s="203">
        <f t="shared" si="2"/>
        <v>99672.049508455995</v>
      </c>
      <c r="K40" s="203">
        <f t="shared" si="7"/>
        <v>381000</v>
      </c>
      <c r="L40" s="203">
        <f t="shared" si="3"/>
        <v>480672.04950845602</v>
      </c>
      <c r="M40" s="301">
        <f t="shared" si="5"/>
        <v>92695.006042864072</v>
      </c>
      <c r="N40" s="301">
        <f t="shared" si="6"/>
        <v>354330</v>
      </c>
      <c r="O40" s="300">
        <f t="shared" si="4"/>
        <v>447025.00604286406</v>
      </c>
    </row>
    <row r="41" spans="1:15" ht="33.75" x14ac:dyDescent="0.25">
      <c r="A41" s="151">
        <v>38</v>
      </c>
      <c r="B41" s="55" t="s">
        <v>333</v>
      </c>
      <c r="C41" s="153" t="s">
        <v>153</v>
      </c>
      <c r="D41" s="173">
        <v>159000</v>
      </c>
      <c r="E41" s="173">
        <v>548000</v>
      </c>
      <c r="F41" s="174">
        <f t="shared" si="0"/>
        <v>707000</v>
      </c>
      <c r="G41" s="144">
        <f>144949.056-1000</f>
        <v>143949.05600000001</v>
      </c>
      <c r="H41" s="144">
        <v>579796.22399999993</v>
      </c>
      <c r="I41" s="142">
        <f t="shared" si="1"/>
        <v>723745.27999999991</v>
      </c>
      <c r="J41" s="203">
        <f t="shared" si="2"/>
        <v>143949.05600000001</v>
      </c>
      <c r="K41" s="203">
        <f t="shared" si="7"/>
        <v>548000</v>
      </c>
      <c r="L41" s="203">
        <f t="shared" si="3"/>
        <v>691949.05599999998</v>
      </c>
      <c r="M41" s="301">
        <f t="shared" si="5"/>
        <v>133872.62208</v>
      </c>
      <c r="N41" s="301">
        <f t="shared" si="6"/>
        <v>509640</v>
      </c>
      <c r="O41" s="300">
        <f t="shared" si="4"/>
        <v>643512.62208</v>
      </c>
    </row>
    <row r="42" spans="1:15" ht="22.5" x14ac:dyDescent="0.25">
      <c r="A42" s="155"/>
      <c r="B42" s="156" t="s">
        <v>22</v>
      </c>
      <c r="C42" s="157"/>
      <c r="D42" s="173">
        <v>0</v>
      </c>
      <c r="E42" s="173">
        <v>0</v>
      </c>
      <c r="F42" s="174">
        <f t="shared" si="0"/>
        <v>0</v>
      </c>
      <c r="G42" s="143"/>
      <c r="H42" s="144"/>
      <c r="I42" s="142">
        <f t="shared" si="1"/>
        <v>0</v>
      </c>
      <c r="J42" s="203">
        <f t="shared" si="2"/>
        <v>0</v>
      </c>
      <c r="K42" s="203">
        <f t="shared" si="7"/>
        <v>0</v>
      </c>
      <c r="L42" s="203">
        <f t="shared" si="3"/>
        <v>0</v>
      </c>
      <c r="M42" s="301">
        <f t="shared" si="5"/>
        <v>0</v>
      </c>
      <c r="N42" s="301">
        <f t="shared" si="6"/>
        <v>0</v>
      </c>
      <c r="O42" s="300">
        <f t="shared" si="4"/>
        <v>0</v>
      </c>
    </row>
    <row r="43" spans="1:15" x14ac:dyDescent="0.25">
      <c r="A43" s="155">
        <v>39</v>
      </c>
      <c r="B43" s="55" t="s">
        <v>23</v>
      </c>
      <c r="C43" s="153" t="s">
        <v>153</v>
      </c>
      <c r="D43" s="173">
        <v>210000</v>
      </c>
      <c r="E43" s="173">
        <v>658000</v>
      </c>
      <c r="F43" s="174">
        <f t="shared" si="0"/>
        <v>868000</v>
      </c>
      <c r="G43" s="144">
        <f>190814.997529394-1000</f>
        <v>189814.99752939399</v>
      </c>
      <c r="H43" s="144">
        <v>763259.9901175769</v>
      </c>
      <c r="I43" s="142">
        <f t="shared" si="1"/>
        <v>953074.9876469709</v>
      </c>
      <c r="J43" s="203">
        <f t="shared" si="2"/>
        <v>189814.99752939399</v>
      </c>
      <c r="K43" s="203">
        <f t="shared" si="7"/>
        <v>658000</v>
      </c>
      <c r="L43" s="203">
        <f t="shared" si="3"/>
        <v>847814.99752939399</v>
      </c>
      <c r="M43" s="301">
        <f t="shared" si="5"/>
        <v>176527.94770233642</v>
      </c>
      <c r="N43" s="301">
        <f t="shared" si="6"/>
        <v>611940</v>
      </c>
      <c r="O43" s="300">
        <f t="shared" si="4"/>
        <v>788467.94770233636</v>
      </c>
    </row>
    <row r="44" spans="1:15" x14ac:dyDescent="0.25">
      <c r="A44" s="155">
        <v>40</v>
      </c>
      <c r="B44" s="55" t="s">
        <v>167</v>
      </c>
      <c r="C44" s="153" t="s">
        <v>153</v>
      </c>
      <c r="D44" s="173">
        <v>50000</v>
      </c>
      <c r="E44" s="173">
        <v>157000</v>
      </c>
      <c r="F44" s="174">
        <f t="shared" si="0"/>
        <v>207000</v>
      </c>
      <c r="G44" s="144">
        <f>45440-1000</f>
        <v>44440</v>
      </c>
      <c r="H44" s="144">
        <v>181760</v>
      </c>
      <c r="I44" s="142">
        <f t="shared" si="1"/>
        <v>226200</v>
      </c>
      <c r="J44" s="203">
        <f t="shared" si="2"/>
        <v>44440</v>
      </c>
      <c r="K44" s="203">
        <f t="shared" si="7"/>
        <v>157000</v>
      </c>
      <c r="L44" s="203">
        <f t="shared" si="3"/>
        <v>201440</v>
      </c>
      <c r="M44" s="301">
        <f t="shared" si="5"/>
        <v>41329.199999999997</v>
      </c>
      <c r="N44" s="301">
        <f t="shared" si="6"/>
        <v>146010</v>
      </c>
      <c r="O44" s="300">
        <f t="shared" si="4"/>
        <v>187339.2</v>
      </c>
    </row>
    <row r="45" spans="1:15" x14ac:dyDescent="0.25">
      <c r="A45" s="155">
        <v>41</v>
      </c>
      <c r="B45" s="55" t="s">
        <v>24</v>
      </c>
      <c r="C45" s="153" t="s">
        <v>153</v>
      </c>
      <c r="D45" s="173">
        <v>32000</v>
      </c>
      <c r="E45" s="173">
        <v>108000</v>
      </c>
      <c r="F45" s="174">
        <f t="shared" si="0"/>
        <v>140000</v>
      </c>
      <c r="G45" s="144">
        <f>28652.4220202177-1000</f>
        <v>27652.422020217698</v>
      </c>
      <c r="H45" s="144">
        <v>114609.68808087078</v>
      </c>
      <c r="I45" s="142">
        <f t="shared" si="1"/>
        <v>142262.11010108847</v>
      </c>
      <c r="J45" s="203">
        <f t="shared" si="2"/>
        <v>27652.422020217698</v>
      </c>
      <c r="K45" s="203">
        <f t="shared" si="7"/>
        <v>108000</v>
      </c>
      <c r="L45" s="203">
        <f t="shared" si="3"/>
        <v>135652.42202021769</v>
      </c>
      <c r="M45" s="301">
        <f t="shared" si="5"/>
        <v>25716.75247880246</v>
      </c>
      <c r="N45" s="301">
        <f t="shared" si="6"/>
        <v>100440</v>
      </c>
      <c r="O45" s="300">
        <f t="shared" si="4"/>
        <v>126156.75247880246</v>
      </c>
    </row>
    <row r="46" spans="1:15" x14ac:dyDescent="0.25">
      <c r="A46" s="155">
        <v>42</v>
      </c>
      <c r="B46" s="55" t="s">
        <v>25</v>
      </c>
      <c r="C46" s="153" t="s">
        <v>153</v>
      </c>
      <c r="D46" s="173">
        <v>46000</v>
      </c>
      <c r="E46" s="173">
        <v>157000</v>
      </c>
      <c r="F46" s="174">
        <f t="shared" si="0"/>
        <v>203000</v>
      </c>
      <c r="G46" s="144">
        <f>41634.02796-1000</f>
        <v>40634.027959999999</v>
      </c>
      <c r="H46" s="144">
        <v>166536.11184000003</v>
      </c>
      <c r="I46" s="142">
        <f t="shared" si="1"/>
        <v>207170.13980000003</v>
      </c>
      <c r="J46" s="203">
        <f t="shared" si="2"/>
        <v>40634.027959999999</v>
      </c>
      <c r="K46" s="203">
        <f t="shared" si="7"/>
        <v>157000</v>
      </c>
      <c r="L46" s="203">
        <f t="shared" si="3"/>
        <v>197634.02796000001</v>
      </c>
      <c r="M46" s="301">
        <f t="shared" si="5"/>
        <v>37789.6460028</v>
      </c>
      <c r="N46" s="301">
        <f t="shared" si="6"/>
        <v>146010</v>
      </c>
      <c r="O46" s="300">
        <f t="shared" si="4"/>
        <v>183799.6460028</v>
      </c>
    </row>
    <row r="47" spans="1:15" x14ac:dyDescent="0.25">
      <c r="A47" s="155">
        <v>43</v>
      </c>
      <c r="B47" s="55" t="s">
        <v>283</v>
      </c>
      <c r="C47" s="153" t="s">
        <v>153</v>
      </c>
      <c r="D47" s="173">
        <v>469000</v>
      </c>
      <c r="E47" s="173">
        <v>1469000</v>
      </c>
      <c r="F47" s="174">
        <f t="shared" si="0"/>
        <v>1938000</v>
      </c>
      <c r="G47" s="144">
        <f>426000-1000</f>
        <v>425000</v>
      </c>
      <c r="H47" s="144">
        <v>1704000</v>
      </c>
      <c r="I47" s="142">
        <f t="shared" si="1"/>
        <v>2129000</v>
      </c>
      <c r="J47" s="203">
        <f t="shared" si="2"/>
        <v>425000</v>
      </c>
      <c r="K47" s="203">
        <f t="shared" si="7"/>
        <v>1469000</v>
      </c>
      <c r="L47" s="203">
        <f t="shared" si="3"/>
        <v>1894000</v>
      </c>
      <c r="M47" s="301">
        <f t="shared" si="5"/>
        <v>395250</v>
      </c>
      <c r="N47" s="301">
        <f t="shared" si="6"/>
        <v>1366170</v>
      </c>
      <c r="O47" s="300">
        <f t="shared" si="4"/>
        <v>1761420</v>
      </c>
    </row>
    <row r="48" spans="1:15" x14ac:dyDescent="0.25">
      <c r="A48" s="155">
        <v>44</v>
      </c>
      <c r="B48" s="55" t="s">
        <v>332</v>
      </c>
      <c r="C48" s="153" t="s">
        <v>153</v>
      </c>
      <c r="D48" s="173">
        <v>109000</v>
      </c>
      <c r="E48" s="173">
        <v>343000</v>
      </c>
      <c r="F48" s="174">
        <f t="shared" si="0"/>
        <v>452000</v>
      </c>
      <c r="G48" s="144">
        <f>99400-1000</f>
        <v>98400</v>
      </c>
      <c r="H48" s="144">
        <v>397600</v>
      </c>
      <c r="I48" s="142">
        <f t="shared" si="1"/>
        <v>496000</v>
      </c>
      <c r="J48" s="203">
        <f t="shared" si="2"/>
        <v>98400</v>
      </c>
      <c r="K48" s="203">
        <f t="shared" si="7"/>
        <v>343000</v>
      </c>
      <c r="L48" s="203">
        <f t="shared" si="3"/>
        <v>441400</v>
      </c>
      <c r="M48" s="301">
        <f t="shared" si="5"/>
        <v>91512</v>
      </c>
      <c r="N48" s="301">
        <f t="shared" si="6"/>
        <v>318990</v>
      </c>
      <c r="O48" s="300">
        <f t="shared" si="4"/>
        <v>410502</v>
      </c>
    </row>
    <row r="49" spans="1:15" x14ac:dyDescent="0.25">
      <c r="A49" s="155">
        <v>45</v>
      </c>
      <c r="B49" s="55" t="s">
        <v>92</v>
      </c>
      <c r="C49" s="153" t="s">
        <v>153</v>
      </c>
      <c r="D49" s="173">
        <v>313000</v>
      </c>
      <c r="E49" s="173">
        <v>980000</v>
      </c>
      <c r="F49" s="174">
        <f t="shared" si="0"/>
        <v>1293000</v>
      </c>
      <c r="G49" s="144">
        <f>284192.549511864-1000</f>
        <v>283192.54951186402</v>
      </c>
      <c r="H49" s="144">
        <v>1136770.1980474547</v>
      </c>
      <c r="I49" s="142">
        <f t="shared" si="1"/>
        <v>1419962.7475593188</v>
      </c>
      <c r="J49" s="203">
        <f t="shared" si="2"/>
        <v>283192.54951186402</v>
      </c>
      <c r="K49" s="203">
        <f t="shared" si="7"/>
        <v>980000</v>
      </c>
      <c r="L49" s="203">
        <f t="shared" si="3"/>
        <v>1263192.5495118641</v>
      </c>
      <c r="M49" s="301">
        <f t="shared" si="5"/>
        <v>263369.07104603352</v>
      </c>
      <c r="N49" s="301">
        <f t="shared" si="6"/>
        <v>911400</v>
      </c>
      <c r="O49" s="300">
        <f t="shared" si="4"/>
        <v>1174769.0710460334</v>
      </c>
    </row>
    <row r="50" spans="1:15" ht="22.5" x14ac:dyDescent="0.25">
      <c r="A50" s="155"/>
      <c r="B50" s="156" t="s">
        <v>97</v>
      </c>
      <c r="C50" s="157"/>
      <c r="D50" s="173">
        <v>0</v>
      </c>
      <c r="E50" s="173">
        <v>0</v>
      </c>
      <c r="F50" s="174">
        <f t="shared" si="0"/>
        <v>0</v>
      </c>
      <c r="G50" s="143"/>
      <c r="H50" s="144"/>
      <c r="I50" s="142">
        <f t="shared" si="1"/>
        <v>0</v>
      </c>
      <c r="J50" s="203">
        <f t="shared" si="2"/>
        <v>0</v>
      </c>
      <c r="K50" s="203">
        <f t="shared" si="7"/>
        <v>0</v>
      </c>
      <c r="L50" s="203">
        <f t="shared" si="3"/>
        <v>0</v>
      </c>
      <c r="M50" s="301">
        <f t="shared" si="5"/>
        <v>0</v>
      </c>
      <c r="N50" s="301">
        <f t="shared" si="6"/>
        <v>0</v>
      </c>
      <c r="O50" s="300">
        <f t="shared" si="4"/>
        <v>0</v>
      </c>
    </row>
    <row r="51" spans="1:15" x14ac:dyDescent="0.25">
      <c r="A51" s="155">
        <v>46</v>
      </c>
      <c r="B51" s="55" t="s">
        <v>169</v>
      </c>
      <c r="C51" s="153" t="s">
        <v>153</v>
      </c>
      <c r="D51" s="173">
        <v>456000</v>
      </c>
      <c r="E51" s="173">
        <v>1569000</v>
      </c>
      <c r="F51" s="174">
        <f t="shared" si="0"/>
        <v>2025000</v>
      </c>
      <c r="G51" s="144">
        <f>414931.631186128-1000</f>
        <v>413931.63118612801</v>
      </c>
      <c r="H51" s="144">
        <v>1659726.5247445125</v>
      </c>
      <c r="I51" s="142">
        <f t="shared" si="1"/>
        <v>2073658.1559306406</v>
      </c>
      <c r="J51" s="203">
        <f t="shared" si="2"/>
        <v>413931.63118612801</v>
      </c>
      <c r="K51" s="203">
        <f t="shared" si="7"/>
        <v>1569000</v>
      </c>
      <c r="L51" s="203">
        <f t="shared" si="3"/>
        <v>1982931.6311861281</v>
      </c>
      <c r="M51" s="301">
        <f t="shared" si="5"/>
        <v>384956.41700309905</v>
      </c>
      <c r="N51" s="301">
        <f t="shared" si="6"/>
        <v>1459170</v>
      </c>
      <c r="O51" s="300">
        <f t="shared" si="4"/>
        <v>1844126.4170030991</v>
      </c>
    </row>
    <row r="52" spans="1:15" x14ac:dyDescent="0.25">
      <c r="A52" s="155">
        <v>47</v>
      </c>
      <c r="B52" s="55" t="s">
        <v>170</v>
      </c>
      <c r="C52" s="153" t="s">
        <v>153</v>
      </c>
      <c r="D52" s="173">
        <v>414000</v>
      </c>
      <c r="E52" s="173">
        <v>1422000</v>
      </c>
      <c r="F52" s="174">
        <f t="shared" si="0"/>
        <v>1836000</v>
      </c>
      <c r="G52" s="144">
        <f>375911.5748472-1000</f>
        <v>374911.57484720001</v>
      </c>
      <c r="H52" s="144">
        <v>1503646.2993887998</v>
      </c>
      <c r="I52" s="142">
        <f t="shared" si="1"/>
        <v>1878557.8742359998</v>
      </c>
      <c r="J52" s="203">
        <f t="shared" si="2"/>
        <v>374911.57484720001</v>
      </c>
      <c r="K52" s="203">
        <f t="shared" si="7"/>
        <v>1422000</v>
      </c>
      <c r="L52" s="203">
        <f t="shared" si="3"/>
        <v>1796911.5748472</v>
      </c>
      <c r="M52" s="301">
        <f t="shared" si="5"/>
        <v>348667.76460789598</v>
      </c>
      <c r="N52" s="301">
        <f t="shared" si="6"/>
        <v>1322460</v>
      </c>
      <c r="O52" s="300">
        <f t="shared" si="4"/>
        <v>1671127.7646078961</v>
      </c>
    </row>
    <row r="53" spans="1:15" x14ac:dyDescent="0.25">
      <c r="A53" s="155">
        <v>48</v>
      </c>
      <c r="B53" s="55" t="s">
        <v>211</v>
      </c>
      <c r="C53" s="153" t="s">
        <v>153</v>
      </c>
      <c r="D53" s="173">
        <v>187000</v>
      </c>
      <c r="E53" s="173">
        <v>587000</v>
      </c>
      <c r="F53" s="174">
        <f t="shared" si="0"/>
        <v>774000</v>
      </c>
      <c r="G53" s="144">
        <f>170400-1000</f>
        <v>169400</v>
      </c>
      <c r="H53" s="144">
        <v>681600</v>
      </c>
      <c r="I53" s="142">
        <f t="shared" si="1"/>
        <v>851000</v>
      </c>
      <c r="J53" s="203">
        <f t="shared" si="2"/>
        <v>169400</v>
      </c>
      <c r="K53" s="203">
        <f t="shared" si="7"/>
        <v>587000</v>
      </c>
      <c r="L53" s="203">
        <f t="shared" si="3"/>
        <v>756400</v>
      </c>
      <c r="M53" s="301">
        <f t="shared" si="5"/>
        <v>157542</v>
      </c>
      <c r="N53" s="301">
        <f t="shared" si="6"/>
        <v>545910</v>
      </c>
      <c r="O53" s="300">
        <f t="shared" si="4"/>
        <v>703452</v>
      </c>
    </row>
    <row r="54" spans="1:15" x14ac:dyDescent="0.25">
      <c r="A54" s="155">
        <v>49</v>
      </c>
      <c r="B54" s="55" t="s">
        <v>291</v>
      </c>
      <c r="C54" s="153" t="s">
        <v>153</v>
      </c>
      <c r="D54" s="173">
        <v>55000</v>
      </c>
      <c r="E54" s="173">
        <v>190000</v>
      </c>
      <c r="F54" s="174">
        <f t="shared" si="0"/>
        <v>245000</v>
      </c>
      <c r="G54" s="144">
        <f>50168.376776-1000</f>
        <v>49168.376775999997</v>
      </c>
      <c r="H54" s="144">
        <v>200673.50710399996</v>
      </c>
      <c r="I54" s="142">
        <f t="shared" si="1"/>
        <v>249841.88387999995</v>
      </c>
      <c r="J54" s="203">
        <f t="shared" si="2"/>
        <v>49168.376775999997</v>
      </c>
      <c r="K54" s="203">
        <f t="shared" si="7"/>
        <v>190000</v>
      </c>
      <c r="L54" s="203">
        <f t="shared" si="3"/>
        <v>239168.37677599999</v>
      </c>
      <c r="M54" s="301">
        <f t="shared" si="5"/>
        <v>45726.590401679998</v>
      </c>
      <c r="N54" s="301">
        <f t="shared" si="6"/>
        <v>176700</v>
      </c>
      <c r="O54" s="300">
        <f t="shared" si="4"/>
        <v>222426.59040168001</v>
      </c>
    </row>
    <row r="55" spans="1:15" x14ac:dyDescent="0.25">
      <c r="A55" s="155">
        <v>50</v>
      </c>
      <c r="B55" s="55" t="s">
        <v>17</v>
      </c>
      <c r="C55" s="153" t="s">
        <v>153</v>
      </c>
      <c r="D55" s="173">
        <v>97000</v>
      </c>
      <c r="E55" s="173">
        <v>333000</v>
      </c>
      <c r="F55" s="174">
        <f t="shared" si="0"/>
        <v>430000</v>
      </c>
      <c r="G55" s="144">
        <f>88004.784-1000</f>
        <v>87004.784</v>
      </c>
      <c r="H55" s="144">
        <v>352019.136</v>
      </c>
      <c r="I55" s="142">
        <f t="shared" si="1"/>
        <v>439023.92</v>
      </c>
      <c r="J55" s="203">
        <f t="shared" si="2"/>
        <v>87004.784</v>
      </c>
      <c r="K55" s="203">
        <f t="shared" si="7"/>
        <v>333000</v>
      </c>
      <c r="L55" s="203">
        <f t="shared" si="3"/>
        <v>420004.78399999999</v>
      </c>
      <c r="M55" s="301">
        <f t="shared" si="5"/>
        <v>80914.449120000005</v>
      </c>
      <c r="N55" s="301">
        <f t="shared" si="6"/>
        <v>309690</v>
      </c>
      <c r="O55" s="300">
        <f t="shared" si="4"/>
        <v>390604.44912</v>
      </c>
    </row>
    <row r="56" spans="1:15" x14ac:dyDescent="0.25">
      <c r="A56" s="155">
        <v>51</v>
      </c>
      <c r="B56" s="55" t="s">
        <v>16</v>
      </c>
      <c r="C56" s="153" t="s">
        <v>153</v>
      </c>
      <c r="D56" s="173">
        <v>144000</v>
      </c>
      <c r="E56" s="173">
        <v>495000</v>
      </c>
      <c r="F56" s="174">
        <f t="shared" si="0"/>
        <v>639000</v>
      </c>
      <c r="G56" s="144">
        <f>130804.037006698-1000</f>
        <v>129804.037006698</v>
      </c>
      <c r="H56" s="144">
        <v>523216.1480267914</v>
      </c>
      <c r="I56" s="142">
        <f t="shared" si="1"/>
        <v>653020.18503348937</v>
      </c>
      <c r="J56" s="203">
        <f t="shared" si="2"/>
        <v>129804.037006698</v>
      </c>
      <c r="K56" s="203">
        <f t="shared" si="7"/>
        <v>495000</v>
      </c>
      <c r="L56" s="203">
        <f t="shared" si="3"/>
        <v>624804.03700669797</v>
      </c>
      <c r="M56" s="301">
        <f t="shared" si="5"/>
        <v>120717.75441622913</v>
      </c>
      <c r="N56" s="301">
        <f t="shared" si="6"/>
        <v>460350</v>
      </c>
      <c r="O56" s="300">
        <f t="shared" si="4"/>
        <v>581067.75441622909</v>
      </c>
    </row>
    <row r="57" spans="1:15" x14ac:dyDescent="0.25">
      <c r="A57" s="155">
        <v>52</v>
      </c>
      <c r="B57" s="58" t="s">
        <v>75</v>
      </c>
      <c r="C57" s="153" t="s">
        <v>153</v>
      </c>
      <c r="D57" s="173">
        <v>83000</v>
      </c>
      <c r="E57" s="173">
        <v>285000</v>
      </c>
      <c r="F57" s="174">
        <f t="shared" si="0"/>
        <v>368000</v>
      </c>
      <c r="G57" s="144">
        <f>75241.2602250917-1000</f>
        <v>74241.260225091697</v>
      </c>
      <c r="H57" s="144">
        <v>300965.04090036679</v>
      </c>
      <c r="I57" s="142">
        <f t="shared" si="1"/>
        <v>375206.3011254585</v>
      </c>
      <c r="J57" s="203">
        <f t="shared" si="2"/>
        <v>74241.260225091697</v>
      </c>
      <c r="K57" s="203">
        <f t="shared" si="7"/>
        <v>285000</v>
      </c>
      <c r="L57" s="203">
        <f t="shared" si="3"/>
        <v>359241.26022509171</v>
      </c>
      <c r="M57" s="301">
        <f t="shared" si="5"/>
        <v>69044.372009335275</v>
      </c>
      <c r="N57" s="301">
        <f t="shared" si="6"/>
        <v>265050</v>
      </c>
      <c r="O57" s="300">
        <f t="shared" si="4"/>
        <v>334094.37200933526</v>
      </c>
    </row>
    <row r="58" spans="1:15" x14ac:dyDescent="0.25">
      <c r="A58" s="155">
        <v>53</v>
      </c>
      <c r="B58" s="58" t="s">
        <v>76</v>
      </c>
      <c r="C58" s="153" t="s">
        <v>153</v>
      </c>
      <c r="D58" s="173">
        <v>71000</v>
      </c>
      <c r="E58" s="173">
        <v>243000</v>
      </c>
      <c r="F58" s="174">
        <f t="shared" si="0"/>
        <v>314000</v>
      </c>
      <c r="G58" s="144">
        <f>64130.1621183473-1000</f>
        <v>63130.162118347303</v>
      </c>
      <c r="H58" s="144">
        <v>256520.64847338933</v>
      </c>
      <c r="I58" s="142">
        <f t="shared" si="1"/>
        <v>319650.81059173663</v>
      </c>
      <c r="J58" s="203">
        <f t="shared" si="2"/>
        <v>63130.162118347303</v>
      </c>
      <c r="K58" s="203">
        <f t="shared" si="7"/>
        <v>243000</v>
      </c>
      <c r="L58" s="203">
        <f t="shared" si="3"/>
        <v>306130.1621183473</v>
      </c>
      <c r="M58" s="301">
        <f t="shared" si="5"/>
        <v>58711.05077006299</v>
      </c>
      <c r="N58" s="301">
        <f t="shared" si="6"/>
        <v>225990</v>
      </c>
      <c r="O58" s="300">
        <f t="shared" si="4"/>
        <v>284701.05077006301</v>
      </c>
    </row>
    <row r="59" spans="1:15" x14ac:dyDescent="0.25">
      <c r="A59" s="155">
        <v>54</v>
      </c>
      <c r="B59" s="55" t="s">
        <v>18</v>
      </c>
      <c r="C59" s="153" t="s">
        <v>153</v>
      </c>
      <c r="D59" s="173">
        <v>128000</v>
      </c>
      <c r="E59" s="173">
        <v>331000</v>
      </c>
      <c r="F59" s="174">
        <f t="shared" si="0"/>
        <v>459000</v>
      </c>
      <c r="G59" s="144">
        <f>116476.92-1000</f>
        <v>115476.92</v>
      </c>
      <c r="H59" s="144">
        <v>465907.68</v>
      </c>
      <c r="I59" s="142">
        <f t="shared" si="1"/>
        <v>581384.6</v>
      </c>
      <c r="J59" s="203">
        <f t="shared" si="2"/>
        <v>115476.92</v>
      </c>
      <c r="K59" s="203">
        <f t="shared" si="7"/>
        <v>331000</v>
      </c>
      <c r="L59" s="203">
        <f t="shared" si="3"/>
        <v>446476.92</v>
      </c>
      <c r="M59" s="301">
        <f t="shared" si="5"/>
        <v>107393.5356</v>
      </c>
      <c r="N59" s="301">
        <f t="shared" si="6"/>
        <v>307830</v>
      </c>
      <c r="O59" s="300">
        <f t="shared" si="4"/>
        <v>415223.5356</v>
      </c>
    </row>
    <row r="60" spans="1:15" x14ac:dyDescent="0.25">
      <c r="A60" s="155">
        <v>55</v>
      </c>
      <c r="B60" s="55" t="s">
        <v>21</v>
      </c>
      <c r="C60" s="153" t="s">
        <v>153</v>
      </c>
      <c r="D60" s="173">
        <v>129000</v>
      </c>
      <c r="E60" s="173">
        <v>429000</v>
      </c>
      <c r="F60" s="174">
        <f t="shared" si="0"/>
        <v>558000</v>
      </c>
      <c r="G60" s="144">
        <f>117039.7860184-1000</f>
        <v>116039.7860184</v>
      </c>
      <c r="H60" s="144">
        <v>468159.14407359995</v>
      </c>
      <c r="I60" s="142">
        <f t="shared" si="1"/>
        <v>584198.93009199994</v>
      </c>
      <c r="J60" s="203">
        <f t="shared" si="2"/>
        <v>116039.7860184</v>
      </c>
      <c r="K60" s="203">
        <f t="shared" si="7"/>
        <v>429000</v>
      </c>
      <c r="L60" s="203">
        <f t="shared" si="3"/>
        <v>545039.78601839999</v>
      </c>
      <c r="M60" s="301">
        <f t="shared" si="5"/>
        <v>107917.000997112</v>
      </c>
      <c r="N60" s="301">
        <f t="shared" si="6"/>
        <v>398970</v>
      </c>
      <c r="O60" s="300">
        <f t="shared" si="4"/>
        <v>506887.00099711202</v>
      </c>
    </row>
    <row r="61" spans="1:15" x14ac:dyDescent="0.25">
      <c r="A61" s="155">
        <v>56</v>
      </c>
      <c r="B61" s="55" t="s">
        <v>20</v>
      </c>
      <c r="C61" s="153" t="s">
        <v>153</v>
      </c>
      <c r="D61" s="173">
        <v>63000</v>
      </c>
      <c r="E61" s="173">
        <v>197000</v>
      </c>
      <c r="F61" s="174">
        <f t="shared" si="0"/>
        <v>260000</v>
      </c>
      <c r="G61" s="144">
        <f>57114.0026799608-1000</f>
        <v>56114.002679960802</v>
      </c>
      <c r="H61" s="144">
        <v>228456.01071984312</v>
      </c>
      <c r="I61" s="142">
        <f t="shared" si="1"/>
        <v>284570.01339980389</v>
      </c>
      <c r="J61" s="203">
        <f t="shared" si="2"/>
        <v>56114.002679960802</v>
      </c>
      <c r="K61" s="203">
        <f t="shared" si="7"/>
        <v>197000</v>
      </c>
      <c r="L61" s="203">
        <f t="shared" si="3"/>
        <v>253114.0026799608</v>
      </c>
      <c r="M61" s="301">
        <f t="shared" si="5"/>
        <v>52186.022492363547</v>
      </c>
      <c r="N61" s="301">
        <f t="shared" si="6"/>
        <v>183210</v>
      </c>
      <c r="O61" s="300">
        <f t="shared" si="4"/>
        <v>235396.02249236355</v>
      </c>
    </row>
    <row r="62" spans="1:15" ht="22.5" x14ac:dyDescent="0.25">
      <c r="A62" s="155">
        <v>57</v>
      </c>
      <c r="B62" s="55" t="s">
        <v>172</v>
      </c>
      <c r="C62" s="153" t="s">
        <v>153</v>
      </c>
      <c r="D62" s="173">
        <v>715000</v>
      </c>
      <c r="E62" s="173">
        <v>2541000</v>
      </c>
      <c r="F62" s="174">
        <f t="shared" si="0"/>
        <v>3256000</v>
      </c>
      <c r="G62" s="144">
        <f>726780.466580333-1000</f>
        <v>725780.46658033296</v>
      </c>
      <c r="H62" s="144">
        <v>2907121.8663213328</v>
      </c>
      <c r="I62" s="142">
        <f t="shared" si="1"/>
        <v>3632902.3329016659</v>
      </c>
      <c r="J62" s="203">
        <f t="shared" si="2"/>
        <v>715000</v>
      </c>
      <c r="K62" s="203">
        <f t="shared" si="7"/>
        <v>2541000</v>
      </c>
      <c r="L62" s="203">
        <f t="shared" si="3"/>
        <v>3256000</v>
      </c>
      <c r="M62" s="301">
        <f t="shared" si="5"/>
        <v>664950</v>
      </c>
      <c r="N62" s="301">
        <f t="shared" si="6"/>
        <v>2363130</v>
      </c>
      <c r="O62" s="300">
        <f t="shared" si="4"/>
        <v>3028080</v>
      </c>
    </row>
    <row r="63" spans="1:15" x14ac:dyDescent="0.25">
      <c r="A63" s="155">
        <v>58</v>
      </c>
      <c r="B63" s="55" t="s">
        <v>294</v>
      </c>
      <c r="C63" s="153" t="s">
        <v>153</v>
      </c>
      <c r="D63" s="173">
        <v>221000</v>
      </c>
      <c r="E63" s="173">
        <v>759000</v>
      </c>
      <c r="F63" s="174">
        <f t="shared" si="0"/>
        <v>980000</v>
      </c>
      <c r="G63" s="144">
        <f>200742.6195264-1000</f>
        <v>199742.6195264</v>
      </c>
      <c r="H63" s="144">
        <v>802970.47810559999</v>
      </c>
      <c r="I63" s="142">
        <f t="shared" si="1"/>
        <v>1002713.097632</v>
      </c>
      <c r="J63" s="203">
        <f t="shared" si="2"/>
        <v>199742.6195264</v>
      </c>
      <c r="K63" s="203">
        <f t="shared" si="7"/>
        <v>759000</v>
      </c>
      <c r="L63" s="203">
        <f t="shared" si="3"/>
        <v>958742.6195264</v>
      </c>
      <c r="M63" s="301">
        <f t="shared" si="5"/>
        <v>185760.636159552</v>
      </c>
      <c r="N63" s="301">
        <f t="shared" si="6"/>
        <v>705870</v>
      </c>
      <c r="O63" s="300">
        <f t="shared" si="4"/>
        <v>891630.63615955203</v>
      </c>
    </row>
    <row r="64" spans="1:15" x14ac:dyDescent="0.25">
      <c r="A64" s="155">
        <v>59</v>
      </c>
      <c r="B64" s="58" t="s">
        <v>292</v>
      </c>
      <c r="C64" s="153" t="s">
        <v>153</v>
      </c>
      <c r="D64" s="173">
        <v>64000</v>
      </c>
      <c r="E64" s="173">
        <v>200000</v>
      </c>
      <c r="F64" s="174">
        <f t="shared" si="0"/>
        <v>264000</v>
      </c>
      <c r="G64" s="144">
        <f>57889.8636122692-1000</f>
        <v>56889.863612269197</v>
      </c>
      <c r="H64" s="144">
        <v>231559.4544490769</v>
      </c>
      <c r="I64" s="142">
        <f t="shared" si="1"/>
        <v>288449.31806134607</v>
      </c>
      <c r="J64" s="203">
        <f t="shared" si="2"/>
        <v>56889.863612269197</v>
      </c>
      <c r="K64" s="203">
        <f t="shared" si="7"/>
        <v>200000</v>
      </c>
      <c r="L64" s="203">
        <f t="shared" si="3"/>
        <v>256889.8636122692</v>
      </c>
      <c r="M64" s="301">
        <f t="shared" si="5"/>
        <v>52907.573159410356</v>
      </c>
      <c r="N64" s="301">
        <f t="shared" si="6"/>
        <v>186000</v>
      </c>
      <c r="O64" s="300">
        <f t="shared" si="4"/>
        <v>238907.57315941036</v>
      </c>
    </row>
    <row r="65" spans="1:15" x14ac:dyDescent="0.25">
      <c r="A65" s="155">
        <v>60</v>
      </c>
      <c r="B65" s="58" t="s">
        <v>150</v>
      </c>
      <c r="C65" s="153" t="s">
        <v>153</v>
      </c>
      <c r="D65" s="173">
        <v>154000</v>
      </c>
      <c r="E65" s="173">
        <v>530000</v>
      </c>
      <c r="F65" s="174">
        <f t="shared" si="0"/>
        <v>684000</v>
      </c>
      <c r="G65" s="144">
        <f>140175.9487128-1000</f>
        <v>139175.94871279999</v>
      </c>
      <c r="H65" s="144">
        <v>560703.79485120007</v>
      </c>
      <c r="I65" s="142">
        <f t="shared" si="1"/>
        <v>699879.74356400012</v>
      </c>
      <c r="J65" s="203">
        <f t="shared" si="2"/>
        <v>139175.94871279999</v>
      </c>
      <c r="K65" s="203">
        <f t="shared" si="7"/>
        <v>530000</v>
      </c>
      <c r="L65" s="203">
        <f t="shared" si="3"/>
        <v>669175.94871279993</v>
      </c>
      <c r="M65" s="301">
        <f t="shared" si="5"/>
        <v>129433.63230290399</v>
      </c>
      <c r="N65" s="301">
        <f t="shared" si="6"/>
        <v>492900</v>
      </c>
      <c r="O65" s="300">
        <f t="shared" si="4"/>
        <v>622333.63230290404</v>
      </c>
    </row>
    <row r="66" spans="1:15" x14ac:dyDescent="0.25">
      <c r="A66" s="155">
        <v>61</v>
      </c>
      <c r="B66" s="55" t="s">
        <v>293</v>
      </c>
      <c r="C66" s="153" t="s">
        <v>153</v>
      </c>
      <c r="D66" s="173">
        <v>87000</v>
      </c>
      <c r="E66" s="173">
        <v>301000</v>
      </c>
      <c r="F66" s="174">
        <f t="shared" si="0"/>
        <v>388000</v>
      </c>
      <c r="G66" s="144">
        <f>79489.02696-1000</f>
        <v>78489.026960000003</v>
      </c>
      <c r="H66" s="144">
        <v>317956.10784000001</v>
      </c>
      <c r="I66" s="142">
        <f t="shared" si="1"/>
        <v>396445.1348</v>
      </c>
      <c r="J66" s="203">
        <f t="shared" si="2"/>
        <v>78489.026960000003</v>
      </c>
      <c r="K66" s="203">
        <f t="shared" si="7"/>
        <v>301000</v>
      </c>
      <c r="L66" s="203">
        <f t="shared" si="3"/>
        <v>379489.02695999999</v>
      </c>
      <c r="M66" s="301">
        <f t="shared" si="5"/>
        <v>72994.7950728</v>
      </c>
      <c r="N66" s="301">
        <f t="shared" si="6"/>
        <v>279930</v>
      </c>
      <c r="O66" s="300">
        <f t="shared" si="4"/>
        <v>352924.79507280001</v>
      </c>
    </row>
    <row r="67" spans="1:15" ht="22.5" x14ac:dyDescent="0.25">
      <c r="A67" s="155"/>
      <c r="B67" s="156" t="s">
        <v>124</v>
      </c>
      <c r="C67" s="157"/>
      <c r="D67" s="173">
        <v>0</v>
      </c>
      <c r="E67" s="173">
        <v>0</v>
      </c>
      <c r="F67" s="174">
        <f t="shared" si="0"/>
        <v>0</v>
      </c>
      <c r="G67" s="143"/>
      <c r="H67" s="144"/>
      <c r="I67" s="142">
        <f t="shared" si="1"/>
        <v>0</v>
      </c>
      <c r="J67" s="203">
        <f t="shared" si="2"/>
        <v>0</v>
      </c>
      <c r="K67" s="203">
        <f t="shared" si="7"/>
        <v>0</v>
      </c>
      <c r="L67" s="203">
        <f t="shared" si="3"/>
        <v>0</v>
      </c>
      <c r="M67" s="301">
        <f t="shared" si="5"/>
        <v>0</v>
      </c>
      <c r="N67" s="301">
        <f t="shared" si="6"/>
        <v>0</v>
      </c>
      <c r="O67" s="300">
        <f t="shared" si="4"/>
        <v>0</v>
      </c>
    </row>
    <row r="68" spans="1:15" ht="22.5" x14ac:dyDescent="0.25">
      <c r="A68" s="155">
        <v>62</v>
      </c>
      <c r="B68" s="55" t="s">
        <v>296</v>
      </c>
      <c r="C68" s="153" t="s">
        <v>153</v>
      </c>
      <c r="D68" s="173">
        <v>704000</v>
      </c>
      <c r="E68" s="173">
        <v>2236000</v>
      </c>
      <c r="F68" s="174">
        <f t="shared" si="0"/>
        <v>2940000</v>
      </c>
      <c r="G68" s="144">
        <f>639647.953307813-1000</f>
        <v>638647.95330781303</v>
      </c>
      <c r="H68" s="144">
        <f>2558591.81323125-90000</f>
        <v>2468591.8132312498</v>
      </c>
      <c r="I68" s="142">
        <f t="shared" si="1"/>
        <v>3107239.7665390628</v>
      </c>
      <c r="J68" s="203">
        <f t="shared" si="2"/>
        <v>638647.95330781303</v>
      </c>
      <c r="K68" s="203">
        <f t="shared" si="7"/>
        <v>2236000</v>
      </c>
      <c r="L68" s="203">
        <f t="shared" si="3"/>
        <v>2874647.953307813</v>
      </c>
      <c r="M68" s="301">
        <f t="shared" si="5"/>
        <v>593942.59657626611</v>
      </c>
      <c r="N68" s="301">
        <f t="shared" si="6"/>
        <v>2079480</v>
      </c>
      <c r="O68" s="300">
        <f t="shared" si="4"/>
        <v>2673422.596576266</v>
      </c>
    </row>
    <row r="69" spans="1:15" x14ac:dyDescent="0.25">
      <c r="A69" s="155">
        <v>63</v>
      </c>
      <c r="B69" s="55" t="s">
        <v>125</v>
      </c>
      <c r="C69" s="153" t="s">
        <v>153</v>
      </c>
      <c r="D69" s="173">
        <v>635000</v>
      </c>
      <c r="E69" s="173">
        <v>2171000</v>
      </c>
      <c r="F69" s="174">
        <f t="shared" ref="F69:F132" si="8">(D69+E69)</f>
        <v>2806000</v>
      </c>
      <c r="G69" s="144">
        <f>576889.913656-1000</f>
        <v>575889.91365600005</v>
      </c>
      <c r="H69" s="144">
        <v>2307559.6546240002</v>
      </c>
      <c r="I69" s="142">
        <f t="shared" ref="I69:I132" si="9">G69+H69</f>
        <v>2883449.5682800002</v>
      </c>
      <c r="J69" s="203">
        <f t="shared" ref="J69:J132" si="10">MIN(D69,G69)</f>
        <v>575889.91365600005</v>
      </c>
      <c r="K69" s="203">
        <f t="shared" si="7"/>
        <v>2171000</v>
      </c>
      <c r="L69" s="203">
        <f t="shared" ref="L69:L132" si="11">J69+K69</f>
        <v>2746889.913656</v>
      </c>
      <c r="M69" s="301">
        <f t="shared" si="5"/>
        <v>535577.61970008002</v>
      </c>
      <c r="N69" s="301">
        <f t="shared" si="6"/>
        <v>2019030</v>
      </c>
      <c r="O69" s="300">
        <f t="shared" ref="O69:O132" si="12">N69+M69</f>
        <v>2554607.6197000798</v>
      </c>
    </row>
    <row r="70" spans="1:15" x14ac:dyDescent="0.25">
      <c r="A70" s="155">
        <v>64</v>
      </c>
      <c r="B70" s="58" t="s">
        <v>126</v>
      </c>
      <c r="C70" s="153" t="s">
        <v>153</v>
      </c>
      <c r="D70" s="173">
        <v>85000</v>
      </c>
      <c r="E70" s="173">
        <v>268000</v>
      </c>
      <c r="F70" s="174">
        <f t="shared" si="8"/>
        <v>353000</v>
      </c>
      <c r="G70" s="144">
        <f>77616.4651804595-1000</f>
        <v>76616.465180459505</v>
      </c>
      <c r="H70" s="144">
        <v>310465.86072183814</v>
      </c>
      <c r="I70" s="142">
        <f t="shared" si="9"/>
        <v>387082.32590229763</v>
      </c>
      <c r="J70" s="203">
        <f t="shared" si="10"/>
        <v>76616.465180459505</v>
      </c>
      <c r="K70" s="203">
        <f t="shared" si="7"/>
        <v>268000</v>
      </c>
      <c r="L70" s="203">
        <f t="shared" si="11"/>
        <v>344616.46518045949</v>
      </c>
      <c r="M70" s="301">
        <f t="shared" ref="M70:M133" si="13">J70-(J70*7%)</f>
        <v>71253.312617827338</v>
      </c>
      <c r="N70" s="301">
        <f t="shared" ref="N70:N133" si="14">K70-(K70*7%)</f>
        <v>249240</v>
      </c>
      <c r="O70" s="300">
        <f t="shared" si="12"/>
        <v>320493.31261782732</v>
      </c>
    </row>
    <row r="71" spans="1:15" x14ac:dyDescent="0.25">
      <c r="A71" s="155">
        <v>65</v>
      </c>
      <c r="B71" s="55" t="s">
        <v>127</v>
      </c>
      <c r="C71" s="153" t="s">
        <v>153</v>
      </c>
      <c r="D71" s="173">
        <v>30000</v>
      </c>
      <c r="E71" s="173">
        <v>90000</v>
      </c>
      <c r="F71" s="174">
        <f t="shared" si="8"/>
        <v>120000</v>
      </c>
      <c r="G71" s="144">
        <f>27536.0034589193-1000</f>
        <v>26536.003458919298</v>
      </c>
      <c r="H71" s="144">
        <v>110144.0138356774</v>
      </c>
      <c r="I71" s="142">
        <f t="shared" si="9"/>
        <v>136680.01729459671</v>
      </c>
      <c r="J71" s="203">
        <f t="shared" si="10"/>
        <v>26536.003458919298</v>
      </c>
      <c r="K71" s="203">
        <f t="shared" si="7"/>
        <v>90000</v>
      </c>
      <c r="L71" s="203">
        <f t="shared" si="11"/>
        <v>116536.00345891929</v>
      </c>
      <c r="M71" s="301">
        <f t="shared" si="13"/>
        <v>24678.483216794946</v>
      </c>
      <c r="N71" s="301">
        <f t="shared" si="14"/>
        <v>83700</v>
      </c>
      <c r="O71" s="300">
        <f t="shared" si="12"/>
        <v>108378.48321679495</v>
      </c>
    </row>
    <row r="72" spans="1:15" x14ac:dyDescent="0.25">
      <c r="A72" s="155">
        <v>66</v>
      </c>
      <c r="B72" s="58" t="s">
        <v>368</v>
      </c>
      <c r="C72" s="153" t="s">
        <v>153</v>
      </c>
      <c r="D72" s="173">
        <v>306000</v>
      </c>
      <c r="E72" s="173">
        <v>959000</v>
      </c>
      <c r="F72" s="174">
        <f t="shared" si="8"/>
        <v>1265000</v>
      </c>
      <c r="G72" s="144">
        <f>278247.705363911-1000</f>
        <v>277247.70536391099</v>
      </c>
      <c r="H72" s="144">
        <v>1112990.8214556461</v>
      </c>
      <c r="I72" s="142">
        <f t="shared" si="9"/>
        <v>1390238.526819557</v>
      </c>
      <c r="J72" s="203">
        <f t="shared" si="10"/>
        <v>277247.70536391099</v>
      </c>
      <c r="K72" s="203">
        <f t="shared" si="7"/>
        <v>959000</v>
      </c>
      <c r="L72" s="203">
        <f t="shared" si="11"/>
        <v>1236247.7053639111</v>
      </c>
      <c r="M72" s="301">
        <f t="shared" si="13"/>
        <v>257840.36598843723</v>
      </c>
      <c r="N72" s="301">
        <f t="shared" si="14"/>
        <v>891870</v>
      </c>
      <c r="O72" s="300">
        <f t="shared" si="12"/>
        <v>1149710.3659884373</v>
      </c>
    </row>
    <row r="73" spans="1:15" x14ac:dyDescent="0.25">
      <c r="A73" s="155">
        <v>67</v>
      </c>
      <c r="B73" s="55" t="s">
        <v>326</v>
      </c>
      <c r="C73" s="153" t="s">
        <v>153</v>
      </c>
      <c r="D73" s="173">
        <v>169000</v>
      </c>
      <c r="E73" s="173">
        <v>530000</v>
      </c>
      <c r="F73" s="174">
        <f t="shared" si="8"/>
        <v>699000</v>
      </c>
      <c r="G73" s="144">
        <f>153768.468753741-1000</f>
        <v>152768.46875374101</v>
      </c>
      <c r="H73" s="144">
        <v>615073.8750149624</v>
      </c>
      <c r="I73" s="142">
        <f t="shared" si="9"/>
        <v>767842.3437687034</v>
      </c>
      <c r="J73" s="203">
        <f t="shared" si="10"/>
        <v>152768.46875374101</v>
      </c>
      <c r="K73" s="203">
        <f t="shared" si="7"/>
        <v>530000</v>
      </c>
      <c r="L73" s="203">
        <f t="shared" si="11"/>
        <v>682768.46875374101</v>
      </c>
      <c r="M73" s="301">
        <f t="shared" si="13"/>
        <v>142074.67594097913</v>
      </c>
      <c r="N73" s="301">
        <f t="shared" si="14"/>
        <v>492900</v>
      </c>
      <c r="O73" s="300">
        <f t="shared" si="12"/>
        <v>634974.67594097916</v>
      </c>
    </row>
    <row r="74" spans="1:15" x14ac:dyDescent="0.25">
      <c r="A74" s="155">
        <v>68</v>
      </c>
      <c r="B74" s="55" t="s">
        <v>123</v>
      </c>
      <c r="C74" s="153" t="s">
        <v>153</v>
      </c>
      <c r="D74" s="173">
        <v>108000</v>
      </c>
      <c r="E74" s="173">
        <v>343000</v>
      </c>
      <c r="F74" s="174">
        <f t="shared" si="8"/>
        <v>451000</v>
      </c>
      <c r="G74" s="144">
        <f>98018.779348-1000</f>
        <v>97018.779347999996</v>
      </c>
      <c r="H74" s="144">
        <v>392075.11739200004</v>
      </c>
      <c r="I74" s="142">
        <f t="shared" si="9"/>
        <v>489093.89674000005</v>
      </c>
      <c r="J74" s="203">
        <f t="shared" si="10"/>
        <v>97018.779347999996</v>
      </c>
      <c r="K74" s="203">
        <f t="shared" si="7"/>
        <v>343000</v>
      </c>
      <c r="L74" s="203">
        <f t="shared" si="11"/>
        <v>440018.77934800001</v>
      </c>
      <c r="M74" s="301">
        <f t="shared" si="13"/>
        <v>90227.46479364</v>
      </c>
      <c r="N74" s="301">
        <f t="shared" si="14"/>
        <v>318990</v>
      </c>
      <c r="O74" s="300">
        <f t="shared" si="12"/>
        <v>409217.46479364001</v>
      </c>
    </row>
    <row r="75" spans="1:15" x14ac:dyDescent="0.25">
      <c r="A75" s="155">
        <v>69</v>
      </c>
      <c r="B75" s="55" t="s">
        <v>298</v>
      </c>
      <c r="C75" s="153" t="s">
        <v>153</v>
      </c>
      <c r="D75" s="173">
        <v>58000</v>
      </c>
      <c r="E75" s="173">
        <v>181000</v>
      </c>
      <c r="F75" s="174">
        <f t="shared" si="8"/>
        <v>239000</v>
      </c>
      <c r="G75" s="144">
        <f>52481.8968332871-1000</f>
        <v>51481.896833287101</v>
      </c>
      <c r="H75" s="144">
        <v>209927.58733314869</v>
      </c>
      <c r="I75" s="142">
        <f t="shared" si="9"/>
        <v>261409.48416643578</v>
      </c>
      <c r="J75" s="203">
        <f t="shared" si="10"/>
        <v>51481.896833287101</v>
      </c>
      <c r="K75" s="203">
        <f t="shared" ref="K75:K138" si="15">MIN(E75)</f>
        <v>181000</v>
      </c>
      <c r="L75" s="203">
        <f t="shared" si="11"/>
        <v>232481.89683328709</v>
      </c>
      <c r="M75" s="301">
        <f t="shared" si="13"/>
        <v>47878.164054957</v>
      </c>
      <c r="N75" s="301">
        <f t="shared" si="14"/>
        <v>168330</v>
      </c>
      <c r="O75" s="300">
        <f t="shared" si="12"/>
        <v>216208.16405495699</v>
      </c>
    </row>
    <row r="76" spans="1:15" x14ac:dyDescent="0.25">
      <c r="A76" s="155">
        <v>70</v>
      </c>
      <c r="B76" s="55" t="s">
        <v>177</v>
      </c>
      <c r="C76" s="153" t="s">
        <v>153</v>
      </c>
      <c r="D76" s="173">
        <v>203000</v>
      </c>
      <c r="E76" s="173">
        <v>636000</v>
      </c>
      <c r="F76" s="174">
        <f t="shared" si="8"/>
        <v>839000</v>
      </c>
      <c r="G76" s="144">
        <f>184600-1000</f>
        <v>183600</v>
      </c>
      <c r="H76" s="144">
        <v>738400</v>
      </c>
      <c r="I76" s="142">
        <f t="shared" si="9"/>
        <v>922000</v>
      </c>
      <c r="J76" s="203">
        <f t="shared" si="10"/>
        <v>183600</v>
      </c>
      <c r="K76" s="203">
        <f t="shared" si="15"/>
        <v>636000</v>
      </c>
      <c r="L76" s="203">
        <f t="shared" si="11"/>
        <v>819600</v>
      </c>
      <c r="M76" s="301">
        <f t="shared" si="13"/>
        <v>170748</v>
      </c>
      <c r="N76" s="301">
        <f t="shared" si="14"/>
        <v>591480</v>
      </c>
      <c r="O76" s="300">
        <f t="shared" si="12"/>
        <v>762228</v>
      </c>
    </row>
    <row r="77" spans="1:15" x14ac:dyDescent="0.25">
      <c r="A77" s="155">
        <v>71</v>
      </c>
      <c r="B77" s="158" t="s">
        <v>102</v>
      </c>
      <c r="C77" s="153" t="s">
        <v>153</v>
      </c>
      <c r="D77" s="173">
        <v>446000</v>
      </c>
      <c r="E77" s="173">
        <v>1532000</v>
      </c>
      <c r="F77" s="174">
        <f t="shared" si="8"/>
        <v>1978000</v>
      </c>
      <c r="G77" s="144">
        <v>405145.2473658782</v>
      </c>
      <c r="H77" s="144">
        <v>1620580.9894635133</v>
      </c>
      <c r="I77" s="142">
        <f t="shared" si="9"/>
        <v>2025726.2368293914</v>
      </c>
      <c r="J77" s="203">
        <f t="shared" si="10"/>
        <v>405145.2473658782</v>
      </c>
      <c r="K77" s="203">
        <f t="shared" si="15"/>
        <v>1532000</v>
      </c>
      <c r="L77" s="203">
        <f t="shared" si="11"/>
        <v>1937145.2473658782</v>
      </c>
      <c r="M77" s="301">
        <f t="shared" si="13"/>
        <v>376785.0800502667</v>
      </c>
      <c r="N77" s="301">
        <f t="shared" si="14"/>
        <v>1424760</v>
      </c>
      <c r="O77" s="300">
        <f t="shared" si="12"/>
        <v>1801545.0800502668</v>
      </c>
    </row>
    <row r="78" spans="1:15" x14ac:dyDescent="0.25">
      <c r="A78" s="155">
        <v>72</v>
      </c>
      <c r="B78" s="58" t="s">
        <v>112</v>
      </c>
      <c r="C78" s="153" t="s">
        <v>153</v>
      </c>
      <c r="D78" s="173">
        <v>118000</v>
      </c>
      <c r="E78" s="173">
        <v>369000</v>
      </c>
      <c r="F78" s="174">
        <f t="shared" si="8"/>
        <v>487000</v>
      </c>
      <c r="G78" s="144">
        <f>106905.697324029-1000</f>
        <v>105905.697324029</v>
      </c>
      <c r="H78" s="144">
        <v>427622.78929611662</v>
      </c>
      <c r="I78" s="142">
        <f t="shared" si="9"/>
        <v>533528.48662014562</v>
      </c>
      <c r="J78" s="203">
        <f t="shared" si="10"/>
        <v>105905.697324029</v>
      </c>
      <c r="K78" s="203">
        <f t="shared" si="15"/>
        <v>369000</v>
      </c>
      <c r="L78" s="203">
        <f t="shared" si="11"/>
        <v>474905.697324029</v>
      </c>
      <c r="M78" s="301">
        <f t="shared" si="13"/>
        <v>98492.298511346962</v>
      </c>
      <c r="N78" s="301">
        <f t="shared" si="14"/>
        <v>343170</v>
      </c>
      <c r="O78" s="300">
        <f t="shared" si="12"/>
        <v>441662.29851134698</v>
      </c>
    </row>
    <row r="79" spans="1:15" x14ac:dyDescent="0.25">
      <c r="A79" s="155">
        <v>73</v>
      </c>
      <c r="B79" s="58" t="s">
        <v>78</v>
      </c>
      <c r="C79" s="153" t="s">
        <v>153</v>
      </c>
      <c r="D79" s="173">
        <v>105000</v>
      </c>
      <c r="E79" s="173">
        <v>328000</v>
      </c>
      <c r="F79" s="174">
        <f t="shared" si="8"/>
        <v>433000</v>
      </c>
      <c r="G79" s="144">
        <f>95190.0044666012-1000</f>
        <v>94190.004466601196</v>
      </c>
      <c r="H79" s="144">
        <v>380760.01786640519</v>
      </c>
      <c r="I79" s="142">
        <f t="shared" si="9"/>
        <v>474950.02233300637</v>
      </c>
      <c r="J79" s="203">
        <f t="shared" si="10"/>
        <v>94190.004466601196</v>
      </c>
      <c r="K79" s="203">
        <f t="shared" si="15"/>
        <v>328000</v>
      </c>
      <c r="L79" s="203">
        <f t="shared" si="11"/>
        <v>422190.00446660118</v>
      </c>
      <c r="M79" s="301">
        <f t="shared" si="13"/>
        <v>87596.704153939107</v>
      </c>
      <c r="N79" s="301">
        <f t="shared" si="14"/>
        <v>305040</v>
      </c>
      <c r="O79" s="300">
        <f t="shared" si="12"/>
        <v>392636.70415393909</v>
      </c>
    </row>
    <row r="80" spans="1:15" ht="22.5" x14ac:dyDescent="0.25">
      <c r="A80" s="155">
        <v>74</v>
      </c>
      <c r="B80" s="55" t="s">
        <v>299</v>
      </c>
      <c r="C80" s="153" t="s">
        <v>153</v>
      </c>
      <c r="D80" s="173">
        <v>685000</v>
      </c>
      <c r="E80" s="173">
        <v>2176000</v>
      </c>
      <c r="F80" s="174">
        <f t="shared" si="8"/>
        <v>2861000</v>
      </c>
      <c r="G80" s="144">
        <f>622293.051951758-1000</f>
        <v>621293.05195175798</v>
      </c>
      <c r="H80" s="144">
        <v>2489172.2078070305</v>
      </c>
      <c r="I80" s="142">
        <f t="shared" si="9"/>
        <v>3110465.2597587886</v>
      </c>
      <c r="J80" s="203">
        <f t="shared" si="10"/>
        <v>621293.05195175798</v>
      </c>
      <c r="K80" s="203">
        <f t="shared" si="15"/>
        <v>2176000</v>
      </c>
      <c r="L80" s="203">
        <f t="shared" si="11"/>
        <v>2797293.0519517581</v>
      </c>
      <c r="M80" s="301">
        <f t="shared" si="13"/>
        <v>577802.53831513494</v>
      </c>
      <c r="N80" s="301">
        <f t="shared" si="14"/>
        <v>2023680</v>
      </c>
      <c r="O80" s="300">
        <f t="shared" si="12"/>
        <v>2601482.5383151351</v>
      </c>
    </row>
    <row r="81" spans="1:15" x14ac:dyDescent="0.25">
      <c r="A81" s="155">
        <v>75</v>
      </c>
      <c r="B81" s="58" t="s">
        <v>111</v>
      </c>
      <c r="C81" s="153" t="s">
        <v>153</v>
      </c>
      <c r="D81" s="173">
        <v>81000</v>
      </c>
      <c r="E81" s="173">
        <v>252000</v>
      </c>
      <c r="F81" s="174">
        <f t="shared" si="8"/>
        <v>333000</v>
      </c>
      <c r="G81" s="144">
        <f>73223.0803589241-1000</f>
        <v>72223.080358924097</v>
      </c>
      <c r="H81" s="144">
        <v>292892.32143569639</v>
      </c>
      <c r="I81" s="142">
        <f t="shared" si="9"/>
        <v>365115.4017946205</v>
      </c>
      <c r="J81" s="203">
        <f t="shared" si="10"/>
        <v>72223.080358924097</v>
      </c>
      <c r="K81" s="203">
        <f t="shared" si="15"/>
        <v>252000</v>
      </c>
      <c r="L81" s="203">
        <f t="shared" si="11"/>
        <v>324223.08035892411</v>
      </c>
      <c r="M81" s="301">
        <f t="shared" si="13"/>
        <v>67167.46473379941</v>
      </c>
      <c r="N81" s="301">
        <f t="shared" si="14"/>
        <v>234360</v>
      </c>
      <c r="O81" s="300">
        <f t="shared" si="12"/>
        <v>301527.4647337994</v>
      </c>
    </row>
    <row r="82" spans="1:15" x14ac:dyDescent="0.25">
      <c r="A82" s="155">
        <v>76</v>
      </c>
      <c r="B82" s="58" t="s">
        <v>300</v>
      </c>
      <c r="C82" s="153" t="s">
        <v>153</v>
      </c>
      <c r="D82" s="173">
        <v>371000</v>
      </c>
      <c r="E82" s="173">
        <v>1274000</v>
      </c>
      <c r="F82" s="174">
        <f t="shared" si="8"/>
        <v>1645000</v>
      </c>
      <c r="G82" s="144">
        <f>336839.1846848-1000</f>
        <v>335839.18468479998</v>
      </c>
      <c r="H82" s="144">
        <v>1347356.7387391999</v>
      </c>
      <c r="I82" s="142">
        <f t="shared" si="9"/>
        <v>1683195.9234239999</v>
      </c>
      <c r="J82" s="203">
        <f t="shared" si="10"/>
        <v>335839.18468479998</v>
      </c>
      <c r="K82" s="203">
        <f t="shared" si="15"/>
        <v>1274000</v>
      </c>
      <c r="L82" s="203">
        <f t="shared" si="11"/>
        <v>1609839.1846848</v>
      </c>
      <c r="M82" s="301">
        <f t="shared" si="13"/>
        <v>312330.44175686396</v>
      </c>
      <c r="N82" s="301">
        <f t="shared" si="14"/>
        <v>1184820</v>
      </c>
      <c r="O82" s="300">
        <f t="shared" si="12"/>
        <v>1497150.4417568641</v>
      </c>
    </row>
    <row r="83" spans="1:15" ht="22.5" x14ac:dyDescent="0.25">
      <c r="A83" s="155"/>
      <c r="B83" s="156" t="s">
        <v>31</v>
      </c>
      <c r="C83" s="157"/>
      <c r="D83" s="173">
        <v>0</v>
      </c>
      <c r="E83" s="173">
        <v>0</v>
      </c>
      <c r="F83" s="174">
        <f t="shared" si="8"/>
        <v>0</v>
      </c>
      <c r="G83" s="143"/>
      <c r="H83" s="144"/>
      <c r="I83" s="142">
        <f t="shared" si="9"/>
        <v>0</v>
      </c>
      <c r="J83" s="203">
        <f t="shared" si="10"/>
        <v>0</v>
      </c>
      <c r="K83" s="203">
        <f t="shared" si="15"/>
        <v>0</v>
      </c>
      <c r="L83" s="203">
        <f t="shared" si="11"/>
        <v>0</v>
      </c>
      <c r="M83" s="301">
        <f t="shared" si="13"/>
        <v>0</v>
      </c>
      <c r="N83" s="301">
        <f t="shared" si="14"/>
        <v>0</v>
      </c>
      <c r="O83" s="300">
        <f t="shared" si="12"/>
        <v>0</v>
      </c>
    </row>
    <row r="84" spans="1:15" x14ac:dyDescent="0.25">
      <c r="A84" s="155">
        <v>78</v>
      </c>
      <c r="B84" s="55" t="s">
        <v>323</v>
      </c>
      <c r="C84" s="153" t="s">
        <v>153</v>
      </c>
      <c r="D84" s="173">
        <v>683000</v>
      </c>
      <c r="E84" s="173">
        <v>2171000</v>
      </c>
      <c r="F84" s="174">
        <f t="shared" si="8"/>
        <v>2854000</v>
      </c>
      <c r="G84" s="144">
        <f>620849.216564398-1000</f>
        <v>619849.21656439803</v>
      </c>
      <c r="H84" s="144">
        <v>2483396.8662575944</v>
      </c>
      <c r="I84" s="142">
        <f t="shared" si="9"/>
        <v>3103246.0828219922</v>
      </c>
      <c r="J84" s="203">
        <f t="shared" si="10"/>
        <v>619849.21656439803</v>
      </c>
      <c r="K84" s="203">
        <f t="shared" si="15"/>
        <v>2171000</v>
      </c>
      <c r="L84" s="203">
        <f t="shared" si="11"/>
        <v>2790849.2165643983</v>
      </c>
      <c r="M84" s="301">
        <f t="shared" si="13"/>
        <v>576459.77140489011</v>
      </c>
      <c r="N84" s="301">
        <f t="shared" si="14"/>
        <v>2019030</v>
      </c>
      <c r="O84" s="300">
        <f t="shared" si="12"/>
        <v>2595489.7714048903</v>
      </c>
    </row>
    <row r="85" spans="1:15" x14ac:dyDescent="0.25">
      <c r="A85" s="155">
        <v>79</v>
      </c>
      <c r="B85" s="55" t="s">
        <v>178</v>
      </c>
      <c r="C85" s="153" t="s">
        <v>153</v>
      </c>
      <c r="D85" s="173">
        <v>342000</v>
      </c>
      <c r="E85" s="173">
        <v>1073000</v>
      </c>
      <c r="F85" s="174">
        <f t="shared" si="8"/>
        <v>1415000</v>
      </c>
      <c r="G85" s="144">
        <f>311196.62706382-1000</f>
        <v>310196.62706382002</v>
      </c>
      <c r="H85" s="144">
        <v>1244786.5082552806</v>
      </c>
      <c r="I85" s="142">
        <f t="shared" si="9"/>
        <v>1554983.1353191007</v>
      </c>
      <c r="J85" s="203">
        <f t="shared" si="10"/>
        <v>310196.62706382002</v>
      </c>
      <c r="K85" s="203">
        <f t="shared" si="15"/>
        <v>1073000</v>
      </c>
      <c r="L85" s="203">
        <f t="shared" si="11"/>
        <v>1383196.6270638201</v>
      </c>
      <c r="M85" s="301">
        <f t="shared" si="13"/>
        <v>288482.86316935264</v>
      </c>
      <c r="N85" s="301">
        <f t="shared" si="14"/>
        <v>997890</v>
      </c>
      <c r="O85" s="300">
        <f t="shared" si="12"/>
        <v>1286372.8631693525</v>
      </c>
    </row>
    <row r="86" spans="1:15" x14ac:dyDescent="0.25">
      <c r="A86" s="155">
        <v>80</v>
      </c>
      <c r="B86" s="55" t="s">
        <v>301</v>
      </c>
      <c r="C86" s="153" t="s">
        <v>153</v>
      </c>
      <c r="D86" s="173">
        <v>297000</v>
      </c>
      <c r="E86" s="173">
        <v>930000</v>
      </c>
      <c r="F86" s="174">
        <f t="shared" si="8"/>
        <v>1227000</v>
      </c>
      <c r="G86" s="144">
        <f>269800-1000</f>
        <v>268800</v>
      </c>
      <c r="H86" s="144">
        <v>1079200</v>
      </c>
      <c r="I86" s="142">
        <f t="shared" si="9"/>
        <v>1348000</v>
      </c>
      <c r="J86" s="203">
        <f t="shared" si="10"/>
        <v>268800</v>
      </c>
      <c r="K86" s="203">
        <f t="shared" si="15"/>
        <v>930000</v>
      </c>
      <c r="L86" s="203">
        <f t="shared" si="11"/>
        <v>1198800</v>
      </c>
      <c r="M86" s="301">
        <f t="shared" si="13"/>
        <v>249984</v>
      </c>
      <c r="N86" s="301">
        <f t="shared" si="14"/>
        <v>864900</v>
      </c>
      <c r="O86" s="300">
        <f t="shared" si="12"/>
        <v>1114884</v>
      </c>
    </row>
    <row r="87" spans="1:15" x14ac:dyDescent="0.25">
      <c r="A87" s="155">
        <v>81</v>
      </c>
      <c r="B87" s="58" t="s">
        <v>79</v>
      </c>
      <c r="C87" s="153" t="s">
        <v>153</v>
      </c>
      <c r="D87" s="173">
        <v>55000</v>
      </c>
      <c r="E87" s="173">
        <v>184000</v>
      </c>
      <c r="F87" s="174">
        <f t="shared" si="8"/>
        <v>239000</v>
      </c>
      <c r="G87" s="144">
        <f>50447.2645488-1000</f>
        <v>49447.264548799998</v>
      </c>
      <c r="H87" s="144">
        <v>201789.05819519999</v>
      </c>
      <c r="I87" s="142">
        <f t="shared" si="9"/>
        <v>251236.322744</v>
      </c>
      <c r="J87" s="203">
        <f t="shared" si="10"/>
        <v>49447.264548799998</v>
      </c>
      <c r="K87" s="203">
        <f t="shared" si="15"/>
        <v>184000</v>
      </c>
      <c r="L87" s="203">
        <f t="shared" si="11"/>
        <v>233447.26454880001</v>
      </c>
      <c r="M87" s="301">
        <f t="shared" si="13"/>
        <v>45985.956030383997</v>
      </c>
      <c r="N87" s="301">
        <f t="shared" si="14"/>
        <v>171120</v>
      </c>
      <c r="O87" s="300">
        <f t="shared" si="12"/>
        <v>217105.956030384</v>
      </c>
    </row>
    <row r="88" spans="1:15" x14ac:dyDescent="0.25">
      <c r="A88" s="155">
        <v>82</v>
      </c>
      <c r="B88" s="55" t="s">
        <v>32</v>
      </c>
      <c r="C88" s="153" t="s">
        <v>153</v>
      </c>
      <c r="D88" s="173">
        <v>50000</v>
      </c>
      <c r="E88" s="173">
        <v>156000</v>
      </c>
      <c r="F88" s="174">
        <f t="shared" si="8"/>
        <v>206000</v>
      </c>
      <c r="G88" s="144">
        <f>45398.3098225329-1000</f>
        <v>44398.309822532901</v>
      </c>
      <c r="H88" s="144">
        <v>181593.23929013172</v>
      </c>
      <c r="I88" s="142">
        <f t="shared" si="9"/>
        <v>225991.54911266462</v>
      </c>
      <c r="J88" s="203">
        <f t="shared" si="10"/>
        <v>44398.309822532901</v>
      </c>
      <c r="K88" s="203">
        <f t="shared" si="15"/>
        <v>156000</v>
      </c>
      <c r="L88" s="203">
        <f t="shared" si="11"/>
        <v>200398.3098225329</v>
      </c>
      <c r="M88" s="301">
        <f t="shared" si="13"/>
        <v>41290.428134955597</v>
      </c>
      <c r="N88" s="301">
        <f t="shared" si="14"/>
        <v>145080</v>
      </c>
      <c r="O88" s="300">
        <f t="shared" si="12"/>
        <v>186370.42813495558</v>
      </c>
    </row>
    <row r="89" spans="1:15" x14ac:dyDescent="0.25">
      <c r="A89" s="155">
        <v>83</v>
      </c>
      <c r="B89" s="58" t="s">
        <v>77</v>
      </c>
      <c r="C89" s="153" t="s">
        <v>153</v>
      </c>
      <c r="D89" s="173">
        <v>127000</v>
      </c>
      <c r="E89" s="173">
        <v>399000</v>
      </c>
      <c r="F89" s="174">
        <f t="shared" si="8"/>
        <v>526000</v>
      </c>
      <c r="G89" s="144">
        <f>115692.4669671-1000</f>
        <v>114692.4669671</v>
      </c>
      <c r="H89" s="144">
        <v>462769.86786840012</v>
      </c>
      <c r="I89" s="142">
        <f t="shared" si="9"/>
        <v>577462.33483550011</v>
      </c>
      <c r="J89" s="203">
        <f t="shared" si="10"/>
        <v>114692.4669671</v>
      </c>
      <c r="K89" s="203">
        <f t="shared" si="15"/>
        <v>399000</v>
      </c>
      <c r="L89" s="203">
        <f t="shared" si="11"/>
        <v>513692.46696709999</v>
      </c>
      <c r="M89" s="301">
        <f t="shared" si="13"/>
        <v>106663.99427940301</v>
      </c>
      <c r="N89" s="301">
        <f t="shared" si="14"/>
        <v>371070</v>
      </c>
      <c r="O89" s="300">
        <f t="shared" si="12"/>
        <v>477733.99427940301</v>
      </c>
    </row>
    <row r="90" spans="1:15" x14ac:dyDescent="0.25">
      <c r="A90" s="155">
        <v>84</v>
      </c>
      <c r="B90" s="58" t="s">
        <v>302</v>
      </c>
      <c r="C90" s="153" t="s">
        <v>153</v>
      </c>
      <c r="D90" s="173">
        <v>107000</v>
      </c>
      <c r="E90" s="173">
        <v>369000</v>
      </c>
      <c r="F90" s="174">
        <f t="shared" si="8"/>
        <v>476000</v>
      </c>
      <c r="G90" s="144">
        <f>97485.5711088-100</f>
        <v>97385.571108799995</v>
      </c>
      <c r="H90" s="144">
        <v>389942.28443520004</v>
      </c>
      <c r="I90" s="142">
        <f t="shared" si="9"/>
        <v>487327.85554400005</v>
      </c>
      <c r="J90" s="203">
        <f t="shared" si="10"/>
        <v>97385.571108799995</v>
      </c>
      <c r="K90" s="203">
        <f t="shared" si="15"/>
        <v>369000</v>
      </c>
      <c r="L90" s="203">
        <f t="shared" si="11"/>
        <v>466385.57110880001</v>
      </c>
      <c r="M90" s="301">
        <f t="shared" si="13"/>
        <v>90568.581131183993</v>
      </c>
      <c r="N90" s="301">
        <f t="shared" si="14"/>
        <v>343170</v>
      </c>
      <c r="O90" s="300">
        <f t="shared" si="12"/>
        <v>433738.58113118401</v>
      </c>
    </row>
    <row r="91" spans="1:15" ht="22.5" x14ac:dyDescent="0.25">
      <c r="A91" s="155"/>
      <c r="B91" s="156" t="s">
        <v>90</v>
      </c>
      <c r="C91" s="157"/>
      <c r="D91" s="173">
        <v>0</v>
      </c>
      <c r="E91" s="173">
        <v>0</v>
      </c>
      <c r="F91" s="174">
        <f t="shared" si="8"/>
        <v>0</v>
      </c>
      <c r="G91" s="143"/>
      <c r="H91" s="144"/>
      <c r="I91" s="142">
        <f t="shared" si="9"/>
        <v>0</v>
      </c>
      <c r="J91" s="203">
        <f t="shared" si="10"/>
        <v>0</v>
      </c>
      <c r="K91" s="203">
        <f t="shared" si="15"/>
        <v>0</v>
      </c>
      <c r="L91" s="203">
        <f t="shared" si="11"/>
        <v>0</v>
      </c>
      <c r="M91" s="301">
        <f t="shared" si="13"/>
        <v>0</v>
      </c>
      <c r="N91" s="301">
        <f t="shared" si="14"/>
        <v>0</v>
      </c>
      <c r="O91" s="300">
        <f t="shared" si="12"/>
        <v>0</v>
      </c>
    </row>
    <row r="92" spans="1:15" x14ac:dyDescent="0.25">
      <c r="A92" s="155">
        <v>85</v>
      </c>
      <c r="B92" s="55" t="s">
        <v>481</v>
      </c>
      <c r="C92" s="153" t="s">
        <v>153</v>
      </c>
      <c r="D92" s="173">
        <v>25000</v>
      </c>
      <c r="E92" s="173">
        <v>74000</v>
      </c>
      <c r="F92" s="174">
        <f t="shared" si="8"/>
        <v>99000</v>
      </c>
      <c r="G92" s="144">
        <f>22749.86736-1000</f>
        <v>21749.86736</v>
      </c>
      <c r="H92" s="144">
        <v>90999.469440000001</v>
      </c>
      <c r="I92" s="142">
        <f t="shared" si="9"/>
        <v>112749.3368</v>
      </c>
      <c r="J92" s="203">
        <f t="shared" si="10"/>
        <v>21749.86736</v>
      </c>
      <c r="K92" s="203">
        <f t="shared" si="15"/>
        <v>74000</v>
      </c>
      <c r="L92" s="203">
        <f t="shared" si="11"/>
        <v>95749.867360000004</v>
      </c>
      <c r="M92" s="301">
        <f t="shared" si="13"/>
        <v>20227.376644799999</v>
      </c>
      <c r="N92" s="301">
        <f t="shared" si="14"/>
        <v>68820</v>
      </c>
      <c r="O92" s="300">
        <f t="shared" si="12"/>
        <v>89047.376644799995</v>
      </c>
    </row>
    <row r="93" spans="1:15" x14ac:dyDescent="0.25">
      <c r="A93" s="155">
        <v>86</v>
      </c>
      <c r="B93" s="55" t="s">
        <v>181</v>
      </c>
      <c r="C93" s="153" t="s">
        <v>153</v>
      </c>
      <c r="D93" s="173">
        <v>141000</v>
      </c>
      <c r="E93" s="173">
        <v>443000</v>
      </c>
      <c r="F93" s="174">
        <f t="shared" si="8"/>
        <v>584000</v>
      </c>
      <c r="G93" s="144">
        <f>128446.410432625-1000</f>
        <v>127446.41043262499</v>
      </c>
      <c r="H93" s="144">
        <v>513785.64173050068</v>
      </c>
      <c r="I93" s="142">
        <f t="shared" si="9"/>
        <v>641232.05216312571</v>
      </c>
      <c r="J93" s="203">
        <f t="shared" si="10"/>
        <v>127446.41043262499</v>
      </c>
      <c r="K93" s="203">
        <f t="shared" si="15"/>
        <v>443000</v>
      </c>
      <c r="L93" s="203">
        <f t="shared" si="11"/>
        <v>570446.41043262498</v>
      </c>
      <c r="M93" s="301">
        <f t="shared" si="13"/>
        <v>118525.16170234124</v>
      </c>
      <c r="N93" s="301">
        <f t="shared" si="14"/>
        <v>411990</v>
      </c>
      <c r="O93" s="300">
        <f t="shared" si="12"/>
        <v>530515.16170234128</v>
      </c>
    </row>
    <row r="94" spans="1:15" x14ac:dyDescent="0.25">
      <c r="A94" s="155">
        <v>87</v>
      </c>
      <c r="B94" s="58" t="s">
        <v>303</v>
      </c>
      <c r="C94" s="153" t="s">
        <v>153</v>
      </c>
      <c r="D94" s="173">
        <v>242000</v>
      </c>
      <c r="E94" s="173">
        <v>851000</v>
      </c>
      <c r="F94" s="174">
        <f t="shared" si="8"/>
        <v>1093000</v>
      </c>
      <c r="G94" s="144">
        <f>225127.952312411-1000</f>
        <v>224127.95231241101</v>
      </c>
      <c r="H94" s="144">
        <v>900511.80924964475</v>
      </c>
      <c r="I94" s="142">
        <f t="shared" si="9"/>
        <v>1124639.7615620557</v>
      </c>
      <c r="J94" s="203">
        <f t="shared" si="10"/>
        <v>224127.95231241101</v>
      </c>
      <c r="K94" s="203">
        <f t="shared" si="15"/>
        <v>851000</v>
      </c>
      <c r="L94" s="203">
        <f t="shared" si="11"/>
        <v>1075127.952312411</v>
      </c>
      <c r="M94" s="301">
        <f t="shared" si="13"/>
        <v>208438.99565054223</v>
      </c>
      <c r="N94" s="301">
        <f t="shared" si="14"/>
        <v>791430</v>
      </c>
      <c r="O94" s="300">
        <f t="shared" si="12"/>
        <v>999868.9956505422</v>
      </c>
    </row>
    <row r="95" spans="1:15" x14ac:dyDescent="0.25">
      <c r="A95" s="155">
        <v>88</v>
      </c>
      <c r="B95" s="58" t="s">
        <v>304</v>
      </c>
      <c r="C95" s="153" t="s">
        <v>153</v>
      </c>
      <c r="D95" s="173">
        <v>149000</v>
      </c>
      <c r="E95" s="173">
        <v>760000</v>
      </c>
      <c r="F95" s="174">
        <f t="shared" si="8"/>
        <v>909000</v>
      </c>
      <c r="G95" s="144">
        <f>200826.8725568-1000</f>
        <v>199826.87255679999</v>
      </c>
      <c r="H95" s="144">
        <v>803307.49022720009</v>
      </c>
      <c r="I95" s="142">
        <f t="shared" si="9"/>
        <v>1003134.3627840001</v>
      </c>
      <c r="J95" s="203">
        <f t="shared" si="10"/>
        <v>149000</v>
      </c>
      <c r="K95" s="203">
        <f t="shared" si="15"/>
        <v>760000</v>
      </c>
      <c r="L95" s="203">
        <f t="shared" si="11"/>
        <v>909000</v>
      </c>
      <c r="M95" s="301">
        <f t="shared" si="13"/>
        <v>138570</v>
      </c>
      <c r="N95" s="301">
        <f t="shared" si="14"/>
        <v>706800</v>
      </c>
      <c r="O95" s="300">
        <f t="shared" si="12"/>
        <v>845370</v>
      </c>
    </row>
    <row r="96" spans="1:15" x14ac:dyDescent="0.25">
      <c r="A96" s="155">
        <v>89</v>
      </c>
      <c r="B96" s="58" t="s">
        <v>80</v>
      </c>
      <c r="C96" s="153" t="s">
        <v>153</v>
      </c>
      <c r="D96" s="173">
        <v>138000</v>
      </c>
      <c r="E96" s="173">
        <v>500000</v>
      </c>
      <c r="F96" s="174">
        <f t="shared" si="8"/>
        <v>638000</v>
      </c>
      <c r="G96" s="144">
        <f>144981.69911067-1000</f>
        <v>143981.69911066999</v>
      </c>
      <c r="H96" s="144">
        <v>579926.79644267855</v>
      </c>
      <c r="I96" s="142">
        <f t="shared" si="9"/>
        <v>723908.49555334856</v>
      </c>
      <c r="J96" s="203">
        <f t="shared" si="10"/>
        <v>138000</v>
      </c>
      <c r="K96" s="203">
        <f t="shared" si="15"/>
        <v>500000</v>
      </c>
      <c r="L96" s="203">
        <f t="shared" si="11"/>
        <v>638000</v>
      </c>
      <c r="M96" s="301">
        <f t="shared" si="13"/>
        <v>128340</v>
      </c>
      <c r="N96" s="301">
        <f t="shared" si="14"/>
        <v>465000</v>
      </c>
      <c r="O96" s="300">
        <f t="shared" si="12"/>
        <v>593340</v>
      </c>
    </row>
    <row r="97" spans="1:15" x14ac:dyDescent="0.25">
      <c r="A97" s="155">
        <v>90</v>
      </c>
      <c r="B97" s="58" t="s">
        <v>184</v>
      </c>
      <c r="C97" s="153" t="s">
        <v>153</v>
      </c>
      <c r="D97" s="173">
        <v>109000</v>
      </c>
      <c r="E97" s="173">
        <v>374000</v>
      </c>
      <c r="F97" s="174">
        <f t="shared" si="8"/>
        <v>483000</v>
      </c>
      <c r="G97" s="144">
        <f>98859.3808943999-1000</f>
        <v>97859.380894399903</v>
      </c>
      <c r="H97" s="144">
        <v>395437.52357760002</v>
      </c>
      <c r="I97" s="142">
        <f t="shared" si="9"/>
        <v>493296.90447199991</v>
      </c>
      <c r="J97" s="203">
        <f t="shared" si="10"/>
        <v>97859.380894399903</v>
      </c>
      <c r="K97" s="203">
        <f t="shared" si="15"/>
        <v>374000</v>
      </c>
      <c r="L97" s="203">
        <f t="shared" si="11"/>
        <v>471859.38089439989</v>
      </c>
      <c r="M97" s="301">
        <f t="shared" si="13"/>
        <v>91009.224231791915</v>
      </c>
      <c r="N97" s="301">
        <f t="shared" si="14"/>
        <v>347820</v>
      </c>
      <c r="O97" s="300">
        <f t="shared" si="12"/>
        <v>438829.22423179192</v>
      </c>
    </row>
    <row r="98" spans="1:15" x14ac:dyDescent="0.25">
      <c r="A98" s="155">
        <v>91</v>
      </c>
      <c r="B98" s="158" t="s">
        <v>305</v>
      </c>
      <c r="C98" s="153" t="s">
        <v>153</v>
      </c>
      <c r="D98" s="173">
        <v>138000</v>
      </c>
      <c r="E98" s="173">
        <v>475000</v>
      </c>
      <c r="F98" s="174">
        <f t="shared" si="8"/>
        <v>613000</v>
      </c>
      <c r="G98" s="144">
        <f>125621.9251616-1000</f>
        <v>124621.9251616</v>
      </c>
      <c r="H98" s="144">
        <v>502487.70064639999</v>
      </c>
      <c r="I98" s="142">
        <f t="shared" si="9"/>
        <v>627109.62580799998</v>
      </c>
      <c r="J98" s="203">
        <f t="shared" si="10"/>
        <v>124621.9251616</v>
      </c>
      <c r="K98" s="203">
        <f t="shared" si="15"/>
        <v>475000</v>
      </c>
      <c r="L98" s="203">
        <f t="shared" si="11"/>
        <v>599621.9251616</v>
      </c>
      <c r="M98" s="301">
        <f t="shared" si="13"/>
        <v>115898.390400288</v>
      </c>
      <c r="N98" s="301">
        <f t="shared" si="14"/>
        <v>441750</v>
      </c>
      <c r="O98" s="300">
        <f t="shared" si="12"/>
        <v>557648.39040028804</v>
      </c>
    </row>
    <row r="99" spans="1:15" x14ac:dyDescent="0.25">
      <c r="A99" s="155">
        <v>92</v>
      </c>
      <c r="B99" s="58" t="s">
        <v>99</v>
      </c>
      <c r="C99" s="153" t="s">
        <v>153</v>
      </c>
      <c r="D99" s="173">
        <v>76000</v>
      </c>
      <c r="E99" s="173">
        <v>237000</v>
      </c>
      <c r="F99" s="174">
        <f t="shared" si="8"/>
        <v>313000</v>
      </c>
      <c r="G99" s="144">
        <f>68829.6955373886-1000</f>
        <v>67829.695537388601</v>
      </c>
      <c r="H99" s="144">
        <v>275318.78214955452</v>
      </c>
      <c r="I99" s="142">
        <f t="shared" si="9"/>
        <v>343148.47768694314</v>
      </c>
      <c r="J99" s="203">
        <f t="shared" si="10"/>
        <v>67829.695537388601</v>
      </c>
      <c r="K99" s="203">
        <f t="shared" si="15"/>
        <v>237000</v>
      </c>
      <c r="L99" s="203">
        <f t="shared" si="11"/>
        <v>304829.69553738862</v>
      </c>
      <c r="M99" s="301">
        <f t="shared" si="13"/>
        <v>63081.616849771395</v>
      </c>
      <c r="N99" s="301">
        <f t="shared" si="14"/>
        <v>220410</v>
      </c>
      <c r="O99" s="300">
        <f t="shared" si="12"/>
        <v>283491.61684977141</v>
      </c>
    </row>
    <row r="100" spans="1:15" x14ac:dyDescent="0.25">
      <c r="A100" s="155">
        <v>93</v>
      </c>
      <c r="B100" s="55" t="s">
        <v>139</v>
      </c>
      <c r="C100" s="153" t="s">
        <v>153</v>
      </c>
      <c r="D100" s="173">
        <v>179000</v>
      </c>
      <c r="E100" s="173">
        <v>561000</v>
      </c>
      <c r="F100" s="174">
        <f t="shared" si="8"/>
        <v>740000</v>
      </c>
      <c r="G100" s="144">
        <f>162654.967059162-1000</f>
        <v>161654.96705916201</v>
      </c>
      <c r="H100" s="144">
        <v>650619.86823665025</v>
      </c>
      <c r="I100" s="142">
        <f t="shared" si="9"/>
        <v>812274.83529581223</v>
      </c>
      <c r="J100" s="203">
        <f t="shared" si="10"/>
        <v>161654.96705916201</v>
      </c>
      <c r="K100" s="203">
        <f t="shared" si="15"/>
        <v>561000</v>
      </c>
      <c r="L100" s="203">
        <f t="shared" si="11"/>
        <v>722654.96705916198</v>
      </c>
      <c r="M100" s="301">
        <f t="shared" si="13"/>
        <v>150339.11936502066</v>
      </c>
      <c r="N100" s="301">
        <f t="shared" si="14"/>
        <v>521730</v>
      </c>
      <c r="O100" s="300">
        <f t="shared" si="12"/>
        <v>672069.11936502066</v>
      </c>
    </row>
    <row r="101" spans="1:15" x14ac:dyDescent="0.25">
      <c r="A101" s="155">
        <v>94</v>
      </c>
      <c r="B101" s="55" t="s">
        <v>140</v>
      </c>
      <c r="C101" s="153" t="s">
        <v>153</v>
      </c>
      <c r="D101" s="173">
        <v>138000</v>
      </c>
      <c r="E101" s="173">
        <v>570000</v>
      </c>
      <c r="F101" s="174">
        <f t="shared" si="8"/>
        <v>708000</v>
      </c>
      <c r="G101" s="144">
        <f>208810.8825376-1000</f>
        <v>207810.8825376</v>
      </c>
      <c r="H101" s="144">
        <v>835243.53015040001</v>
      </c>
      <c r="I101" s="142">
        <f t="shared" si="9"/>
        <v>1043054.412688</v>
      </c>
      <c r="J101" s="203">
        <f t="shared" si="10"/>
        <v>138000</v>
      </c>
      <c r="K101" s="203">
        <f t="shared" si="15"/>
        <v>570000</v>
      </c>
      <c r="L101" s="203">
        <f t="shared" si="11"/>
        <v>708000</v>
      </c>
      <c r="M101" s="301">
        <f t="shared" si="13"/>
        <v>128340</v>
      </c>
      <c r="N101" s="301">
        <f t="shared" si="14"/>
        <v>530100</v>
      </c>
      <c r="O101" s="300">
        <f t="shared" si="12"/>
        <v>658440</v>
      </c>
    </row>
    <row r="102" spans="1:15" x14ac:dyDescent="0.25">
      <c r="A102" s="155">
        <v>95</v>
      </c>
      <c r="B102" s="55" t="s">
        <v>27</v>
      </c>
      <c r="C102" s="153" t="s">
        <v>153</v>
      </c>
      <c r="D102" s="173">
        <v>123000</v>
      </c>
      <c r="E102" s="173">
        <v>385000</v>
      </c>
      <c r="F102" s="174">
        <f t="shared" si="8"/>
        <v>508000</v>
      </c>
      <c r="G102" s="144">
        <f>111610.288438075-1000</f>
        <v>110610.288438075</v>
      </c>
      <c r="H102" s="144">
        <v>446441.15375229978</v>
      </c>
      <c r="I102" s="142">
        <f t="shared" si="9"/>
        <v>557051.44219037483</v>
      </c>
      <c r="J102" s="203">
        <f t="shared" si="10"/>
        <v>110610.288438075</v>
      </c>
      <c r="K102" s="203">
        <f t="shared" si="15"/>
        <v>385000</v>
      </c>
      <c r="L102" s="203">
        <f t="shared" si="11"/>
        <v>495610.28843807499</v>
      </c>
      <c r="M102" s="301">
        <f t="shared" si="13"/>
        <v>102867.56824740976</v>
      </c>
      <c r="N102" s="301">
        <f t="shared" si="14"/>
        <v>358050</v>
      </c>
      <c r="O102" s="300">
        <f t="shared" si="12"/>
        <v>460917.56824740977</v>
      </c>
    </row>
    <row r="103" spans="1:15" x14ac:dyDescent="0.25">
      <c r="A103" s="155">
        <v>96</v>
      </c>
      <c r="B103" s="58" t="s">
        <v>306</v>
      </c>
      <c r="C103" s="153" t="s">
        <v>153</v>
      </c>
      <c r="D103" s="173">
        <v>193000</v>
      </c>
      <c r="E103" s="173">
        <v>604000</v>
      </c>
      <c r="F103" s="174">
        <f t="shared" si="8"/>
        <v>797000</v>
      </c>
      <c r="G103" s="144">
        <f>175149.608218546-1000</f>
        <v>174149.608218546</v>
      </c>
      <c r="H103" s="144">
        <v>700598.4328741855</v>
      </c>
      <c r="I103" s="142">
        <f t="shared" si="9"/>
        <v>874748.04109273152</v>
      </c>
      <c r="J103" s="203">
        <f t="shared" si="10"/>
        <v>174149.608218546</v>
      </c>
      <c r="K103" s="203">
        <f t="shared" si="15"/>
        <v>604000</v>
      </c>
      <c r="L103" s="203">
        <f t="shared" si="11"/>
        <v>778149.60821854603</v>
      </c>
      <c r="M103" s="301">
        <f t="shared" si="13"/>
        <v>161959.13564324778</v>
      </c>
      <c r="N103" s="301">
        <f t="shared" si="14"/>
        <v>561720</v>
      </c>
      <c r="O103" s="300">
        <f t="shared" si="12"/>
        <v>723679.13564324775</v>
      </c>
    </row>
    <row r="104" spans="1:15" x14ac:dyDescent="0.25">
      <c r="A104" s="155">
        <v>97</v>
      </c>
      <c r="B104" s="58" t="s">
        <v>103</v>
      </c>
      <c r="C104" s="153" t="s">
        <v>153</v>
      </c>
      <c r="D104" s="173">
        <v>37000</v>
      </c>
      <c r="E104" s="173">
        <v>127000</v>
      </c>
      <c r="F104" s="174">
        <f t="shared" si="8"/>
        <v>164000</v>
      </c>
      <c r="G104" s="144">
        <f>33561.1225712-1000</f>
        <v>32561.122571200001</v>
      </c>
      <c r="H104" s="144">
        <v>134244.49028480001</v>
      </c>
      <c r="I104" s="142">
        <f t="shared" si="9"/>
        <v>166805.61285600002</v>
      </c>
      <c r="J104" s="203">
        <f t="shared" si="10"/>
        <v>32561.122571200001</v>
      </c>
      <c r="K104" s="203">
        <f t="shared" si="15"/>
        <v>127000</v>
      </c>
      <c r="L104" s="203">
        <f t="shared" si="11"/>
        <v>159561.12257120002</v>
      </c>
      <c r="M104" s="301">
        <f t="shared" si="13"/>
        <v>30281.843991216003</v>
      </c>
      <c r="N104" s="301">
        <f t="shared" si="14"/>
        <v>118110</v>
      </c>
      <c r="O104" s="300">
        <f t="shared" si="12"/>
        <v>148391.84399121601</v>
      </c>
    </row>
    <row r="105" spans="1:15" x14ac:dyDescent="0.25">
      <c r="A105" s="155">
        <v>98</v>
      </c>
      <c r="B105" s="55" t="s">
        <v>307</v>
      </c>
      <c r="C105" s="153" t="s">
        <v>153</v>
      </c>
      <c r="D105" s="173">
        <v>159000</v>
      </c>
      <c r="E105" s="173">
        <v>543000</v>
      </c>
      <c r="F105" s="174">
        <f t="shared" si="8"/>
        <v>702000</v>
      </c>
      <c r="G105" s="144">
        <f>144877.9341072-1000</f>
        <v>143877.93410720001</v>
      </c>
      <c r="H105" s="144">
        <v>579511.73642880004</v>
      </c>
      <c r="I105" s="142">
        <f t="shared" si="9"/>
        <v>723389.67053600005</v>
      </c>
      <c r="J105" s="203">
        <f t="shared" si="10"/>
        <v>143877.93410720001</v>
      </c>
      <c r="K105" s="203">
        <f t="shared" si="15"/>
        <v>543000</v>
      </c>
      <c r="L105" s="203">
        <f t="shared" si="11"/>
        <v>686877.93410720001</v>
      </c>
      <c r="M105" s="301">
        <f t="shared" si="13"/>
        <v>133806.478719696</v>
      </c>
      <c r="N105" s="301">
        <f t="shared" si="14"/>
        <v>504990</v>
      </c>
      <c r="O105" s="300">
        <f t="shared" si="12"/>
        <v>638796.47871969594</v>
      </c>
    </row>
    <row r="106" spans="1:15" x14ac:dyDescent="0.25">
      <c r="A106" s="155">
        <v>99</v>
      </c>
      <c r="B106" s="159" t="s">
        <v>312</v>
      </c>
      <c r="C106" s="153" t="s">
        <v>153</v>
      </c>
      <c r="D106" s="173">
        <v>60000</v>
      </c>
      <c r="E106" s="173">
        <v>189000</v>
      </c>
      <c r="F106" s="174">
        <f t="shared" si="8"/>
        <v>249000</v>
      </c>
      <c r="G106" s="144">
        <f>54691.8523042754-1000</f>
        <v>53691.852304275402</v>
      </c>
      <c r="H106" s="144">
        <v>218767.40921710175</v>
      </c>
      <c r="I106" s="142">
        <f t="shared" si="9"/>
        <v>272459.26152137714</v>
      </c>
      <c r="J106" s="203">
        <f t="shared" si="10"/>
        <v>53691.852304275402</v>
      </c>
      <c r="K106" s="203">
        <f t="shared" si="15"/>
        <v>189000</v>
      </c>
      <c r="L106" s="203">
        <f t="shared" si="11"/>
        <v>242691.85230427541</v>
      </c>
      <c r="M106" s="301">
        <f t="shared" si="13"/>
        <v>49933.422642976126</v>
      </c>
      <c r="N106" s="301">
        <f t="shared" si="14"/>
        <v>175770</v>
      </c>
      <c r="O106" s="300">
        <f t="shared" si="12"/>
        <v>225703.42264297613</v>
      </c>
    </row>
    <row r="107" spans="1:15" x14ac:dyDescent="0.25">
      <c r="A107" s="155">
        <v>100</v>
      </c>
      <c r="B107" s="55" t="s">
        <v>308</v>
      </c>
      <c r="C107" s="153" t="s">
        <v>153</v>
      </c>
      <c r="D107" s="173">
        <v>63000</v>
      </c>
      <c r="E107" s="173">
        <v>197000</v>
      </c>
      <c r="F107" s="174">
        <f t="shared" si="8"/>
        <v>260000</v>
      </c>
      <c r="G107" s="144">
        <f>57114.0026799608-1000</f>
        <v>56114.002679960802</v>
      </c>
      <c r="H107" s="144">
        <v>228456.01071984312</v>
      </c>
      <c r="I107" s="142">
        <f t="shared" si="9"/>
        <v>284570.01339980389</v>
      </c>
      <c r="J107" s="203">
        <f t="shared" si="10"/>
        <v>56114.002679960802</v>
      </c>
      <c r="K107" s="203">
        <f t="shared" si="15"/>
        <v>197000</v>
      </c>
      <c r="L107" s="203">
        <f t="shared" si="11"/>
        <v>253114.0026799608</v>
      </c>
      <c r="M107" s="301">
        <f t="shared" si="13"/>
        <v>52186.022492363547</v>
      </c>
      <c r="N107" s="301">
        <f t="shared" si="14"/>
        <v>183210</v>
      </c>
      <c r="O107" s="300">
        <f t="shared" si="12"/>
        <v>235396.02249236355</v>
      </c>
    </row>
    <row r="108" spans="1:15" x14ac:dyDescent="0.25">
      <c r="A108" s="155">
        <v>101</v>
      </c>
      <c r="B108" s="55" t="s">
        <v>309</v>
      </c>
      <c r="C108" s="153" t="s">
        <v>153</v>
      </c>
      <c r="D108" s="173">
        <v>248000</v>
      </c>
      <c r="E108" s="173">
        <v>858000</v>
      </c>
      <c r="F108" s="174">
        <f t="shared" si="8"/>
        <v>1106000</v>
      </c>
      <c r="G108" s="144">
        <f>248958.473220342-1000</f>
        <v>247958.47322034201</v>
      </c>
      <c r="H108" s="144">
        <v>995833.89288136759</v>
      </c>
      <c r="I108" s="142">
        <f t="shared" si="9"/>
        <v>1243792.3661017097</v>
      </c>
      <c r="J108" s="203">
        <f t="shared" si="10"/>
        <v>247958.47322034201</v>
      </c>
      <c r="K108" s="203">
        <f t="shared" si="15"/>
        <v>858000</v>
      </c>
      <c r="L108" s="203">
        <f t="shared" si="11"/>
        <v>1105958.4732203421</v>
      </c>
      <c r="M108" s="301">
        <f t="shared" si="13"/>
        <v>230601.38009491807</v>
      </c>
      <c r="N108" s="301">
        <f t="shared" si="14"/>
        <v>797940</v>
      </c>
      <c r="O108" s="300">
        <f t="shared" si="12"/>
        <v>1028541.3800949181</v>
      </c>
    </row>
    <row r="109" spans="1:15" x14ac:dyDescent="0.25">
      <c r="A109" s="155">
        <v>102</v>
      </c>
      <c r="B109" s="55" t="s">
        <v>311</v>
      </c>
      <c r="C109" s="153" t="s">
        <v>153</v>
      </c>
      <c r="D109" s="173">
        <v>37000</v>
      </c>
      <c r="E109" s="173">
        <v>117000</v>
      </c>
      <c r="F109" s="174">
        <f t="shared" si="8"/>
        <v>154000</v>
      </c>
      <c r="G109" s="144">
        <f>34080-1000</f>
        <v>33080</v>
      </c>
      <c r="H109" s="144">
        <v>136320</v>
      </c>
      <c r="I109" s="142">
        <f t="shared" si="9"/>
        <v>169400</v>
      </c>
      <c r="J109" s="203">
        <f t="shared" si="10"/>
        <v>33080</v>
      </c>
      <c r="K109" s="203">
        <f t="shared" si="15"/>
        <v>117000</v>
      </c>
      <c r="L109" s="203">
        <f t="shared" si="11"/>
        <v>150080</v>
      </c>
      <c r="M109" s="301">
        <f t="shared" si="13"/>
        <v>30764.400000000001</v>
      </c>
      <c r="N109" s="301">
        <f t="shared" si="14"/>
        <v>108810</v>
      </c>
      <c r="O109" s="300">
        <f t="shared" si="12"/>
        <v>139574.39999999999</v>
      </c>
    </row>
    <row r="110" spans="1:15" ht="22.5" x14ac:dyDescent="0.25">
      <c r="A110" s="155"/>
      <c r="B110" s="156" t="s">
        <v>28</v>
      </c>
      <c r="C110" s="157"/>
      <c r="D110" s="173">
        <v>0</v>
      </c>
      <c r="E110" s="173">
        <v>0</v>
      </c>
      <c r="F110" s="174">
        <f t="shared" si="8"/>
        <v>0</v>
      </c>
      <c r="G110" s="143"/>
      <c r="H110" s="144"/>
      <c r="I110" s="142">
        <f t="shared" si="9"/>
        <v>0</v>
      </c>
      <c r="J110" s="203">
        <f t="shared" si="10"/>
        <v>0</v>
      </c>
      <c r="K110" s="203">
        <f t="shared" si="15"/>
        <v>0</v>
      </c>
      <c r="L110" s="203">
        <f t="shared" si="11"/>
        <v>0</v>
      </c>
      <c r="M110" s="301">
        <f t="shared" si="13"/>
        <v>0</v>
      </c>
      <c r="N110" s="301">
        <f t="shared" si="14"/>
        <v>0</v>
      </c>
      <c r="O110" s="300">
        <f t="shared" si="12"/>
        <v>0</v>
      </c>
    </row>
    <row r="111" spans="1:15" x14ac:dyDescent="0.25">
      <c r="A111" s="155">
        <v>103</v>
      </c>
      <c r="B111" s="55" t="s">
        <v>114</v>
      </c>
      <c r="C111" s="153" t="s">
        <v>153</v>
      </c>
      <c r="D111" s="173">
        <v>137000</v>
      </c>
      <c r="E111" s="173">
        <v>429000</v>
      </c>
      <c r="F111" s="174">
        <f t="shared" si="8"/>
        <v>566000</v>
      </c>
      <c r="G111" s="144">
        <f>124358.365117802-1000</f>
        <v>123358.36511780199</v>
      </c>
      <c r="H111" s="144">
        <v>497433.46047120984</v>
      </c>
      <c r="I111" s="142">
        <f t="shared" si="9"/>
        <v>620791.82558901189</v>
      </c>
      <c r="J111" s="203">
        <f t="shared" si="10"/>
        <v>123358.36511780199</v>
      </c>
      <c r="K111" s="203">
        <f t="shared" si="15"/>
        <v>429000</v>
      </c>
      <c r="L111" s="203">
        <f t="shared" si="11"/>
        <v>552358.36511780205</v>
      </c>
      <c r="M111" s="301">
        <f t="shared" si="13"/>
        <v>114723.27955955586</v>
      </c>
      <c r="N111" s="301">
        <f t="shared" si="14"/>
        <v>398970</v>
      </c>
      <c r="O111" s="300">
        <f t="shared" si="12"/>
        <v>513693.27955955587</v>
      </c>
    </row>
    <row r="112" spans="1:15" x14ac:dyDescent="0.25">
      <c r="A112" s="155">
        <v>104</v>
      </c>
      <c r="B112" s="55" t="s">
        <v>313</v>
      </c>
      <c r="C112" s="153" t="s">
        <v>153</v>
      </c>
      <c r="D112" s="173">
        <v>37000</v>
      </c>
      <c r="E112" s="173">
        <v>117000</v>
      </c>
      <c r="F112" s="174">
        <f t="shared" si="8"/>
        <v>154000</v>
      </c>
      <c r="G112" s="144">
        <f>34080-1000</f>
        <v>33080</v>
      </c>
      <c r="H112" s="144">
        <v>136320</v>
      </c>
      <c r="I112" s="142">
        <f t="shared" si="9"/>
        <v>169400</v>
      </c>
      <c r="J112" s="203">
        <f t="shared" si="10"/>
        <v>33080</v>
      </c>
      <c r="K112" s="203">
        <f t="shared" si="15"/>
        <v>117000</v>
      </c>
      <c r="L112" s="203">
        <f t="shared" si="11"/>
        <v>150080</v>
      </c>
      <c r="M112" s="301">
        <f t="shared" si="13"/>
        <v>30764.400000000001</v>
      </c>
      <c r="N112" s="301">
        <f t="shared" si="14"/>
        <v>108810</v>
      </c>
      <c r="O112" s="300">
        <f t="shared" si="12"/>
        <v>139574.39999999999</v>
      </c>
    </row>
    <row r="113" spans="1:15" x14ac:dyDescent="0.25">
      <c r="A113" s="155">
        <v>105</v>
      </c>
      <c r="B113" s="158" t="s">
        <v>334</v>
      </c>
      <c r="C113" s="153" t="s">
        <v>153</v>
      </c>
      <c r="D113" s="173">
        <v>77000</v>
      </c>
      <c r="E113" s="173">
        <v>246000</v>
      </c>
      <c r="F113" s="174">
        <f t="shared" si="8"/>
        <v>323000</v>
      </c>
      <c r="G113" s="144">
        <f>69591.41112-1000</f>
        <v>68591.411120000004</v>
      </c>
      <c r="H113" s="144">
        <v>278365.64447999996</v>
      </c>
      <c r="I113" s="142">
        <f t="shared" si="9"/>
        <v>346957.05559999996</v>
      </c>
      <c r="J113" s="203">
        <f t="shared" si="10"/>
        <v>68591.411120000004</v>
      </c>
      <c r="K113" s="203">
        <f t="shared" si="15"/>
        <v>246000</v>
      </c>
      <c r="L113" s="203">
        <f t="shared" si="11"/>
        <v>314591.41112</v>
      </c>
      <c r="M113" s="301">
        <f t="shared" si="13"/>
        <v>63790.012341600006</v>
      </c>
      <c r="N113" s="301">
        <f t="shared" si="14"/>
        <v>228780</v>
      </c>
      <c r="O113" s="300">
        <f t="shared" si="12"/>
        <v>292570.01234160003</v>
      </c>
    </row>
    <row r="114" spans="1:15" x14ac:dyDescent="0.25">
      <c r="A114" s="155">
        <v>106</v>
      </c>
      <c r="B114" s="158" t="s">
        <v>335</v>
      </c>
      <c r="C114" s="153" t="s">
        <v>153</v>
      </c>
      <c r="D114" s="173">
        <v>54000</v>
      </c>
      <c r="E114" s="173">
        <v>185000</v>
      </c>
      <c r="F114" s="174">
        <f t="shared" si="8"/>
        <v>239000</v>
      </c>
      <c r="G114" s="144">
        <f>49001.7353881224-1000</f>
        <v>48001.735388122397</v>
      </c>
      <c r="H114" s="144">
        <v>196006.94155248991</v>
      </c>
      <c r="I114" s="142">
        <f t="shared" si="9"/>
        <v>244008.67694061232</v>
      </c>
      <c r="J114" s="203">
        <f t="shared" si="10"/>
        <v>48001.735388122397</v>
      </c>
      <c r="K114" s="203">
        <f t="shared" si="15"/>
        <v>185000</v>
      </c>
      <c r="L114" s="203">
        <f t="shared" si="11"/>
        <v>233001.73538812238</v>
      </c>
      <c r="M114" s="301">
        <f t="shared" si="13"/>
        <v>44641.613910953827</v>
      </c>
      <c r="N114" s="301">
        <f t="shared" si="14"/>
        <v>172050</v>
      </c>
      <c r="O114" s="300">
        <f t="shared" si="12"/>
        <v>216691.61391095383</v>
      </c>
    </row>
    <row r="115" spans="1:15" x14ac:dyDescent="0.25">
      <c r="A115" s="155">
        <v>107</v>
      </c>
      <c r="B115" s="158" t="s">
        <v>192</v>
      </c>
      <c r="C115" s="153" t="s">
        <v>153</v>
      </c>
      <c r="D115" s="173">
        <v>73000</v>
      </c>
      <c r="E115" s="173">
        <v>229000</v>
      </c>
      <c r="F115" s="174">
        <f t="shared" si="8"/>
        <v>302000</v>
      </c>
      <c r="G115" s="144">
        <f>66375.1234978688-1000</f>
        <v>65375.123497868801</v>
      </c>
      <c r="H115" s="144">
        <v>265500.49399147538</v>
      </c>
      <c r="I115" s="142">
        <f t="shared" si="9"/>
        <v>330875.61748934421</v>
      </c>
      <c r="J115" s="203">
        <f t="shared" si="10"/>
        <v>65375.123497868801</v>
      </c>
      <c r="K115" s="203">
        <f t="shared" si="15"/>
        <v>229000</v>
      </c>
      <c r="L115" s="203">
        <f t="shared" si="11"/>
        <v>294375.12349786877</v>
      </c>
      <c r="M115" s="301">
        <f t="shared" si="13"/>
        <v>60798.864853017985</v>
      </c>
      <c r="N115" s="301">
        <f t="shared" si="14"/>
        <v>212970</v>
      </c>
      <c r="O115" s="300">
        <f t="shared" si="12"/>
        <v>273768.86485301796</v>
      </c>
    </row>
    <row r="116" spans="1:15" x14ac:dyDescent="0.25">
      <c r="A116" s="155">
        <v>108</v>
      </c>
      <c r="B116" s="158" t="s">
        <v>195</v>
      </c>
      <c r="C116" s="153" t="s">
        <v>153</v>
      </c>
      <c r="D116" s="173">
        <v>29000</v>
      </c>
      <c r="E116" s="173">
        <v>87000</v>
      </c>
      <c r="F116" s="174">
        <f t="shared" si="8"/>
        <v>116000</v>
      </c>
      <c r="G116" s="144">
        <f>26541.51192-1000</f>
        <v>25541.511920000001</v>
      </c>
      <c r="H116" s="144">
        <v>106166.04767999999</v>
      </c>
      <c r="I116" s="142">
        <f t="shared" si="9"/>
        <v>131707.55959999998</v>
      </c>
      <c r="J116" s="203">
        <f t="shared" si="10"/>
        <v>25541.511920000001</v>
      </c>
      <c r="K116" s="203">
        <f t="shared" si="15"/>
        <v>87000</v>
      </c>
      <c r="L116" s="203">
        <f t="shared" si="11"/>
        <v>112541.51192</v>
      </c>
      <c r="M116" s="301">
        <f t="shared" si="13"/>
        <v>23753.6060856</v>
      </c>
      <c r="N116" s="301">
        <f t="shared" si="14"/>
        <v>80910</v>
      </c>
      <c r="O116" s="300">
        <f t="shared" si="12"/>
        <v>104663.6060856</v>
      </c>
    </row>
    <row r="117" spans="1:15" x14ac:dyDescent="0.25">
      <c r="A117" s="155">
        <v>109</v>
      </c>
      <c r="B117" s="158" t="s">
        <v>193</v>
      </c>
      <c r="C117" s="153" t="s">
        <v>153</v>
      </c>
      <c r="D117" s="173">
        <v>33000</v>
      </c>
      <c r="E117" s="173">
        <v>102000</v>
      </c>
      <c r="F117" s="174">
        <f t="shared" si="8"/>
        <v>135000</v>
      </c>
      <c r="G117" s="144">
        <f>29577.165478037-1000</f>
        <v>28577.165478037001</v>
      </c>
      <c r="H117" s="144">
        <v>118308.66191214808</v>
      </c>
      <c r="I117" s="142">
        <f t="shared" si="9"/>
        <v>146885.82739018509</v>
      </c>
      <c r="J117" s="203">
        <f t="shared" si="10"/>
        <v>28577.165478037001</v>
      </c>
      <c r="K117" s="203">
        <f t="shared" si="15"/>
        <v>102000</v>
      </c>
      <c r="L117" s="203">
        <f t="shared" si="11"/>
        <v>130577.165478037</v>
      </c>
      <c r="M117" s="301">
        <f t="shared" si="13"/>
        <v>26576.763894574411</v>
      </c>
      <c r="N117" s="301">
        <f t="shared" si="14"/>
        <v>94860</v>
      </c>
      <c r="O117" s="300">
        <f t="shared" si="12"/>
        <v>121436.76389457441</v>
      </c>
    </row>
    <row r="118" spans="1:15" x14ac:dyDescent="0.25">
      <c r="A118" s="155">
        <v>110</v>
      </c>
      <c r="B118" s="158" t="s">
        <v>194</v>
      </c>
      <c r="C118" s="153" t="s">
        <v>153</v>
      </c>
      <c r="D118" s="173">
        <v>33000</v>
      </c>
      <c r="E118" s="173">
        <v>97000</v>
      </c>
      <c r="F118" s="174">
        <f t="shared" si="8"/>
        <v>130000</v>
      </c>
      <c r="G118" s="144">
        <f>29836.6296580613-1000</f>
        <v>28836.629658061302</v>
      </c>
      <c r="H118" s="144">
        <v>119346.51863224525</v>
      </c>
      <c r="I118" s="142">
        <f t="shared" si="9"/>
        <v>148183.14829030656</v>
      </c>
      <c r="J118" s="203">
        <f t="shared" si="10"/>
        <v>28836.629658061302</v>
      </c>
      <c r="K118" s="203">
        <f t="shared" si="15"/>
        <v>97000</v>
      </c>
      <c r="L118" s="203">
        <f t="shared" si="11"/>
        <v>125836.6296580613</v>
      </c>
      <c r="M118" s="301">
        <f t="shared" si="13"/>
        <v>26818.065581997009</v>
      </c>
      <c r="N118" s="301">
        <f t="shared" si="14"/>
        <v>90210</v>
      </c>
      <c r="O118" s="300">
        <f t="shared" si="12"/>
        <v>117028.06558199701</v>
      </c>
    </row>
    <row r="119" spans="1:15" x14ac:dyDescent="0.25">
      <c r="A119" s="155">
        <v>111</v>
      </c>
      <c r="B119" s="152" t="s">
        <v>196</v>
      </c>
      <c r="C119" s="153" t="s">
        <v>153</v>
      </c>
      <c r="D119" s="173">
        <v>17000</v>
      </c>
      <c r="E119" s="173">
        <v>55000</v>
      </c>
      <c r="F119" s="174">
        <f t="shared" si="8"/>
        <v>72000</v>
      </c>
      <c r="G119" s="144">
        <f>15584.94-1000</f>
        <v>14584.94</v>
      </c>
      <c r="H119" s="144">
        <v>62339.760000000009</v>
      </c>
      <c r="I119" s="142">
        <f t="shared" si="9"/>
        <v>76924.700000000012</v>
      </c>
      <c r="J119" s="203">
        <f t="shared" si="10"/>
        <v>14584.94</v>
      </c>
      <c r="K119" s="203">
        <f t="shared" si="15"/>
        <v>55000</v>
      </c>
      <c r="L119" s="203">
        <f t="shared" si="11"/>
        <v>69584.94</v>
      </c>
      <c r="M119" s="301">
        <f t="shared" si="13"/>
        <v>13563.994200000001</v>
      </c>
      <c r="N119" s="301">
        <f t="shared" si="14"/>
        <v>51150</v>
      </c>
      <c r="O119" s="300">
        <f t="shared" si="12"/>
        <v>64713.994200000001</v>
      </c>
    </row>
    <row r="120" spans="1:15" x14ac:dyDescent="0.25">
      <c r="A120" s="155">
        <v>112</v>
      </c>
      <c r="B120" s="55" t="s">
        <v>314</v>
      </c>
      <c r="C120" s="153" t="s">
        <v>153</v>
      </c>
      <c r="D120" s="173">
        <v>128000</v>
      </c>
      <c r="E120" s="173">
        <v>441000</v>
      </c>
      <c r="F120" s="174">
        <f t="shared" si="8"/>
        <v>569000</v>
      </c>
      <c r="G120" s="144">
        <f>116476.92-1000</f>
        <v>115476.92</v>
      </c>
      <c r="H120" s="144">
        <v>465907.68</v>
      </c>
      <c r="I120" s="142">
        <f t="shared" si="9"/>
        <v>581384.6</v>
      </c>
      <c r="J120" s="203">
        <f t="shared" si="10"/>
        <v>115476.92</v>
      </c>
      <c r="K120" s="203">
        <f t="shared" si="15"/>
        <v>441000</v>
      </c>
      <c r="L120" s="203">
        <f t="shared" si="11"/>
        <v>556476.92000000004</v>
      </c>
      <c r="M120" s="301">
        <f t="shared" si="13"/>
        <v>107393.5356</v>
      </c>
      <c r="N120" s="301">
        <f t="shared" si="14"/>
        <v>410130</v>
      </c>
      <c r="O120" s="300">
        <f t="shared" si="12"/>
        <v>517523.5356</v>
      </c>
    </row>
    <row r="121" spans="1:15" ht="22.5" x14ac:dyDescent="0.25">
      <c r="A121" s="155"/>
      <c r="B121" s="156" t="s">
        <v>35</v>
      </c>
      <c r="C121" s="157"/>
      <c r="D121" s="173">
        <v>0</v>
      </c>
      <c r="E121" s="173">
        <v>0</v>
      </c>
      <c r="F121" s="174">
        <f t="shared" si="8"/>
        <v>0</v>
      </c>
      <c r="G121" s="143"/>
      <c r="H121" s="144"/>
      <c r="I121" s="142">
        <f t="shared" si="9"/>
        <v>0</v>
      </c>
      <c r="J121" s="203">
        <f t="shared" si="10"/>
        <v>0</v>
      </c>
      <c r="K121" s="203">
        <f t="shared" si="15"/>
        <v>0</v>
      </c>
      <c r="L121" s="203">
        <f t="shared" si="11"/>
        <v>0</v>
      </c>
      <c r="M121" s="301">
        <f t="shared" si="13"/>
        <v>0</v>
      </c>
      <c r="N121" s="301">
        <f t="shared" si="14"/>
        <v>0</v>
      </c>
      <c r="O121" s="300">
        <f t="shared" si="12"/>
        <v>0</v>
      </c>
    </row>
    <row r="122" spans="1:15" x14ac:dyDescent="0.25">
      <c r="A122" s="155">
        <v>113</v>
      </c>
      <c r="B122" s="55" t="s">
        <v>30</v>
      </c>
      <c r="C122" s="153" t="s">
        <v>153</v>
      </c>
      <c r="D122" s="173">
        <v>15000</v>
      </c>
      <c r="E122" s="173">
        <v>45000</v>
      </c>
      <c r="F122" s="174">
        <f t="shared" si="8"/>
        <v>60000</v>
      </c>
      <c r="G122" s="144">
        <f>13784.8498793122-1000</f>
        <v>12784.8498793122</v>
      </c>
      <c r="H122" s="144">
        <v>55139.399517248647</v>
      </c>
      <c r="I122" s="142">
        <f t="shared" si="9"/>
        <v>67924.249396560845</v>
      </c>
      <c r="J122" s="203">
        <f t="shared" si="10"/>
        <v>12784.8498793122</v>
      </c>
      <c r="K122" s="203">
        <f t="shared" si="15"/>
        <v>45000</v>
      </c>
      <c r="L122" s="203">
        <f t="shared" si="11"/>
        <v>57784.849879312198</v>
      </c>
      <c r="M122" s="301">
        <f t="shared" si="13"/>
        <v>11889.910387760347</v>
      </c>
      <c r="N122" s="301">
        <f t="shared" si="14"/>
        <v>41850</v>
      </c>
      <c r="O122" s="300">
        <f t="shared" si="12"/>
        <v>53739.910387760348</v>
      </c>
    </row>
    <row r="123" spans="1:15" x14ac:dyDescent="0.25">
      <c r="A123" s="155">
        <v>114</v>
      </c>
      <c r="B123" s="58" t="s">
        <v>81</v>
      </c>
      <c r="C123" s="153" t="s">
        <v>153</v>
      </c>
      <c r="D123" s="173">
        <v>100000</v>
      </c>
      <c r="E123" s="173">
        <v>313000</v>
      </c>
      <c r="F123" s="174">
        <f t="shared" si="8"/>
        <v>413000</v>
      </c>
      <c r="G123" s="144">
        <f>90840.7892839063-1000</f>
        <v>89840.789283906299</v>
      </c>
      <c r="H123" s="144">
        <v>363363.15713562543</v>
      </c>
      <c r="I123" s="142">
        <f t="shared" si="9"/>
        <v>453203.94641953171</v>
      </c>
      <c r="J123" s="203">
        <f t="shared" si="10"/>
        <v>89840.789283906299</v>
      </c>
      <c r="K123" s="203">
        <f t="shared" si="15"/>
        <v>313000</v>
      </c>
      <c r="L123" s="203">
        <f t="shared" si="11"/>
        <v>402840.78928390628</v>
      </c>
      <c r="M123" s="301">
        <f t="shared" si="13"/>
        <v>83551.934034032864</v>
      </c>
      <c r="N123" s="301">
        <f t="shared" si="14"/>
        <v>291090</v>
      </c>
      <c r="O123" s="300">
        <f t="shared" si="12"/>
        <v>374641.93403403286</v>
      </c>
    </row>
    <row r="124" spans="1:15" x14ac:dyDescent="0.25">
      <c r="A124" s="155">
        <v>115</v>
      </c>
      <c r="B124" s="58" t="s">
        <v>82</v>
      </c>
      <c r="C124" s="153" t="s">
        <v>153</v>
      </c>
      <c r="D124" s="173">
        <v>59000</v>
      </c>
      <c r="E124" s="173">
        <v>204000</v>
      </c>
      <c r="F124" s="174">
        <f t="shared" si="8"/>
        <v>263000</v>
      </c>
      <c r="G124" s="144">
        <f>54019.7424885374-1000</f>
        <v>53019.742488537398</v>
      </c>
      <c r="H124" s="144">
        <v>216078.96995414956</v>
      </c>
      <c r="I124" s="142">
        <f t="shared" si="9"/>
        <v>269098.71244268696</v>
      </c>
      <c r="J124" s="203">
        <f t="shared" si="10"/>
        <v>53019.742488537398</v>
      </c>
      <c r="K124" s="203">
        <f t="shared" si="15"/>
        <v>204000</v>
      </c>
      <c r="L124" s="203">
        <f t="shared" si="11"/>
        <v>257019.74248853739</v>
      </c>
      <c r="M124" s="301">
        <f t="shared" si="13"/>
        <v>49308.36051433978</v>
      </c>
      <c r="N124" s="301">
        <f t="shared" si="14"/>
        <v>189720</v>
      </c>
      <c r="O124" s="300">
        <f t="shared" si="12"/>
        <v>239028.36051433979</v>
      </c>
    </row>
    <row r="125" spans="1:15" x14ac:dyDescent="0.25">
      <c r="A125" s="155">
        <v>116</v>
      </c>
      <c r="B125" s="58" t="s">
        <v>328</v>
      </c>
      <c r="C125" s="153" t="s">
        <v>153</v>
      </c>
      <c r="D125" s="173">
        <v>75000</v>
      </c>
      <c r="E125" s="173">
        <v>258000</v>
      </c>
      <c r="F125" s="174">
        <f t="shared" si="8"/>
        <v>333000</v>
      </c>
      <c r="G125" s="144">
        <f>68202.9108920763-1000</f>
        <v>67202.910892076296</v>
      </c>
      <c r="H125" s="144">
        <v>272811.64356830512</v>
      </c>
      <c r="I125" s="142">
        <f t="shared" si="9"/>
        <v>340014.55446038139</v>
      </c>
      <c r="J125" s="203">
        <f t="shared" si="10"/>
        <v>67202.910892076296</v>
      </c>
      <c r="K125" s="203">
        <f t="shared" si="15"/>
        <v>258000</v>
      </c>
      <c r="L125" s="203">
        <f t="shared" si="11"/>
        <v>325202.91089207632</v>
      </c>
      <c r="M125" s="301">
        <f t="shared" si="13"/>
        <v>62498.707129630951</v>
      </c>
      <c r="N125" s="301">
        <f t="shared" si="14"/>
        <v>239940</v>
      </c>
      <c r="O125" s="300">
        <f t="shared" si="12"/>
        <v>302438.70712963096</v>
      </c>
    </row>
    <row r="126" spans="1:15" x14ac:dyDescent="0.25">
      <c r="A126" s="155">
        <v>117</v>
      </c>
      <c r="B126" s="160" t="s">
        <v>199</v>
      </c>
      <c r="C126" s="153" t="s">
        <v>153</v>
      </c>
      <c r="D126" s="173">
        <v>30000</v>
      </c>
      <c r="E126" s="173">
        <v>89000</v>
      </c>
      <c r="F126" s="174">
        <f t="shared" si="8"/>
        <v>119000</v>
      </c>
      <c r="G126" s="144">
        <f>27406.3676673543-1000</f>
        <v>26406.367667354301</v>
      </c>
      <c r="H126" s="144">
        <v>109625.47066941728</v>
      </c>
      <c r="I126" s="142">
        <f t="shared" si="9"/>
        <v>136031.83833677159</v>
      </c>
      <c r="J126" s="203">
        <f t="shared" si="10"/>
        <v>26406.367667354301</v>
      </c>
      <c r="K126" s="203">
        <f t="shared" si="15"/>
        <v>89000</v>
      </c>
      <c r="L126" s="203">
        <f t="shared" si="11"/>
        <v>115406.36766735429</v>
      </c>
      <c r="M126" s="301">
        <f t="shared" si="13"/>
        <v>24557.921930639499</v>
      </c>
      <c r="N126" s="301">
        <f t="shared" si="14"/>
        <v>82770</v>
      </c>
      <c r="O126" s="300">
        <f t="shared" si="12"/>
        <v>107327.9219306395</v>
      </c>
    </row>
    <row r="127" spans="1:15" x14ac:dyDescent="0.25">
      <c r="A127" s="155">
        <v>118</v>
      </c>
      <c r="B127" s="55" t="s">
        <v>327</v>
      </c>
      <c r="C127" s="153" t="s">
        <v>153</v>
      </c>
      <c r="D127" s="173">
        <v>94000</v>
      </c>
      <c r="E127" s="173">
        <v>294000</v>
      </c>
      <c r="F127" s="174">
        <f t="shared" si="8"/>
        <v>388000</v>
      </c>
      <c r="G127" s="144">
        <f>85221.7827650777-1000</f>
        <v>84221.782765077704</v>
      </c>
      <c r="H127" s="144">
        <v>340887.13106031105</v>
      </c>
      <c r="I127" s="142">
        <f t="shared" si="9"/>
        <v>425108.91382538876</v>
      </c>
      <c r="J127" s="203">
        <f t="shared" si="10"/>
        <v>84221.782765077704</v>
      </c>
      <c r="K127" s="203">
        <f t="shared" si="15"/>
        <v>294000</v>
      </c>
      <c r="L127" s="203">
        <f t="shared" si="11"/>
        <v>378221.78276507772</v>
      </c>
      <c r="M127" s="301">
        <f t="shared" si="13"/>
        <v>78326.257971522267</v>
      </c>
      <c r="N127" s="301">
        <f t="shared" si="14"/>
        <v>273420</v>
      </c>
      <c r="O127" s="300">
        <f t="shared" si="12"/>
        <v>351746.25797152228</v>
      </c>
    </row>
    <row r="128" spans="1:15" x14ac:dyDescent="0.25">
      <c r="A128" s="155">
        <v>119</v>
      </c>
      <c r="B128" s="160" t="s">
        <v>200</v>
      </c>
      <c r="C128" s="153" t="s">
        <v>153</v>
      </c>
      <c r="D128" s="173">
        <v>30000</v>
      </c>
      <c r="E128" s="173">
        <v>89000</v>
      </c>
      <c r="F128" s="174">
        <f t="shared" si="8"/>
        <v>119000</v>
      </c>
      <c r="G128" s="144">
        <f>27406.3676673543-1000</f>
        <v>26406.367667354301</v>
      </c>
      <c r="H128" s="144">
        <v>109625.47066941728</v>
      </c>
      <c r="I128" s="142">
        <f t="shared" si="9"/>
        <v>136031.83833677159</v>
      </c>
      <c r="J128" s="203">
        <f t="shared" si="10"/>
        <v>26406.367667354301</v>
      </c>
      <c r="K128" s="203">
        <f t="shared" si="15"/>
        <v>89000</v>
      </c>
      <c r="L128" s="203">
        <f t="shared" si="11"/>
        <v>115406.36766735429</v>
      </c>
      <c r="M128" s="301">
        <f t="shared" si="13"/>
        <v>24557.921930639499</v>
      </c>
      <c r="N128" s="301">
        <f t="shared" si="14"/>
        <v>82770</v>
      </c>
      <c r="O128" s="300">
        <f t="shared" si="12"/>
        <v>107327.9219306395</v>
      </c>
    </row>
    <row r="129" spans="1:15" x14ac:dyDescent="0.25">
      <c r="A129" s="155">
        <v>120</v>
      </c>
      <c r="B129" s="55" t="s">
        <v>36</v>
      </c>
      <c r="C129" s="153" t="s">
        <v>153</v>
      </c>
      <c r="D129" s="173">
        <v>198000</v>
      </c>
      <c r="E129" s="173">
        <v>719000</v>
      </c>
      <c r="F129" s="174">
        <f t="shared" si="8"/>
        <v>917000</v>
      </c>
      <c r="G129" s="144">
        <f>208696.5293427-1000</f>
        <v>207696.5293427</v>
      </c>
      <c r="H129" s="144">
        <v>834786.1173707986</v>
      </c>
      <c r="I129" s="142">
        <f t="shared" si="9"/>
        <v>1042482.6467134986</v>
      </c>
      <c r="J129" s="203">
        <f t="shared" si="10"/>
        <v>198000</v>
      </c>
      <c r="K129" s="203">
        <f t="shared" si="15"/>
        <v>719000</v>
      </c>
      <c r="L129" s="203">
        <f t="shared" si="11"/>
        <v>917000</v>
      </c>
      <c r="M129" s="301">
        <f t="shared" si="13"/>
        <v>184140</v>
      </c>
      <c r="N129" s="301">
        <f t="shared" si="14"/>
        <v>668670</v>
      </c>
      <c r="O129" s="300">
        <f t="shared" si="12"/>
        <v>852810</v>
      </c>
    </row>
    <row r="130" spans="1:15" x14ac:dyDescent="0.25">
      <c r="A130" s="155">
        <v>121</v>
      </c>
      <c r="B130" s="158" t="s">
        <v>201</v>
      </c>
      <c r="C130" s="153" t="s">
        <v>153</v>
      </c>
      <c r="D130" s="173">
        <v>108000</v>
      </c>
      <c r="E130" s="173">
        <v>339000</v>
      </c>
      <c r="F130" s="174">
        <f t="shared" si="8"/>
        <v>447000</v>
      </c>
      <c r="G130" s="144">
        <f>98336.5466757849-1000</f>
        <v>97336.546675784906</v>
      </c>
      <c r="H130" s="144">
        <v>393346.18670313986</v>
      </c>
      <c r="I130" s="142">
        <f t="shared" si="9"/>
        <v>490682.73337892478</v>
      </c>
      <c r="J130" s="203">
        <f t="shared" si="10"/>
        <v>97336.546675784906</v>
      </c>
      <c r="K130" s="203">
        <f t="shared" si="15"/>
        <v>339000</v>
      </c>
      <c r="L130" s="203">
        <f t="shared" si="11"/>
        <v>436336.54667578492</v>
      </c>
      <c r="M130" s="301">
        <f t="shared" si="13"/>
        <v>90522.988408479956</v>
      </c>
      <c r="N130" s="301">
        <f t="shared" si="14"/>
        <v>315270</v>
      </c>
      <c r="O130" s="300">
        <f t="shared" si="12"/>
        <v>405792.98840847996</v>
      </c>
    </row>
    <row r="131" spans="1:15" x14ac:dyDescent="0.25">
      <c r="A131" s="155">
        <v>122</v>
      </c>
      <c r="B131" s="55" t="s">
        <v>316</v>
      </c>
      <c r="C131" s="153" t="s">
        <v>153</v>
      </c>
      <c r="D131" s="173">
        <v>65000</v>
      </c>
      <c r="E131" s="173">
        <v>204000</v>
      </c>
      <c r="F131" s="174">
        <f t="shared" si="8"/>
        <v>269000</v>
      </c>
      <c r="G131" s="144">
        <f>59069.885467484-1000</f>
        <v>58069.885467483997</v>
      </c>
      <c r="H131" s="144">
        <v>236279.5418699361</v>
      </c>
      <c r="I131" s="142">
        <f t="shared" si="9"/>
        <v>294349.42733742011</v>
      </c>
      <c r="J131" s="203">
        <f t="shared" si="10"/>
        <v>58069.885467483997</v>
      </c>
      <c r="K131" s="203">
        <f t="shared" si="15"/>
        <v>204000</v>
      </c>
      <c r="L131" s="203">
        <f t="shared" si="11"/>
        <v>262069.88546748401</v>
      </c>
      <c r="M131" s="301">
        <f t="shared" si="13"/>
        <v>54004.993484760118</v>
      </c>
      <c r="N131" s="301">
        <f t="shared" si="14"/>
        <v>189720</v>
      </c>
      <c r="O131" s="300">
        <f t="shared" si="12"/>
        <v>243724.99348476011</v>
      </c>
    </row>
    <row r="132" spans="1:15" x14ac:dyDescent="0.25">
      <c r="A132" s="155">
        <v>123</v>
      </c>
      <c r="B132" s="160" t="s">
        <v>202</v>
      </c>
      <c r="C132" s="153" t="s">
        <v>153</v>
      </c>
      <c r="D132" s="173">
        <v>43000</v>
      </c>
      <c r="E132" s="173">
        <v>148000</v>
      </c>
      <c r="F132" s="174">
        <f t="shared" si="8"/>
        <v>191000</v>
      </c>
      <c r="G132" s="144">
        <f>39035.4570983999-1000</f>
        <v>38035.4570983999</v>
      </c>
      <c r="H132" s="144">
        <v>156141.82839359998</v>
      </c>
      <c r="I132" s="142">
        <f t="shared" si="9"/>
        <v>194177.28549199988</v>
      </c>
      <c r="J132" s="203">
        <f t="shared" si="10"/>
        <v>38035.4570983999</v>
      </c>
      <c r="K132" s="203">
        <f t="shared" si="15"/>
        <v>148000</v>
      </c>
      <c r="L132" s="203">
        <f t="shared" si="11"/>
        <v>186035.4570983999</v>
      </c>
      <c r="M132" s="301">
        <f t="shared" si="13"/>
        <v>35372.975101511904</v>
      </c>
      <c r="N132" s="301">
        <f t="shared" si="14"/>
        <v>137640</v>
      </c>
      <c r="O132" s="300">
        <f t="shared" si="12"/>
        <v>173012.9751015119</v>
      </c>
    </row>
    <row r="133" spans="1:15" x14ac:dyDescent="0.25">
      <c r="A133" s="155">
        <v>124</v>
      </c>
      <c r="B133" s="160" t="s">
        <v>271</v>
      </c>
      <c r="C133" s="153" t="s">
        <v>153</v>
      </c>
      <c r="D133" s="173">
        <v>78000</v>
      </c>
      <c r="E133" s="173">
        <v>270000</v>
      </c>
      <c r="F133" s="174">
        <f t="shared" ref="F133:F196" si="16">(D133+E133)</f>
        <v>348000</v>
      </c>
      <c r="G133" s="144">
        <f>71349.5056792-1000</f>
        <v>70349.505679199996</v>
      </c>
      <c r="H133" s="144">
        <v>285398.02271679998</v>
      </c>
      <c r="I133" s="142">
        <f t="shared" ref="I133:I196" si="17">G133+H133</f>
        <v>355747.52839599998</v>
      </c>
      <c r="J133" s="203">
        <f t="shared" ref="J133:J196" si="18">MIN(D133,G133)</f>
        <v>70349.505679199996</v>
      </c>
      <c r="K133" s="203">
        <f t="shared" si="15"/>
        <v>270000</v>
      </c>
      <c r="L133" s="203">
        <f t="shared" ref="L133:L196" si="19">J133+K133</f>
        <v>340349.5056792</v>
      </c>
      <c r="M133" s="301">
        <f t="shared" si="13"/>
        <v>65425.040281655994</v>
      </c>
      <c r="N133" s="301">
        <f t="shared" si="14"/>
        <v>251100</v>
      </c>
      <c r="O133" s="300">
        <f t="shared" ref="O133:O196" si="20">N133+M133</f>
        <v>316525.04028165597</v>
      </c>
    </row>
    <row r="134" spans="1:15" x14ac:dyDescent="0.25">
      <c r="A134" s="155">
        <v>125</v>
      </c>
      <c r="B134" s="160" t="s">
        <v>203</v>
      </c>
      <c r="C134" s="153" t="s">
        <v>153</v>
      </c>
      <c r="D134" s="173">
        <v>54000</v>
      </c>
      <c r="E134" s="173">
        <v>168000</v>
      </c>
      <c r="F134" s="174">
        <f t="shared" si="16"/>
        <v>222000</v>
      </c>
      <c r="G134" s="144">
        <f>48815.1916444017-1000</f>
        <v>47815.191644401697</v>
      </c>
      <c r="H134" s="144">
        <v>195260.76657760711</v>
      </c>
      <c r="I134" s="142">
        <f t="shared" si="17"/>
        <v>243075.95822200881</v>
      </c>
      <c r="J134" s="203">
        <f t="shared" si="18"/>
        <v>47815.191644401697</v>
      </c>
      <c r="K134" s="203">
        <f t="shared" si="15"/>
        <v>168000</v>
      </c>
      <c r="L134" s="203">
        <f t="shared" si="19"/>
        <v>215815.1916444017</v>
      </c>
      <c r="M134" s="301">
        <f t="shared" ref="M134:M197" si="21">J134-(J134*7%)</f>
        <v>44468.128229293579</v>
      </c>
      <c r="N134" s="301">
        <f t="shared" ref="N134:N197" si="22">K134-(K134*7%)</f>
        <v>156240</v>
      </c>
      <c r="O134" s="300">
        <f t="shared" si="20"/>
        <v>200708.12822929356</v>
      </c>
    </row>
    <row r="135" spans="1:15" x14ac:dyDescent="0.25">
      <c r="A135" s="155">
        <v>126</v>
      </c>
      <c r="B135" s="158" t="s">
        <v>204</v>
      </c>
      <c r="C135" s="153" t="s">
        <v>153</v>
      </c>
      <c r="D135" s="173">
        <v>55000</v>
      </c>
      <c r="E135" s="173">
        <v>190000</v>
      </c>
      <c r="F135" s="174">
        <f t="shared" si="16"/>
        <v>245000</v>
      </c>
      <c r="G135" s="144">
        <f>50274.7757288-1000</f>
        <v>49274.775728799999</v>
      </c>
      <c r="H135" s="144">
        <v>201099.1029152</v>
      </c>
      <c r="I135" s="142">
        <f t="shared" si="17"/>
        <v>250373.87864399998</v>
      </c>
      <c r="J135" s="203">
        <f t="shared" si="18"/>
        <v>49274.775728799999</v>
      </c>
      <c r="K135" s="203">
        <f t="shared" si="15"/>
        <v>190000</v>
      </c>
      <c r="L135" s="203">
        <f t="shared" si="19"/>
        <v>239274.77572879998</v>
      </c>
      <c r="M135" s="301">
        <f t="shared" si="21"/>
        <v>45825.541427784003</v>
      </c>
      <c r="N135" s="301">
        <f t="shared" si="22"/>
        <v>176700</v>
      </c>
      <c r="O135" s="300">
        <f t="shared" si="20"/>
        <v>222525.54142778402</v>
      </c>
    </row>
    <row r="136" spans="1:15" x14ac:dyDescent="0.25">
      <c r="A136" s="155">
        <v>127</v>
      </c>
      <c r="B136" s="158" t="s">
        <v>206</v>
      </c>
      <c r="C136" s="153" t="s">
        <v>153</v>
      </c>
      <c r="D136" s="173">
        <v>46000</v>
      </c>
      <c r="E136" s="173">
        <v>146000</v>
      </c>
      <c r="F136" s="174">
        <f t="shared" si="16"/>
        <v>192000</v>
      </c>
      <c r="G136" s="144">
        <f>41821.8438624-1000</f>
        <v>40821.843862399997</v>
      </c>
      <c r="H136" s="144">
        <v>167287.37544960002</v>
      </c>
      <c r="I136" s="142">
        <f t="shared" si="17"/>
        <v>208109.21931200003</v>
      </c>
      <c r="J136" s="203">
        <f t="shared" si="18"/>
        <v>40821.843862399997</v>
      </c>
      <c r="K136" s="203">
        <f t="shared" si="15"/>
        <v>146000</v>
      </c>
      <c r="L136" s="203">
        <f t="shared" si="19"/>
        <v>186821.84386239998</v>
      </c>
      <c r="M136" s="301">
        <f t="shared" si="21"/>
        <v>37964.314792031997</v>
      </c>
      <c r="N136" s="301">
        <f t="shared" si="22"/>
        <v>135780</v>
      </c>
      <c r="O136" s="300">
        <f t="shared" si="20"/>
        <v>173744.314792032</v>
      </c>
    </row>
    <row r="137" spans="1:15" x14ac:dyDescent="0.25">
      <c r="A137" s="155">
        <v>128</v>
      </c>
      <c r="B137" s="158" t="s">
        <v>205</v>
      </c>
      <c r="C137" s="153" t="s">
        <v>153</v>
      </c>
      <c r="D137" s="173">
        <v>40000</v>
      </c>
      <c r="E137" s="173">
        <v>137000</v>
      </c>
      <c r="F137" s="174">
        <f t="shared" si="16"/>
        <v>177000</v>
      </c>
      <c r="G137" s="144">
        <f>36237.264-1000</f>
        <v>35237.264000000003</v>
      </c>
      <c r="H137" s="144">
        <v>144949.05599999998</v>
      </c>
      <c r="I137" s="142">
        <f t="shared" si="17"/>
        <v>180186.31999999998</v>
      </c>
      <c r="J137" s="203">
        <f t="shared" si="18"/>
        <v>35237.264000000003</v>
      </c>
      <c r="K137" s="203">
        <f t="shared" si="15"/>
        <v>137000</v>
      </c>
      <c r="L137" s="203">
        <f t="shared" si="19"/>
        <v>172237.264</v>
      </c>
      <c r="M137" s="301">
        <f t="shared" si="21"/>
        <v>32770.65552</v>
      </c>
      <c r="N137" s="301">
        <f t="shared" si="22"/>
        <v>127410</v>
      </c>
      <c r="O137" s="300">
        <f t="shared" si="20"/>
        <v>160180.65552</v>
      </c>
    </row>
    <row r="138" spans="1:15" x14ac:dyDescent="0.25">
      <c r="A138" s="155">
        <v>129</v>
      </c>
      <c r="B138" s="55" t="s">
        <v>37</v>
      </c>
      <c r="C138" s="153" t="s">
        <v>153</v>
      </c>
      <c r="D138" s="173">
        <v>41000</v>
      </c>
      <c r="E138" s="173">
        <v>136000</v>
      </c>
      <c r="F138" s="174">
        <f t="shared" si="16"/>
        <v>177000</v>
      </c>
      <c r="G138" s="144">
        <f>36897.0326928-1000</f>
        <v>35897.032692799999</v>
      </c>
      <c r="H138" s="144">
        <v>147588.13077120003</v>
      </c>
      <c r="I138" s="142">
        <f t="shared" si="17"/>
        <v>183485.16346400004</v>
      </c>
      <c r="J138" s="203">
        <f t="shared" si="18"/>
        <v>35897.032692799999</v>
      </c>
      <c r="K138" s="203">
        <f t="shared" si="15"/>
        <v>136000</v>
      </c>
      <c r="L138" s="203">
        <f t="shared" si="19"/>
        <v>171897.03269279998</v>
      </c>
      <c r="M138" s="301">
        <f t="shared" si="21"/>
        <v>33384.240404304001</v>
      </c>
      <c r="N138" s="301">
        <f t="shared" si="22"/>
        <v>126480</v>
      </c>
      <c r="O138" s="300">
        <f t="shared" si="20"/>
        <v>159864.240404304</v>
      </c>
    </row>
    <row r="139" spans="1:15" x14ac:dyDescent="0.25">
      <c r="A139" s="155">
        <v>130</v>
      </c>
      <c r="B139" s="55" t="s">
        <v>337</v>
      </c>
      <c r="C139" s="153" t="s">
        <v>153</v>
      </c>
      <c r="D139" s="173">
        <v>86000</v>
      </c>
      <c r="E139" s="173">
        <v>268000</v>
      </c>
      <c r="F139" s="174">
        <f t="shared" si="16"/>
        <v>354000</v>
      </c>
      <c r="G139" s="144">
        <f>77774.0412493919-1000</f>
        <v>76774.041249391899</v>
      </c>
      <c r="H139" s="144">
        <v>311096.16499756771</v>
      </c>
      <c r="I139" s="142">
        <f t="shared" si="17"/>
        <v>387870.20624695963</v>
      </c>
      <c r="J139" s="203">
        <f t="shared" si="18"/>
        <v>76774.041249391899</v>
      </c>
      <c r="K139" s="203">
        <f t="shared" ref="K139:K202" si="23">MIN(E139)</f>
        <v>268000</v>
      </c>
      <c r="L139" s="203">
        <f t="shared" si="19"/>
        <v>344774.04124939191</v>
      </c>
      <c r="M139" s="301">
        <f t="shared" si="21"/>
        <v>71399.858361934472</v>
      </c>
      <c r="N139" s="301">
        <f t="shared" si="22"/>
        <v>249240</v>
      </c>
      <c r="O139" s="300">
        <f t="shared" si="20"/>
        <v>320639.85836193449</v>
      </c>
    </row>
    <row r="140" spans="1:15" x14ac:dyDescent="0.25">
      <c r="A140" s="155">
        <v>131</v>
      </c>
      <c r="B140" s="161" t="s">
        <v>207</v>
      </c>
      <c r="C140" s="153" t="s">
        <v>153</v>
      </c>
      <c r="D140" s="173">
        <v>22000</v>
      </c>
      <c r="E140" s="173">
        <v>48000</v>
      </c>
      <c r="F140" s="174">
        <f t="shared" si="16"/>
        <v>70000</v>
      </c>
      <c r="G140" s="144">
        <f>19631.3728911522-1000</f>
        <v>18631.372891152201</v>
      </c>
      <c r="H140" s="144">
        <v>78525.491564608892</v>
      </c>
      <c r="I140" s="142">
        <f t="shared" si="17"/>
        <v>97156.864455761097</v>
      </c>
      <c r="J140" s="203">
        <f t="shared" si="18"/>
        <v>18631.372891152201</v>
      </c>
      <c r="K140" s="203">
        <f t="shared" si="23"/>
        <v>48000</v>
      </c>
      <c r="L140" s="203">
        <f t="shared" si="19"/>
        <v>66631.372891152205</v>
      </c>
      <c r="M140" s="301">
        <f t="shared" si="21"/>
        <v>17327.176788771547</v>
      </c>
      <c r="N140" s="301">
        <f t="shared" si="22"/>
        <v>44640</v>
      </c>
      <c r="O140" s="300">
        <f t="shared" si="20"/>
        <v>61967.176788771547</v>
      </c>
    </row>
    <row r="141" spans="1:15" x14ac:dyDescent="0.25">
      <c r="A141" s="155">
        <v>132</v>
      </c>
      <c r="B141" s="161" t="s">
        <v>317</v>
      </c>
      <c r="C141" s="153" t="s">
        <v>153</v>
      </c>
      <c r="D141" s="173">
        <v>182000</v>
      </c>
      <c r="E141" s="173">
        <v>655000</v>
      </c>
      <c r="F141" s="174">
        <f t="shared" si="16"/>
        <v>837000</v>
      </c>
      <c r="G141" s="144">
        <f>173267.8348968-1000</f>
        <v>172267.83489679999</v>
      </c>
      <c r="H141" s="144">
        <v>693071.33958719997</v>
      </c>
      <c r="I141" s="142">
        <f t="shared" si="17"/>
        <v>865339.17448399996</v>
      </c>
      <c r="J141" s="203">
        <f t="shared" si="18"/>
        <v>172267.83489679999</v>
      </c>
      <c r="K141" s="203">
        <f t="shared" si="23"/>
        <v>655000</v>
      </c>
      <c r="L141" s="203">
        <f t="shared" si="19"/>
        <v>827267.83489679999</v>
      </c>
      <c r="M141" s="301">
        <f t="shared" si="21"/>
        <v>160209.08645402399</v>
      </c>
      <c r="N141" s="301">
        <f t="shared" si="22"/>
        <v>609150</v>
      </c>
      <c r="O141" s="300">
        <f t="shared" si="20"/>
        <v>769359.08645402396</v>
      </c>
    </row>
    <row r="142" spans="1:15" x14ac:dyDescent="0.25">
      <c r="A142" s="155">
        <v>133</v>
      </c>
      <c r="B142" s="161" t="s">
        <v>318</v>
      </c>
      <c r="C142" s="153" t="s">
        <v>153</v>
      </c>
      <c r="D142" s="173">
        <v>99000</v>
      </c>
      <c r="E142" s="173">
        <v>341000</v>
      </c>
      <c r="F142" s="174">
        <f t="shared" si="16"/>
        <v>440000</v>
      </c>
      <c r="G142" s="144">
        <f>90079.9963672-1000</f>
        <v>89079.996367200001</v>
      </c>
      <c r="H142" s="144">
        <v>360319.98546880001</v>
      </c>
      <c r="I142" s="142">
        <f t="shared" si="17"/>
        <v>449399.98183599999</v>
      </c>
      <c r="J142" s="203">
        <f t="shared" si="18"/>
        <v>89079.996367200001</v>
      </c>
      <c r="K142" s="203">
        <f t="shared" si="23"/>
        <v>341000</v>
      </c>
      <c r="L142" s="203">
        <f t="shared" si="19"/>
        <v>430079.99636719999</v>
      </c>
      <c r="M142" s="301">
        <f t="shared" si="21"/>
        <v>82844.396621495995</v>
      </c>
      <c r="N142" s="301">
        <f t="shared" si="22"/>
        <v>317130</v>
      </c>
      <c r="O142" s="300">
        <f t="shared" si="20"/>
        <v>399974.39662149601</v>
      </c>
    </row>
    <row r="143" spans="1:15" x14ac:dyDescent="0.25">
      <c r="A143" s="155">
        <v>134</v>
      </c>
      <c r="B143" s="161" t="s">
        <v>329</v>
      </c>
      <c r="C143" s="153" t="s">
        <v>153</v>
      </c>
      <c r="D143" s="173">
        <v>406000</v>
      </c>
      <c r="E143" s="173">
        <v>1273000</v>
      </c>
      <c r="F143" s="174">
        <f t="shared" si="16"/>
        <v>1679000</v>
      </c>
      <c r="G143" s="144">
        <f>369200-1000</f>
        <v>368200</v>
      </c>
      <c r="H143" s="144">
        <v>1476800</v>
      </c>
      <c r="I143" s="142">
        <f t="shared" si="17"/>
        <v>1845000</v>
      </c>
      <c r="J143" s="203">
        <f t="shared" si="18"/>
        <v>368200</v>
      </c>
      <c r="K143" s="203">
        <f t="shared" si="23"/>
        <v>1273000</v>
      </c>
      <c r="L143" s="203">
        <f t="shared" si="19"/>
        <v>1641200</v>
      </c>
      <c r="M143" s="301">
        <f t="shared" si="21"/>
        <v>342426</v>
      </c>
      <c r="N143" s="301">
        <f t="shared" si="22"/>
        <v>1183890</v>
      </c>
      <c r="O143" s="300">
        <f t="shared" si="20"/>
        <v>1526316</v>
      </c>
    </row>
    <row r="144" spans="1:15" ht="22.5" x14ac:dyDescent="0.25">
      <c r="A144" s="155"/>
      <c r="B144" s="156" t="s">
        <v>39</v>
      </c>
      <c r="C144" s="157"/>
      <c r="D144" s="173">
        <v>0</v>
      </c>
      <c r="E144" s="173">
        <v>0</v>
      </c>
      <c r="F144" s="174">
        <f t="shared" si="16"/>
        <v>0</v>
      </c>
      <c r="G144" s="143"/>
      <c r="H144" s="144"/>
      <c r="I144" s="142">
        <f t="shared" si="17"/>
        <v>0</v>
      </c>
      <c r="J144" s="203">
        <f t="shared" si="18"/>
        <v>0</v>
      </c>
      <c r="K144" s="203">
        <f t="shared" si="23"/>
        <v>0</v>
      </c>
      <c r="L144" s="203">
        <f t="shared" si="19"/>
        <v>0</v>
      </c>
      <c r="M144" s="301">
        <f t="shared" si="21"/>
        <v>0</v>
      </c>
      <c r="N144" s="301">
        <f t="shared" si="22"/>
        <v>0</v>
      </c>
      <c r="O144" s="300">
        <f t="shared" si="20"/>
        <v>0</v>
      </c>
    </row>
    <row r="145" spans="1:15" x14ac:dyDescent="0.25">
      <c r="A145" s="155">
        <v>135</v>
      </c>
      <c r="B145" s="55" t="s">
        <v>40</v>
      </c>
      <c r="C145" s="153" t="s">
        <v>153</v>
      </c>
      <c r="D145" s="173">
        <v>275000</v>
      </c>
      <c r="E145" s="173">
        <v>1391000</v>
      </c>
      <c r="F145" s="174">
        <f t="shared" si="16"/>
        <v>1666000</v>
      </c>
      <c r="G145" s="144">
        <f>403510.428933923-1000</f>
        <v>402510.42893392302</v>
      </c>
      <c r="H145" s="144">
        <v>1614041.7157356916</v>
      </c>
      <c r="I145" s="142">
        <f t="shared" si="17"/>
        <v>2016552.1446696147</v>
      </c>
      <c r="J145" s="203">
        <f t="shared" si="18"/>
        <v>275000</v>
      </c>
      <c r="K145" s="203">
        <f t="shared" si="23"/>
        <v>1391000</v>
      </c>
      <c r="L145" s="203">
        <f t="shared" si="19"/>
        <v>1666000</v>
      </c>
      <c r="M145" s="301">
        <f t="shared" si="21"/>
        <v>255750</v>
      </c>
      <c r="N145" s="301">
        <f t="shared" si="22"/>
        <v>1293630</v>
      </c>
      <c r="O145" s="300">
        <f t="shared" si="20"/>
        <v>1549380</v>
      </c>
    </row>
    <row r="146" spans="1:15" ht="22.5" x14ac:dyDescent="0.25">
      <c r="A146" s="155">
        <v>136</v>
      </c>
      <c r="B146" s="55" t="s">
        <v>209</v>
      </c>
      <c r="C146" s="153" t="s">
        <v>153</v>
      </c>
      <c r="D146" s="173">
        <v>188000</v>
      </c>
      <c r="E146" s="173">
        <v>589000</v>
      </c>
      <c r="F146" s="174">
        <f t="shared" si="16"/>
        <v>777000</v>
      </c>
      <c r="G146" s="144">
        <f>170793.127829512-1000</f>
        <v>169793.127829512</v>
      </c>
      <c r="H146" s="144">
        <v>683172.5113180473</v>
      </c>
      <c r="I146" s="142">
        <f t="shared" si="17"/>
        <v>852965.6391475593</v>
      </c>
      <c r="J146" s="203">
        <f t="shared" si="18"/>
        <v>169793.127829512</v>
      </c>
      <c r="K146" s="203">
        <f t="shared" si="23"/>
        <v>589000</v>
      </c>
      <c r="L146" s="203">
        <f t="shared" si="19"/>
        <v>758793.127829512</v>
      </c>
      <c r="M146" s="301">
        <f t="shared" si="21"/>
        <v>157907.60888144615</v>
      </c>
      <c r="N146" s="301">
        <f t="shared" si="22"/>
        <v>547770</v>
      </c>
      <c r="O146" s="300">
        <f t="shared" si="20"/>
        <v>705677.60888144618</v>
      </c>
    </row>
    <row r="147" spans="1:15" x14ac:dyDescent="0.25">
      <c r="A147" s="155">
        <v>137</v>
      </c>
      <c r="B147" s="152" t="s">
        <v>208</v>
      </c>
      <c r="C147" s="153" t="s">
        <v>153</v>
      </c>
      <c r="D147" s="173">
        <v>98000</v>
      </c>
      <c r="E147" s="173">
        <v>337000</v>
      </c>
      <c r="F147" s="174">
        <f t="shared" si="16"/>
        <v>435000</v>
      </c>
      <c r="G147" s="144">
        <f>89213.569508-1000</f>
        <v>88213.569508</v>
      </c>
      <c r="H147" s="144">
        <v>356854.278032</v>
      </c>
      <c r="I147" s="142">
        <f t="shared" si="17"/>
        <v>445067.84753999999</v>
      </c>
      <c r="J147" s="203">
        <f t="shared" si="18"/>
        <v>88213.569508</v>
      </c>
      <c r="K147" s="203">
        <f t="shared" si="23"/>
        <v>337000</v>
      </c>
      <c r="L147" s="203">
        <f t="shared" si="19"/>
        <v>425213.56950799999</v>
      </c>
      <c r="M147" s="301">
        <f t="shared" si="21"/>
        <v>82038.619642439997</v>
      </c>
      <c r="N147" s="301">
        <f t="shared" si="22"/>
        <v>313410</v>
      </c>
      <c r="O147" s="300">
        <f t="shared" si="20"/>
        <v>395448.61964244</v>
      </c>
    </row>
    <row r="148" spans="1:15" x14ac:dyDescent="0.25">
      <c r="A148" s="155">
        <v>138</v>
      </c>
      <c r="B148" s="55" t="s">
        <v>41</v>
      </c>
      <c r="C148" s="153" t="s">
        <v>153</v>
      </c>
      <c r="D148" s="173">
        <v>275000</v>
      </c>
      <c r="E148" s="173">
        <v>1316000</v>
      </c>
      <c r="F148" s="174">
        <f t="shared" si="16"/>
        <v>1591000</v>
      </c>
      <c r="G148" s="144">
        <f>347971.987468-1000</f>
        <v>346971.98746799998</v>
      </c>
      <c r="H148" s="144">
        <v>1391887.9498720001</v>
      </c>
      <c r="I148" s="142">
        <f t="shared" si="17"/>
        <v>1738859.9373400002</v>
      </c>
      <c r="J148" s="203">
        <f t="shared" si="18"/>
        <v>275000</v>
      </c>
      <c r="K148" s="203">
        <f t="shared" si="23"/>
        <v>1316000</v>
      </c>
      <c r="L148" s="203">
        <f t="shared" si="19"/>
        <v>1591000</v>
      </c>
      <c r="M148" s="301">
        <f t="shared" si="21"/>
        <v>255750</v>
      </c>
      <c r="N148" s="301">
        <f t="shared" si="22"/>
        <v>1223880</v>
      </c>
      <c r="O148" s="300">
        <f t="shared" si="20"/>
        <v>1479630</v>
      </c>
    </row>
    <row r="149" spans="1:15" ht="22.5" x14ac:dyDescent="0.25">
      <c r="A149" s="155">
        <v>139</v>
      </c>
      <c r="B149" s="55" t="s">
        <v>210</v>
      </c>
      <c r="C149" s="153" t="s">
        <v>153</v>
      </c>
      <c r="D149" s="173">
        <v>188000</v>
      </c>
      <c r="E149" s="173">
        <v>589000</v>
      </c>
      <c r="F149" s="174">
        <f t="shared" si="16"/>
        <v>777000</v>
      </c>
      <c r="G149" s="144">
        <f>170793.127829512-1000</f>
        <v>169793.127829512</v>
      </c>
      <c r="H149" s="144">
        <v>683172.5113180473</v>
      </c>
      <c r="I149" s="142">
        <f t="shared" si="17"/>
        <v>852965.6391475593</v>
      </c>
      <c r="J149" s="203">
        <f t="shared" si="18"/>
        <v>169793.127829512</v>
      </c>
      <c r="K149" s="203">
        <f t="shared" si="23"/>
        <v>589000</v>
      </c>
      <c r="L149" s="203">
        <f t="shared" si="19"/>
        <v>758793.127829512</v>
      </c>
      <c r="M149" s="301">
        <f t="shared" si="21"/>
        <v>157907.60888144615</v>
      </c>
      <c r="N149" s="301">
        <f t="shared" si="22"/>
        <v>547770</v>
      </c>
      <c r="O149" s="300">
        <f t="shared" si="20"/>
        <v>705677.60888144618</v>
      </c>
    </row>
    <row r="150" spans="1:15" ht="22.5" x14ac:dyDescent="0.25">
      <c r="A150" s="155">
        <v>140</v>
      </c>
      <c r="B150" s="152" t="s">
        <v>212</v>
      </c>
      <c r="C150" s="153" t="s">
        <v>153</v>
      </c>
      <c r="D150" s="173">
        <v>55000</v>
      </c>
      <c r="E150" s="173">
        <v>190000</v>
      </c>
      <c r="F150" s="174">
        <f t="shared" si="16"/>
        <v>245000</v>
      </c>
      <c r="G150" s="144">
        <f>50167.4555367999-1000</f>
        <v>49167.455536799898</v>
      </c>
      <c r="H150" s="144">
        <v>200669.8221472</v>
      </c>
      <c r="I150" s="142">
        <f t="shared" si="17"/>
        <v>249837.27768399991</v>
      </c>
      <c r="J150" s="203">
        <f t="shared" si="18"/>
        <v>49167.455536799898</v>
      </c>
      <c r="K150" s="203">
        <f t="shared" si="23"/>
        <v>190000</v>
      </c>
      <c r="L150" s="203">
        <f t="shared" si="19"/>
        <v>239167.45553679991</v>
      </c>
      <c r="M150" s="301">
        <f t="shared" si="21"/>
        <v>45725.733649223905</v>
      </c>
      <c r="N150" s="301">
        <f t="shared" si="22"/>
        <v>176700</v>
      </c>
      <c r="O150" s="300">
        <f t="shared" si="20"/>
        <v>222425.7336492239</v>
      </c>
    </row>
    <row r="151" spans="1:15" ht="22.5" x14ac:dyDescent="0.25">
      <c r="A151" s="155">
        <v>141</v>
      </c>
      <c r="B151" s="152" t="s">
        <v>213</v>
      </c>
      <c r="C151" s="153" t="s">
        <v>153</v>
      </c>
      <c r="D151" s="173">
        <v>155000</v>
      </c>
      <c r="E151" s="173">
        <v>484000</v>
      </c>
      <c r="F151" s="174">
        <f t="shared" si="16"/>
        <v>639000</v>
      </c>
      <c r="G151" s="144">
        <f>140488.171475512-1000</f>
        <v>139488.171475512</v>
      </c>
      <c r="H151" s="144">
        <v>561952.6859020486</v>
      </c>
      <c r="I151" s="142">
        <f t="shared" si="17"/>
        <v>701440.85737756058</v>
      </c>
      <c r="J151" s="203">
        <f t="shared" si="18"/>
        <v>139488.171475512</v>
      </c>
      <c r="K151" s="203">
        <f t="shared" si="23"/>
        <v>484000</v>
      </c>
      <c r="L151" s="203">
        <f t="shared" si="19"/>
        <v>623488.17147551198</v>
      </c>
      <c r="M151" s="301">
        <f t="shared" si="21"/>
        <v>129723.99947222616</v>
      </c>
      <c r="N151" s="301">
        <f t="shared" si="22"/>
        <v>450120</v>
      </c>
      <c r="O151" s="300">
        <f t="shared" si="20"/>
        <v>579843.99947222613</v>
      </c>
    </row>
    <row r="152" spans="1:15" x14ac:dyDescent="0.25">
      <c r="A152" s="155">
        <v>142</v>
      </c>
      <c r="B152" s="55" t="s">
        <v>214</v>
      </c>
      <c r="C152" s="153" t="s">
        <v>153</v>
      </c>
      <c r="D152" s="173">
        <v>150000</v>
      </c>
      <c r="E152" s="173">
        <v>517000</v>
      </c>
      <c r="F152" s="174">
        <f t="shared" si="16"/>
        <v>667000</v>
      </c>
      <c r="G152" s="144">
        <f>136725.6490712-1000</f>
        <v>135725.64907119999</v>
      </c>
      <c r="H152" s="144">
        <v>546902.59628479998</v>
      </c>
      <c r="I152" s="142">
        <f t="shared" si="17"/>
        <v>682628.24535600003</v>
      </c>
      <c r="J152" s="203">
        <f t="shared" si="18"/>
        <v>135725.64907119999</v>
      </c>
      <c r="K152" s="203">
        <f t="shared" si="23"/>
        <v>517000</v>
      </c>
      <c r="L152" s="203">
        <f t="shared" si="19"/>
        <v>652725.64907120005</v>
      </c>
      <c r="M152" s="301">
        <f t="shared" si="21"/>
        <v>126224.85363621599</v>
      </c>
      <c r="N152" s="301">
        <f t="shared" si="22"/>
        <v>480810</v>
      </c>
      <c r="O152" s="300">
        <f t="shared" si="20"/>
        <v>607034.85363621602</v>
      </c>
    </row>
    <row r="153" spans="1:15" x14ac:dyDescent="0.25">
      <c r="A153" s="155">
        <v>143</v>
      </c>
      <c r="B153" s="55" t="s">
        <v>355</v>
      </c>
      <c r="C153" s="153" t="s">
        <v>153</v>
      </c>
      <c r="D153" s="173">
        <v>87000</v>
      </c>
      <c r="E153" s="173">
        <v>299000</v>
      </c>
      <c r="F153" s="174">
        <f t="shared" si="16"/>
        <v>386000</v>
      </c>
      <c r="G153" s="144">
        <f>79088.9825172179-1000</f>
        <v>78088.982517217897</v>
      </c>
      <c r="H153" s="144">
        <v>316355.93006887153</v>
      </c>
      <c r="I153" s="142">
        <f t="shared" si="17"/>
        <v>394444.91258608946</v>
      </c>
      <c r="J153" s="203">
        <f t="shared" si="18"/>
        <v>78088.982517217897</v>
      </c>
      <c r="K153" s="203">
        <f t="shared" si="23"/>
        <v>299000</v>
      </c>
      <c r="L153" s="203">
        <f t="shared" si="19"/>
        <v>377088.98251721787</v>
      </c>
      <c r="M153" s="301">
        <f t="shared" si="21"/>
        <v>72622.753741012639</v>
      </c>
      <c r="N153" s="301">
        <f t="shared" si="22"/>
        <v>278070</v>
      </c>
      <c r="O153" s="300">
        <f t="shared" si="20"/>
        <v>350692.75374101265</v>
      </c>
    </row>
    <row r="154" spans="1:15" x14ac:dyDescent="0.25">
      <c r="A154" s="155">
        <v>144</v>
      </c>
      <c r="B154" s="58" t="s">
        <v>242</v>
      </c>
      <c r="C154" s="153" t="s">
        <v>153</v>
      </c>
      <c r="D154" s="173">
        <v>34000</v>
      </c>
      <c r="E154" s="173">
        <v>105000</v>
      </c>
      <c r="F154" s="174">
        <f t="shared" si="16"/>
        <v>139000</v>
      </c>
      <c r="G154" s="144">
        <f>30503.8566005635-1000</f>
        <v>29503.8566005635</v>
      </c>
      <c r="H154" s="144">
        <v>122015.42640225387</v>
      </c>
      <c r="I154" s="142">
        <f t="shared" si="17"/>
        <v>151519.28300281736</v>
      </c>
      <c r="J154" s="203">
        <f t="shared" si="18"/>
        <v>29503.8566005635</v>
      </c>
      <c r="K154" s="203">
        <f t="shared" si="23"/>
        <v>105000</v>
      </c>
      <c r="L154" s="203">
        <f t="shared" si="19"/>
        <v>134503.85660056351</v>
      </c>
      <c r="M154" s="301">
        <f t="shared" si="21"/>
        <v>27438.586638524055</v>
      </c>
      <c r="N154" s="301">
        <f t="shared" si="22"/>
        <v>97650</v>
      </c>
      <c r="O154" s="300">
        <f t="shared" si="20"/>
        <v>125088.58663852405</v>
      </c>
    </row>
    <row r="155" spans="1:15" x14ac:dyDescent="0.25">
      <c r="A155" s="155">
        <v>145</v>
      </c>
      <c r="B155" s="55" t="s">
        <v>215</v>
      </c>
      <c r="C155" s="153" t="s">
        <v>153</v>
      </c>
      <c r="D155" s="173">
        <v>11000</v>
      </c>
      <c r="E155" s="173">
        <v>34000</v>
      </c>
      <c r="F155" s="174">
        <f t="shared" si="16"/>
        <v>45000</v>
      </c>
      <c r="G155" s="144">
        <f>9569.7-500</f>
        <v>9069.7000000000007</v>
      </c>
      <c r="H155" s="144">
        <v>38278.800000000003</v>
      </c>
      <c r="I155" s="142">
        <f t="shared" si="17"/>
        <v>47348.5</v>
      </c>
      <c r="J155" s="203">
        <f t="shared" si="18"/>
        <v>9069.7000000000007</v>
      </c>
      <c r="K155" s="203">
        <f t="shared" si="23"/>
        <v>34000</v>
      </c>
      <c r="L155" s="203">
        <f t="shared" si="19"/>
        <v>43069.7</v>
      </c>
      <c r="M155" s="301">
        <f t="shared" si="21"/>
        <v>8434.8209999999999</v>
      </c>
      <c r="N155" s="301">
        <f t="shared" si="22"/>
        <v>31620</v>
      </c>
      <c r="O155" s="300">
        <f t="shared" si="20"/>
        <v>40054.820999999996</v>
      </c>
    </row>
    <row r="156" spans="1:15" x14ac:dyDescent="0.25">
      <c r="A156" s="155">
        <v>146</v>
      </c>
      <c r="B156" s="152" t="s">
        <v>216</v>
      </c>
      <c r="C156" s="153" t="s">
        <v>153</v>
      </c>
      <c r="D156" s="173">
        <v>2000</v>
      </c>
      <c r="E156" s="173">
        <v>6000</v>
      </c>
      <c r="F156" s="174">
        <f t="shared" si="16"/>
        <v>8000</v>
      </c>
      <c r="G156" s="144">
        <f>1980-500</f>
        <v>1480</v>
      </c>
      <c r="H156" s="144">
        <v>7920</v>
      </c>
      <c r="I156" s="142">
        <f t="shared" si="17"/>
        <v>9400</v>
      </c>
      <c r="J156" s="203">
        <f t="shared" si="18"/>
        <v>1480</v>
      </c>
      <c r="K156" s="203">
        <f t="shared" si="23"/>
        <v>6000</v>
      </c>
      <c r="L156" s="203">
        <f t="shared" si="19"/>
        <v>7480</v>
      </c>
      <c r="M156" s="301">
        <f t="shared" si="21"/>
        <v>1376.4</v>
      </c>
      <c r="N156" s="301">
        <f t="shared" si="22"/>
        <v>5580</v>
      </c>
      <c r="O156" s="300">
        <f t="shared" si="20"/>
        <v>6956.4</v>
      </c>
    </row>
    <row r="157" spans="1:15" x14ac:dyDescent="0.25">
      <c r="A157" s="155">
        <v>147</v>
      </c>
      <c r="B157" s="152" t="s">
        <v>221</v>
      </c>
      <c r="C157" s="153" t="s">
        <v>153</v>
      </c>
      <c r="D157" s="173">
        <v>2000</v>
      </c>
      <c r="E157" s="173">
        <v>6000</v>
      </c>
      <c r="F157" s="174">
        <f t="shared" si="16"/>
        <v>8000</v>
      </c>
      <c r="G157" s="144">
        <f t="shared" ref="G157:G159" si="24">1980-500</f>
        <v>1480</v>
      </c>
      <c r="H157" s="144">
        <v>7920</v>
      </c>
      <c r="I157" s="142">
        <f t="shared" si="17"/>
        <v>9400</v>
      </c>
      <c r="J157" s="203">
        <f t="shared" si="18"/>
        <v>1480</v>
      </c>
      <c r="K157" s="203">
        <f t="shared" si="23"/>
        <v>6000</v>
      </c>
      <c r="L157" s="203">
        <f t="shared" si="19"/>
        <v>7480</v>
      </c>
      <c r="M157" s="301">
        <f t="shared" si="21"/>
        <v>1376.4</v>
      </c>
      <c r="N157" s="301">
        <f t="shared" si="22"/>
        <v>5580</v>
      </c>
      <c r="O157" s="300">
        <f t="shared" si="20"/>
        <v>6956.4</v>
      </c>
    </row>
    <row r="158" spans="1:15" x14ac:dyDescent="0.25">
      <c r="A158" s="155">
        <v>148</v>
      </c>
      <c r="B158" s="152" t="s">
        <v>217</v>
      </c>
      <c r="C158" s="153" t="s">
        <v>153</v>
      </c>
      <c r="D158" s="173">
        <v>2000</v>
      </c>
      <c r="E158" s="173">
        <v>6000</v>
      </c>
      <c r="F158" s="174">
        <f t="shared" si="16"/>
        <v>8000</v>
      </c>
      <c r="G158" s="144">
        <f t="shared" si="24"/>
        <v>1480</v>
      </c>
      <c r="H158" s="144">
        <v>7920</v>
      </c>
      <c r="I158" s="142">
        <f t="shared" si="17"/>
        <v>9400</v>
      </c>
      <c r="J158" s="203">
        <f t="shared" si="18"/>
        <v>1480</v>
      </c>
      <c r="K158" s="203">
        <f t="shared" si="23"/>
        <v>6000</v>
      </c>
      <c r="L158" s="203">
        <f t="shared" si="19"/>
        <v>7480</v>
      </c>
      <c r="M158" s="301">
        <f t="shared" si="21"/>
        <v>1376.4</v>
      </c>
      <c r="N158" s="301">
        <f t="shared" si="22"/>
        <v>5580</v>
      </c>
      <c r="O158" s="300">
        <f t="shared" si="20"/>
        <v>6956.4</v>
      </c>
    </row>
    <row r="159" spans="1:15" x14ac:dyDescent="0.25">
      <c r="A159" s="155">
        <v>149</v>
      </c>
      <c r="B159" s="152" t="s">
        <v>218</v>
      </c>
      <c r="C159" s="153" t="s">
        <v>153</v>
      </c>
      <c r="D159" s="173">
        <v>2000</v>
      </c>
      <c r="E159" s="173">
        <v>4000</v>
      </c>
      <c r="F159" s="174">
        <f t="shared" si="16"/>
        <v>6000</v>
      </c>
      <c r="G159" s="144">
        <f t="shared" si="24"/>
        <v>1480</v>
      </c>
      <c r="H159" s="144">
        <v>7920</v>
      </c>
      <c r="I159" s="142">
        <f t="shared" si="17"/>
        <v>9400</v>
      </c>
      <c r="J159" s="203">
        <f t="shared" si="18"/>
        <v>1480</v>
      </c>
      <c r="K159" s="203">
        <f t="shared" si="23"/>
        <v>4000</v>
      </c>
      <c r="L159" s="203">
        <f t="shared" si="19"/>
        <v>5480</v>
      </c>
      <c r="M159" s="301">
        <f t="shared" si="21"/>
        <v>1376.4</v>
      </c>
      <c r="N159" s="301">
        <f t="shared" si="22"/>
        <v>3720</v>
      </c>
      <c r="O159" s="300">
        <f t="shared" si="20"/>
        <v>5096.3999999999996</v>
      </c>
    </row>
    <row r="160" spans="1:15" x14ac:dyDescent="0.25">
      <c r="A160" s="155">
        <v>150</v>
      </c>
      <c r="B160" s="152" t="s">
        <v>219</v>
      </c>
      <c r="C160" s="153" t="s">
        <v>153</v>
      </c>
      <c r="D160" s="173">
        <v>11000</v>
      </c>
      <c r="E160" s="173">
        <v>23000</v>
      </c>
      <c r="F160" s="174">
        <f t="shared" si="16"/>
        <v>34000</v>
      </c>
      <c r="G160" s="144">
        <f>9569.7-1000</f>
        <v>8569.7000000000007</v>
      </c>
      <c r="H160" s="144">
        <v>38278.800000000003</v>
      </c>
      <c r="I160" s="142">
        <f t="shared" si="17"/>
        <v>46848.5</v>
      </c>
      <c r="J160" s="203">
        <f t="shared" si="18"/>
        <v>8569.7000000000007</v>
      </c>
      <c r="K160" s="203">
        <f t="shared" si="23"/>
        <v>23000</v>
      </c>
      <c r="L160" s="203">
        <f t="shared" si="19"/>
        <v>31569.7</v>
      </c>
      <c r="M160" s="301">
        <f t="shared" si="21"/>
        <v>7969.8210000000008</v>
      </c>
      <c r="N160" s="301">
        <f t="shared" si="22"/>
        <v>21390</v>
      </c>
      <c r="O160" s="300">
        <f t="shared" si="20"/>
        <v>29359.821</v>
      </c>
    </row>
    <row r="161" spans="1:15" x14ac:dyDescent="0.25">
      <c r="A161" s="155">
        <v>151</v>
      </c>
      <c r="B161" s="152" t="s">
        <v>220</v>
      </c>
      <c r="C161" s="153" t="s">
        <v>153</v>
      </c>
      <c r="D161" s="173">
        <v>2000</v>
      </c>
      <c r="E161" s="173">
        <v>7000</v>
      </c>
      <c r="F161" s="174">
        <f t="shared" si="16"/>
        <v>9000</v>
      </c>
      <c r="G161" s="144">
        <f>1852.35876-500</f>
        <v>1352.3587600000001</v>
      </c>
      <c r="H161" s="144">
        <v>7409.4350400000003</v>
      </c>
      <c r="I161" s="142">
        <f t="shared" si="17"/>
        <v>8761.7937999999995</v>
      </c>
      <c r="J161" s="203">
        <f t="shared" si="18"/>
        <v>1352.3587600000001</v>
      </c>
      <c r="K161" s="203">
        <f t="shared" si="23"/>
        <v>7000</v>
      </c>
      <c r="L161" s="203">
        <f t="shared" si="19"/>
        <v>8352.3587599999992</v>
      </c>
      <c r="M161" s="301">
        <f t="shared" si="21"/>
        <v>1257.6936468000001</v>
      </c>
      <c r="N161" s="301">
        <f t="shared" si="22"/>
        <v>6510</v>
      </c>
      <c r="O161" s="300">
        <f t="shared" si="20"/>
        <v>7767.6936468000004</v>
      </c>
    </row>
    <row r="162" spans="1:15" ht="22.5" x14ac:dyDescent="0.25">
      <c r="A162" s="155">
        <v>152</v>
      </c>
      <c r="B162" s="159" t="s">
        <v>223</v>
      </c>
      <c r="C162" s="153" t="s">
        <v>153</v>
      </c>
      <c r="D162" s="173">
        <v>168000</v>
      </c>
      <c r="E162" s="173">
        <v>526000</v>
      </c>
      <c r="F162" s="174">
        <f t="shared" si="16"/>
        <v>694000</v>
      </c>
      <c r="G162" s="144">
        <f>152626.457408693-500</f>
        <v>152126.45740869301</v>
      </c>
      <c r="H162" s="144">
        <v>610505.8296347725</v>
      </c>
      <c r="I162" s="142">
        <f t="shared" si="17"/>
        <v>762632.28704346553</v>
      </c>
      <c r="J162" s="203">
        <f t="shared" si="18"/>
        <v>152126.45740869301</v>
      </c>
      <c r="K162" s="203">
        <f t="shared" si="23"/>
        <v>526000</v>
      </c>
      <c r="L162" s="203">
        <f t="shared" si="19"/>
        <v>678126.45740869304</v>
      </c>
      <c r="M162" s="301">
        <f t="shared" si="21"/>
        <v>141477.6053900845</v>
      </c>
      <c r="N162" s="301">
        <f t="shared" si="22"/>
        <v>489180</v>
      </c>
      <c r="O162" s="300">
        <f t="shared" si="20"/>
        <v>630657.60539008444</v>
      </c>
    </row>
    <row r="163" spans="1:15" x14ac:dyDescent="0.25">
      <c r="A163" s="155">
        <v>153</v>
      </c>
      <c r="B163" s="161" t="s">
        <v>222</v>
      </c>
      <c r="C163" s="153" t="s">
        <v>153</v>
      </c>
      <c r="D163" s="173">
        <v>54000</v>
      </c>
      <c r="E163" s="173">
        <v>168000</v>
      </c>
      <c r="F163" s="174">
        <f t="shared" si="16"/>
        <v>222000</v>
      </c>
      <c r="G163" s="144">
        <f>48810.5053672587-500</f>
        <v>48310.505367258702</v>
      </c>
      <c r="H163" s="144">
        <v>195242.02146903513</v>
      </c>
      <c r="I163" s="142">
        <f t="shared" si="17"/>
        <v>243552.52683629384</v>
      </c>
      <c r="J163" s="203">
        <f t="shared" si="18"/>
        <v>48310.505367258702</v>
      </c>
      <c r="K163" s="203">
        <f t="shared" si="23"/>
        <v>168000</v>
      </c>
      <c r="L163" s="203">
        <f t="shared" si="19"/>
        <v>216310.50536725871</v>
      </c>
      <c r="M163" s="301">
        <f t="shared" si="21"/>
        <v>44928.769991550595</v>
      </c>
      <c r="N163" s="301">
        <f t="shared" si="22"/>
        <v>156240</v>
      </c>
      <c r="O163" s="300">
        <f t="shared" si="20"/>
        <v>201168.76999155059</v>
      </c>
    </row>
    <row r="164" spans="1:15" ht="22.5" x14ac:dyDescent="0.25">
      <c r="A164" s="155">
        <v>154</v>
      </c>
      <c r="B164" s="161" t="s">
        <v>224</v>
      </c>
      <c r="C164" s="153" t="s">
        <v>153</v>
      </c>
      <c r="D164" s="173">
        <v>134000</v>
      </c>
      <c r="E164" s="173">
        <v>420000</v>
      </c>
      <c r="F164" s="174">
        <f t="shared" si="16"/>
        <v>554000</v>
      </c>
      <c r="G164" s="144">
        <f>121908.945400324-1000</f>
        <v>120908.945400324</v>
      </c>
      <c r="H164" s="144">
        <v>487635.78160129715</v>
      </c>
      <c r="I164" s="142">
        <f t="shared" si="17"/>
        <v>608544.72700162116</v>
      </c>
      <c r="J164" s="203">
        <f t="shared" si="18"/>
        <v>120908.945400324</v>
      </c>
      <c r="K164" s="203">
        <f t="shared" si="23"/>
        <v>420000</v>
      </c>
      <c r="L164" s="203">
        <f t="shared" si="19"/>
        <v>540908.94540032395</v>
      </c>
      <c r="M164" s="301">
        <f t="shared" si="21"/>
        <v>112445.31922230132</v>
      </c>
      <c r="N164" s="301">
        <f t="shared" si="22"/>
        <v>390600</v>
      </c>
      <c r="O164" s="300">
        <f t="shared" si="20"/>
        <v>503045.3192223013</v>
      </c>
    </row>
    <row r="165" spans="1:15" ht="22.5" x14ac:dyDescent="0.25">
      <c r="A165" s="155">
        <v>155</v>
      </c>
      <c r="B165" s="152" t="s">
        <v>226</v>
      </c>
      <c r="C165" s="153" t="s">
        <v>153</v>
      </c>
      <c r="D165" s="173">
        <v>156000</v>
      </c>
      <c r="E165" s="173">
        <v>489000</v>
      </c>
      <c r="F165" s="174">
        <f t="shared" si="16"/>
        <v>645000</v>
      </c>
      <c r="G165" s="144">
        <f>141985.782636395-1000</f>
        <v>140985.78263639499</v>
      </c>
      <c r="H165" s="144">
        <v>567943.13054557983</v>
      </c>
      <c r="I165" s="142">
        <f t="shared" si="17"/>
        <v>708928.91318197479</v>
      </c>
      <c r="J165" s="203">
        <f t="shared" si="18"/>
        <v>140985.78263639499</v>
      </c>
      <c r="K165" s="203">
        <f t="shared" si="23"/>
        <v>489000</v>
      </c>
      <c r="L165" s="203">
        <f t="shared" si="19"/>
        <v>629985.78263639496</v>
      </c>
      <c r="M165" s="301">
        <f t="shared" si="21"/>
        <v>131116.77785184735</v>
      </c>
      <c r="N165" s="301">
        <f t="shared" si="22"/>
        <v>454770</v>
      </c>
      <c r="O165" s="300">
        <f t="shared" si="20"/>
        <v>585886.77785184735</v>
      </c>
    </row>
    <row r="166" spans="1:15" x14ac:dyDescent="0.25">
      <c r="A166" s="155">
        <v>156</v>
      </c>
      <c r="B166" s="55" t="s">
        <v>42</v>
      </c>
      <c r="C166" s="153" t="s">
        <v>153</v>
      </c>
      <c r="D166" s="173">
        <v>32000</v>
      </c>
      <c r="E166" s="173">
        <v>100000</v>
      </c>
      <c r="F166" s="174">
        <f t="shared" si="16"/>
        <v>132000</v>
      </c>
      <c r="G166" s="144">
        <f>28990.4819757052-1000</f>
        <v>27990.481975705199</v>
      </c>
      <c r="H166" s="144">
        <v>115961.92790282087</v>
      </c>
      <c r="I166" s="142">
        <f t="shared" si="17"/>
        <v>143952.40987852606</v>
      </c>
      <c r="J166" s="203">
        <f t="shared" si="18"/>
        <v>27990.481975705199</v>
      </c>
      <c r="K166" s="203">
        <f t="shared" si="23"/>
        <v>100000</v>
      </c>
      <c r="L166" s="203">
        <f t="shared" si="19"/>
        <v>127990.4819757052</v>
      </c>
      <c r="M166" s="301">
        <f t="shared" si="21"/>
        <v>26031.148237405836</v>
      </c>
      <c r="N166" s="301">
        <f t="shared" si="22"/>
        <v>93000</v>
      </c>
      <c r="O166" s="300">
        <f t="shared" si="20"/>
        <v>119031.14823740584</v>
      </c>
    </row>
    <row r="167" spans="1:15" x14ac:dyDescent="0.25">
      <c r="A167" s="155">
        <v>157</v>
      </c>
      <c r="B167" s="162" t="s">
        <v>95</v>
      </c>
      <c r="C167" s="153" t="s">
        <v>153</v>
      </c>
      <c r="D167" s="173">
        <v>242000</v>
      </c>
      <c r="E167" s="173">
        <v>806000</v>
      </c>
      <c r="F167" s="174">
        <f t="shared" si="16"/>
        <v>1048000</v>
      </c>
      <c r="G167" s="144">
        <f>233728.072505686-1000</f>
        <v>232728.072505686</v>
      </c>
      <c r="H167" s="144">
        <v>934912.29002274247</v>
      </c>
      <c r="I167" s="142">
        <f t="shared" si="17"/>
        <v>1167640.3625284284</v>
      </c>
      <c r="J167" s="203">
        <f t="shared" si="18"/>
        <v>232728.072505686</v>
      </c>
      <c r="K167" s="203">
        <f t="shared" si="23"/>
        <v>806000</v>
      </c>
      <c r="L167" s="203">
        <f t="shared" si="19"/>
        <v>1038728.072505686</v>
      </c>
      <c r="M167" s="301">
        <f t="shared" si="21"/>
        <v>216437.10743028799</v>
      </c>
      <c r="N167" s="301">
        <f t="shared" si="22"/>
        <v>749580</v>
      </c>
      <c r="O167" s="300">
        <f t="shared" si="20"/>
        <v>966017.10743028799</v>
      </c>
    </row>
    <row r="168" spans="1:15" x14ac:dyDescent="0.25">
      <c r="A168" s="155">
        <v>158</v>
      </c>
      <c r="B168" s="162" t="s">
        <v>228</v>
      </c>
      <c r="C168" s="153" t="s">
        <v>153</v>
      </c>
      <c r="D168" s="173">
        <v>1000</v>
      </c>
      <c r="E168" s="173">
        <v>2000</v>
      </c>
      <c r="F168" s="174">
        <f t="shared" si="16"/>
        <v>3000</v>
      </c>
      <c r="G168" s="144">
        <f>631.94076-1000</f>
        <v>-368.05924000000005</v>
      </c>
      <c r="H168" s="144">
        <v>2527.7630400000003</v>
      </c>
      <c r="I168" s="142">
        <f t="shared" si="17"/>
        <v>2159.7038000000002</v>
      </c>
      <c r="J168" s="203">
        <f t="shared" si="18"/>
        <v>-368.05924000000005</v>
      </c>
      <c r="K168" s="203">
        <f t="shared" si="23"/>
        <v>2000</v>
      </c>
      <c r="L168" s="203">
        <f t="shared" si="19"/>
        <v>1631.94076</v>
      </c>
      <c r="M168" s="301">
        <f t="shared" si="21"/>
        <v>-342.29509320000005</v>
      </c>
      <c r="N168" s="301">
        <f t="shared" si="22"/>
        <v>1860</v>
      </c>
      <c r="O168" s="300">
        <f t="shared" si="20"/>
        <v>1517.7049067999999</v>
      </c>
    </row>
    <row r="169" spans="1:15" x14ac:dyDescent="0.25">
      <c r="A169" s="155">
        <v>159</v>
      </c>
      <c r="B169" s="162" t="s">
        <v>229</v>
      </c>
      <c r="C169" s="153" t="s">
        <v>153</v>
      </c>
      <c r="D169" s="173">
        <v>18000</v>
      </c>
      <c r="E169" s="173">
        <v>59000</v>
      </c>
      <c r="F169" s="174">
        <f t="shared" si="16"/>
        <v>77000</v>
      </c>
      <c r="G169" s="144">
        <f>16361.394-1000</f>
        <v>15361.394</v>
      </c>
      <c r="H169" s="144">
        <v>65445.576000000001</v>
      </c>
      <c r="I169" s="142">
        <f t="shared" si="17"/>
        <v>80806.97</v>
      </c>
      <c r="J169" s="203">
        <f t="shared" si="18"/>
        <v>15361.394</v>
      </c>
      <c r="K169" s="203">
        <f t="shared" si="23"/>
        <v>59000</v>
      </c>
      <c r="L169" s="203">
        <f t="shared" si="19"/>
        <v>74361.394</v>
      </c>
      <c r="M169" s="301">
        <f t="shared" si="21"/>
        <v>14286.09642</v>
      </c>
      <c r="N169" s="301">
        <f t="shared" si="22"/>
        <v>54870</v>
      </c>
      <c r="O169" s="300">
        <f t="shared" si="20"/>
        <v>69156.096420000002</v>
      </c>
    </row>
    <row r="170" spans="1:15" x14ac:dyDescent="0.25">
      <c r="A170" s="155">
        <v>160</v>
      </c>
      <c r="B170" s="162" t="s">
        <v>241</v>
      </c>
      <c r="C170" s="153" t="s">
        <v>153</v>
      </c>
      <c r="D170" s="173">
        <v>47000</v>
      </c>
      <c r="E170" s="173">
        <v>147000</v>
      </c>
      <c r="F170" s="174">
        <f t="shared" si="16"/>
        <v>194000</v>
      </c>
      <c r="G170" s="144">
        <f>42600-500</f>
        <v>42100</v>
      </c>
      <c r="H170" s="144">
        <v>170400</v>
      </c>
      <c r="I170" s="142">
        <f t="shared" si="17"/>
        <v>212500</v>
      </c>
      <c r="J170" s="203">
        <f t="shared" si="18"/>
        <v>42100</v>
      </c>
      <c r="K170" s="203">
        <f t="shared" si="23"/>
        <v>147000</v>
      </c>
      <c r="L170" s="203">
        <f t="shared" si="19"/>
        <v>189100</v>
      </c>
      <c r="M170" s="301">
        <f t="shared" si="21"/>
        <v>39153</v>
      </c>
      <c r="N170" s="301">
        <f t="shared" si="22"/>
        <v>136710</v>
      </c>
      <c r="O170" s="300">
        <f t="shared" si="20"/>
        <v>175863</v>
      </c>
    </row>
    <row r="171" spans="1:15" x14ac:dyDescent="0.25">
      <c r="A171" s="155">
        <v>161</v>
      </c>
      <c r="B171" s="58" t="s">
        <v>85</v>
      </c>
      <c r="C171" s="153" t="s">
        <v>153</v>
      </c>
      <c r="D171" s="173">
        <v>27000</v>
      </c>
      <c r="E171" s="173">
        <v>81000</v>
      </c>
      <c r="F171" s="174">
        <f t="shared" si="16"/>
        <v>108000</v>
      </c>
      <c r="G171" s="144">
        <f>24910.8013314033-1000</f>
        <v>23910.801331403301</v>
      </c>
      <c r="H171" s="144">
        <v>99643.20532561306</v>
      </c>
      <c r="I171" s="142">
        <f t="shared" si="17"/>
        <v>123554.00665701636</v>
      </c>
      <c r="J171" s="203">
        <f t="shared" si="18"/>
        <v>23910.801331403301</v>
      </c>
      <c r="K171" s="203">
        <f t="shared" si="23"/>
        <v>81000</v>
      </c>
      <c r="L171" s="203">
        <f t="shared" si="19"/>
        <v>104910.8013314033</v>
      </c>
      <c r="M171" s="301">
        <f t="shared" si="21"/>
        <v>22237.045238205072</v>
      </c>
      <c r="N171" s="301">
        <f t="shared" si="22"/>
        <v>75330</v>
      </c>
      <c r="O171" s="300">
        <f t="shared" si="20"/>
        <v>97567.045238205072</v>
      </c>
    </row>
    <row r="172" spans="1:15" x14ac:dyDescent="0.25">
      <c r="A172" s="155">
        <v>162</v>
      </c>
      <c r="B172" s="58" t="s">
        <v>67</v>
      </c>
      <c r="C172" s="153" t="s">
        <v>153</v>
      </c>
      <c r="D172" s="173">
        <v>138000</v>
      </c>
      <c r="E172" s="173">
        <v>653000</v>
      </c>
      <c r="F172" s="174">
        <f t="shared" si="16"/>
        <v>791000</v>
      </c>
      <c r="G172" s="144">
        <f>189344.694326961-1000</f>
        <v>188344.69432696101</v>
      </c>
      <c r="H172" s="144">
        <v>757378.77730784391</v>
      </c>
      <c r="I172" s="142">
        <f t="shared" si="17"/>
        <v>945723.47163480497</v>
      </c>
      <c r="J172" s="203">
        <f t="shared" si="18"/>
        <v>138000</v>
      </c>
      <c r="K172" s="203">
        <f t="shared" si="23"/>
        <v>653000</v>
      </c>
      <c r="L172" s="203">
        <f t="shared" si="19"/>
        <v>791000</v>
      </c>
      <c r="M172" s="301">
        <f t="shared" si="21"/>
        <v>128340</v>
      </c>
      <c r="N172" s="301">
        <f t="shared" si="22"/>
        <v>607290</v>
      </c>
      <c r="O172" s="300">
        <f t="shared" si="20"/>
        <v>735630</v>
      </c>
    </row>
    <row r="173" spans="1:15" x14ac:dyDescent="0.25">
      <c r="A173" s="155">
        <v>163</v>
      </c>
      <c r="B173" s="161" t="s">
        <v>237</v>
      </c>
      <c r="C173" s="153" t="s">
        <v>153</v>
      </c>
      <c r="D173" s="173">
        <v>167000</v>
      </c>
      <c r="E173" s="173">
        <v>574000</v>
      </c>
      <c r="F173" s="174">
        <f t="shared" si="16"/>
        <v>741000</v>
      </c>
      <c r="G173" s="144">
        <f>151892.667572115-1000</f>
        <v>150892.66757211499</v>
      </c>
      <c r="H173" s="144">
        <v>607570.67028845882</v>
      </c>
      <c r="I173" s="142">
        <f t="shared" si="17"/>
        <v>758463.33786057378</v>
      </c>
      <c r="J173" s="203">
        <f t="shared" si="18"/>
        <v>150892.66757211499</v>
      </c>
      <c r="K173" s="203">
        <f t="shared" si="23"/>
        <v>574000</v>
      </c>
      <c r="L173" s="203">
        <f t="shared" si="19"/>
        <v>724892.66757211497</v>
      </c>
      <c r="M173" s="301">
        <f t="shared" si="21"/>
        <v>140330.18084206694</v>
      </c>
      <c r="N173" s="301">
        <f t="shared" si="22"/>
        <v>533820</v>
      </c>
      <c r="O173" s="300">
        <f t="shared" si="20"/>
        <v>674150.18084206688</v>
      </c>
    </row>
    <row r="174" spans="1:15" x14ac:dyDescent="0.25">
      <c r="A174" s="155">
        <v>164</v>
      </c>
      <c r="B174" s="161" t="s">
        <v>238</v>
      </c>
      <c r="C174" s="153" t="s">
        <v>153</v>
      </c>
      <c r="D174" s="173">
        <v>137000</v>
      </c>
      <c r="E174" s="173">
        <v>429000</v>
      </c>
      <c r="F174" s="174">
        <f t="shared" si="16"/>
        <v>566000</v>
      </c>
      <c r="G174" s="144">
        <f>124411.031946848-1000</f>
        <v>123411.031946848</v>
      </c>
      <c r="H174" s="144">
        <v>497644.12778739008</v>
      </c>
      <c r="I174" s="142">
        <f t="shared" si="17"/>
        <v>621055.15973423806</v>
      </c>
      <c r="J174" s="203">
        <f t="shared" si="18"/>
        <v>123411.031946848</v>
      </c>
      <c r="K174" s="203">
        <f t="shared" si="23"/>
        <v>429000</v>
      </c>
      <c r="L174" s="203">
        <f t="shared" si="19"/>
        <v>552411.03194684803</v>
      </c>
      <c r="M174" s="301">
        <f t="shared" si="21"/>
        <v>114772.25971056864</v>
      </c>
      <c r="N174" s="301">
        <f t="shared" si="22"/>
        <v>398970</v>
      </c>
      <c r="O174" s="300">
        <f t="shared" si="20"/>
        <v>513742.25971056864</v>
      </c>
    </row>
    <row r="175" spans="1:15" x14ac:dyDescent="0.25">
      <c r="A175" s="155">
        <v>165</v>
      </c>
      <c r="B175" s="58" t="s">
        <v>83</v>
      </c>
      <c r="C175" s="153" t="s">
        <v>153</v>
      </c>
      <c r="D175" s="173">
        <v>161000</v>
      </c>
      <c r="E175" s="173">
        <v>554000</v>
      </c>
      <c r="F175" s="174">
        <f t="shared" si="16"/>
        <v>715000</v>
      </c>
      <c r="G175" s="144">
        <f>146509.478499637-1000</f>
        <v>145509.47849963701</v>
      </c>
      <c r="H175" s="144">
        <v>586037.91399854759</v>
      </c>
      <c r="I175" s="142">
        <f t="shared" si="17"/>
        <v>731547.39249818458</v>
      </c>
      <c r="J175" s="203">
        <f t="shared" si="18"/>
        <v>145509.47849963701</v>
      </c>
      <c r="K175" s="203">
        <f t="shared" si="23"/>
        <v>554000</v>
      </c>
      <c r="L175" s="203">
        <f t="shared" si="19"/>
        <v>699509.47849963699</v>
      </c>
      <c r="M175" s="301">
        <f t="shared" si="21"/>
        <v>135323.81500466244</v>
      </c>
      <c r="N175" s="301">
        <f t="shared" si="22"/>
        <v>515220</v>
      </c>
      <c r="O175" s="300">
        <f t="shared" si="20"/>
        <v>650543.81500466238</v>
      </c>
    </row>
    <row r="176" spans="1:15" x14ac:dyDescent="0.25">
      <c r="A176" s="155">
        <v>166</v>
      </c>
      <c r="B176" s="161" t="s">
        <v>234</v>
      </c>
      <c r="C176" s="153" t="s">
        <v>153</v>
      </c>
      <c r="D176" s="173">
        <v>159000</v>
      </c>
      <c r="E176" s="173">
        <v>547000</v>
      </c>
      <c r="F176" s="174">
        <f t="shared" si="16"/>
        <v>706000</v>
      </c>
      <c r="G176" s="144">
        <f>144538.623939399-1000</f>
        <v>143538.623939399</v>
      </c>
      <c r="H176" s="144">
        <v>578154.49575759633</v>
      </c>
      <c r="I176" s="142">
        <f t="shared" si="17"/>
        <v>721693.11969699536</v>
      </c>
      <c r="J176" s="203">
        <f t="shared" si="18"/>
        <v>143538.623939399</v>
      </c>
      <c r="K176" s="203">
        <f t="shared" si="23"/>
        <v>547000</v>
      </c>
      <c r="L176" s="203">
        <f t="shared" si="19"/>
        <v>690538.62393939903</v>
      </c>
      <c r="M176" s="301">
        <f t="shared" si="21"/>
        <v>133490.92026364108</v>
      </c>
      <c r="N176" s="301">
        <f t="shared" si="22"/>
        <v>508710</v>
      </c>
      <c r="O176" s="300">
        <f t="shared" si="20"/>
        <v>642200.92026364105</v>
      </c>
    </row>
    <row r="177" spans="1:15" x14ac:dyDescent="0.25">
      <c r="A177" s="155">
        <v>167</v>
      </c>
      <c r="B177" s="161" t="s">
        <v>235</v>
      </c>
      <c r="C177" s="153" t="s">
        <v>153</v>
      </c>
      <c r="D177" s="173">
        <v>204000</v>
      </c>
      <c r="E177" s="173">
        <v>1396000</v>
      </c>
      <c r="F177" s="174">
        <f t="shared" si="16"/>
        <v>1600000</v>
      </c>
      <c r="G177" s="144">
        <f>404823.465210919-1000</f>
        <v>403823.46521091898</v>
      </c>
      <c r="H177" s="144">
        <v>1619293.8608436761</v>
      </c>
      <c r="I177" s="142">
        <f t="shared" si="17"/>
        <v>2023117.3260545952</v>
      </c>
      <c r="J177" s="203">
        <f t="shared" si="18"/>
        <v>204000</v>
      </c>
      <c r="K177" s="203">
        <f t="shared" si="23"/>
        <v>1396000</v>
      </c>
      <c r="L177" s="203">
        <f t="shared" si="19"/>
        <v>1600000</v>
      </c>
      <c r="M177" s="301">
        <f t="shared" si="21"/>
        <v>189720</v>
      </c>
      <c r="N177" s="301">
        <f t="shared" si="22"/>
        <v>1298280</v>
      </c>
      <c r="O177" s="300">
        <f t="shared" si="20"/>
        <v>1488000</v>
      </c>
    </row>
    <row r="178" spans="1:15" x14ac:dyDescent="0.25">
      <c r="A178" s="155">
        <v>168</v>
      </c>
      <c r="B178" s="58" t="s">
        <v>84</v>
      </c>
      <c r="C178" s="153" t="s">
        <v>153</v>
      </c>
      <c r="D178" s="173">
        <v>204000</v>
      </c>
      <c r="E178" s="173">
        <v>920000</v>
      </c>
      <c r="F178" s="174">
        <f t="shared" si="16"/>
        <v>1124000</v>
      </c>
      <c r="G178" s="144">
        <f>243130.021371346-1000</f>
        <v>242130.021371346</v>
      </c>
      <c r="H178" s="144">
        <v>972520.08548538561</v>
      </c>
      <c r="I178" s="142">
        <f t="shared" si="17"/>
        <v>1214650.1068567317</v>
      </c>
      <c r="J178" s="203">
        <f t="shared" si="18"/>
        <v>204000</v>
      </c>
      <c r="K178" s="203">
        <f t="shared" si="23"/>
        <v>920000</v>
      </c>
      <c r="L178" s="203">
        <f t="shared" si="19"/>
        <v>1124000</v>
      </c>
      <c r="M178" s="301">
        <f t="shared" si="21"/>
        <v>189720</v>
      </c>
      <c r="N178" s="301">
        <f t="shared" si="22"/>
        <v>855600</v>
      </c>
      <c r="O178" s="300">
        <f t="shared" si="20"/>
        <v>1045320</v>
      </c>
    </row>
    <row r="179" spans="1:15" x14ac:dyDescent="0.25">
      <c r="A179" s="155">
        <v>169</v>
      </c>
      <c r="B179" s="58" t="s">
        <v>236</v>
      </c>
      <c r="C179" s="153" t="s">
        <v>153</v>
      </c>
      <c r="D179" s="173">
        <v>70000</v>
      </c>
      <c r="E179" s="173">
        <v>241000</v>
      </c>
      <c r="F179" s="174">
        <f t="shared" si="16"/>
        <v>311000</v>
      </c>
      <c r="G179" s="144">
        <f>63811.2022278673-1000</f>
        <v>62811.202227867303</v>
      </c>
      <c r="H179" s="144">
        <v>255244.80891146942</v>
      </c>
      <c r="I179" s="142">
        <f t="shared" si="17"/>
        <v>318056.01113933674</v>
      </c>
      <c r="J179" s="203">
        <f t="shared" si="18"/>
        <v>62811.202227867303</v>
      </c>
      <c r="K179" s="203">
        <f t="shared" si="23"/>
        <v>241000</v>
      </c>
      <c r="L179" s="203">
        <f t="shared" si="19"/>
        <v>303811.20222786732</v>
      </c>
      <c r="M179" s="301">
        <f t="shared" si="21"/>
        <v>58414.418071916589</v>
      </c>
      <c r="N179" s="301">
        <f t="shared" si="22"/>
        <v>224130</v>
      </c>
      <c r="O179" s="300">
        <f t="shared" si="20"/>
        <v>282544.41807191656</v>
      </c>
    </row>
    <row r="180" spans="1:15" x14ac:dyDescent="0.25">
      <c r="A180" s="155">
        <v>170</v>
      </c>
      <c r="B180" s="162" t="s">
        <v>239</v>
      </c>
      <c r="C180" s="153" t="s">
        <v>153</v>
      </c>
      <c r="D180" s="173">
        <v>76000</v>
      </c>
      <c r="E180" s="173">
        <v>261000</v>
      </c>
      <c r="F180" s="174">
        <f t="shared" si="16"/>
        <v>337000</v>
      </c>
      <c r="G180" s="144">
        <f>69020.2799607544-1000</f>
        <v>68020.2799607544</v>
      </c>
      <c r="H180" s="144">
        <v>276081.11984301795</v>
      </c>
      <c r="I180" s="142">
        <f t="shared" si="17"/>
        <v>344101.39980377234</v>
      </c>
      <c r="J180" s="203">
        <f t="shared" si="18"/>
        <v>68020.2799607544</v>
      </c>
      <c r="K180" s="203">
        <f t="shared" si="23"/>
        <v>261000</v>
      </c>
      <c r="L180" s="203">
        <f t="shared" si="19"/>
        <v>329020.27996075439</v>
      </c>
      <c r="M180" s="301">
        <f t="shared" si="21"/>
        <v>63258.86036350159</v>
      </c>
      <c r="N180" s="301">
        <f t="shared" si="22"/>
        <v>242730</v>
      </c>
      <c r="O180" s="300">
        <f t="shared" si="20"/>
        <v>305988.86036350159</v>
      </c>
    </row>
    <row r="181" spans="1:15" x14ac:dyDescent="0.25">
      <c r="A181" s="155">
        <v>171</v>
      </c>
      <c r="B181" s="162" t="s">
        <v>338</v>
      </c>
      <c r="C181" s="153" t="s">
        <v>153</v>
      </c>
      <c r="D181" s="173">
        <v>76000</v>
      </c>
      <c r="E181" s="173">
        <v>261000</v>
      </c>
      <c r="F181" s="174">
        <f t="shared" si="16"/>
        <v>337000</v>
      </c>
      <c r="G181" s="144">
        <f>68990.447837161-1000</f>
        <v>67990.447837161002</v>
      </c>
      <c r="H181" s="144">
        <v>275961.79134864401</v>
      </c>
      <c r="I181" s="142">
        <f t="shared" si="17"/>
        <v>343952.23918580503</v>
      </c>
      <c r="J181" s="203">
        <f t="shared" si="18"/>
        <v>67990.447837161002</v>
      </c>
      <c r="K181" s="203">
        <f t="shared" si="23"/>
        <v>261000</v>
      </c>
      <c r="L181" s="203">
        <f t="shared" si="19"/>
        <v>328990.44783716102</v>
      </c>
      <c r="M181" s="301">
        <f t="shared" si="21"/>
        <v>63231.116488559732</v>
      </c>
      <c r="N181" s="301">
        <f t="shared" si="22"/>
        <v>242730</v>
      </c>
      <c r="O181" s="300">
        <f t="shared" si="20"/>
        <v>305961.11648855975</v>
      </c>
    </row>
    <row r="182" spans="1:15" x14ac:dyDescent="0.25">
      <c r="A182" s="155">
        <v>172</v>
      </c>
      <c r="B182" s="162" t="s">
        <v>94</v>
      </c>
      <c r="C182" s="153" t="s">
        <v>153</v>
      </c>
      <c r="D182" s="173">
        <v>88000</v>
      </c>
      <c r="E182" s="173">
        <v>303000</v>
      </c>
      <c r="F182" s="174">
        <f t="shared" si="16"/>
        <v>391000</v>
      </c>
      <c r="G182" s="144">
        <f>80037.3126756631-1000</f>
        <v>79037.312675663095</v>
      </c>
      <c r="H182" s="144">
        <v>320149.25070265238</v>
      </c>
      <c r="I182" s="142">
        <f t="shared" si="17"/>
        <v>399186.56337831548</v>
      </c>
      <c r="J182" s="203">
        <f t="shared" si="18"/>
        <v>79037.312675663095</v>
      </c>
      <c r="K182" s="203">
        <f t="shared" si="23"/>
        <v>303000</v>
      </c>
      <c r="L182" s="203">
        <f t="shared" si="19"/>
        <v>382037.3126756631</v>
      </c>
      <c r="M182" s="301">
        <f t="shared" si="21"/>
        <v>73504.700788366681</v>
      </c>
      <c r="N182" s="301">
        <f t="shared" si="22"/>
        <v>281790</v>
      </c>
      <c r="O182" s="300">
        <f t="shared" si="20"/>
        <v>355294.70078836667</v>
      </c>
    </row>
    <row r="183" spans="1:15" x14ac:dyDescent="0.25">
      <c r="A183" s="155">
        <v>173</v>
      </c>
      <c r="B183" s="58" t="s">
        <v>120</v>
      </c>
      <c r="C183" s="153" t="s">
        <v>153</v>
      </c>
      <c r="D183" s="173">
        <v>578000</v>
      </c>
      <c r="E183" s="173">
        <v>6505000</v>
      </c>
      <c r="F183" s="174">
        <f t="shared" si="16"/>
        <v>7083000</v>
      </c>
      <c r="G183" s="144">
        <f>1728788.657624-1000</f>
        <v>1727788.657624</v>
      </c>
      <c r="H183" s="144">
        <v>6915154.6304959999</v>
      </c>
      <c r="I183" s="142">
        <f t="shared" si="17"/>
        <v>8642943.2881199997</v>
      </c>
      <c r="J183" s="203">
        <f t="shared" si="18"/>
        <v>578000</v>
      </c>
      <c r="K183" s="203">
        <f t="shared" si="23"/>
        <v>6505000</v>
      </c>
      <c r="L183" s="203">
        <f t="shared" si="19"/>
        <v>7083000</v>
      </c>
      <c r="M183" s="301">
        <f t="shared" si="21"/>
        <v>537540</v>
      </c>
      <c r="N183" s="301">
        <f t="shared" si="22"/>
        <v>6049650</v>
      </c>
      <c r="O183" s="300">
        <f t="shared" si="20"/>
        <v>6587190</v>
      </c>
    </row>
    <row r="184" spans="1:15" x14ac:dyDescent="0.25">
      <c r="A184" s="155">
        <v>174</v>
      </c>
      <c r="B184" s="159" t="s">
        <v>230</v>
      </c>
      <c r="C184" s="153" t="s">
        <v>153</v>
      </c>
      <c r="D184" s="173">
        <v>83000</v>
      </c>
      <c r="E184" s="173">
        <v>576000</v>
      </c>
      <c r="F184" s="174">
        <f t="shared" si="16"/>
        <v>659000</v>
      </c>
      <c r="G184" s="144">
        <f>172721.84342-1000</f>
        <v>171721.84341999999</v>
      </c>
      <c r="H184" s="144">
        <v>690887.37368000008</v>
      </c>
      <c r="I184" s="142">
        <f t="shared" si="17"/>
        <v>862609.21710000001</v>
      </c>
      <c r="J184" s="203">
        <f t="shared" si="18"/>
        <v>83000</v>
      </c>
      <c r="K184" s="203">
        <f t="shared" si="23"/>
        <v>576000</v>
      </c>
      <c r="L184" s="203">
        <f t="shared" si="19"/>
        <v>659000</v>
      </c>
      <c r="M184" s="301">
        <f t="shared" si="21"/>
        <v>77190</v>
      </c>
      <c r="N184" s="301">
        <f t="shared" si="22"/>
        <v>535680</v>
      </c>
      <c r="O184" s="300">
        <f t="shared" si="20"/>
        <v>612870</v>
      </c>
    </row>
    <row r="185" spans="1:15" x14ac:dyDescent="0.25">
      <c r="A185" s="155">
        <v>175</v>
      </c>
      <c r="B185" s="159" t="s">
        <v>231</v>
      </c>
      <c r="C185" s="153" t="s">
        <v>153</v>
      </c>
      <c r="D185" s="173">
        <v>6000</v>
      </c>
      <c r="E185" s="173">
        <v>250000</v>
      </c>
      <c r="F185" s="174">
        <f t="shared" si="16"/>
        <v>256000</v>
      </c>
      <c r="G185" s="144">
        <f>5156.6366016-1000</f>
        <v>4156.6366016000002</v>
      </c>
      <c r="H185" s="144">
        <v>20626.546406400004</v>
      </c>
      <c r="I185" s="142">
        <f t="shared" si="17"/>
        <v>24783.183008000004</v>
      </c>
      <c r="J185" s="203">
        <f t="shared" si="18"/>
        <v>4156.6366016000002</v>
      </c>
      <c r="K185" s="203">
        <f t="shared" si="23"/>
        <v>250000</v>
      </c>
      <c r="L185" s="203">
        <f t="shared" si="19"/>
        <v>254156.63660160001</v>
      </c>
      <c r="M185" s="301">
        <f t="shared" si="21"/>
        <v>3865.6720394880003</v>
      </c>
      <c r="N185" s="301">
        <f t="shared" si="22"/>
        <v>232500</v>
      </c>
      <c r="O185" s="300">
        <f t="shared" si="20"/>
        <v>236365.67203948801</v>
      </c>
    </row>
    <row r="186" spans="1:15" x14ac:dyDescent="0.25">
      <c r="A186" s="155">
        <v>176</v>
      </c>
      <c r="B186" s="55" t="s">
        <v>339</v>
      </c>
      <c r="C186" s="153" t="s">
        <v>153</v>
      </c>
      <c r="D186" s="173">
        <v>18000</v>
      </c>
      <c r="E186" s="173">
        <v>53000</v>
      </c>
      <c r="F186" s="174">
        <f t="shared" si="16"/>
        <v>71000</v>
      </c>
      <c r="G186" s="144">
        <f>16430.4597599999-1000</f>
        <v>15430.4597599999</v>
      </c>
      <c r="H186" s="144">
        <v>65721.839040000006</v>
      </c>
      <c r="I186" s="142">
        <f t="shared" si="17"/>
        <v>81152.298799999902</v>
      </c>
      <c r="J186" s="203">
        <f t="shared" si="18"/>
        <v>15430.4597599999</v>
      </c>
      <c r="K186" s="203">
        <f t="shared" si="23"/>
        <v>53000</v>
      </c>
      <c r="L186" s="203">
        <f t="shared" si="19"/>
        <v>68430.459759999896</v>
      </c>
      <c r="M186" s="301">
        <f t="shared" si="21"/>
        <v>14350.327576799908</v>
      </c>
      <c r="N186" s="301">
        <f t="shared" si="22"/>
        <v>49290</v>
      </c>
      <c r="O186" s="300">
        <f t="shared" si="20"/>
        <v>63640.327576799908</v>
      </c>
    </row>
    <row r="187" spans="1:15" x14ac:dyDescent="0.25">
      <c r="A187" s="155">
        <v>177</v>
      </c>
      <c r="B187" s="55" t="s">
        <v>340</v>
      </c>
      <c r="C187" s="153" t="s">
        <v>153</v>
      </c>
      <c r="D187" s="173">
        <v>79000</v>
      </c>
      <c r="E187" s="173">
        <v>272000</v>
      </c>
      <c r="F187" s="174">
        <f t="shared" si="16"/>
        <v>351000</v>
      </c>
      <c r="G187" s="144">
        <f>71959.8053232153-1000</f>
        <v>70959.805323215303</v>
      </c>
      <c r="H187" s="144">
        <v>287839.22129286121</v>
      </c>
      <c r="I187" s="142">
        <f t="shared" si="17"/>
        <v>358799.02661607653</v>
      </c>
      <c r="J187" s="203">
        <f t="shared" si="18"/>
        <v>70959.805323215303</v>
      </c>
      <c r="K187" s="203">
        <f t="shared" si="23"/>
        <v>272000</v>
      </c>
      <c r="L187" s="203">
        <f t="shared" si="19"/>
        <v>342959.80532321532</v>
      </c>
      <c r="M187" s="301">
        <f t="shared" si="21"/>
        <v>65992.618950590229</v>
      </c>
      <c r="N187" s="301">
        <f t="shared" si="22"/>
        <v>252960</v>
      </c>
      <c r="O187" s="300">
        <f t="shared" si="20"/>
        <v>318952.61895059026</v>
      </c>
    </row>
    <row r="188" spans="1:15" x14ac:dyDescent="0.25">
      <c r="A188" s="155">
        <v>178</v>
      </c>
      <c r="B188" s="152" t="s">
        <v>341</v>
      </c>
      <c r="C188" s="153" t="s">
        <v>153</v>
      </c>
      <c r="D188" s="173">
        <v>179000</v>
      </c>
      <c r="E188" s="173">
        <v>128000</v>
      </c>
      <c r="F188" s="174">
        <f t="shared" si="16"/>
        <v>307000</v>
      </c>
      <c r="G188" s="144">
        <f>162827.006501405-1000</f>
        <v>161827.00650140501</v>
      </c>
      <c r="H188" s="144">
        <v>651308.02600561827</v>
      </c>
      <c r="I188" s="142">
        <f t="shared" si="17"/>
        <v>813135.03250702331</v>
      </c>
      <c r="J188" s="203">
        <f t="shared" si="18"/>
        <v>161827.00650140501</v>
      </c>
      <c r="K188" s="203">
        <f t="shared" si="23"/>
        <v>128000</v>
      </c>
      <c r="L188" s="203">
        <f t="shared" si="19"/>
        <v>289827.00650140503</v>
      </c>
      <c r="M188" s="301">
        <f t="shared" si="21"/>
        <v>150499.11604630665</v>
      </c>
      <c r="N188" s="301">
        <f t="shared" si="22"/>
        <v>119040</v>
      </c>
      <c r="O188" s="300">
        <f t="shared" si="20"/>
        <v>269539.11604630668</v>
      </c>
    </row>
    <row r="189" spans="1:15" ht="22.5" x14ac:dyDescent="0.25">
      <c r="A189" s="155"/>
      <c r="B189" s="163" t="s">
        <v>44</v>
      </c>
      <c r="C189" s="157"/>
      <c r="D189" s="173">
        <v>0</v>
      </c>
      <c r="E189" s="173">
        <v>0</v>
      </c>
      <c r="F189" s="174">
        <f t="shared" si="16"/>
        <v>0</v>
      </c>
      <c r="G189" s="143"/>
      <c r="H189" s="144"/>
      <c r="I189" s="142">
        <f t="shared" si="17"/>
        <v>0</v>
      </c>
      <c r="J189" s="203">
        <f t="shared" si="18"/>
        <v>0</v>
      </c>
      <c r="K189" s="203">
        <f t="shared" si="23"/>
        <v>0</v>
      </c>
      <c r="L189" s="203">
        <f t="shared" si="19"/>
        <v>0</v>
      </c>
      <c r="M189" s="301">
        <f t="shared" si="21"/>
        <v>0</v>
      </c>
      <c r="N189" s="301">
        <f t="shared" si="22"/>
        <v>0</v>
      </c>
      <c r="O189" s="300">
        <f t="shared" si="20"/>
        <v>0</v>
      </c>
    </row>
    <row r="190" spans="1:15" x14ac:dyDescent="0.25">
      <c r="A190" s="155">
        <v>179</v>
      </c>
      <c r="B190" s="58" t="s">
        <v>86</v>
      </c>
      <c r="C190" s="153" t="s">
        <v>153</v>
      </c>
      <c r="D190" s="173">
        <v>29000</v>
      </c>
      <c r="E190" s="173">
        <v>86000</v>
      </c>
      <c r="F190" s="174">
        <f t="shared" si="16"/>
        <v>115000</v>
      </c>
      <c r="G190" s="144">
        <f>26298.4302697544-1000</f>
        <v>25298.430269754401</v>
      </c>
      <c r="H190" s="144">
        <v>105193.72107901769</v>
      </c>
      <c r="I190" s="142">
        <f t="shared" si="17"/>
        <v>130492.15134877209</v>
      </c>
      <c r="J190" s="203">
        <f t="shared" si="18"/>
        <v>25298.430269754401</v>
      </c>
      <c r="K190" s="203">
        <f t="shared" si="23"/>
        <v>86000</v>
      </c>
      <c r="L190" s="203">
        <f t="shared" si="19"/>
        <v>111298.4302697544</v>
      </c>
      <c r="M190" s="301">
        <f t="shared" si="21"/>
        <v>23527.540150871591</v>
      </c>
      <c r="N190" s="301">
        <f t="shared" si="22"/>
        <v>79980</v>
      </c>
      <c r="O190" s="300">
        <f t="shared" si="20"/>
        <v>103507.54015087159</v>
      </c>
    </row>
    <row r="191" spans="1:15" x14ac:dyDescent="0.25">
      <c r="A191" s="155">
        <v>180</v>
      </c>
      <c r="B191" s="159" t="s">
        <v>45</v>
      </c>
      <c r="C191" s="153" t="s">
        <v>153</v>
      </c>
      <c r="D191" s="173">
        <v>183000</v>
      </c>
      <c r="E191" s="173">
        <v>573000</v>
      </c>
      <c r="F191" s="174">
        <f t="shared" si="16"/>
        <v>756000</v>
      </c>
      <c r="G191" s="144">
        <f>166182.12401315-1000</f>
        <v>165182.12401314999</v>
      </c>
      <c r="H191" s="144">
        <v>664728.4960525987</v>
      </c>
      <c r="I191" s="142">
        <f t="shared" si="17"/>
        <v>829910.62006574869</v>
      </c>
      <c r="J191" s="203">
        <f t="shared" si="18"/>
        <v>165182.12401314999</v>
      </c>
      <c r="K191" s="203">
        <f t="shared" si="23"/>
        <v>573000</v>
      </c>
      <c r="L191" s="203">
        <f t="shared" si="19"/>
        <v>738182.12401314999</v>
      </c>
      <c r="M191" s="301">
        <f t="shared" si="21"/>
        <v>153619.37533222948</v>
      </c>
      <c r="N191" s="301">
        <f t="shared" si="22"/>
        <v>532890</v>
      </c>
      <c r="O191" s="300">
        <f t="shared" si="20"/>
        <v>686509.37533222954</v>
      </c>
    </row>
    <row r="192" spans="1:15" x14ac:dyDescent="0.25">
      <c r="A192" s="155">
        <v>181</v>
      </c>
      <c r="B192" s="164" t="s">
        <v>243</v>
      </c>
      <c r="C192" s="153" t="s">
        <v>153</v>
      </c>
      <c r="D192" s="173">
        <v>113000</v>
      </c>
      <c r="E192" s="173">
        <v>388000</v>
      </c>
      <c r="F192" s="174">
        <f t="shared" si="16"/>
        <v>501000</v>
      </c>
      <c r="G192" s="144">
        <f>102458.65219759-1000</f>
        <v>101458.65219759</v>
      </c>
      <c r="H192" s="144">
        <v>409834.6087903608</v>
      </c>
      <c r="I192" s="142">
        <f t="shared" si="17"/>
        <v>511293.26098795078</v>
      </c>
      <c r="J192" s="203">
        <f t="shared" si="18"/>
        <v>101458.65219759</v>
      </c>
      <c r="K192" s="203">
        <f t="shared" si="23"/>
        <v>388000</v>
      </c>
      <c r="L192" s="203">
        <f t="shared" si="19"/>
        <v>489458.65219758998</v>
      </c>
      <c r="M192" s="301">
        <f t="shared" si="21"/>
        <v>94356.546543758697</v>
      </c>
      <c r="N192" s="301">
        <f t="shared" si="22"/>
        <v>360840</v>
      </c>
      <c r="O192" s="300">
        <f t="shared" si="20"/>
        <v>455196.54654375871</v>
      </c>
    </row>
    <row r="193" spans="1:15" x14ac:dyDescent="0.25">
      <c r="A193" s="155">
        <v>182</v>
      </c>
      <c r="B193" s="159" t="s">
        <v>46</v>
      </c>
      <c r="C193" s="153" t="s">
        <v>153</v>
      </c>
      <c r="D193" s="173">
        <v>23000</v>
      </c>
      <c r="E193" s="173">
        <v>74000</v>
      </c>
      <c r="F193" s="174">
        <f t="shared" si="16"/>
        <v>97000</v>
      </c>
      <c r="G193" s="144">
        <f>20634.5508785142-1000</f>
        <v>19634.550878514201</v>
      </c>
      <c r="H193" s="144">
        <v>82538.203514056688</v>
      </c>
      <c r="I193" s="142">
        <f t="shared" si="17"/>
        <v>102172.75439257089</v>
      </c>
      <c r="J193" s="203">
        <f t="shared" si="18"/>
        <v>19634.550878514201</v>
      </c>
      <c r="K193" s="203">
        <f t="shared" si="23"/>
        <v>74000</v>
      </c>
      <c r="L193" s="203">
        <f t="shared" si="19"/>
        <v>93634.550878514201</v>
      </c>
      <c r="M193" s="301">
        <f t="shared" si="21"/>
        <v>18260.132317018208</v>
      </c>
      <c r="N193" s="301">
        <f t="shared" si="22"/>
        <v>68820</v>
      </c>
      <c r="O193" s="300">
        <f t="shared" si="20"/>
        <v>87080.1323170182</v>
      </c>
    </row>
    <row r="194" spans="1:15" x14ac:dyDescent="0.25">
      <c r="A194" s="155">
        <v>183</v>
      </c>
      <c r="B194" s="58" t="s">
        <v>87</v>
      </c>
      <c r="C194" s="153" t="s">
        <v>153</v>
      </c>
      <c r="D194" s="173">
        <v>24000</v>
      </c>
      <c r="E194" s="173">
        <v>79000</v>
      </c>
      <c r="F194" s="174">
        <f t="shared" si="16"/>
        <v>103000</v>
      </c>
      <c r="G194" s="144">
        <f>22010.1876037484-1000</f>
        <v>21010.1876037484</v>
      </c>
      <c r="H194" s="144">
        <v>88040.750414993789</v>
      </c>
      <c r="I194" s="142">
        <f t="shared" si="17"/>
        <v>109050.93801874219</v>
      </c>
      <c r="J194" s="203">
        <f t="shared" si="18"/>
        <v>21010.1876037484</v>
      </c>
      <c r="K194" s="203">
        <f t="shared" si="23"/>
        <v>79000</v>
      </c>
      <c r="L194" s="203">
        <f t="shared" si="19"/>
        <v>100010.1876037484</v>
      </c>
      <c r="M194" s="301">
        <f t="shared" si="21"/>
        <v>19539.474471486013</v>
      </c>
      <c r="N194" s="301">
        <f t="shared" si="22"/>
        <v>73470</v>
      </c>
      <c r="O194" s="300">
        <f t="shared" si="20"/>
        <v>93009.474471486013</v>
      </c>
    </row>
    <row r="195" spans="1:15" x14ac:dyDescent="0.25">
      <c r="A195" s="155">
        <v>184</v>
      </c>
      <c r="B195" s="55" t="s">
        <v>129</v>
      </c>
      <c r="C195" s="153" t="s">
        <v>153</v>
      </c>
      <c r="D195" s="173">
        <v>56000</v>
      </c>
      <c r="E195" s="173">
        <v>193000</v>
      </c>
      <c r="F195" s="174">
        <f t="shared" si="16"/>
        <v>249000</v>
      </c>
      <c r="G195" s="144">
        <f>51058.4683491564-1000</f>
        <v>50058.468349156399</v>
      </c>
      <c r="H195" s="144">
        <v>204233.87339662566</v>
      </c>
      <c r="I195" s="142">
        <f t="shared" si="17"/>
        <v>254292.34174578206</v>
      </c>
      <c r="J195" s="203">
        <f t="shared" si="18"/>
        <v>50058.468349156399</v>
      </c>
      <c r="K195" s="203">
        <f t="shared" si="23"/>
        <v>193000</v>
      </c>
      <c r="L195" s="203">
        <f t="shared" si="19"/>
        <v>243058.46834915641</v>
      </c>
      <c r="M195" s="301">
        <f t="shared" si="21"/>
        <v>46554.375564715454</v>
      </c>
      <c r="N195" s="301">
        <f t="shared" si="22"/>
        <v>179490</v>
      </c>
      <c r="O195" s="300">
        <f t="shared" si="20"/>
        <v>226044.37556471545</v>
      </c>
    </row>
    <row r="196" spans="1:15" ht="22.5" x14ac:dyDescent="0.25">
      <c r="A196" s="155"/>
      <c r="B196" s="163" t="s">
        <v>59</v>
      </c>
      <c r="C196" s="157"/>
      <c r="D196" s="173">
        <v>0</v>
      </c>
      <c r="E196" s="173">
        <v>0</v>
      </c>
      <c r="F196" s="174">
        <f t="shared" si="16"/>
        <v>0</v>
      </c>
      <c r="G196" s="143"/>
      <c r="H196" s="144"/>
      <c r="I196" s="142">
        <f t="shared" si="17"/>
        <v>0</v>
      </c>
      <c r="J196" s="203">
        <f t="shared" si="18"/>
        <v>0</v>
      </c>
      <c r="K196" s="203">
        <f t="shared" si="23"/>
        <v>0</v>
      </c>
      <c r="L196" s="203">
        <f t="shared" si="19"/>
        <v>0</v>
      </c>
      <c r="M196" s="301">
        <f t="shared" si="21"/>
        <v>0</v>
      </c>
      <c r="N196" s="301">
        <f t="shared" si="22"/>
        <v>0</v>
      </c>
      <c r="O196" s="300">
        <f t="shared" si="20"/>
        <v>0</v>
      </c>
    </row>
    <row r="197" spans="1:15" x14ac:dyDescent="0.25">
      <c r="A197" s="155">
        <v>185</v>
      </c>
      <c r="B197" s="159" t="s">
        <v>60</v>
      </c>
      <c r="C197" s="153" t="s">
        <v>153</v>
      </c>
      <c r="D197" s="173">
        <v>52000</v>
      </c>
      <c r="E197" s="173">
        <v>178000</v>
      </c>
      <c r="F197" s="174">
        <f t="shared" ref="F197:F245" si="25">(D197+E197)</f>
        <v>230000</v>
      </c>
      <c r="G197" s="144">
        <f>47188.954500864-1000</f>
        <v>46188.954500863998</v>
      </c>
      <c r="H197" s="144">
        <v>188755.81800345599</v>
      </c>
      <c r="I197" s="142">
        <f t="shared" ref="I197:I222" si="26">G197+H197</f>
        <v>234944.77250431999</v>
      </c>
      <c r="J197" s="203">
        <f t="shared" ref="J197:J246" si="27">MIN(D197,G197)</f>
        <v>46188.954500863998</v>
      </c>
      <c r="K197" s="203">
        <f t="shared" si="23"/>
        <v>178000</v>
      </c>
      <c r="L197" s="203">
        <f t="shared" ref="L197:L246" si="28">J197+K197</f>
        <v>224188.954500864</v>
      </c>
      <c r="M197" s="301">
        <f t="shared" si="21"/>
        <v>42955.727685803518</v>
      </c>
      <c r="N197" s="301">
        <f t="shared" si="22"/>
        <v>165540</v>
      </c>
      <c r="O197" s="300">
        <f t="shared" ref="O197:O245" si="29">N197+M197</f>
        <v>208495.72768580352</v>
      </c>
    </row>
    <row r="198" spans="1:15" x14ac:dyDescent="0.25">
      <c r="A198" s="155">
        <v>186</v>
      </c>
      <c r="B198" s="159" t="s">
        <v>131</v>
      </c>
      <c r="C198" s="153" t="s">
        <v>153</v>
      </c>
      <c r="D198" s="173">
        <v>11000</v>
      </c>
      <c r="E198" s="173">
        <v>36000</v>
      </c>
      <c r="F198" s="174">
        <f t="shared" si="25"/>
        <v>47000</v>
      </c>
      <c r="G198" s="144">
        <f>9934.64716072752-1000</f>
        <v>8934.6471607275198</v>
      </c>
      <c r="H198" s="144">
        <v>39738.588642910094</v>
      </c>
      <c r="I198" s="142">
        <f t="shared" si="26"/>
        <v>48673.23580363761</v>
      </c>
      <c r="J198" s="203">
        <f t="shared" si="27"/>
        <v>8934.6471607275198</v>
      </c>
      <c r="K198" s="203">
        <f t="shared" si="23"/>
        <v>36000</v>
      </c>
      <c r="L198" s="203">
        <f t="shared" si="28"/>
        <v>44934.647160727516</v>
      </c>
      <c r="M198" s="301">
        <f t="shared" ref="M198:M245" si="30">J198-(J198*7%)</f>
        <v>8309.2218594765927</v>
      </c>
      <c r="N198" s="301">
        <f t="shared" ref="N198:N245" si="31">K198-(K198*7%)</f>
        <v>33480</v>
      </c>
      <c r="O198" s="300">
        <f t="shared" si="29"/>
        <v>41789.221859476595</v>
      </c>
    </row>
    <row r="199" spans="1:15" x14ac:dyDescent="0.25">
      <c r="A199" s="155">
        <v>187</v>
      </c>
      <c r="B199" s="159" t="s">
        <v>244</v>
      </c>
      <c r="C199" s="153" t="s">
        <v>153</v>
      </c>
      <c r="D199" s="173">
        <v>24000</v>
      </c>
      <c r="E199" s="173">
        <v>78000</v>
      </c>
      <c r="F199" s="174">
        <f t="shared" si="25"/>
        <v>102000</v>
      </c>
      <c r="G199" s="144">
        <f>21915.7055568-1000</f>
        <v>20915.7055568</v>
      </c>
      <c r="H199" s="144">
        <v>87662.822227200013</v>
      </c>
      <c r="I199" s="142">
        <f t="shared" si="26"/>
        <v>108578.52778400001</v>
      </c>
      <c r="J199" s="203">
        <f t="shared" si="27"/>
        <v>20915.7055568</v>
      </c>
      <c r="K199" s="203">
        <f t="shared" si="23"/>
        <v>78000</v>
      </c>
      <c r="L199" s="203">
        <f t="shared" si="28"/>
        <v>98915.705556800007</v>
      </c>
      <c r="M199" s="301">
        <f t="shared" si="30"/>
        <v>19451.606167824</v>
      </c>
      <c r="N199" s="301">
        <f t="shared" si="31"/>
        <v>72540</v>
      </c>
      <c r="O199" s="300">
        <f t="shared" si="29"/>
        <v>91991.606167824008</v>
      </c>
    </row>
    <row r="200" spans="1:15" x14ac:dyDescent="0.25">
      <c r="A200" s="155">
        <v>188</v>
      </c>
      <c r="B200" s="159" t="s">
        <v>61</v>
      </c>
      <c r="C200" s="153" t="s">
        <v>153</v>
      </c>
      <c r="D200" s="173">
        <v>16000</v>
      </c>
      <c r="E200" s="173">
        <v>52000</v>
      </c>
      <c r="F200" s="174">
        <f t="shared" si="25"/>
        <v>68000</v>
      </c>
      <c r="G200" s="144">
        <f>14438.58248448-1000</f>
        <v>13438.582484480001</v>
      </c>
      <c r="H200" s="144">
        <v>57754.329937920011</v>
      </c>
      <c r="I200" s="142">
        <f t="shared" si="26"/>
        <v>71192.912422400012</v>
      </c>
      <c r="J200" s="203">
        <f t="shared" si="27"/>
        <v>13438.582484480001</v>
      </c>
      <c r="K200" s="203">
        <f t="shared" si="23"/>
        <v>52000</v>
      </c>
      <c r="L200" s="203">
        <f t="shared" si="28"/>
        <v>65438.582484480001</v>
      </c>
      <c r="M200" s="301">
        <f t="shared" si="30"/>
        <v>12497.8817105664</v>
      </c>
      <c r="N200" s="301">
        <f t="shared" si="31"/>
        <v>48360</v>
      </c>
      <c r="O200" s="300">
        <f t="shared" si="29"/>
        <v>60857.881710566398</v>
      </c>
    </row>
    <row r="201" spans="1:15" x14ac:dyDescent="0.25">
      <c r="A201" s="155">
        <v>189</v>
      </c>
      <c r="B201" s="159" t="s">
        <v>118</v>
      </c>
      <c r="C201" s="153" t="s">
        <v>153</v>
      </c>
      <c r="D201" s="173">
        <v>54000</v>
      </c>
      <c r="E201" s="173">
        <v>168000</v>
      </c>
      <c r="F201" s="174">
        <f t="shared" si="25"/>
        <v>222000</v>
      </c>
      <c r="G201" s="144">
        <f>48815.1916444017-1000</f>
        <v>47815.191644401697</v>
      </c>
      <c r="H201" s="144">
        <v>195260.76657760711</v>
      </c>
      <c r="I201" s="142">
        <f t="shared" si="26"/>
        <v>243075.95822200881</v>
      </c>
      <c r="J201" s="203">
        <f t="shared" si="27"/>
        <v>47815.191644401697</v>
      </c>
      <c r="K201" s="203">
        <f t="shared" si="23"/>
        <v>168000</v>
      </c>
      <c r="L201" s="203">
        <f t="shared" si="28"/>
        <v>215815.1916444017</v>
      </c>
      <c r="M201" s="301">
        <f t="shared" si="30"/>
        <v>44468.128229293579</v>
      </c>
      <c r="N201" s="301">
        <f t="shared" si="31"/>
        <v>156240</v>
      </c>
      <c r="O201" s="300">
        <f t="shared" si="29"/>
        <v>200708.12822929356</v>
      </c>
    </row>
    <row r="202" spans="1:15" x14ac:dyDescent="0.25">
      <c r="A202" s="155">
        <v>190</v>
      </c>
      <c r="B202" s="159" t="s">
        <v>321</v>
      </c>
      <c r="C202" s="153" t="s">
        <v>153</v>
      </c>
      <c r="D202" s="173">
        <v>53000</v>
      </c>
      <c r="E202" s="173">
        <v>183000</v>
      </c>
      <c r="F202" s="174">
        <f t="shared" si="25"/>
        <v>236000</v>
      </c>
      <c r="G202" s="144">
        <f>48262.2909356429-1000</f>
        <v>47262.290935642901</v>
      </c>
      <c r="H202" s="144">
        <v>193049.16374257184</v>
      </c>
      <c r="I202" s="142">
        <f t="shared" si="26"/>
        <v>240311.45467821474</v>
      </c>
      <c r="J202" s="203">
        <f t="shared" si="27"/>
        <v>47262.290935642901</v>
      </c>
      <c r="K202" s="203">
        <f t="shared" si="23"/>
        <v>183000</v>
      </c>
      <c r="L202" s="203">
        <f t="shared" si="28"/>
        <v>230262.2909356429</v>
      </c>
      <c r="M202" s="301">
        <f t="shared" si="30"/>
        <v>43953.930570147895</v>
      </c>
      <c r="N202" s="301">
        <f t="shared" si="31"/>
        <v>170190</v>
      </c>
      <c r="O202" s="300">
        <f t="shared" si="29"/>
        <v>214143.9305701479</v>
      </c>
    </row>
    <row r="203" spans="1:15" x14ac:dyDescent="0.25">
      <c r="A203" s="155">
        <v>191</v>
      </c>
      <c r="B203" s="159" t="s">
        <v>104</v>
      </c>
      <c r="C203" s="153" t="s">
        <v>153</v>
      </c>
      <c r="D203" s="173">
        <v>51000</v>
      </c>
      <c r="E203" s="173">
        <v>176000</v>
      </c>
      <c r="F203" s="174">
        <f t="shared" si="25"/>
        <v>227000</v>
      </c>
      <c r="G203" s="144">
        <f>46590.768-1000</f>
        <v>45590.767999999996</v>
      </c>
      <c r="H203" s="144">
        <v>186363.07200000001</v>
      </c>
      <c r="I203" s="142">
        <f t="shared" si="26"/>
        <v>231953.84000000003</v>
      </c>
      <c r="J203" s="203">
        <f t="shared" si="27"/>
        <v>45590.767999999996</v>
      </c>
      <c r="K203" s="203">
        <f t="shared" ref="K203:K245" si="32">MIN(E203)</f>
        <v>176000</v>
      </c>
      <c r="L203" s="203">
        <f t="shared" si="28"/>
        <v>221590.76799999998</v>
      </c>
      <c r="M203" s="301">
        <f t="shared" si="30"/>
        <v>42399.414239999998</v>
      </c>
      <c r="N203" s="301">
        <f t="shared" si="31"/>
        <v>163680</v>
      </c>
      <c r="O203" s="300">
        <f t="shared" si="29"/>
        <v>206079.41424000001</v>
      </c>
    </row>
    <row r="204" spans="1:15" x14ac:dyDescent="0.25">
      <c r="A204" s="155">
        <v>192</v>
      </c>
      <c r="B204" s="159" t="s">
        <v>247</v>
      </c>
      <c r="C204" s="153" t="s">
        <v>153</v>
      </c>
      <c r="D204" s="173">
        <v>5000</v>
      </c>
      <c r="E204" s="173">
        <v>15000</v>
      </c>
      <c r="F204" s="174">
        <f t="shared" si="25"/>
        <v>20000</v>
      </c>
      <c r="G204" s="144">
        <f>4500-500</f>
        <v>4000</v>
      </c>
      <c r="H204" s="144">
        <v>18000</v>
      </c>
      <c r="I204" s="142">
        <f t="shared" si="26"/>
        <v>22000</v>
      </c>
      <c r="J204" s="203">
        <f t="shared" si="27"/>
        <v>4000</v>
      </c>
      <c r="K204" s="203">
        <f t="shared" si="32"/>
        <v>15000</v>
      </c>
      <c r="L204" s="203">
        <f t="shared" si="28"/>
        <v>19000</v>
      </c>
      <c r="M204" s="301">
        <f t="shared" si="30"/>
        <v>3720</v>
      </c>
      <c r="N204" s="301">
        <f t="shared" si="31"/>
        <v>13950</v>
      </c>
      <c r="O204" s="300">
        <f t="shared" si="29"/>
        <v>17670</v>
      </c>
    </row>
    <row r="205" spans="1:15" x14ac:dyDescent="0.25">
      <c r="A205" s="155">
        <v>193</v>
      </c>
      <c r="B205" s="159" t="s">
        <v>248</v>
      </c>
      <c r="C205" s="153" t="s">
        <v>153</v>
      </c>
      <c r="D205" s="173">
        <v>10000</v>
      </c>
      <c r="E205" s="173">
        <v>29000</v>
      </c>
      <c r="F205" s="174">
        <f t="shared" si="25"/>
        <v>39000</v>
      </c>
      <c r="G205" s="144">
        <f>8848.43691074612-500</f>
        <v>8348.4369107461207</v>
      </c>
      <c r="H205" s="144">
        <v>35393.74764298449</v>
      </c>
      <c r="I205" s="142">
        <f t="shared" si="26"/>
        <v>43742.184553730607</v>
      </c>
      <c r="J205" s="203">
        <f t="shared" si="27"/>
        <v>8348.4369107461207</v>
      </c>
      <c r="K205" s="203">
        <f t="shared" si="32"/>
        <v>29000</v>
      </c>
      <c r="L205" s="203">
        <f t="shared" si="28"/>
        <v>37348.436910746124</v>
      </c>
      <c r="M205" s="301">
        <f t="shared" si="30"/>
        <v>7764.0463269938919</v>
      </c>
      <c r="N205" s="301">
        <f t="shared" si="31"/>
        <v>26970</v>
      </c>
      <c r="O205" s="300">
        <f t="shared" si="29"/>
        <v>34734.046326993892</v>
      </c>
    </row>
    <row r="206" spans="1:15" x14ac:dyDescent="0.25">
      <c r="A206" s="155">
        <v>194</v>
      </c>
      <c r="B206" s="159" t="s">
        <v>249</v>
      </c>
      <c r="C206" s="153" t="s">
        <v>153</v>
      </c>
      <c r="D206" s="173">
        <v>8000</v>
      </c>
      <c r="E206" s="173">
        <v>26000</v>
      </c>
      <c r="F206" s="174">
        <f t="shared" si="25"/>
        <v>34000</v>
      </c>
      <c r="G206" s="144">
        <f>7333.68006-1000</f>
        <v>6333.6800599999997</v>
      </c>
      <c r="H206" s="144">
        <v>29334.720240000002</v>
      </c>
      <c r="I206" s="142">
        <f t="shared" si="26"/>
        <v>35668.400300000001</v>
      </c>
      <c r="J206" s="203">
        <f t="shared" si="27"/>
        <v>6333.6800599999997</v>
      </c>
      <c r="K206" s="203">
        <f t="shared" si="32"/>
        <v>26000</v>
      </c>
      <c r="L206" s="203">
        <f t="shared" si="28"/>
        <v>32333.680059999999</v>
      </c>
      <c r="M206" s="301">
        <f t="shared" si="30"/>
        <v>5890.3224557999993</v>
      </c>
      <c r="N206" s="301">
        <f t="shared" si="31"/>
        <v>24180</v>
      </c>
      <c r="O206" s="300">
        <f t="shared" si="29"/>
        <v>30070.3224558</v>
      </c>
    </row>
    <row r="207" spans="1:15" ht="22.5" x14ac:dyDescent="0.25">
      <c r="A207" s="155"/>
      <c r="B207" s="165" t="s">
        <v>47</v>
      </c>
      <c r="C207" s="157"/>
      <c r="D207" s="173">
        <v>0</v>
      </c>
      <c r="E207" s="173">
        <v>0</v>
      </c>
      <c r="F207" s="174">
        <f t="shared" si="25"/>
        <v>0</v>
      </c>
      <c r="G207" s="143"/>
      <c r="H207" s="144"/>
      <c r="I207" s="142">
        <f t="shared" si="26"/>
        <v>0</v>
      </c>
      <c r="J207" s="203">
        <f t="shared" si="27"/>
        <v>0</v>
      </c>
      <c r="K207" s="203">
        <f t="shared" si="32"/>
        <v>0</v>
      </c>
      <c r="L207" s="203">
        <f t="shared" si="28"/>
        <v>0</v>
      </c>
      <c r="M207" s="301">
        <f t="shared" si="30"/>
        <v>0</v>
      </c>
      <c r="N207" s="301">
        <f t="shared" si="31"/>
        <v>0</v>
      </c>
      <c r="O207" s="300">
        <f t="shared" si="29"/>
        <v>0</v>
      </c>
    </row>
    <row r="208" spans="1:15" x14ac:dyDescent="0.25">
      <c r="A208" s="155">
        <v>195</v>
      </c>
      <c r="B208" s="159" t="s">
        <v>48</v>
      </c>
      <c r="C208" s="153" t="s">
        <v>153</v>
      </c>
      <c r="D208" s="173">
        <v>188000</v>
      </c>
      <c r="E208" s="173">
        <v>590000</v>
      </c>
      <c r="F208" s="174">
        <f t="shared" si="25"/>
        <v>778000</v>
      </c>
      <c r="G208" s="144">
        <f>171101.212244571-1000</f>
        <v>170101.21224457101</v>
      </c>
      <c r="H208" s="144">
        <v>684404.84897828428</v>
      </c>
      <c r="I208" s="142">
        <f t="shared" si="26"/>
        <v>854506.06122285523</v>
      </c>
      <c r="J208" s="203">
        <f t="shared" si="27"/>
        <v>170101.21224457101</v>
      </c>
      <c r="K208" s="203">
        <f t="shared" si="32"/>
        <v>590000</v>
      </c>
      <c r="L208" s="203">
        <f t="shared" si="28"/>
        <v>760101.21224457095</v>
      </c>
      <c r="M208" s="301">
        <f t="shared" si="30"/>
        <v>158194.12738745104</v>
      </c>
      <c r="N208" s="301">
        <f t="shared" si="31"/>
        <v>548700</v>
      </c>
      <c r="O208" s="300">
        <f t="shared" si="29"/>
        <v>706894.12738745101</v>
      </c>
    </row>
    <row r="209" spans="1:15" x14ac:dyDescent="0.25">
      <c r="A209" s="155">
        <v>196</v>
      </c>
      <c r="B209" s="159" t="s">
        <v>49</v>
      </c>
      <c r="C209" s="153" t="s">
        <v>153</v>
      </c>
      <c r="D209" s="173">
        <v>129000</v>
      </c>
      <c r="E209" s="173">
        <v>422000</v>
      </c>
      <c r="F209" s="174">
        <f t="shared" si="25"/>
        <v>551000</v>
      </c>
      <c r="G209" s="144">
        <f>116937.3503424-1000</f>
        <v>115937.35034239999</v>
      </c>
      <c r="H209" s="144">
        <v>467749.40136960003</v>
      </c>
      <c r="I209" s="142">
        <f t="shared" si="26"/>
        <v>583686.751712</v>
      </c>
      <c r="J209" s="203">
        <f t="shared" si="27"/>
        <v>115937.35034239999</v>
      </c>
      <c r="K209" s="203">
        <f t="shared" si="32"/>
        <v>422000</v>
      </c>
      <c r="L209" s="203">
        <f t="shared" si="28"/>
        <v>537937.35034240002</v>
      </c>
      <c r="M209" s="301">
        <f t="shared" si="30"/>
        <v>107821.73581843199</v>
      </c>
      <c r="N209" s="301">
        <f t="shared" si="31"/>
        <v>392460</v>
      </c>
      <c r="O209" s="300">
        <f t="shared" si="29"/>
        <v>500281.735818432</v>
      </c>
    </row>
    <row r="210" spans="1:15" x14ac:dyDescent="0.25">
      <c r="A210" s="155">
        <v>197</v>
      </c>
      <c r="B210" s="159" t="s">
        <v>322</v>
      </c>
      <c r="C210" s="153" t="s">
        <v>153</v>
      </c>
      <c r="D210" s="173">
        <v>32000</v>
      </c>
      <c r="E210" s="173">
        <v>103000</v>
      </c>
      <c r="F210" s="174">
        <f t="shared" si="25"/>
        <v>135000</v>
      </c>
      <c r="G210" s="144">
        <f>28762.7279811717-1000</f>
        <v>27762.727981171702</v>
      </c>
      <c r="H210" s="144">
        <v>115050.91192468675</v>
      </c>
      <c r="I210" s="142">
        <f t="shared" si="26"/>
        <v>142813.63990585844</v>
      </c>
      <c r="J210" s="203">
        <f t="shared" si="27"/>
        <v>27762.727981171702</v>
      </c>
      <c r="K210" s="203">
        <f t="shared" si="32"/>
        <v>103000</v>
      </c>
      <c r="L210" s="203">
        <f t="shared" si="28"/>
        <v>130762.7279811717</v>
      </c>
      <c r="M210" s="301">
        <f t="shared" si="30"/>
        <v>25819.337022489683</v>
      </c>
      <c r="N210" s="301">
        <f t="shared" si="31"/>
        <v>95790</v>
      </c>
      <c r="O210" s="300">
        <f t="shared" si="29"/>
        <v>121609.33702248968</v>
      </c>
    </row>
    <row r="211" spans="1:15" x14ac:dyDescent="0.25">
      <c r="A211" s="155">
        <v>198</v>
      </c>
      <c r="B211" s="159" t="s">
        <v>50</v>
      </c>
      <c r="C211" s="153" t="s">
        <v>153</v>
      </c>
      <c r="D211" s="173">
        <v>32000</v>
      </c>
      <c r="E211" s="173">
        <v>103000</v>
      </c>
      <c r="F211" s="174">
        <f t="shared" si="25"/>
        <v>135000</v>
      </c>
      <c r="G211" s="144">
        <f>28762.7279811717-1000</f>
        <v>27762.727981171702</v>
      </c>
      <c r="H211" s="144">
        <v>115050.91192468675</v>
      </c>
      <c r="I211" s="142">
        <f t="shared" si="26"/>
        <v>142813.63990585844</v>
      </c>
      <c r="J211" s="203">
        <f t="shared" si="27"/>
        <v>27762.727981171702</v>
      </c>
      <c r="K211" s="203">
        <f t="shared" si="32"/>
        <v>103000</v>
      </c>
      <c r="L211" s="203">
        <f t="shared" si="28"/>
        <v>130762.7279811717</v>
      </c>
      <c r="M211" s="301">
        <f t="shared" si="30"/>
        <v>25819.337022489683</v>
      </c>
      <c r="N211" s="301">
        <f t="shared" si="31"/>
        <v>95790</v>
      </c>
      <c r="O211" s="300">
        <f t="shared" si="29"/>
        <v>121609.33702248968</v>
      </c>
    </row>
    <row r="212" spans="1:15" x14ac:dyDescent="0.25">
      <c r="A212" s="155">
        <v>199</v>
      </c>
      <c r="B212" s="159" t="s">
        <v>51</v>
      </c>
      <c r="C212" s="153" t="s">
        <v>153</v>
      </c>
      <c r="D212" s="173">
        <v>64000</v>
      </c>
      <c r="E212" s="173">
        <v>201000</v>
      </c>
      <c r="F212" s="174">
        <f t="shared" si="25"/>
        <v>265000</v>
      </c>
      <c r="G212" s="144">
        <f>58377.3658251247-1000</f>
        <v>57377.365825124703</v>
      </c>
      <c r="H212" s="144">
        <v>233509.46330049867</v>
      </c>
      <c r="I212" s="142">
        <f t="shared" si="26"/>
        <v>290886.82912562339</v>
      </c>
      <c r="J212" s="203">
        <f t="shared" si="27"/>
        <v>57377.365825124703</v>
      </c>
      <c r="K212" s="203">
        <f t="shared" si="32"/>
        <v>201000</v>
      </c>
      <c r="L212" s="203">
        <f t="shared" si="28"/>
        <v>258377.3658251247</v>
      </c>
      <c r="M212" s="301">
        <f t="shared" si="30"/>
        <v>53360.950217365971</v>
      </c>
      <c r="N212" s="301">
        <f t="shared" si="31"/>
        <v>186930</v>
      </c>
      <c r="O212" s="300">
        <f t="shared" si="29"/>
        <v>240290.95021736599</v>
      </c>
    </row>
    <row r="213" spans="1:15" x14ac:dyDescent="0.25">
      <c r="A213" s="155">
        <v>200</v>
      </c>
      <c r="B213" s="159" t="s">
        <v>52</v>
      </c>
      <c r="C213" s="153" t="s">
        <v>153</v>
      </c>
      <c r="D213" s="173">
        <v>107000</v>
      </c>
      <c r="E213" s="173">
        <v>351000</v>
      </c>
      <c r="F213" s="174">
        <f t="shared" si="25"/>
        <v>458000</v>
      </c>
      <c r="G213" s="144">
        <f>97585.8164064-1000</f>
        <v>96585.816406400001</v>
      </c>
      <c r="H213" s="144">
        <v>390343.2656256</v>
      </c>
      <c r="I213" s="142">
        <f t="shared" si="26"/>
        <v>486929.08203200001</v>
      </c>
      <c r="J213" s="203">
        <f t="shared" si="27"/>
        <v>96585.816406400001</v>
      </c>
      <c r="K213" s="203">
        <f t="shared" si="32"/>
        <v>351000</v>
      </c>
      <c r="L213" s="203">
        <f t="shared" si="28"/>
        <v>447585.8164064</v>
      </c>
      <c r="M213" s="301">
        <f t="shared" si="30"/>
        <v>89824.809257952002</v>
      </c>
      <c r="N213" s="301">
        <f t="shared" si="31"/>
        <v>326430</v>
      </c>
      <c r="O213" s="300">
        <f t="shared" si="29"/>
        <v>416254.80925795203</v>
      </c>
    </row>
    <row r="214" spans="1:15" x14ac:dyDescent="0.25">
      <c r="A214" s="155">
        <v>201</v>
      </c>
      <c r="B214" s="159" t="s">
        <v>53</v>
      </c>
      <c r="C214" s="153" t="s">
        <v>153</v>
      </c>
      <c r="D214" s="173">
        <v>107000</v>
      </c>
      <c r="E214" s="173">
        <v>368000</v>
      </c>
      <c r="F214" s="174">
        <f t="shared" si="25"/>
        <v>475000</v>
      </c>
      <c r="G214" s="144">
        <f>97334.9080133999-1000</f>
        <v>96334.908013399894</v>
      </c>
      <c r="H214" s="144">
        <v>389339.63205359987</v>
      </c>
      <c r="I214" s="142">
        <f t="shared" si="26"/>
        <v>485674.54006699973</v>
      </c>
      <c r="J214" s="203">
        <f t="shared" si="27"/>
        <v>96334.908013399894</v>
      </c>
      <c r="K214" s="203">
        <f t="shared" si="32"/>
        <v>368000</v>
      </c>
      <c r="L214" s="203">
        <f t="shared" si="28"/>
        <v>464334.90801339992</v>
      </c>
      <c r="M214" s="301">
        <f t="shared" si="30"/>
        <v>89591.464452461907</v>
      </c>
      <c r="N214" s="301">
        <f t="shared" si="31"/>
        <v>342240</v>
      </c>
      <c r="O214" s="300">
        <f t="shared" si="29"/>
        <v>431831.46445246192</v>
      </c>
    </row>
    <row r="215" spans="1:15" x14ac:dyDescent="0.25">
      <c r="A215" s="155">
        <v>202</v>
      </c>
      <c r="B215" s="159" t="s">
        <v>54</v>
      </c>
      <c r="C215" s="153" t="s">
        <v>153</v>
      </c>
      <c r="D215" s="173">
        <v>138000</v>
      </c>
      <c r="E215" s="173">
        <v>483000</v>
      </c>
      <c r="F215" s="174">
        <f t="shared" si="25"/>
        <v>621000</v>
      </c>
      <c r="G215" s="144">
        <f>133837.19958-1000</f>
        <v>132837.19957999999</v>
      </c>
      <c r="H215" s="144">
        <v>535348.79831999994</v>
      </c>
      <c r="I215" s="142">
        <f t="shared" si="26"/>
        <v>668185.99789999996</v>
      </c>
      <c r="J215" s="203">
        <f t="shared" si="27"/>
        <v>132837.19957999999</v>
      </c>
      <c r="K215" s="203">
        <f t="shared" si="32"/>
        <v>483000</v>
      </c>
      <c r="L215" s="203">
        <f t="shared" si="28"/>
        <v>615837.19958000001</v>
      </c>
      <c r="M215" s="301">
        <f t="shared" si="30"/>
        <v>123538.59560939998</v>
      </c>
      <c r="N215" s="301">
        <f t="shared" si="31"/>
        <v>449190</v>
      </c>
      <c r="O215" s="300">
        <f t="shared" si="29"/>
        <v>572728.59560939996</v>
      </c>
    </row>
    <row r="216" spans="1:15" x14ac:dyDescent="0.25">
      <c r="A216" s="155">
        <v>203</v>
      </c>
      <c r="B216" s="159" t="s">
        <v>251</v>
      </c>
      <c r="C216" s="153" t="s">
        <v>153</v>
      </c>
      <c r="D216" s="173">
        <v>198000</v>
      </c>
      <c r="E216" s="173">
        <v>620000</v>
      </c>
      <c r="F216" s="174">
        <f t="shared" si="25"/>
        <v>818000</v>
      </c>
      <c r="G216" s="144">
        <f>179913.223556348-1000</f>
        <v>178913.22355634801</v>
      </c>
      <c r="H216" s="144">
        <v>719652.89422539354</v>
      </c>
      <c r="I216" s="142">
        <f t="shared" si="26"/>
        <v>898566.11778174154</v>
      </c>
      <c r="J216" s="203">
        <f t="shared" si="27"/>
        <v>178913.22355634801</v>
      </c>
      <c r="K216" s="203">
        <f t="shared" si="32"/>
        <v>620000</v>
      </c>
      <c r="L216" s="203">
        <f t="shared" si="28"/>
        <v>798913.22355634801</v>
      </c>
      <c r="M216" s="301">
        <f t="shared" si="30"/>
        <v>166389.29790740364</v>
      </c>
      <c r="N216" s="301">
        <f t="shared" si="31"/>
        <v>576600</v>
      </c>
      <c r="O216" s="300">
        <f t="shared" si="29"/>
        <v>742989.29790740367</v>
      </c>
    </row>
    <row r="217" spans="1:15" x14ac:dyDescent="0.25">
      <c r="A217" s="155">
        <v>204</v>
      </c>
      <c r="B217" s="159" t="s">
        <v>252</v>
      </c>
      <c r="C217" s="153" t="s">
        <v>153</v>
      </c>
      <c r="D217" s="173">
        <v>230000</v>
      </c>
      <c r="E217" s="173">
        <v>790000</v>
      </c>
      <c r="F217" s="174">
        <f t="shared" si="25"/>
        <v>1020000</v>
      </c>
      <c r="G217" s="144">
        <f>208890.6407-1000</f>
        <v>207890.64069999999</v>
      </c>
      <c r="H217" s="144">
        <v>835562.56280000007</v>
      </c>
      <c r="I217" s="142">
        <f t="shared" si="26"/>
        <v>1043453.2035000001</v>
      </c>
      <c r="J217" s="203">
        <f t="shared" si="27"/>
        <v>207890.64069999999</v>
      </c>
      <c r="K217" s="203">
        <f t="shared" si="32"/>
        <v>790000</v>
      </c>
      <c r="L217" s="203">
        <f t="shared" si="28"/>
        <v>997890.64069999999</v>
      </c>
      <c r="M217" s="301">
        <f t="shared" si="30"/>
        <v>193338.295851</v>
      </c>
      <c r="N217" s="301">
        <f t="shared" si="31"/>
        <v>734700</v>
      </c>
      <c r="O217" s="300">
        <f t="shared" si="29"/>
        <v>928038.295851</v>
      </c>
    </row>
    <row r="218" spans="1:15" x14ac:dyDescent="0.25">
      <c r="A218" s="155">
        <v>205</v>
      </c>
      <c r="B218" s="154" t="s">
        <v>58</v>
      </c>
      <c r="C218" s="153" t="s">
        <v>153</v>
      </c>
      <c r="D218" s="173">
        <v>99000</v>
      </c>
      <c r="E218" s="173">
        <v>309000</v>
      </c>
      <c r="F218" s="174">
        <f t="shared" si="25"/>
        <v>408000</v>
      </c>
      <c r="G218" s="144">
        <f>89777.3357870392-1000</f>
        <v>88777.335787039206</v>
      </c>
      <c r="H218" s="144">
        <v>359109.34314815677</v>
      </c>
      <c r="I218" s="142">
        <f t="shared" si="26"/>
        <v>447886.67893519596</v>
      </c>
      <c r="J218" s="203">
        <f t="shared" si="27"/>
        <v>88777.335787039206</v>
      </c>
      <c r="K218" s="203">
        <f t="shared" si="32"/>
        <v>309000</v>
      </c>
      <c r="L218" s="203">
        <f t="shared" si="28"/>
        <v>397777.33578703919</v>
      </c>
      <c r="M218" s="301">
        <f t="shared" si="30"/>
        <v>82562.922281946463</v>
      </c>
      <c r="N218" s="301">
        <f t="shared" si="31"/>
        <v>287370</v>
      </c>
      <c r="O218" s="300">
        <f t="shared" si="29"/>
        <v>369932.92228194646</v>
      </c>
    </row>
    <row r="219" spans="1:15" x14ac:dyDescent="0.25">
      <c r="A219" s="155">
        <v>206</v>
      </c>
      <c r="B219" s="154" t="s">
        <v>136</v>
      </c>
      <c r="C219" s="153" t="s">
        <v>153</v>
      </c>
      <c r="D219" s="173">
        <v>1357000</v>
      </c>
      <c r="E219" s="173">
        <v>4837000</v>
      </c>
      <c r="F219" s="174">
        <f t="shared" si="25"/>
        <v>6194000</v>
      </c>
      <c r="G219" s="144">
        <f>1383311.4067107-150000</f>
        <v>1233311.4067106999</v>
      </c>
      <c r="H219" s="144">
        <v>5533245.6268428219</v>
      </c>
      <c r="I219" s="142">
        <f t="shared" si="26"/>
        <v>6766557.0335535221</v>
      </c>
      <c r="J219" s="203">
        <f t="shared" si="27"/>
        <v>1233311.4067106999</v>
      </c>
      <c r="K219" s="203">
        <f t="shared" si="32"/>
        <v>4837000</v>
      </c>
      <c r="L219" s="203">
        <f t="shared" si="28"/>
        <v>6070311.4067107001</v>
      </c>
      <c r="M219" s="301">
        <f t="shared" si="30"/>
        <v>1146979.6082409509</v>
      </c>
      <c r="N219" s="301">
        <f t="shared" si="31"/>
        <v>4498410</v>
      </c>
      <c r="O219" s="300">
        <f t="shared" si="29"/>
        <v>5645389.6082409509</v>
      </c>
    </row>
    <row r="220" spans="1:15" x14ac:dyDescent="0.25">
      <c r="A220" s="155">
        <v>207</v>
      </c>
      <c r="B220" s="58" t="s">
        <v>330</v>
      </c>
      <c r="C220" s="153" t="s">
        <v>153</v>
      </c>
      <c r="D220" s="173">
        <v>14000</v>
      </c>
      <c r="E220" s="173">
        <v>47000</v>
      </c>
      <c r="F220" s="174">
        <f t="shared" si="25"/>
        <v>61000</v>
      </c>
      <c r="G220" s="144">
        <f>13110.489-1000</f>
        <v>12110.489</v>
      </c>
      <c r="H220" s="144">
        <v>52441.955999999998</v>
      </c>
      <c r="I220" s="142">
        <f t="shared" si="26"/>
        <v>64552.445</v>
      </c>
      <c r="J220" s="203">
        <f t="shared" si="27"/>
        <v>12110.489</v>
      </c>
      <c r="K220" s="203">
        <f t="shared" si="32"/>
        <v>47000</v>
      </c>
      <c r="L220" s="203">
        <f t="shared" si="28"/>
        <v>59110.489000000001</v>
      </c>
      <c r="M220" s="301">
        <f t="shared" si="30"/>
        <v>11262.75477</v>
      </c>
      <c r="N220" s="301">
        <f t="shared" si="31"/>
        <v>43710</v>
      </c>
      <c r="O220" s="300">
        <f t="shared" si="29"/>
        <v>54972.75477</v>
      </c>
    </row>
    <row r="221" spans="1:15" x14ac:dyDescent="0.25">
      <c r="A221" s="155">
        <v>208</v>
      </c>
      <c r="B221" s="58" t="s">
        <v>331</v>
      </c>
      <c r="C221" s="153" t="s">
        <v>153</v>
      </c>
      <c r="D221" s="173">
        <v>14000</v>
      </c>
      <c r="E221" s="173">
        <v>45000</v>
      </c>
      <c r="F221" s="174">
        <f t="shared" si="25"/>
        <v>59000</v>
      </c>
      <c r="G221" s="144">
        <f>13110.489-1000</f>
        <v>12110.489</v>
      </c>
      <c r="H221" s="144">
        <v>52441.955999999998</v>
      </c>
      <c r="I221" s="142">
        <f t="shared" si="26"/>
        <v>64552.445</v>
      </c>
      <c r="J221" s="203">
        <f t="shared" si="27"/>
        <v>12110.489</v>
      </c>
      <c r="K221" s="203">
        <f t="shared" si="32"/>
        <v>45000</v>
      </c>
      <c r="L221" s="203">
        <f t="shared" si="28"/>
        <v>57110.489000000001</v>
      </c>
      <c r="M221" s="301">
        <f t="shared" si="30"/>
        <v>11262.75477</v>
      </c>
      <c r="N221" s="301">
        <f t="shared" si="31"/>
        <v>41850</v>
      </c>
      <c r="O221" s="300">
        <f t="shared" si="29"/>
        <v>53112.75477</v>
      </c>
    </row>
    <row r="222" spans="1:15" ht="22.5" x14ac:dyDescent="0.25">
      <c r="A222" s="155"/>
      <c r="B222" s="163" t="s">
        <v>98</v>
      </c>
      <c r="C222" s="157"/>
      <c r="D222" s="173">
        <v>0</v>
      </c>
      <c r="E222" s="173">
        <v>0</v>
      </c>
      <c r="F222" s="174">
        <f t="shared" si="25"/>
        <v>0</v>
      </c>
      <c r="G222" s="143"/>
      <c r="H222" s="144"/>
      <c r="I222" s="142">
        <f t="shared" si="26"/>
        <v>0</v>
      </c>
      <c r="J222" s="203">
        <f t="shared" si="27"/>
        <v>0</v>
      </c>
      <c r="K222" s="203">
        <f t="shared" si="32"/>
        <v>0</v>
      </c>
      <c r="L222" s="203">
        <f t="shared" si="28"/>
        <v>0</v>
      </c>
      <c r="M222" s="301">
        <f t="shared" si="30"/>
        <v>0</v>
      </c>
      <c r="N222" s="301">
        <f t="shared" si="31"/>
        <v>0</v>
      </c>
      <c r="O222" s="300">
        <f t="shared" si="29"/>
        <v>0</v>
      </c>
    </row>
    <row r="223" spans="1:15" x14ac:dyDescent="0.25">
      <c r="A223" s="155">
        <v>209</v>
      </c>
      <c r="B223" s="159" t="s">
        <v>253</v>
      </c>
      <c r="C223" s="153" t="s">
        <v>153</v>
      </c>
      <c r="D223" s="173">
        <v>98000</v>
      </c>
      <c r="E223" s="173">
        <v>295000</v>
      </c>
      <c r="F223" s="174">
        <f t="shared" si="25"/>
        <v>393000</v>
      </c>
      <c r="G223" s="144">
        <f>89300.0852799999-1000</f>
        <v>88300.085279999897</v>
      </c>
      <c r="H223" s="144">
        <v>357200.34112</v>
      </c>
      <c r="I223" s="142">
        <f>G223+H223</f>
        <v>445500.42639999988</v>
      </c>
      <c r="J223" s="203">
        <f t="shared" si="27"/>
        <v>88300.085279999897</v>
      </c>
      <c r="K223" s="203">
        <f t="shared" si="32"/>
        <v>295000</v>
      </c>
      <c r="L223" s="203">
        <f t="shared" si="28"/>
        <v>383300.08527999988</v>
      </c>
      <c r="M223" s="301">
        <f t="shared" si="30"/>
        <v>82119.079310399902</v>
      </c>
      <c r="N223" s="301">
        <f t="shared" si="31"/>
        <v>274350</v>
      </c>
      <c r="O223" s="300">
        <f t="shared" si="29"/>
        <v>356469.07931039989</v>
      </c>
    </row>
    <row r="224" spans="1:15" x14ac:dyDescent="0.25">
      <c r="A224" s="155">
        <v>210</v>
      </c>
      <c r="B224" s="159" t="s">
        <v>254</v>
      </c>
      <c r="C224" s="153" t="s">
        <v>153</v>
      </c>
      <c r="D224" s="173">
        <v>24000</v>
      </c>
      <c r="E224" s="173">
        <v>72000</v>
      </c>
      <c r="F224" s="174">
        <f t="shared" si="25"/>
        <v>96000</v>
      </c>
      <c r="G224" s="144">
        <f>22117.1558420417-500</f>
        <v>21617.155842041699</v>
      </c>
      <c r="H224" s="144">
        <v>88468.623368166969</v>
      </c>
      <c r="I224" s="142">
        <f t="shared" ref="I224:I245" si="33">G224+H224</f>
        <v>110085.77921020867</v>
      </c>
      <c r="J224" s="203">
        <f t="shared" si="27"/>
        <v>21617.155842041699</v>
      </c>
      <c r="K224" s="203">
        <f t="shared" si="32"/>
        <v>72000</v>
      </c>
      <c r="L224" s="203">
        <f t="shared" si="28"/>
        <v>93617.155842041699</v>
      </c>
      <c r="M224" s="301">
        <f t="shared" si="30"/>
        <v>20103.954933098779</v>
      </c>
      <c r="N224" s="301">
        <f t="shared" si="31"/>
        <v>66960</v>
      </c>
      <c r="O224" s="300">
        <f t="shared" si="29"/>
        <v>87063.954933098779</v>
      </c>
    </row>
    <row r="225" spans="1:15" x14ac:dyDescent="0.25">
      <c r="A225" s="155">
        <v>211</v>
      </c>
      <c r="B225" s="166" t="s">
        <v>255</v>
      </c>
      <c r="C225" s="153" t="s">
        <v>153</v>
      </c>
      <c r="D225" s="173">
        <v>270000</v>
      </c>
      <c r="E225" s="173">
        <v>930000</v>
      </c>
      <c r="F225" s="174">
        <f t="shared" si="25"/>
        <v>1200000</v>
      </c>
      <c r="G225" s="144">
        <f>245895.72-1000</f>
        <v>244895.72</v>
      </c>
      <c r="H225" s="144">
        <v>983582.87999999989</v>
      </c>
      <c r="I225" s="142">
        <f t="shared" si="33"/>
        <v>1228478.5999999999</v>
      </c>
      <c r="J225" s="203">
        <f t="shared" si="27"/>
        <v>244895.72</v>
      </c>
      <c r="K225" s="203">
        <f t="shared" si="32"/>
        <v>930000</v>
      </c>
      <c r="L225" s="203">
        <f t="shared" si="28"/>
        <v>1174895.72</v>
      </c>
      <c r="M225" s="301">
        <f t="shared" si="30"/>
        <v>227753.0196</v>
      </c>
      <c r="N225" s="301">
        <f t="shared" si="31"/>
        <v>864900</v>
      </c>
      <c r="O225" s="300">
        <f t="shared" si="29"/>
        <v>1092653.0196</v>
      </c>
    </row>
    <row r="226" spans="1:15" x14ac:dyDescent="0.25">
      <c r="A226" s="155">
        <v>212</v>
      </c>
      <c r="B226" s="166" t="s">
        <v>256</v>
      </c>
      <c r="C226" s="153" t="s">
        <v>153</v>
      </c>
      <c r="D226" s="173">
        <v>129000</v>
      </c>
      <c r="E226" s="173">
        <v>411000</v>
      </c>
      <c r="F226" s="174">
        <f t="shared" si="25"/>
        <v>540000</v>
      </c>
      <c r="G226" s="144">
        <f>117057.00846-1000</f>
        <v>116057.00846</v>
      </c>
      <c r="H226" s="144">
        <v>468228.03383999999</v>
      </c>
      <c r="I226" s="142">
        <f t="shared" si="33"/>
        <v>584285.04229999997</v>
      </c>
      <c r="J226" s="203">
        <f t="shared" si="27"/>
        <v>116057.00846</v>
      </c>
      <c r="K226" s="203">
        <f t="shared" si="32"/>
        <v>411000</v>
      </c>
      <c r="L226" s="203">
        <f t="shared" si="28"/>
        <v>527057.00846000004</v>
      </c>
      <c r="M226" s="301">
        <f t="shared" si="30"/>
        <v>107933.01786779999</v>
      </c>
      <c r="N226" s="301">
        <f t="shared" si="31"/>
        <v>382230</v>
      </c>
      <c r="O226" s="300">
        <f t="shared" si="29"/>
        <v>490163.01786779996</v>
      </c>
    </row>
    <row r="227" spans="1:15" x14ac:dyDescent="0.25">
      <c r="A227" s="155">
        <v>213</v>
      </c>
      <c r="B227" s="58" t="s">
        <v>69</v>
      </c>
      <c r="C227" s="153" t="s">
        <v>153</v>
      </c>
      <c r="D227" s="173">
        <v>27000</v>
      </c>
      <c r="E227" s="173">
        <v>82000</v>
      </c>
      <c r="F227" s="174">
        <f t="shared" si="25"/>
        <v>109000</v>
      </c>
      <c r="G227" s="144">
        <f>24357.4097076173-1000</f>
        <v>23357.409707617298</v>
      </c>
      <c r="H227" s="144">
        <v>97429.638830469339</v>
      </c>
      <c r="I227" s="142">
        <f t="shared" si="33"/>
        <v>120787.04853808664</v>
      </c>
      <c r="J227" s="203">
        <f t="shared" si="27"/>
        <v>23357.409707617298</v>
      </c>
      <c r="K227" s="203">
        <f t="shared" si="32"/>
        <v>82000</v>
      </c>
      <c r="L227" s="203">
        <f t="shared" si="28"/>
        <v>105357.40970761731</v>
      </c>
      <c r="M227" s="301">
        <f t="shared" si="30"/>
        <v>21722.391028084086</v>
      </c>
      <c r="N227" s="301">
        <f t="shared" si="31"/>
        <v>76260</v>
      </c>
      <c r="O227" s="300">
        <f t="shared" si="29"/>
        <v>97982.391028084094</v>
      </c>
    </row>
    <row r="228" spans="1:15" x14ac:dyDescent="0.25">
      <c r="A228" s="155">
        <v>214</v>
      </c>
      <c r="B228" s="58" t="s">
        <v>70</v>
      </c>
      <c r="C228" s="153" t="s">
        <v>153</v>
      </c>
      <c r="D228" s="173">
        <v>185000</v>
      </c>
      <c r="E228" s="173">
        <v>602000</v>
      </c>
      <c r="F228" s="174">
        <f t="shared" si="25"/>
        <v>787000</v>
      </c>
      <c r="G228" s="144">
        <f>168403.66412083-1000</f>
        <v>167403.66412083001</v>
      </c>
      <c r="H228" s="144">
        <v>673614.6564833197</v>
      </c>
      <c r="I228" s="142">
        <f t="shared" si="33"/>
        <v>841018.32060414972</v>
      </c>
      <c r="J228" s="203">
        <f t="shared" si="27"/>
        <v>167403.66412083001</v>
      </c>
      <c r="K228" s="203">
        <f t="shared" si="32"/>
        <v>602000</v>
      </c>
      <c r="L228" s="203">
        <f t="shared" si="28"/>
        <v>769403.66412083001</v>
      </c>
      <c r="M228" s="301">
        <f t="shared" si="30"/>
        <v>155685.40763237191</v>
      </c>
      <c r="N228" s="301">
        <f t="shared" si="31"/>
        <v>559860</v>
      </c>
      <c r="O228" s="300">
        <f t="shared" si="29"/>
        <v>715545.40763237188</v>
      </c>
    </row>
    <row r="229" spans="1:15" x14ac:dyDescent="0.25">
      <c r="A229" s="155">
        <v>215</v>
      </c>
      <c r="B229" s="58" t="s">
        <v>1</v>
      </c>
      <c r="C229" s="153" t="s">
        <v>153</v>
      </c>
      <c r="D229" s="173">
        <v>40000</v>
      </c>
      <c r="E229" s="173">
        <v>125000</v>
      </c>
      <c r="F229" s="174">
        <f t="shared" si="25"/>
        <v>165000</v>
      </c>
      <c r="G229" s="144">
        <f>36275.6544897422-1000</f>
        <v>35275.654489742199</v>
      </c>
      <c r="H229" s="144">
        <v>145102.61795896877</v>
      </c>
      <c r="I229" s="142">
        <f t="shared" si="33"/>
        <v>180378.27244871098</v>
      </c>
      <c r="J229" s="203">
        <f t="shared" si="27"/>
        <v>35275.654489742199</v>
      </c>
      <c r="K229" s="203">
        <f t="shared" si="32"/>
        <v>125000</v>
      </c>
      <c r="L229" s="203">
        <f t="shared" si="28"/>
        <v>160275.65448974218</v>
      </c>
      <c r="M229" s="301">
        <f t="shared" si="30"/>
        <v>32806.358675460244</v>
      </c>
      <c r="N229" s="301">
        <f t="shared" si="31"/>
        <v>116250</v>
      </c>
      <c r="O229" s="300">
        <f t="shared" si="29"/>
        <v>149056.35867546024</v>
      </c>
    </row>
    <row r="230" spans="1:15" ht="23.25" customHeight="1" x14ac:dyDescent="0.25">
      <c r="A230" s="155">
        <v>216</v>
      </c>
      <c r="B230" s="159" t="s">
        <v>56</v>
      </c>
      <c r="C230" s="153" t="s">
        <v>153</v>
      </c>
      <c r="D230" s="173">
        <v>25000</v>
      </c>
      <c r="E230" s="173">
        <v>80000</v>
      </c>
      <c r="F230" s="174">
        <f t="shared" si="25"/>
        <v>105000</v>
      </c>
      <c r="G230" s="144">
        <f>22447.782-1000</f>
        <v>21447.781999999999</v>
      </c>
      <c r="H230" s="144">
        <v>89791.128000000012</v>
      </c>
      <c r="I230" s="142">
        <f t="shared" si="33"/>
        <v>111238.91</v>
      </c>
      <c r="J230" s="203">
        <f t="shared" si="27"/>
        <v>21447.781999999999</v>
      </c>
      <c r="K230" s="203">
        <f t="shared" si="32"/>
        <v>80000</v>
      </c>
      <c r="L230" s="203">
        <f t="shared" si="28"/>
        <v>101447.78200000001</v>
      </c>
      <c r="M230" s="301">
        <f t="shared" si="30"/>
        <v>19946.437259999999</v>
      </c>
      <c r="N230" s="301">
        <f t="shared" si="31"/>
        <v>74400</v>
      </c>
      <c r="O230" s="300">
        <f t="shared" si="29"/>
        <v>94346.437260000006</v>
      </c>
    </row>
    <row r="231" spans="1:15" x14ac:dyDescent="0.25">
      <c r="A231" s="155">
        <v>217</v>
      </c>
      <c r="B231" s="159" t="s">
        <v>57</v>
      </c>
      <c r="C231" s="153" t="s">
        <v>153</v>
      </c>
      <c r="D231" s="173">
        <v>10000</v>
      </c>
      <c r="E231" s="173">
        <v>31000</v>
      </c>
      <c r="F231" s="174">
        <f t="shared" si="25"/>
        <v>41000</v>
      </c>
      <c r="G231" s="144">
        <f>8667.414-500</f>
        <v>8167.4140000000007</v>
      </c>
      <c r="H231" s="144">
        <v>34669.656000000003</v>
      </c>
      <c r="I231" s="142">
        <f t="shared" si="33"/>
        <v>42837.070000000007</v>
      </c>
      <c r="J231" s="203">
        <f t="shared" si="27"/>
        <v>8167.4140000000007</v>
      </c>
      <c r="K231" s="203">
        <f t="shared" si="32"/>
        <v>31000</v>
      </c>
      <c r="L231" s="203">
        <f t="shared" si="28"/>
        <v>39167.414000000004</v>
      </c>
      <c r="M231" s="301">
        <f t="shared" si="30"/>
        <v>7595.695020000001</v>
      </c>
      <c r="N231" s="301">
        <f t="shared" si="31"/>
        <v>28830</v>
      </c>
      <c r="O231" s="300">
        <f t="shared" si="29"/>
        <v>36425.695019999999</v>
      </c>
    </row>
    <row r="232" spans="1:15" x14ac:dyDescent="0.25">
      <c r="A232" s="155">
        <v>218</v>
      </c>
      <c r="B232" s="166" t="s">
        <v>257</v>
      </c>
      <c r="C232" s="153" t="s">
        <v>153</v>
      </c>
      <c r="D232" s="173">
        <v>5000</v>
      </c>
      <c r="E232" s="173">
        <v>18000</v>
      </c>
      <c r="F232" s="174">
        <f t="shared" si="25"/>
        <v>23000</v>
      </c>
      <c r="G232" s="144">
        <f>33662.9125448-1000</f>
        <v>32662.912544799998</v>
      </c>
      <c r="H232" s="144">
        <v>134651.65017919999</v>
      </c>
      <c r="I232" s="142">
        <f t="shared" si="33"/>
        <v>167314.56272399999</v>
      </c>
      <c r="J232" s="203">
        <f t="shared" si="27"/>
        <v>5000</v>
      </c>
      <c r="K232" s="203">
        <f t="shared" si="32"/>
        <v>18000</v>
      </c>
      <c r="L232" s="203">
        <f t="shared" si="28"/>
        <v>23000</v>
      </c>
      <c r="M232" s="301">
        <f t="shared" si="30"/>
        <v>4650</v>
      </c>
      <c r="N232" s="301">
        <f t="shared" si="31"/>
        <v>16740</v>
      </c>
      <c r="O232" s="300">
        <f t="shared" si="29"/>
        <v>21390</v>
      </c>
    </row>
    <row r="233" spans="1:15" x14ac:dyDescent="0.25">
      <c r="A233" s="155">
        <v>219</v>
      </c>
      <c r="B233" s="159" t="s">
        <v>258</v>
      </c>
      <c r="C233" s="153" t="s">
        <v>153</v>
      </c>
      <c r="D233" s="173">
        <v>20000</v>
      </c>
      <c r="E233" s="173">
        <v>67000</v>
      </c>
      <c r="F233" s="174">
        <f t="shared" si="25"/>
        <v>87000</v>
      </c>
      <c r="G233" s="144">
        <f>28472.136-1000</f>
        <v>27472.135999999999</v>
      </c>
      <c r="H233" s="144">
        <v>113888.54399999999</v>
      </c>
      <c r="I233" s="142">
        <f t="shared" si="33"/>
        <v>141360.68</v>
      </c>
      <c r="J233" s="203">
        <f t="shared" si="27"/>
        <v>20000</v>
      </c>
      <c r="K233" s="203">
        <f t="shared" si="32"/>
        <v>67000</v>
      </c>
      <c r="L233" s="203">
        <f t="shared" si="28"/>
        <v>87000</v>
      </c>
      <c r="M233" s="301">
        <f t="shared" si="30"/>
        <v>18600</v>
      </c>
      <c r="N233" s="301">
        <f t="shared" si="31"/>
        <v>62310</v>
      </c>
      <c r="O233" s="300">
        <f t="shared" si="29"/>
        <v>80910</v>
      </c>
    </row>
    <row r="234" spans="1:15" x14ac:dyDescent="0.25">
      <c r="A234" s="155">
        <v>220</v>
      </c>
      <c r="B234" s="159" t="s">
        <v>259</v>
      </c>
      <c r="C234" s="153" t="s">
        <v>153</v>
      </c>
      <c r="D234" s="173">
        <v>35000</v>
      </c>
      <c r="E234" s="173">
        <v>116000</v>
      </c>
      <c r="F234" s="174">
        <f t="shared" si="25"/>
        <v>151000</v>
      </c>
      <c r="G234" s="144">
        <f>7791-500</f>
        <v>7291</v>
      </c>
      <c r="H234" s="144">
        <v>31164</v>
      </c>
      <c r="I234" s="142">
        <f t="shared" si="33"/>
        <v>38455</v>
      </c>
      <c r="J234" s="203">
        <f t="shared" si="27"/>
        <v>7291</v>
      </c>
      <c r="K234" s="203">
        <f t="shared" si="32"/>
        <v>116000</v>
      </c>
      <c r="L234" s="203">
        <f t="shared" si="28"/>
        <v>123291</v>
      </c>
      <c r="M234" s="301">
        <f t="shared" si="30"/>
        <v>6780.63</v>
      </c>
      <c r="N234" s="301">
        <f t="shared" si="31"/>
        <v>107880</v>
      </c>
      <c r="O234" s="300">
        <f t="shared" si="29"/>
        <v>114660.63</v>
      </c>
    </row>
    <row r="235" spans="1:15" x14ac:dyDescent="0.25">
      <c r="A235" s="155">
        <v>221</v>
      </c>
      <c r="B235" s="55" t="s">
        <v>260</v>
      </c>
      <c r="C235" s="153" t="s">
        <v>153</v>
      </c>
      <c r="D235" s="173">
        <v>50000</v>
      </c>
      <c r="E235" s="173">
        <v>165000</v>
      </c>
      <c r="F235" s="174">
        <f t="shared" si="25"/>
        <v>215000</v>
      </c>
      <c r="G235" s="144">
        <f>8824.78338-500</f>
        <v>8324.7833800000008</v>
      </c>
      <c r="H235" s="144">
        <v>35299.133519999996</v>
      </c>
      <c r="I235" s="142">
        <f t="shared" si="33"/>
        <v>43623.916899999997</v>
      </c>
      <c r="J235" s="203">
        <f t="shared" si="27"/>
        <v>8324.7833800000008</v>
      </c>
      <c r="K235" s="203">
        <f t="shared" si="32"/>
        <v>165000</v>
      </c>
      <c r="L235" s="203">
        <f t="shared" si="28"/>
        <v>173324.78338000001</v>
      </c>
      <c r="M235" s="301">
        <f t="shared" si="30"/>
        <v>7742.0485434000002</v>
      </c>
      <c r="N235" s="301">
        <f t="shared" si="31"/>
        <v>153450</v>
      </c>
      <c r="O235" s="300">
        <f t="shared" si="29"/>
        <v>161192.04854340001</v>
      </c>
    </row>
    <row r="236" spans="1:15" x14ac:dyDescent="0.25">
      <c r="A236" s="155">
        <v>222</v>
      </c>
      <c r="B236" s="167" t="s">
        <v>261</v>
      </c>
      <c r="C236" s="153" t="s">
        <v>153</v>
      </c>
      <c r="D236" s="173">
        <v>65000</v>
      </c>
      <c r="E236" s="173">
        <v>214000</v>
      </c>
      <c r="F236" s="174">
        <f t="shared" si="25"/>
        <v>279000</v>
      </c>
      <c r="G236" s="144">
        <f>58447.2-1000</f>
        <v>57447.199999999997</v>
      </c>
      <c r="H236" s="144">
        <v>233788.80000000002</v>
      </c>
      <c r="I236" s="142">
        <f t="shared" si="33"/>
        <v>291236</v>
      </c>
      <c r="J236" s="203">
        <f t="shared" si="27"/>
        <v>57447.199999999997</v>
      </c>
      <c r="K236" s="203">
        <f t="shared" si="32"/>
        <v>214000</v>
      </c>
      <c r="L236" s="203">
        <f t="shared" si="28"/>
        <v>271447.2</v>
      </c>
      <c r="M236" s="301">
        <f t="shared" si="30"/>
        <v>53425.895999999993</v>
      </c>
      <c r="N236" s="301">
        <f t="shared" si="31"/>
        <v>199020</v>
      </c>
      <c r="O236" s="300">
        <f t="shared" si="29"/>
        <v>252445.89600000001</v>
      </c>
    </row>
    <row r="237" spans="1:15" x14ac:dyDescent="0.25">
      <c r="A237" s="155">
        <v>223</v>
      </c>
      <c r="B237" s="55" t="s">
        <v>263</v>
      </c>
      <c r="C237" s="153" t="s">
        <v>153</v>
      </c>
      <c r="D237" s="173">
        <v>80000</v>
      </c>
      <c r="E237" s="173">
        <v>263000</v>
      </c>
      <c r="F237" s="174">
        <f t="shared" si="25"/>
        <v>343000</v>
      </c>
      <c r="G237" s="144">
        <f>144851.824908-1000</f>
        <v>143851.82490800001</v>
      </c>
      <c r="H237" s="144">
        <v>579407.29963200004</v>
      </c>
      <c r="I237" s="142">
        <f t="shared" si="33"/>
        <v>723259.12453999999</v>
      </c>
      <c r="J237" s="203">
        <f t="shared" si="27"/>
        <v>80000</v>
      </c>
      <c r="K237" s="203">
        <f t="shared" si="32"/>
        <v>263000</v>
      </c>
      <c r="L237" s="203">
        <f t="shared" si="28"/>
        <v>343000</v>
      </c>
      <c r="M237" s="301">
        <f t="shared" si="30"/>
        <v>74400</v>
      </c>
      <c r="N237" s="301">
        <f t="shared" si="31"/>
        <v>244590</v>
      </c>
      <c r="O237" s="300">
        <f t="shared" si="29"/>
        <v>318990</v>
      </c>
    </row>
    <row r="238" spans="1:15" x14ac:dyDescent="0.25">
      <c r="A238" s="155">
        <v>224</v>
      </c>
      <c r="B238" s="55" t="s">
        <v>262</v>
      </c>
      <c r="C238" s="153" t="s">
        <v>153</v>
      </c>
      <c r="D238" s="173">
        <v>95000</v>
      </c>
      <c r="E238" s="173">
        <v>312000</v>
      </c>
      <c r="F238" s="174">
        <f t="shared" si="25"/>
        <v>407000</v>
      </c>
      <c r="G238" s="144">
        <f>164720-1000</f>
        <v>163720</v>
      </c>
      <c r="H238" s="144">
        <v>658880</v>
      </c>
      <c r="I238" s="142">
        <f t="shared" si="33"/>
        <v>822600</v>
      </c>
      <c r="J238" s="203">
        <f t="shared" si="27"/>
        <v>95000</v>
      </c>
      <c r="K238" s="203">
        <f t="shared" si="32"/>
        <v>312000</v>
      </c>
      <c r="L238" s="203">
        <f t="shared" si="28"/>
        <v>407000</v>
      </c>
      <c r="M238" s="301">
        <f t="shared" si="30"/>
        <v>88350</v>
      </c>
      <c r="N238" s="301">
        <f t="shared" si="31"/>
        <v>290160</v>
      </c>
      <c r="O238" s="300">
        <f t="shared" si="29"/>
        <v>378510</v>
      </c>
    </row>
    <row r="239" spans="1:15" ht="22.5" x14ac:dyDescent="0.25">
      <c r="A239" s="168"/>
      <c r="B239" s="163" t="s">
        <v>62</v>
      </c>
      <c r="C239" s="157"/>
      <c r="D239" s="173">
        <v>110000</v>
      </c>
      <c r="E239" s="173">
        <v>361000</v>
      </c>
      <c r="F239" s="174">
        <f t="shared" si="25"/>
        <v>471000</v>
      </c>
      <c r="G239" s="143"/>
      <c r="H239" s="144"/>
      <c r="I239" s="142">
        <f t="shared" si="33"/>
        <v>0</v>
      </c>
      <c r="J239" s="203">
        <f t="shared" si="27"/>
        <v>110000</v>
      </c>
      <c r="K239" s="203">
        <f t="shared" si="32"/>
        <v>361000</v>
      </c>
      <c r="L239" s="203">
        <f t="shared" si="28"/>
        <v>471000</v>
      </c>
      <c r="M239" s="301">
        <f t="shared" si="30"/>
        <v>102300</v>
      </c>
      <c r="N239" s="301">
        <f t="shared" si="31"/>
        <v>335730</v>
      </c>
      <c r="O239" s="300">
        <f t="shared" si="29"/>
        <v>438030</v>
      </c>
    </row>
    <row r="240" spans="1:15" ht="22.5" x14ac:dyDescent="0.25">
      <c r="A240" s="168">
        <v>225</v>
      </c>
      <c r="B240" s="159" t="s">
        <v>382</v>
      </c>
      <c r="C240" s="153" t="s">
        <v>153</v>
      </c>
      <c r="D240" s="173">
        <v>125000</v>
      </c>
      <c r="E240" s="173">
        <v>410000</v>
      </c>
      <c r="F240" s="174">
        <f t="shared" si="25"/>
        <v>535000</v>
      </c>
      <c r="G240" s="145">
        <f>414144.702119285-1000</f>
        <v>413144.70211928501</v>
      </c>
      <c r="H240" s="145">
        <v>456578.80847713898</v>
      </c>
      <c r="I240" s="142">
        <f t="shared" si="33"/>
        <v>869723.51059642399</v>
      </c>
      <c r="J240" s="203">
        <f t="shared" si="27"/>
        <v>125000</v>
      </c>
      <c r="K240" s="203">
        <f t="shared" si="32"/>
        <v>410000</v>
      </c>
      <c r="L240" s="203">
        <f t="shared" si="28"/>
        <v>535000</v>
      </c>
      <c r="M240" s="301">
        <f t="shared" si="30"/>
        <v>116250</v>
      </c>
      <c r="N240" s="301">
        <f t="shared" si="31"/>
        <v>381300</v>
      </c>
      <c r="O240" s="300">
        <f t="shared" si="29"/>
        <v>497550</v>
      </c>
    </row>
    <row r="241" spans="1:15" x14ac:dyDescent="0.25">
      <c r="A241" s="168">
        <v>226</v>
      </c>
      <c r="B241" s="159" t="s">
        <v>63</v>
      </c>
      <c r="C241" s="153" t="s">
        <v>153</v>
      </c>
      <c r="D241" s="173">
        <v>140000</v>
      </c>
      <c r="E241" s="173">
        <v>459000</v>
      </c>
      <c r="F241" s="174">
        <f t="shared" si="25"/>
        <v>599000</v>
      </c>
      <c r="G241" s="145">
        <f>575214.201198809-1000</f>
        <v>574214.20119880897</v>
      </c>
      <c r="H241" s="145">
        <v>2300856.8047952363</v>
      </c>
      <c r="I241" s="142">
        <f t="shared" si="33"/>
        <v>2875071.0059940452</v>
      </c>
      <c r="J241" s="203">
        <f t="shared" si="27"/>
        <v>140000</v>
      </c>
      <c r="K241" s="203">
        <f t="shared" si="32"/>
        <v>459000</v>
      </c>
      <c r="L241" s="203">
        <f t="shared" si="28"/>
        <v>599000</v>
      </c>
      <c r="M241" s="301">
        <f t="shared" si="30"/>
        <v>130200</v>
      </c>
      <c r="N241" s="301">
        <f t="shared" si="31"/>
        <v>426870</v>
      </c>
      <c r="O241" s="300">
        <f t="shared" si="29"/>
        <v>557070</v>
      </c>
    </row>
    <row r="242" spans="1:15" x14ac:dyDescent="0.25">
      <c r="A242" s="168">
        <v>227</v>
      </c>
      <c r="B242" s="159" t="s">
        <v>134</v>
      </c>
      <c r="C242" s="153" t="s">
        <v>153</v>
      </c>
      <c r="D242" s="173">
        <v>155000</v>
      </c>
      <c r="E242" s="173">
        <v>508000</v>
      </c>
      <c r="F242" s="174">
        <f t="shared" si="25"/>
        <v>663000</v>
      </c>
      <c r="G242" s="145">
        <f>54319.44-1000</f>
        <v>53319.44</v>
      </c>
      <c r="H242" s="145">
        <v>217277.76</v>
      </c>
      <c r="I242" s="142">
        <f t="shared" si="33"/>
        <v>270597.2</v>
      </c>
      <c r="J242" s="203">
        <f t="shared" si="27"/>
        <v>53319.44</v>
      </c>
      <c r="K242" s="203">
        <f t="shared" si="32"/>
        <v>508000</v>
      </c>
      <c r="L242" s="203">
        <f t="shared" si="28"/>
        <v>561319.43999999994</v>
      </c>
      <c r="M242" s="301">
        <f t="shared" si="30"/>
        <v>49587.0792</v>
      </c>
      <c r="N242" s="301">
        <f t="shared" si="31"/>
        <v>472440</v>
      </c>
      <c r="O242" s="300">
        <f t="shared" si="29"/>
        <v>522027.07919999998</v>
      </c>
    </row>
    <row r="243" spans="1:15" x14ac:dyDescent="0.25">
      <c r="A243" s="168">
        <v>228</v>
      </c>
      <c r="B243" s="169" t="s">
        <v>264</v>
      </c>
      <c r="C243" s="153" t="s">
        <v>153</v>
      </c>
      <c r="D243" s="173">
        <v>170000</v>
      </c>
      <c r="E243" s="173">
        <v>557000</v>
      </c>
      <c r="F243" s="174">
        <f t="shared" si="25"/>
        <v>727000</v>
      </c>
      <c r="G243" s="145">
        <f>525754-1000</f>
        <v>524754</v>
      </c>
      <c r="H243" s="145">
        <v>249826.14048749101</v>
      </c>
      <c r="I243" s="142">
        <f t="shared" si="33"/>
        <v>774580.14048749104</v>
      </c>
      <c r="J243" s="203">
        <f t="shared" si="27"/>
        <v>170000</v>
      </c>
      <c r="K243" s="203">
        <f t="shared" si="32"/>
        <v>557000</v>
      </c>
      <c r="L243" s="203">
        <f t="shared" si="28"/>
        <v>727000</v>
      </c>
      <c r="M243" s="301">
        <f t="shared" si="30"/>
        <v>158100</v>
      </c>
      <c r="N243" s="301">
        <f t="shared" si="31"/>
        <v>518010</v>
      </c>
      <c r="O243" s="300">
        <f t="shared" si="29"/>
        <v>676110</v>
      </c>
    </row>
    <row r="244" spans="1:15" x14ac:dyDescent="0.25">
      <c r="A244" s="168">
        <v>229</v>
      </c>
      <c r="B244" s="58" t="s">
        <v>73</v>
      </c>
      <c r="C244" s="153" t="s">
        <v>153</v>
      </c>
      <c r="D244" s="173">
        <v>185000</v>
      </c>
      <c r="E244" s="173">
        <v>606000</v>
      </c>
      <c r="F244" s="174">
        <f t="shared" si="25"/>
        <v>791000</v>
      </c>
      <c r="G244" s="145">
        <f>19139.4-1000</f>
        <v>18139.400000000001</v>
      </c>
      <c r="H244" s="145">
        <v>76557.600000000006</v>
      </c>
      <c r="I244" s="142">
        <f t="shared" si="33"/>
        <v>94697</v>
      </c>
      <c r="J244" s="203">
        <f t="shared" si="27"/>
        <v>18139.400000000001</v>
      </c>
      <c r="K244" s="203">
        <f t="shared" si="32"/>
        <v>606000</v>
      </c>
      <c r="L244" s="203">
        <f t="shared" si="28"/>
        <v>624139.4</v>
      </c>
      <c r="M244" s="301">
        <f t="shared" si="30"/>
        <v>16869.642</v>
      </c>
      <c r="N244" s="301">
        <f t="shared" si="31"/>
        <v>563580</v>
      </c>
      <c r="O244" s="300">
        <f t="shared" si="29"/>
        <v>580449.64199999999</v>
      </c>
    </row>
    <row r="245" spans="1:15" x14ac:dyDescent="0.25">
      <c r="A245" s="168">
        <v>230</v>
      </c>
      <c r="B245" s="58" t="s">
        <v>72</v>
      </c>
      <c r="C245" s="153" t="s">
        <v>153</v>
      </c>
      <c r="D245" s="173">
        <v>200000</v>
      </c>
      <c r="E245" s="173">
        <v>655000</v>
      </c>
      <c r="F245" s="174">
        <f t="shared" si="25"/>
        <v>855000</v>
      </c>
      <c r="G245" s="145">
        <f>296879.582640215-1000</f>
        <v>295879.582640215</v>
      </c>
      <c r="H245" s="145">
        <v>1187518.3305608598</v>
      </c>
      <c r="I245" s="142">
        <f t="shared" si="33"/>
        <v>1483397.9132010748</v>
      </c>
      <c r="J245" s="203">
        <f t="shared" si="27"/>
        <v>200000</v>
      </c>
      <c r="K245" s="203">
        <f t="shared" si="32"/>
        <v>655000</v>
      </c>
      <c r="L245" s="203">
        <f t="shared" si="28"/>
        <v>855000</v>
      </c>
      <c r="M245" s="301">
        <f t="shared" si="30"/>
        <v>186000</v>
      </c>
      <c r="N245" s="301">
        <f t="shared" si="31"/>
        <v>609150</v>
      </c>
      <c r="O245" s="300">
        <f t="shared" si="29"/>
        <v>795150</v>
      </c>
    </row>
    <row r="246" spans="1:15" x14ac:dyDescent="0.25">
      <c r="A246" s="281" t="s">
        <v>491</v>
      </c>
      <c r="B246" s="282"/>
      <c r="C246" s="283"/>
      <c r="D246" s="170">
        <f t="shared" ref="D246:F246" si="34">SUM(D4:D245)</f>
        <v>33494000</v>
      </c>
      <c r="E246" s="170">
        <f t="shared" si="34"/>
        <v>118535000</v>
      </c>
      <c r="F246" s="170">
        <f t="shared" si="34"/>
        <v>152029000</v>
      </c>
      <c r="G246" s="176">
        <f>SUM(G4:G244)</f>
        <v>33278542.094452616</v>
      </c>
      <c r="H246" s="176">
        <f>SUM(H4:H245)</f>
        <v>133418896.8488588</v>
      </c>
      <c r="I246" s="177">
        <f>SUM(I4:I245)</f>
        <v>166993318.52595145</v>
      </c>
      <c r="J246" s="203">
        <f t="shared" si="27"/>
        <v>33278542.094452616</v>
      </c>
      <c r="K246" s="203">
        <f>MIN(E246)</f>
        <v>118535000</v>
      </c>
      <c r="L246" s="204">
        <f t="shared" si="28"/>
        <v>151813542.09445262</v>
      </c>
    </row>
  </sheetData>
  <mergeCells count="6">
    <mergeCell ref="M2:O2"/>
    <mergeCell ref="A1:C1"/>
    <mergeCell ref="D2:F2"/>
    <mergeCell ref="G2:I2"/>
    <mergeCell ref="J2:L2"/>
    <mergeCell ref="A246:C246"/>
  </mergeCells>
  <pageMargins left="0.7" right="0.7" top="0.75" bottom="0.75" header="0.3" footer="0.3"/>
  <pageSetup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B0F0"/>
  </sheetPr>
  <dimension ref="A1:R273"/>
  <sheetViews>
    <sheetView topLeftCell="J251" zoomScale="90" zoomScaleNormal="90" workbookViewId="0">
      <selection activeCell="R4" sqref="R4"/>
    </sheetView>
  </sheetViews>
  <sheetFormatPr baseColWidth="10" defaultRowHeight="15" x14ac:dyDescent="0.25"/>
  <cols>
    <col min="2" max="2" width="48.140625" bestFit="1" customWidth="1"/>
    <col min="4" max="4" width="16.42578125" bestFit="1" customWidth="1"/>
    <col min="5" max="6" width="17.5703125" bestFit="1" customWidth="1"/>
    <col min="7" max="9" width="17.5703125" customWidth="1"/>
    <col min="10" max="10" width="16.5703125" customWidth="1"/>
    <col min="11" max="11" width="17.85546875" customWidth="1"/>
    <col min="12" max="12" width="18.140625" customWidth="1"/>
    <col min="13" max="13" width="17.140625" bestFit="1" customWidth="1"/>
    <col min="14" max="14" width="17.42578125" customWidth="1"/>
    <col min="15" max="15" width="18" customWidth="1"/>
    <col min="16" max="16" width="15.7109375" customWidth="1"/>
    <col min="17" max="17" width="17.5703125" customWidth="1"/>
    <col min="18" max="18" width="20.140625" customWidth="1"/>
  </cols>
  <sheetData>
    <row r="1" spans="1:18" x14ac:dyDescent="0.25">
      <c r="A1" s="279" t="s">
        <v>495</v>
      </c>
      <c r="B1" s="279"/>
      <c r="C1" s="279"/>
      <c r="D1" s="44"/>
      <c r="E1" s="44"/>
      <c r="F1" s="44"/>
      <c r="G1" s="44"/>
      <c r="H1" s="44"/>
      <c r="I1" s="44"/>
    </row>
    <row r="2" spans="1:18" x14ac:dyDescent="0.25">
      <c r="A2" s="28"/>
      <c r="B2" s="27"/>
      <c r="C2" s="27"/>
      <c r="D2" s="280" t="s">
        <v>473</v>
      </c>
      <c r="E2" s="280"/>
      <c r="F2" s="280"/>
      <c r="G2" s="285" t="s">
        <v>571</v>
      </c>
      <c r="H2" s="285"/>
      <c r="I2" s="285"/>
      <c r="J2" s="277" t="s">
        <v>490</v>
      </c>
      <c r="K2" s="277"/>
      <c r="L2" s="277"/>
      <c r="M2" s="266" t="s">
        <v>480</v>
      </c>
      <c r="N2" s="266"/>
      <c r="O2" s="266"/>
      <c r="P2" s="295" t="s">
        <v>576</v>
      </c>
      <c r="Q2" s="296"/>
      <c r="R2" s="297"/>
    </row>
    <row r="3" spans="1:18" ht="45" x14ac:dyDescent="0.25">
      <c r="A3" s="29" t="s">
        <v>0</v>
      </c>
      <c r="B3" s="30" t="s">
        <v>91</v>
      </c>
      <c r="C3" s="45" t="s">
        <v>152</v>
      </c>
      <c r="D3" s="199" t="s">
        <v>469</v>
      </c>
      <c r="E3" s="199" t="s">
        <v>470</v>
      </c>
      <c r="F3" s="172" t="s">
        <v>471</v>
      </c>
      <c r="G3" s="234" t="s">
        <v>469</v>
      </c>
      <c r="H3" s="234" t="s">
        <v>470</v>
      </c>
      <c r="I3" s="175" t="s">
        <v>471</v>
      </c>
      <c r="J3" s="115" t="s">
        <v>469</v>
      </c>
      <c r="K3" s="115" t="s">
        <v>470</v>
      </c>
      <c r="L3" s="116" t="s">
        <v>471</v>
      </c>
      <c r="M3" s="217" t="s">
        <v>469</v>
      </c>
      <c r="N3" s="217" t="s">
        <v>470</v>
      </c>
      <c r="O3" s="218" t="s">
        <v>471</v>
      </c>
      <c r="P3" s="298" t="s">
        <v>574</v>
      </c>
      <c r="Q3" s="298" t="s">
        <v>575</v>
      </c>
      <c r="R3" s="299" t="s">
        <v>471</v>
      </c>
    </row>
    <row r="4" spans="1:18" ht="33.75" x14ac:dyDescent="0.25">
      <c r="A4" s="151">
        <v>1</v>
      </c>
      <c r="B4" s="152" t="s">
        <v>276</v>
      </c>
      <c r="C4" s="153" t="s">
        <v>153</v>
      </c>
      <c r="D4" s="200">
        <v>2596000</v>
      </c>
      <c r="E4" s="173">
        <v>12461000</v>
      </c>
      <c r="F4" s="201">
        <f>(D4+E4)</f>
        <v>15057000</v>
      </c>
      <c r="G4" s="259">
        <f>+H4*20%</f>
        <v>2807200</v>
      </c>
      <c r="H4" s="260">
        <v>14036000</v>
      </c>
      <c r="I4" s="260">
        <f>+H4+G4</f>
        <v>16843200</v>
      </c>
      <c r="J4" s="144">
        <f>2722354.92987554-1000</f>
        <v>2721354.9298755401</v>
      </c>
      <c r="K4" s="144">
        <v>10889419.71950216</v>
      </c>
      <c r="L4" s="142">
        <f>J4+K4</f>
        <v>13610774.6493777</v>
      </c>
      <c r="M4" s="236">
        <f>MIN(D4,G4,J4)</f>
        <v>2596000</v>
      </c>
      <c r="N4" s="236">
        <f>MIN(E4,H4,K4)</f>
        <v>10889419.71950216</v>
      </c>
      <c r="O4" s="236">
        <f>M4+N4</f>
        <v>13485419.71950216</v>
      </c>
      <c r="P4" s="301">
        <f>M4-(M4*7%)</f>
        <v>2414280</v>
      </c>
      <c r="Q4" s="301">
        <f>N4-(N4*7%)</f>
        <v>10127160.339137008</v>
      </c>
      <c r="R4" s="300">
        <f>Q4+P4</f>
        <v>12541440.339137008</v>
      </c>
    </row>
    <row r="5" spans="1:18" x14ac:dyDescent="0.25">
      <c r="A5" s="151">
        <v>2</v>
      </c>
      <c r="B5" s="55" t="s">
        <v>277</v>
      </c>
      <c r="C5" s="153" t="s">
        <v>153</v>
      </c>
      <c r="D5" s="200">
        <v>177000</v>
      </c>
      <c r="E5" s="173">
        <v>1694000</v>
      </c>
      <c r="F5" s="201">
        <f t="shared" ref="F5:F68" si="0">(D5+E5)</f>
        <v>1871000</v>
      </c>
      <c r="G5" s="259">
        <f t="shared" ref="G5:G68" si="1">+H5*20%</f>
        <v>348800</v>
      </c>
      <c r="H5" s="260">
        <v>1744000</v>
      </c>
      <c r="I5" s="260">
        <f t="shared" ref="I5:I68" si="2">+H5+G5</f>
        <v>2092800</v>
      </c>
      <c r="J5" s="144">
        <f>451583.093148629-1000</f>
        <v>450583.09314862901</v>
      </c>
      <c r="K5" s="144">
        <v>1806332.3725945153</v>
      </c>
      <c r="L5" s="142">
        <f t="shared" ref="L5:L68" si="3">J5+K5</f>
        <v>2256915.4657431445</v>
      </c>
      <c r="M5" s="236">
        <f t="shared" ref="M5:M68" si="4">MIN(D5,G5,J5)</f>
        <v>177000</v>
      </c>
      <c r="N5" s="236">
        <f t="shared" ref="N5:N68" si="5">MIN(E5,H5,K5)</f>
        <v>1694000</v>
      </c>
      <c r="O5" s="236">
        <f t="shared" ref="O5:O68" si="6">M5+N5</f>
        <v>1871000</v>
      </c>
      <c r="P5" s="301">
        <f t="shared" ref="P5:P68" si="7">M5-(M5*7%)</f>
        <v>164610</v>
      </c>
      <c r="Q5" s="301">
        <f t="shared" ref="Q5:Q68" si="8">N5-(N5*7%)</f>
        <v>1575420</v>
      </c>
      <c r="R5" s="300">
        <f t="shared" ref="R5:R68" si="9">Q5+P5</f>
        <v>1740030</v>
      </c>
    </row>
    <row r="6" spans="1:18" x14ac:dyDescent="0.25">
      <c r="A6" s="151">
        <v>3</v>
      </c>
      <c r="B6" s="55" t="s">
        <v>156</v>
      </c>
      <c r="C6" s="153" t="s">
        <v>153</v>
      </c>
      <c r="D6" s="200">
        <v>142000</v>
      </c>
      <c r="E6" s="173">
        <v>445000</v>
      </c>
      <c r="F6" s="201">
        <f t="shared" si="0"/>
        <v>587000</v>
      </c>
      <c r="G6" s="259">
        <f t="shared" si="1"/>
        <v>109400</v>
      </c>
      <c r="H6" s="260">
        <v>547000</v>
      </c>
      <c r="I6" s="260">
        <f t="shared" si="2"/>
        <v>656400</v>
      </c>
      <c r="J6" s="144">
        <f>120265.984184914-1000</f>
        <v>119265.98418491401</v>
      </c>
      <c r="K6" s="144">
        <v>481063.93673965643</v>
      </c>
      <c r="L6" s="142">
        <f t="shared" si="3"/>
        <v>600329.92092457041</v>
      </c>
      <c r="M6" s="236">
        <f t="shared" si="4"/>
        <v>109400</v>
      </c>
      <c r="N6" s="236">
        <f t="shared" si="5"/>
        <v>445000</v>
      </c>
      <c r="O6" s="236">
        <f t="shared" si="6"/>
        <v>554400</v>
      </c>
      <c r="P6" s="301">
        <f t="shared" si="7"/>
        <v>101742</v>
      </c>
      <c r="Q6" s="301">
        <f t="shared" si="8"/>
        <v>413850</v>
      </c>
      <c r="R6" s="300">
        <f t="shared" si="9"/>
        <v>515592</v>
      </c>
    </row>
    <row r="7" spans="1:18" x14ac:dyDescent="0.25">
      <c r="A7" s="151">
        <v>4</v>
      </c>
      <c r="B7" s="55" t="s">
        <v>133</v>
      </c>
      <c r="C7" s="153" t="s">
        <v>153</v>
      </c>
      <c r="D7" s="200">
        <v>1561000</v>
      </c>
      <c r="E7" s="173">
        <v>5444000</v>
      </c>
      <c r="F7" s="201">
        <f t="shared" si="0"/>
        <v>7005000</v>
      </c>
      <c r="G7" s="259">
        <f t="shared" si="1"/>
        <v>1306000</v>
      </c>
      <c r="H7" s="260">
        <v>6530000</v>
      </c>
      <c r="I7" s="260">
        <f t="shared" si="2"/>
        <v>7836000</v>
      </c>
      <c r="J7" s="144">
        <f>1322979.597968-1000</f>
        <v>1321979.597968</v>
      </c>
      <c r="K7" s="144">
        <v>5291918.3918719999</v>
      </c>
      <c r="L7" s="142">
        <f t="shared" si="3"/>
        <v>6613897.9898399999</v>
      </c>
      <c r="M7" s="236">
        <f t="shared" si="4"/>
        <v>1306000</v>
      </c>
      <c r="N7" s="236">
        <f t="shared" si="5"/>
        <v>5291918.3918719999</v>
      </c>
      <c r="O7" s="236">
        <f t="shared" si="6"/>
        <v>6597918.3918719999</v>
      </c>
      <c r="P7" s="301">
        <f t="shared" si="7"/>
        <v>1214580</v>
      </c>
      <c r="Q7" s="301">
        <f t="shared" si="8"/>
        <v>4921484.1044409601</v>
      </c>
      <c r="R7" s="300">
        <f t="shared" si="9"/>
        <v>6136064.1044409601</v>
      </c>
    </row>
    <row r="8" spans="1:18" x14ac:dyDescent="0.25">
      <c r="A8" s="151">
        <v>5</v>
      </c>
      <c r="B8" s="55" t="s">
        <v>4</v>
      </c>
      <c r="C8" s="153" t="s">
        <v>153</v>
      </c>
      <c r="D8" s="200">
        <v>503000</v>
      </c>
      <c r="E8" s="173">
        <v>1729000</v>
      </c>
      <c r="F8" s="201">
        <f t="shared" si="0"/>
        <v>2232000</v>
      </c>
      <c r="G8" s="259">
        <f t="shared" si="1"/>
        <v>416200</v>
      </c>
      <c r="H8" s="260">
        <v>2081000</v>
      </c>
      <c r="I8" s="260">
        <f t="shared" si="2"/>
        <v>2497200</v>
      </c>
      <c r="J8" s="144">
        <v>426183.71009962889</v>
      </c>
      <c r="K8" s="144">
        <v>1704734.8403985158</v>
      </c>
      <c r="L8" s="142">
        <f t="shared" si="3"/>
        <v>2130918.5504981447</v>
      </c>
      <c r="M8" s="236">
        <f t="shared" si="4"/>
        <v>416200</v>
      </c>
      <c r="N8" s="236">
        <f t="shared" si="5"/>
        <v>1704734.8403985158</v>
      </c>
      <c r="O8" s="236">
        <f t="shared" si="6"/>
        <v>2120934.8403985156</v>
      </c>
      <c r="P8" s="301">
        <f t="shared" si="7"/>
        <v>387066</v>
      </c>
      <c r="Q8" s="301">
        <f t="shared" si="8"/>
        <v>1585403.4015706198</v>
      </c>
      <c r="R8" s="300">
        <f t="shared" si="9"/>
        <v>1972469.4015706198</v>
      </c>
    </row>
    <row r="9" spans="1:18" x14ac:dyDescent="0.25">
      <c r="A9" s="151">
        <v>6</v>
      </c>
      <c r="B9" s="55" t="s">
        <v>96</v>
      </c>
      <c r="C9" s="153" t="s">
        <v>153</v>
      </c>
      <c r="D9" s="200">
        <v>412000</v>
      </c>
      <c r="E9" s="173">
        <v>1417000</v>
      </c>
      <c r="F9" s="201">
        <f t="shared" si="0"/>
        <v>1829000</v>
      </c>
      <c r="G9" s="259">
        <f t="shared" si="1"/>
        <v>341000</v>
      </c>
      <c r="H9" s="260">
        <v>1705000</v>
      </c>
      <c r="I9" s="260">
        <f t="shared" si="2"/>
        <v>2046000</v>
      </c>
      <c r="J9" s="144">
        <f>349168.236025803-1000</f>
        <v>348168.23602580302</v>
      </c>
      <c r="K9" s="144">
        <v>1396672.9441032128</v>
      </c>
      <c r="L9" s="142">
        <f t="shared" si="3"/>
        <v>1744841.1801290158</v>
      </c>
      <c r="M9" s="236">
        <f t="shared" si="4"/>
        <v>341000</v>
      </c>
      <c r="N9" s="236">
        <f t="shared" si="5"/>
        <v>1396672.9441032128</v>
      </c>
      <c r="O9" s="236">
        <f t="shared" si="6"/>
        <v>1737672.9441032128</v>
      </c>
      <c r="P9" s="301">
        <f t="shared" si="7"/>
        <v>317130</v>
      </c>
      <c r="Q9" s="301">
        <f t="shared" si="8"/>
        <v>1298905.838015988</v>
      </c>
      <c r="R9" s="300">
        <f t="shared" si="9"/>
        <v>1616035.838015988</v>
      </c>
    </row>
    <row r="10" spans="1:18" x14ac:dyDescent="0.25">
      <c r="A10" s="151">
        <v>7</v>
      </c>
      <c r="B10" s="55" t="s">
        <v>8</v>
      </c>
      <c r="C10" s="153" t="s">
        <v>153</v>
      </c>
      <c r="D10" s="200">
        <v>94000</v>
      </c>
      <c r="E10" s="173">
        <v>293000</v>
      </c>
      <c r="F10" s="201">
        <f t="shared" si="0"/>
        <v>387000</v>
      </c>
      <c r="G10" s="259">
        <f t="shared" si="1"/>
        <v>72000</v>
      </c>
      <c r="H10" s="260">
        <v>360000</v>
      </c>
      <c r="I10" s="260">
        <f t="shared" si="2"/>
        <v>432000</v>
      </c>
      <c r="J10" s="144">
        <f>79324.3725474966-1000</f>
        <v>78324.372547496605</v>
      </c>
      <c r="K10" s="144">
        <v>317297.49018998636</v>
      </c>
      <c r="L10" s="142">
        <f t="shared" si="3"/>
        <v>395621.862737483</v>
      </c>
      <c r="M10" s="236">
        <f t="shared" si="4"/>
        <v>72000</v>
      </c>
      <c r="N10" s="236">
        <f t="shared" si="5"/>
        <v>293000</v>
      </c>
      <c r="O10" s="236">
        <f t="shared" si="6"/>
        <v>365000</v>
      </c>
      <c r="P10" s="301">
        <f t="shared" si="7"/>
        <v>66960</v>
      </c>
      <c r="Q10" s="301">
        <f t="shared" si="8"/>
        <v>272490</v>
      </c>
      <c r="R10" s="300">
        <f t="shared" si="9"/>
        <v>339450</v>
      </c>
    </row>
    <row r="11" spans="1:18" x14ac:dyDescent="0.25">
      <c r="A11" s="151">
        <v>8</v>
      </c>
      <c r="B11" s="55" t="s">
        <v>157</v>
      </c>
      <c r="C11" s="153" t="s">
        <v>153</v>
      </c>
      <c r="D11" s="200">
        <v>160000</v>
      </c>
      <c r="E11" s="173">
        <v>502000</v>
      </c>
      <c r="F11" s="201">
        <f t="shared" si="0"/>
        <v>662000</v>
      </c>
      <c r="G11" s="259">
        <f t="shared" si="1"/>
        <v>123400</v>
      </c>
      <c r="H11" s="260">
        <v>617000</v>
      </c>
      <c r="I11" s="260">
        <f t="shared" si="2"/>
        <v>740400</v>
      </c>
      <c r="J11" s="144">
        <v>135619.08854894573</v>
      </c>
      <c r="K11" s="144">
        <v>542476.35419578315</v>
      </c>
      <c r="L11" s="142">
        <f t="shared" si="3"/>
        <v>678095.44274472888</v>
      </c>
      <c r="M11" s="236">
        <f t="shared" si="4"/>
        <v>123400</v>
      </c>
      <c r="N11" s="236">
        <f t="shared" si="5"/>
        <v>502000</v>
      </c>
      <c r="O11" s="236">
        <f t="shared" si="6"/>
        <v>625400</v>
      </c>
      <c r="P11" s="301">
        <f t="shared" si="7"/>
        <v>114762</v>
      </c>
      <c r="Q11" s="301">
        <f t="shared" si="8"/>
        <v>466860</v>
      </c>
      <c r="R11" s="300">
        <f t="shared" si="9"/>
        <v>581622</v>
      </c>
    </row>
    <row r="12" spans="1:18" x14ac:dyDescent="0.25">
      <c r="A12" s="151">
        <v>9</v>
      </c>
      <c r="B12" s="55" t="s">
        <v>10</v>
      </c>
      <c r="C12" s="153" t="s">
        <v>153</v>
      </c>
      <c r="D12" s="200">
        <v>73000</v>
      </c>
      <c r="E12" s="173">
        <v>230000</v>
      </c>
      <c r="F12" s="201">
        <f t="shared" si="0"/>
        <v>303000</v>
      </c>
      <c r="G12" s="259">
        <f t="shared" si="1"/>
        <v>56400</v>
      </c>
      <c r="H12" s="260">
        <v>282000</v>
      </c>
      <c r="I12" s="260">
        <f t="shared" si="2"/>
        <v>338400</v>
      </c>
      <c r="J12" s="144">
        <f>62076.6951049435-1000</f>
        <v>61076.695104943501</v>
      </c>
      <c r="K12" s="144">
        <v>248306.78041977389</v>
      </c>
      <c r="L12" s="142">
        <f t="shared" si="3"/>
        <v>309383.47552471736</v>
      </c>
      <c r="M12" s="236">
        <f t="shared" si="4"/>
        <v>56400</v>
      </c>
      <c r="N12" s="236">
        <f t="shared" si="5"/>
        <v>230000</v>
      </c>
      <c r="O12" s="236">
        <f t="shared" si="6"/>
        <v>286400</v>
      </c>
      <c r="P12" s="301">
        <f t="shared" si="7"/>
        <v>52452</v>
      </c>
      <c r="Q12" s="301">
        <f t="shared" si="8"/>
        <v>213900</v>
      </c>
      <c r="R12" s="300">
        <f t="shared" si="9"/>
        <v>266352</v>
      </c>
    </row>
    <row r="13" spans="1:18" x14ac:dyDescent="0.25">
      <c r="A13" s="151">
        <v>10</v>
      </c>
      <c r="B13" s="55" t="s">
        <v>65</v>
      </c>
      <c r="C13" s="153" t="s">
        <v>153</v>
      </c>
      <c r="D13" s="200">
        <v>314000</v>
      </c>
      <c r="E13" s="173">
        <v>985000</v>
      </c>
      <c r="F13" s="201">
        <f t="shared" si="0"/>
        <v>1299000</v>
      </c>
      <c r="G13" s="259">
        <f t="shared" si="1"/>
        <v>242400</v>
      </c>
      <c r="H13" s="260">
        <v>1212000</v>
      </c>
      <c r="I13" s="260">
        <f t="shared" si="2"/>
        <v>1454400</v>
      </c>
      <c r="J13" s="144">
        <f>266454.374956923-1000</f>
        <v>265454.37495692301</v>
      </c>
      <c r="K13" s="144">
        <v>1065817.499827693</v>
      </c>
      <c r="L13" s="142">
        <f t="shared" si="3"/>
        <v>1331271.8747846161</v>
      </c>
      <c r="M13" s="236">
        <f t="shared" si="4"/>
        <v>242400</v>
      </c>
      <c r="N13" s="236">
        <f t="shared" si="5"/>
        <v>985000</v>
      </c>
      <c r="O13" s="236">
        <f t="shared" si="6"/>
        <v>1227400</v>
      </c>
      <c r="P13" s="301">
        <f t="shared" si="7"/>
        <v>225432</v>
      </c>
      <c r="Q13" s="301">
        <f t="shared" si="8"/>
        <v>916050</v>
      </c>
      <c r="R13" s="300">
        <f t="shared" si="9"/>
        <v>1141482</v>
      </c>
    </row>
    <row r="14" spans="1:18" x14ac:dyDescent="0.25">
      <c r="A14" s="151">
        <v>11</v>
      </c>
      <c r="B14" s="55" t="s">
        <v>9</v>
      </c>
      <c r="C14" s="153" t="s">
        <v>153</v>
      </c>
      <c r="D14" s="200">
        <v>107000</v>
      </c>
      <c r="E14" s="173">
        <v>337000</v>
      </c>
      <c r="F14" s="201">
        <f t="shared" si="0"/>
        <v>444000</v>
      </c>
      <c r="G14" s="259">
        <f t="shared" si="1"/>
        <v>82800</v>
      </c>
      <c r="H14" s="260">
        <v>414000</v>
      </c>
      <c r="I14" s="260">
        <f t="shared" si="2"/>
        <v>496800</v>
      </c>
      <c r="J14" s="144">
        <f>91095.0858932541-1000</f>
        <v>90095.085893254101</v>
      </c>
      <c r="K14" s="144">
        <v>364380.34357301658</v>
      </c>
      <c r="L14" s="142">
        <f t="shared" si="3"/>
        <v>454475.42946627067</v>
      </c>
      <c r="M14" s="236">
        <f t="shared" si="4"/>
        <v>82800</v>
      </c>
      <c r="N14" s="236">
        <f t="shared" si="5"/>
        <v>337000</v>
      </c>
      <c r="O14" s="236">
        <f t="shared" si="6"/>
        <v>419800</v>
      </c>
      <c r="P14" s="301">
        <f t="shared" si="7"/>
        <v>77004</v>
      </c>
      <c r="Q14" s="301">
        <f t="shared" si="8"/>
        <v>313410</v>
      </c>
      <c r="R14" s="300">
        <f t="shared" si="9"/>
        <v>390414</v>
      </c>
    </row>
    <row r="15" spans="1:18" x14ac:dyDescent="0.25">
      <c r="A15" s="151">
        <v>12</v>
      </c>
      <c r="B15" s="55" t="s">
        <v>324</v>
      </c>
      <c r="C15" s="153" t="s">
        <v>153</v>
      </c>
      <c r="D15" s="200">
        <v>375000</v>
      </c>
      <c r="E15" s="173">
        <v>1176000</v>
      </c>
      <c r="F15" s="201">
        <f t="shared" si="0"/>
        <v>1551000</v>
      </c>
      <c r="G15" s="259">
        <f t="shared" si="1"/>
        <v>289200</v>
      </c>
      <c r="H15" s="260">
        <v>1446000</v>
      </c>
      <c r="I15" s="260">
        <f t="shared" si="2"/>
        <v>1735200</v>
      </c>
      <c r="J15" s="144">
        <f>318012.433083205-1000</f>
        <v>317012.43308320502</v>
      </c>
      <c r="K15" s="144">
        <v>1272049.7323328184</v>
      </c>
      <c r="L15" s="142">
        <f t="shared" si="3"/>
        <v>1589062.1654160235</v>
      </c>
      <c r="M15" s="236">
        <f t="shared" si="4"/>
        <v>289200</v>
      </c>
      <c r="N15" s="236">
        <f t="shared" si="5"/>
        <v>1176000</v>
      </c>
      <c r="O15" s="236">
        <f t="shared" si="6"/>
        <v>1465200</v>
      </c>
      <c r="P15" s="301">
        <f t="shared" si="7"/>
        <v>268956</v>
      </c>
      <c r="Q15" s="301">
        <f t="shared" si="8"/>
        <v>1093680</v>
      </c>
      <c r="R15" s="300">
        <f t="shared" si="9"/>
        <v>1362636</v>
      </c>
    </row>
    <row r="16" spans="1:18" x14ac:dyDescent="0.25">
      <c r="A16" s="151">
        <v>13</v>
      </c>
      <c r="B16" s="58" t="s">
        <v>496</v>
      </c>
      <c r="C16" s="153" t="s">
        <v>153</v>
      </c>
      <c r="D16" s="200">
        <v>1180000</v>
      </c>
      <c r="E16" s="173">
        <v>9148000</v>
      </c>
      <c r="F16" s="201">
        <f t="shared" si="0"/>
        <v>10328000</v>
      </c>
      <c r="G16" s="259">
        <f t="shared" si="1"/>
        <v>1925600</v>
      </c>
      <c r="H16" s="260">
        <v>9628000</v>
      </c>
      <c r="I16" s="260">
        <f t="shared" si="2"/>
        <v>11553600</v>
      </c>
      <c r="J16" s="144">
        <f>1938171.328976-1000</f>
        <v>1937171.328976</v>
      </c>
      <c r="K16" s="144">
        <v>7752685.3159040008</v>
      </c>
      <c r="L16" s="142">
        <f t="shared" si="3"/>
        <v>9689856.6448800005</v>
      </c>
      <c r="M16" s="236">
        <f t="shared" si="4"/>
        <v>1180000</v>
      </c>
      <c r="N16" s="236">
        <f t="shared" si="5"/>
        <v>7752685.3159040008</v>
      </c>
      <c r="O16" s="236">
        <f t="shared" si="6"/>
        <v>8932685.3159040008</v>
      </c>
      <c r="P16" s="301">
        <f t="shared" si="7"/>
        <v>1097400</v>
      </c>
      <c r="Q16" s="301">
        <f t="shared" si="8"/>
        <v>7209997.3437907211</v>
      </c>
      <c r="R16" s="300">
        <f t="shared" si="9"/>
        <v>8307397.3437907211</v>
      </c>
    </row>
    <row r="17" spans="1:18" x14ac:dyDescent="0.25">
      <c r="A17" s="151">
        <v>14</v>
      </c>
      <c r="B17" s="55" t="s">
        <v>2</v>
      </c>
      <c r="C17" s="153" t="s">
        <v>153</v>
      </c>
      <c r="D17" s="200">
        <v>224000</v>
      </c>
      <c r="E17" s="173">
        <v>701000</v>
      </c>
      <c r="F17" s="201">
        <f t="shared" si="0"/>
        <v>925000</v>
      </c>
      <c r="G17" s="259">
        <f t="shared" si="1"/>
        <v>172400</v>
      </c>
      <c r="H17" s="260">
        <v>862000</v>
      </c>
      <c r="I17" s="260">
        <f t="shared" si="2"/>
        <v>1034400</v>
      </c>
      <c r="J17" s="144">
        <f>189563.756042407-1000</f>
        <v>188563.75604240701</v>
      </c>
      <c r="K17" s="144">
        <v>758255.02416962851</v>
      </c>
      <c r="L17" s="142">
        <f t="shared" si="3"/>
        <v>946818.78021203552</v>
      </c>
      <c r="M17" s="236">
        <f t="shared" si="4"/>
        <v>172400</v>
      </c>
      <c r="N17" s="236">
        <f t="shared" si="5"/>
        <v>701000</v>
      </c>
      <c r="O17" s="236">
        <f t="shared" si="6"/>
        <v>873400</v>
      </c>
      <c r="P17" s="301">
        <f t="shared" si="7"/>
        <v>160332</v>
      </c>
      <c r="Q17" s="301">
        <f t="shared" si="8"/>
        <v>651930</v>
      </c>
      <c r="R17" s="300">
        <f t="shared" si="9"/>
        <v>812262</v>
      </c>
    </row>
    <row r="18" spans="1:18" x14ac:dyDescent="0.25">
      <c r="A18" s="151">
        <v>15</v>
      </c>
      <c r="B18" s="55" t="s">
        <v>3</v>
      </c>
      <c r="C18" s="153" t="s">
        <v>153</v>
      </c>
      <c r="D18" s="200">
        <v>224000</v>
      </c>
      <c r="E18" s="173">
        <v>701000</v>
      </c>
      <c r="F18" s="201">
        <f t="shared" si="0"/>
        <v>925000</v>
      </c>
      <c r="G18" s="259">
        <f t="shared" si="1"/>
        <v>172400</v>
      </c>
      <c r="H18" s="260">
        <v>862000</v>
      </c>
      <c r="I18" s="260">
        <f t="shared" si="2"/>
        <v>1034400</v>
      </c>
      <c r="J18" s="144">
        <f>189563.756042407-1000</f>
        <v>188563.75604240701</v>
      </c>
      <c r="K18" s="144">
        <v>758255.02416962851</v>
      </c>
      <c r="L18" s="142">
        <f t="shared" si="3"/>
        <v>946818.78021203552</v>
      </c>
      <c r="M18" s="236">
        <f t="shared" si="4"/>
        <v>172400</v>
      </c>
      <c r="N18" s="236">
        <f t="shared" si="5"/>
        <v>701000</v>
      </c>
      <c r="O18" s="236">
        <f t="shared" si="6"/>
        <v>873400</v>
      </c>
      <c r="P18" s="301">
        <f t="shared" si="7"/>
        <v>160332</v>
      </c>
      <c r="Q18" s="301">
        <f t="shared" si="8"/>
        <v>651930</v>
      </c>
      <c r="R18" s="300">
        <f t="shared" si="9"/>
        <v>812262</v>
      </c>
    </row>
    <row r="19" spans="1:18" x14ac:dyDescent="0.25">
      <c r="A19" s="151">
        <v>16</v>
      </c>
      <c r="B19" s="55" t="s">
        <v>15</v>
      </c>
      <c r="C19" s="153" t="s">
        <v>153</v>
      </c>
      <c r="D19" s="200">
        <v>675000</v>
      </c>
      <c r="E19" s="173">
        <v>2145000</v>
      </c>
      <c r="F19" s="201">
        <f t="shared" si="0"/>
        <v>2820000</v>
      </c>
      <c r="G19" s="259">
        <f t="shared" si="1"/>
        <v>525800</v>
      </c>
      <c r="H19" s="260">
        <v>2629000</v>
      </c>
      <c r="I19" s="260">
        <f t="shared" si="2"/>
        <v>3154800</v>
      </c>
      <c r="J19" s="144">
        <f>571883.315477078-1000</f>
        <v>570883.31547707797</v>
      </c>
      <c r="K19" s="144">
        <v>2287533.2619083114</v>
      </c>
      <c r="L19" s="142">
        <f t="shared" si="3"/>
        <v>2858416.5773853892</v>
      </c>
      <c r="M19" s="236">
        <f t="shared" si="4"/>
        <v>525800</v>
      </c>
      <c r="N19" s="236">
        <f t="shared" si="5"/>
        <v>2145000</v>
      </c>
      <c r="O19" s="236">
        <f t="shared" si="6"/>
        <v>2670800</v>
      </c>
      <c r="P19" s="301">
        <f t="shared" si="7"/>
        <v>488994</v>
      </c>
      <c r="Q19" s="301">
        <f t="shared" si="8"/>
        <v>1994850</v>
      </c>
      <c r="R19" s="300">
        <f t="shared" si="9"/>
        <v>2483844</v>
      </c>
    </row>
    <row r="20" spans="1:18" x14ac:dyDescent="0.25">
      <c r="A20" s="151">
        <v>17</v>
      </c>
      <c r="B20" s="55" t="s">
        <v>105</v>
      </c>
      <c r="C20" s="153" t="s">
        <v>153</v>
      </c>
      <c r="D20" s="200">
        <v>210000</v>
      </c>
      <c r="E20" s="173">
        <v>657000</v>
      </c>
      <c r="F20" s="201">
        <f t="shared" si="0"/>
        <v>867000</v>
      </c>
      <c r="G20" s="259">
        <f t="shared" si="1"/>
        <v>161400</v>
      </c>
      <c r="H20" s="260">
        <v>807000</v>
      </c>
      <c r="I20" s="260">
        <f t="shared" si="2"/>
        <v>968400</v>
      </c>
      <c r="J20" s="144">
        <f>177654.864757373-1000</f>
        <v>176654.864757373</v>
      </c>
      <c r="K20" s="144">
        <v>710619.45902949327</v>
      </c>
      <c r="L20" s="142">
        <f t="shared" si="3"/>
        <v>887274.32378686627</v>
      </c>
      <c r="M20" s="236">
        <f t="shared" si="4"/>
        <v>161400</v>
      </c>
      <c r="N20" s="236">
        <f t="shared" si="5"/>
        <v>657000</v>
      </c>
      <c r="O20" s="236">
        <f t="shared" si="6"/>
        <v>818400</v>
      </c>
      <c r="P20" s="301">
        <f t="shared" si="7"/>
        <v>150102</v>
      </c>
      <c r="Q20" s="301">
        <f t="shared" si="8"/>
        <v>611010</v>
      </c>
      <c r="R20" s="300">
        <f t="shared" si="9"/>
        <v>761112</v>
      </c>
    </row>
    <row r="21" spans="1:18" x14ac:dyDescent="0.25">
      <c r="A21" s="151">
        <v>18</v>
      </c>
      <c r="B21" s="55" t="s">
        <v>106</v>
      </c>
      <c r="C21" s="153" t="s">
        <v>153</v>
      </c>
      <c r="D21" s="200">
        <v>283000</v>
      </c>
      <c r="E21" s="173">
        <v>886000</v>
      </c>
      <c r="F21" s="201">
        <f t="shared" si="0"/>
        <v>1169000</v>
      </c>
      <c r="G21" s="259">
        <f t="shared" si="1"/>
        <v>217800</v>
      </c>
      <c r="H21" s="260">
        <v>1089000</v>
      </c>
      <c r="I21" s="260">
        <f t="shared" si="2"/>
        <v>1306800</v>
      </c>
      <c r="J21" s="144">
        <f>239508.428078893-1000</f>
        <v>238508.42807889299</v>
      </c>
      <c r="K21" s="144">
        <v>958033.71231557115</v>
      </c>
      <c r="L21" s="142">
        <f t="shared" si="3"/>
        <v>1196542.1403944641</v>
      </c>
      <c r="M21" s="236">
        <f t="shared" si="4"/>
        <v>217800</v>
      </c>
      <c r="N21" s="236">
        <f t="shared" si="5"/>
        <v>886000</v>
      </c>
      <c r="O21" s="236">
        <f t="shared" si="6"/>
        <v>1103800</v>
      </c>
      <c r="P21" s="301">
        <f t="shared" si="7"/>
        <v>202554</v>
      </c>
      <c r="Q21" s="301">
        <f t="shared" si="8"/>
        <v>823980</v>
      </c>
      <c r="R21" s="300">
        <f t="shared" si="9"/>
        <v>1026534</v>
      </c>
    </row>
    <row r="22" spans="1:18" x14ac:dyDescent="0.25">
      <c r="A22" s="151">
        <v>19</v>
      </c>
      <c r="B22" s="55" t="s">
        <v>6</v>
      </c>
      <c r="C22" s="153" t="s">
        <v>153</v>
      </c>
      <c r="D22" s="200">
        <v>332000</v>
      </c>
      <c r="E22" s="173">
        <v>1041000</v>
      </c>
      <c r="F22" s="201">
        <f t="shared" si="0"/>
        <v>1373000</v>
      </c>
      <c r="G22" s="259">
        <f t="shared" si="1"/>
        <v>256000</v>
      </c>
      <c r="H22" s="260">
        <v>1280000</v>
      </c>
      <c r="I22" s="260">
        <f t="shared" si="2"/>
        <v>1536000</v>
      </c>
      <c r="J22" s="144">
        <f>281473.580007246-1000</f>
        <v>280473.580007246</v>
      </c>
      <c r="K22" s="144">
        <v>1125894.3200289838</v>
      </c>
      <c r="L22" s="142">
        <f t="shared" si="3"/>
        <v>1406367.9000362298</v>
      </c>
      <c r="M22" s="236">
        <f t="shared" si="4"/>
        <v>256000</v>
      </c>
      <c r="N22" s="236">
        <f t="shared" si="5"/>
        <v>1041000</v>
      </c>
      <c r="O22" s="236">
        <f t="shared" si="6"/>
        <v>1297000</v>
      </c>
      <c r="P22" s="301">
        <f t="shared" si="7"/>
        <v>238080</v>
      </c>
      <c r="Q22" s="301">
        <f t="shared" si="8"/>
        <v>968130</v>
      </c>
      <c r="R22" s="300">
        <f t="shared" si="9"/>
        <v>1206210</v>
      </c>
    </row>
    <row r="23" spans="1:18" x14ac:dyDescent="0.25">
      <c r="A23" s="151">
        <v>20</v>
      </c>
      <c r="B23" s="55" t="s">
        <v>159</v>
      </c>
      <c r="C23" s="153" t="s">
        <v>153</v>
      </c>
      <c r="D23" s="200">
        <v>767000</v>
      </c>
      <c r="E23" s="173">
        <v>2877000</v>
      </c>
      <c r="F23" s="201">
        <f t="shared" si="0"/>
        <v>3644000</v>
      </c>
      <c r="G23" s="259">
        <f t="shared" si="1"/>
        <v>679400</v>
      </c>
      <c r="H23" s="260">
        <v>3397000</v>
      </c>
      <c r="I23" s="260">
        <f t="shared" si="2"/>
        <v>4076400</v>
      </c>
      <c r="J23" s="144">
        <f>766934.415179794-1000</f>
        <v>765934.41517979396</v>
      </c>
      <c r="K23" s="144">
        <v>3067737.6607191768</v>
      </c>
      <c r="L23" s="142">
        <f t="shared" si="3"/>
        <v>3833672.0758989705</v>
      </c>
      <c r="M23" s="236">
        <f t="shared" si="4"/>
        <v>679400</v>
      </c>
      <c r="N23" s="236">
        <f t="shared" si="5"/>
        <v>2877000</v>
      </c>
      <c r="O23" s="236">
        <f t="shared" si="6"/>
        <v>3556400</v>
      </c>
      <c r="P23" s="301">
        <f t="shared" si="7"/>
        <v>631842</v>
      </c>
      <c r="Q23" s="301">
        <f t="shared" si="8"/>
        <v>2675610</v>
      </c>
      <c r="R23" s="300">
        <f t="shared" si="9"/>
        <v>3307452</v>
      </c>
    </row>
    <row r="24" spans="1:18" ht="22.5" x14ac:dyDescent="0.25">
      <c r="A24" s="151">
        <v>21</v>
      </c>
      <c r="B24" s="55" t="s">
        <v>160</v>
      </c>
      <c r="C24" s="153" t="s">
        <v>153</v>
      </c>
      <c r="D24" s="200">
        <v>151000</v>
      </c>
      <c r="E24" s="173">
        <v>401000</v>
      </c>
      <c r="F24" s="201">
        <f t="shared" si="0"/>
        <v>552000</v>
      </c>
      <c r="G24" s="259">
        <f t="shared" si="1"/>
        <v>103000</v>
      </c>
      <c r="H24" s="260">
        <v>515000</v>
      </c>
      <c r="I24" s="260">
        <f t="shared" si="2"/>
        <v>618000</v>
      </c>
      <c r="J24" s="144">
        <f>127865.7744-1000</f>
        <v>126865.77439999999</v>
      </c>
      <c r="K24" s="144">
        <v>511463.09759999998</v>
      </c>
      <c r="L24" s="142">
        <f t="shared" si="3"/>
        <v>638328.87199999997</v>
      </c>
      <c r="M24" s="236">
        <f t="shared" si="4"/>
        <v>103000</v>
      </c>
      <c r="N24" s="236">
        <f t="shared" si="5"/>
        <v>401000</v>
      </c>
      <c r="O24" s="236">
        <f t="shared" si="6"/>
        <v>504000</v>
      </c>
      <c r="P24" s="301">
        <f t="shared" si="7"/>
        <v>95790</v>
      </c>
      <c r="Q24" s="301">
        <f t="shared" si="8"/>
        <v>372930</v>
      </c>
      <c r="R24" s="300">
        <f t="shared" si="9"/>
        <v>468720</v>
      </c>
    </row>
    <row r="25" spans="1:18" x14ac:dyDescent="0.25">
      <c r="A25" s="151">
        <v>22</v>
      </c>
      <c r="B25" s="55" t="s">
        <v>5</v>
      </c>
      <c r="C25" s="153" t="s">
        <v>153</v>
      </c>
      <c r="D25" s="200">
        <v>50000</v>
      </c>
      <c r="E25" s="173">
        <v>173000</v>
      </c>
      <c r="F25" s="201">
        <f t="shared" si="0"/>
        <v>223000</v>
      </c>
      <c r="G25" s="259">
        <f t="shared" si="1"/>
        <v>41600</v>
      </c>
      <c r="H25" s="260">
        <v>208000</v>
      </c>
      <c r="I25" s="260">
        <f t="shared" si="2"/>
        <v>249600</v>
      </c>
      <c r="J25" s="144">
        <f>42621.9248-1000</f>
        <v>41621.924800000001</v>
      </c>
      <c r="K25" s="144">
        <v>170487.69920000003</v>
      </c>
      <c r="L25" s="142">
        <f t="shared" si="3"/>
        <v>212109.62400000004</v>
      </c>
      <c r="M25" s="236">
        <f t="shared" si="4"/>
        <v>41600</v>
      </c>
      <c r="N25" s="236">
        <f t="shared" si="5"/>
        <v>170487.69920000003</v>
      </c>
      <c r="O25" s="236">
        <f t="shared" si="6"/>
        <v>212087.69920000003</v>
      </c>
      <c r="P25" s="301">
        <f t="shared" si="7"/>
        <v>38688</v>
      </c>
      <c r="Q25" s="301">
        <f t="shared" si="8"/>
        <v>158553.56025600003</v>
      </c>
      <c r="R25" s="300">
        <f t="shared" si="9"/>
        <v>197241.56025600003</v>
      </c>
    </row>
    <row r="26" spans="1:18" x14ac:dyDescent="0.25">
      <c r="A26" s="151">
        <v>23</v>
      </c>
      <c r="B26" s="58" t="s">
        <v>132</v>
      </c>
      <c r="C26" s="153" t="s">
        <v>153</v>
      </c>
      <c r="D26" s="200">
        <v>381000</v>
      </c>
      <c r="E26" s="173">
        <v>1195000</v>
      </c>
      <c r="F26" s="201">
        <f t="shared" si="0"/>
        <v>1576000</v>
      </c>
      <c r="G26" s="259">
        <f t="shared" si="1"/>
        <v>294000</v>
      </c>
      <c r="H26" s="260">
        <v>1470000</v>
      </c>
      <c r="I26" s="260">
        <f t="shared" si="2"/>
        <v>1764000</v>
      </c>
      <c r="J26" s="144">
        <f>323285.712662104-1000</f>
        <v>322285.71266210399</v>
      </c>
      <c r="K26" s="144">
        <v>1293142.8506484162</v>
      </c>
      <c r="L26" s="142">
        <f t="shared" si="3"/>
        <v>1615428.5633105203</v>
      </c>
      <c r="M26" s="236">
        <f t="shared" si="4"/>
        <v>294000</v>
      </c>
      <c r="N26" s="236">
        <f t="shared" si="5"/>
        <v>1195000</v>
      </c>
      <c r="O26" s="236">
        <f t="shared" si="6"/>
        <v>1489000</v>
      </c>
      <c r="P26" s="301">
        <f t="shared" si="7"/>
        <v>273420</v>
      </c>
      <c r="Q26" s="301">
        <f t="shared" si="8"/>
        <v>1111350</v>
      </c>
      <c r="R26" s="300">
        <f t="shared" si="9"/>
        <v>1384770</v>
      </c>
    </row>
    <row r="27" spans="1:18" x14ac:dyDescent="0.25">
      <c r="A27" s="151">
        <v>24</v>
      </c>
      <c r="B27" s="58" t="s">
        <v>149</v>
      </c>
      <c r="C27" s="153" t="s">
        <v>153</v>
      </c>
      <c r="D27" s="200">
        <v>179000</v>
      </c>
      <c r="E27" s="173">
        <v>562000</v>
      </c>
      <c r="F27" s="201">
        <f t="shared" si="0"/>
        <v>741000</v>
      </c>
      <c r="G27" s="259">
        <f t="shared" si="1"/>
        <v>138200</v>
      </c>
      <c r="H27" s="260">
        <v>691000</v>
      </c>
      <c r="I27" s="260">
        <f t="shared" si="2"/>
        <v>829200</v>
      </c>
      <c r="J27" s="144">
        <f>151923.061843256-1000</f>
        <v>150923.061843256</v>
      </c>
      <c r="K27" s="144">
        <v>607692.2473730254</v>
      </c>
      <c r="L27" s="142">
        <f t="shared" si="3"/>
        <v>758615.3092162814</v>
      </c>
      <c r="M27" s="236">
        <f t="shared" si="4"/>
        <v>138200</v>
      </c>
      <c r="N27" s="236">
        <f t="shared" si="5"/>
        <v>562000</v>
      </c>
      <c r="O27" s="236">
        <f t="shared" si="6"/>
        <v>700200</v>
      </c>
      <c r="P27" s="301">
        <f t="shared" si="7"/>
        <v>128526</v>
      </c>
      <c r="Q27" s="301">
        <f t="shared" si="8"/>
        <v>522660</v>
      </c>
      <c r="R27" s="300">
        <f t="shared" si="9"/>
        <v>651186</v>
      </c>
    </row>
    <row r="28" spans="1:18" x14ac:dyDescent="0.25">
      <c r="A28" s="151">
        <v>25</v>
      </c>
      <c r="B28" s="55" t="s">
        <v>11</v>
      </c>
      <c r="C28" s="153" t="s">
        <v>153</v>
      </c>
      <c r="D28" s="200">
        <v>113000</v>
      </c>
      <c r="E28" s="173">
        <v>354000</v>
      </c>
      <c r="F28" s="201">
        <f t="shared" si="0"/>
        <v>467000</v>
      </c>
      <c r="G28" s="259">
        <f t="shared" si="1"/>
        <v>87000</v>
      </c>
      <c r="H28" s="260">
        <v>435000</v>
      </c>
      <c r="I28" s="260">
        <f t="shared" si="2"/>
        <v>522000</v>
      </c>
      <c r="J28" s="144">
        <f>95712.2761456639-1000</f>
        <v>94712.276145663898</v>
      </c>
      <c r="K28" s="144">
        <v>382849.10458265571</v>
      </c>
      <c r="L28" s="142">
        <f t="shared" si="3"/>
        <v>477561.38072831964</v>
      </c>
      <c r="M28" s="236">
        <f t="shared" si="4"/>
        <v>87000</v>
      </c>
      <c r="N28" s="236">
        <f t="shared" si="5"/>
        <v>354000</v>
      </c>
      <c r="O28" s="236">
        <f t="shared" si="6"/>
        <v>441000</v>
      </c>
      <c r="P28" s="301">
        <f t="shared" si="7"/>
        <v>80910</v>
      </c>
      <c r="Q28" s="301">
        <f t="shared" si="8"/>
        <v>329220</v>
      </c>
      <c r="R28" s="300">
        <f t="shared" si="9"/>
        <v>410130</v>
      </c>
    </row>
    <row r="29" spans="1:18" x14ac:dyDescent="0.25">
      <c r="A29" s="151">
        <v>26</v>
      </c>
      <c r="B29" s="58" t="s">
        <v>66</v>
      </c>
      <c r="C29" s="153" t="s">
        <v>153</v>
      </c>
      <c r="D29" s="200">
        <v>178000</v>
      </c>
      <c r="E29" s="173">
        <v>558000</v>
      </c>
      <c r="F29" s="201">
        <f t="shared" si="0"/>
        <v>736000</v>
      </c>
      <c r="G29" s="259">
        <f t="shared" si="1"/>
        <v>137200</v>
      </c>
      <c r="H29" s="260">
        <v>686000</v>
      </c>
      <c r="I29" s="260">
        <f t="shared" si="2"/>
        <v>823200</v>
      </c>
      <c r="J29" s="144">
        <f>150972.192912977-1000</f>
        <v>149972.19291297701</v>
      </c>
      <c r="K29" s="144">
        <v>603888.77165190922</v>
      </c>
      <c r="L29" s="142">
        <f t="shared" si="3"/>
        <v>753860.96456488618</v>
      </c>
      <c r="M29" s="236">
        <f t="shared" si="4"/>
        <v>137200</v>
      </c>
      <c r="N29" s="236">
        <f t="shared" si="5"/>
        <v>558000</v>
      </c>
      <c r="O29" s="236">
        <f t="shared" si="6"/>
        <v>695200</v>
      </c>
      <c r="P29" s="301">
        <f t="shared" si="7"/>
        <v>127596</v>
      </c>
      <c r="Q29" s="301">
        <f t="shared" si="8"/>
        <v>518940</v>
      </c>
      <c r="R29" s="300">
        <f t="shared" si="9"/>
        <v>646536</v>
      </c>
    </row>
    <row r="30" spans="1:18" x14ac:dyDescent="0.25">
      <c r="A30" s="151">
        <v>27</v>
      </c>
      <c r="B30" s="55" t="s">
        <v>13</v>
      </c>
      <c r="C30" s="153" t="s">
        <v>153</v>
      </c>
      <c r="D30" s="200">
        <v>502000</v>
      </c>
      <c r="E30" s="173">
        <v>1908000</v>
      </c>
      <c r="F30" s="201">
        <f t="shared" si="0"/>
        <v>2410000</v>
      </c>
      <c r="G30" s="259">
        <f t="shared" si="1"/>
        <v>449400</v>
      </c>
      <c r="H30" s="260">
        <v>2247000</v>
      </c>
      <c r="I30" s="260">
        <f t="shared" si="2"/>
        <v>2696400</v>
      </c>
      <c r="J30" s="144">
        <f>463752.360395256-1000</f>
        <v>462752.36039525602</v>
      </c>
      <c r="K30" s="144">
        <v>1855009.4415810232</v>
      </c>
      <c r="L30" s="142">
        <f t="shared" si="3"/>
        <v>2317761.8019762794</v>
      </c>
      <c r="M30" s="236">
        <f t="shared" si="4"/>
        <v>449400</v>
      </c>
      <c r="N30" s="236">
        <f t="shared" si="5"/>
        <v>1855009.4415810232</v>
      </c>
      <c r="O30" s="236">
        <f t="shared" si="6"/>
        <v>2304409.4415810229</v>
      </c>
      <c r="P30" s="301">
        <f t="shared" si="7"/>
        <v>417942</v>
      </c>
      <c r="Q30" s="301">
        <f t="shared" si="8"/>
        <v>1725158.7806703516</v>
      </c>
      <c r="R30" s="300">
        <f t="shared" si="9"/>
        <v>2143100.7806703513</v>
      </c>
    </row>
    <row r="31" spans="1:18" x14ac:dyDescent="0.25">
      <c r="A31" s="151">
        <v>28</v>
      </c>
      <c r="B31" s="55" t="s">
        <v>14</v>
      </c>
      <c r="C31" s="153" t="s">
        <v>153</v>
      </c>
      <c r="D31" s="200">
        <v>163000</v>
      </c>
      <c r="E31" s="173">
        <v>478000</v>
      </c>
      <c r="F31" s="201">
        <f t="shared" si="0"/>
        <v>641000</v>
      </c>
      <c r="G31" s="259">
        <f t="shared" si="1"/>
        <v>119400</v>
      </c>
      <c r="H31" s="260">
        <v>597000</v>
      </c>
      <c r="I31" s="260">
        <f t="shared" si="2"/>
        <v>716400</v>
      </c>
      <c r="J31" s="144">
        <f>137771.108-1000</f>
        <v>136771.10800000001</v>
      </c>
      <c r="K31" s="144">
        <v>551084.43200000003</v>
      </c>
      <c r="L31" s="142">
        <f t="shared" si="3"/>
        <v>687855.54</v>
      </c>
      <c r="M31" s="236">
        <f t="shared" si="4"/>
        <v>119400</v>
      </c>
      <c r="N31" s="236">
        <f t="shared" si="5"/>
        <v>478000</v>
      </c>
      <c r="O31" s="236">
        <f t="shared" si="6"/>
        <v>597400</v>
      </c>
      <c r="P31" s="301">
        <f t="shared" si="7"/>
        <v>111042</v>
      </c>
      <c r="Q31" s="301">
        <f t="shared" si="8"/>
        <v>444540</v>
      </c>
      <c r="R31" s="300">
        <f t="shared" si="9"/>
        <v>555582</v>
      </c>
    </row>
    <row r="32" spans="1:18" x14ac:dyDescent="0.25">
      <c r="A32" s="151">
        <v>29</v>
      </c>
      <c r="B32" s="55" t="s">
        <v>280</v>
      </c>
      <c r="C32" s="153" t="s">
        <v>153</v>
      </c>
      <c r="D32" s="200">
        <v>25000</v>
      </c>
      <c r="E32" s="173">
        <v>84000</v>
      </c>
      <c r="F32" s="201">
        <f t="shared" si="0"/>
        <v>109000</v>
      </c>
      <c r="G32" s="259">
        <f t="shared" si="1"/>
        <v>20200</v>
      </c>
      <c r="H32" s="260">
        <v>101000</v>
      </c>
      <c r="I32" s="260">
        <f t="shared" si="2"/>
        <v>121200</v>
      </c>
      <c r="J32" s="144">
        <f>21182.80437-1000</f>
        <v>20182.804370000002</v>
      </c>
      <c r="K32" s="144">
        <v>84731.217480000007</v>
      </c>
      <c r="L32" s="142">
        <f t="shared" si="3"/>
        <v>104914.02185</v>
      </c>
      <c r="M32" s="236">
        <f t="shared" si="4"/>
        <v>20182.804370000002</v>
      </c>
      <c r="N32" s="236">
        <f t="shared" si="5"/>
        <v>84000</v>
      </c>
      <c r="O32" s="236">
        <f t="shared" si="6"/>
        <v>104182.80437</v>
      </c>
      <c r="P32" s="301">
        <f t="shared" si="7"/>
        <v>18770.008064100002</v>
      </c>
      <c r="Q32" s="301">
        <f t="shared" si="8"/>
        <v>78120</v>
      </c>
      <c r="R32" s="300">
        <f t="shared" si="9"/>
        <v>96890.008064099995</v>
      </c>
    </row>
    <row r="33" spans="1:18" x14ac:dyDescent="0.25">
      <c r="A33" s="151">
        <v>30</v>
      </c>
      <c r="B33" s="55" t="s">
        <v>163</v>
      </c>
      <c r="C33" s="153" t="s">
        <v>153</v>
      </c>
      <c r="D33" s="200">
        <v>53000</v>
      </c>
      <c r="E33" s="173">
        <v>167000</v>
      </c>
      <c r="F33" s="201">
        <f t="shared" si="0"/>
        <v>220000</v>
      </c>
      <c r="G33" s="259">
        <f t="shared" si="1"/>
        <v>41200</v>
      </c>
      <c r="H33" s="260">
        <v>206000</v>
      </c>
      <c r="I33" s="260">
        <f t="shared" si="2"/>
        <v>247200</v>
      </c>
      <c r="J33" s="144">
        <f>45112.5383229795-1000</f>
        <v>44112.538322979497</v>
      </c>
      <c r="K33" s="144">
        <v>180450.15329191796</v>
      </c>
      <c r="L33" s="142">
        <f t="shared" si="3"/>
        <v>224562.69161489746</v>
      </c>
      <c r="M33" s="236">
        <f t="shared" si="4"/>
        <v>41200</v>
      </c>
      <c r="N33" s="236">
        <f t="shared" si="5"/>
        <v>167000</v>
      </c>
      <c r="O33" s="236">
        <f t="shared" si="6"/>
        <v>208200</v>
      </c>
      <c r="P33" s="301">
        <f t="shared" si="7"/>
        <v>38316</v>
      </c>
      <c r="Q33" s="301">
        <f t="shared" si="8"/>
        <v>155310</v>
      </c>
      <c r="R33" s="300">
        <f t="shared" si="9"/>
        <v>193626</v>
      </c>
    </row>
    <row r="34" spans="1:18" x14ac:dyDescent="0.25">
      <c r="A34" s="151">
        <v>31</v>
      </c>
      <c r="B34" s="55" t="s">
        <v>281</v>
      </c>
      <c r="C34" s="153" t="s">
        <v>153</v>
      </c>
      <c r="D34" s="200">
        <v>172000</v>
      </c>
      <c r="E34" s="173">
        <v>539000</v>
      </c>
      <c r="F34" s="201">
        <f t="shared" si="0"/>
        <v>711000</v>
      </c>
      <c r="G34" s="259">
        <f t="shared" si="1"/>
        <v>132600</v>
      </c>
      <c r="H34" s="260">
        <v>663000</v>
      </c>
      <c r="I34" s="260">
        <f t="shared" si="2"/>
        <v>795600</v>
      </c>
      <c r="J34" s="144">
        <f>145854.4914583-1000</f>
        <v>144854.49145830001</v>
      </c>
      <c r="K34" s="144">
        <v>583417.96583320072</v>
      </c>
      <c r="L34" s="142">
        <f t="shared" si="3"/>
        <v>728272.45729150076</v>
      </c>
      <c r="M34" s="236">
        <f t="shared" si="4"/>
        <v>132600</v>
      </c>
      <c r="N34" s="236">
        <f t="shared" si="5"/>
        <v>539000</v>
      </c>
      <c r="O34" s="236">
        <f t="shared" si="6"/>
        <v>671600</v>
      </c>
      <c r="P34" s="301">
        <f t="shared" si="7"/>
        <v>123318</v>
      </c>
      <c r="Q34" s="301">
        <f t="shared" si="8"/>
        <v>501270</v>
      </c>
      <c r="R34" s="300">
        <f t="shared" si="9"/>
        <v>624588</v>
      </c>
    </row>
    <row r="35" spans="1:18" x14ac:dyDescent="0.25">
      <c r="A35" s="151">
        <v>32</v>
      </c>
      <c r="B35" s="55" t="s">
        <v>7</v>
      </c>
      <c r="C35" s="153" t="s">
        <v>153</v>
      </c>
      <c r="D35" s="200">
        <v>502000</v>
      </c>
      <c r="E35" s="173">
        <v>1561000</v>
      </c>
      <c r="F35" s="201">
        <f t="shared" si="0"/>
        <v>2063000</v>
      </c>
      <c r="G35" s="259">
        <f t="shared" si="1"/>
        <v>384600</v>
      </c>
      <c r="H35" s="260">
        <v>1923000</v>
      </c>
      <c r="I35" s="260">
        <f t="shared" si="2"/>
        <v>2307600</v>
      </c>
      <c r="J35" s="144">
        <f>502210.370010868-1000</f>
        <v>501210.37001086801</v>
      </c>
      <c r="K35" s="144">
        <v>2008841.480043472</v>
      </c>
      <c r="L35" s="142">
        <f t="shared" si="3"/>
        <v>2510051.85005434</v>
      </c>
      <c r="M35" s="236">
        <f t="shared" si="4"/>
        <v>384600</v>
      </c>
      <c r="N35" s="236">
        <f t="shared" si="5"/>
        <v>1561000</v>
      </c>
      <c r="O35" s="236">
        <f t="shared" si="6"/>
        <v>1945600</v>
      </c>
      <c r="P35" s="301">
        <f t="shared" si="7"/>
        <v>357678</v>
      </c>
      <c r="Q35" s="301">
        <f t="shared" si="8"/>
        <v>1451730</v>
      </c>
      <c r="R35" s="300">
        <f t="shared" si="9"/>
        <v>1809408</v>
      </c>
    </row>
    <row r="36" spans="1:18" x14ac:dyDescent="0.25">
      <c r="A36" s="151">
        <v>33</v>
      </c>
      <c r="B36" s="58" t="s">
        <v>353</v>
      </c>
      <c r="C36" s="153" t="s">
        <v>153</v>
      </c>
      <c r="D36" s="200">
        <v>130000</v>
      </c>
      <c r="E36" s="173">
        <v>538000</v>
      </c>
      <c r="F36" s="201">
        <f t="shared" si="0"/>
        <v>668000</v>
      </c>
      <c r="G36" s="259">
        <f t="shared" si="1"/>
        <v>124600</v>
      </c>
      <c r="H36" s="260">
        <v>623000</v>
      </c>
      <c r="I36" s="260">
        <f t="shared" si="2"/>
        <v>747600</v>
      </c>
      <c r="J36" s="144">
        <f>145570.970797711-1000</f>
        <v>144570.97079771099</v>
      </c>
      <c r="K36" s="144">
        <v>582283.88319084409</v>
      </c>
      <c r="L36" s="142">
        <f t="shared" si="3"/>
        <v>726854.85398855503</v>
      </c>
      <c r="M36" s="236">
        <f t="shared" si="4"/>
        <v>124600</v>
      </c>
      <c r="N36" s="236">
        <f t="shared" si="5"/>
        <v>538000</v>
      </c>
      <c r="O36" s="236">
        <f t="shared" si="6"/>
        <v>662600</v>
      </c>
      <c r="P36" s="301">
        <f t="shared" si="7"/>
        <v>115878</v>
      </c>
      <c r="Q36" s="301">
        <f t="shared" si="8"/>
        <v>500340</v>
      </c>
      <c r="R36" s="300">
        <f t="shared" si="9"/>
        <v>616218</v>
      </c>
    </row>
    <row r="37" spans="1:18" x14ac:dyDescent="0.25">
      <c r="A37" s="151">
        <v>34</v>
      </c>
      <c r="B37" s="58" t="s">
        <v>109</v>
      </c>
      <c r="C37" s="153" t="s">
        <v>153</v>
      </c>
      <c r="D37" s="200">
        <v>351000</v>
      </c>
      <c r="E37" s="173">
        <v>1101000</v>
      </c>
      <c r="F37" s="201">
        <f t="shared" si="0"/>
        <v>1452000</v>
      </c>
      <c r="G37" s="259">
        <f t="shared" si="1"/>
        <v>270800</v>
      </c>
      <c r="H37" s="260">
        <v>1354000</v>
      </c>
      <c r="I37" s="260">
        <f t="shared" si="2"/>
        <v>1624800</v>
      </c>
      <c r="J37" s="144">
        <f>297777.056555856-1000</f>
        <v>296777.05655585602</v>
      </c>
      <c r="K37" s="144">
        <v>1191108.2262234229</v>
      </c>
      <c r="L37" s="142">
        <f t="shared" si="3"/>
        <v>1487885.2827792789</v>
      </c>
      <c r="M37" s="236">
        <f t="shared" si="4"/>
        <v>270800</v>
      </c>
      <c r="N37" s="236">
        <f t="shared" si="5"/>
        <v>1101000</v>
      </c>
      <c r="O37" s="236">
        <f t="shared" si="6"/>
        <v>1371800</v>
      </c>
      <c r="P37" s="301">
        <f t="shared" si="7"/>
        <v>251844</v>
      </c>
      <c r="Q37" s="301">
        <f t="shared" si="8"/>
        <v>1023930</v>
      </c>
      <c r="R37" s="300">
        <f t="shared" si="9"/>
        <v>1275774</v>
      </c>
    </row>
    <row r="38" spans="1:18" x14ac:dyDescent="0.25">
      <c r="A38" s="151">
        <v>35</v>
      </c>
      <c r="B38" s="154" t="s">
        <v>89</v>
      </c>
      <c r="C38" s="153" t="s">
        <v>153</v>
      </c>
      <c r="D38" s="200">
        <v>148000</v>
      </c>
      <c r="E38" s="173">
        <v>522000</v>
      </c>
      <c r="F38" s="201">
        <f t="shared" si="0"/>
        <v>670000</v>
      </c>
      <c r="G38" s="259">
        <f t="shared" si="1"/>
        <v>125000</v>
      </c>
      <c r="H38" s="260">
        <v>625000</v>
      </c>
      <c r="I38" s="260">
        <f t="shared" si="2"/>
        <v>750000</v>
      </c>
      <c r="J38" s="144">
        <f>141158.645964348-1000</f>
        <v>140158.64596434799</v>
      </c>
      <c r="K38" s="144">
        <v>564634.58385738998</v>
      </c>
      <c r="L38" s="142">
        <f t="shared" si="3"/>
        <v>704793.22982173797</v>
      </c>
      <c r="M38" s="236">
        <f t="shared" si="4"/>
        <v>125000</v>
      </c>
      <c r="N38" s="236">
        <f t="shared" si="5"/>
        <v>522000</v>
      </c>
      <c r="O38" s="236">
        <f t="shared" si="6"/>
        <v>647000</v>
      </c>
      <c r="P38" s="301">
        <f t="shared" si="7"/>
        <v>116250</v>
      </c>
      <c r="Q38" s="301">
        <f t="shared" si="8"/>
        <v>485460</v>
      </c>
      <c r="R38" s="300">
        <f t="shared" si="9"/>
        <v>601710</v>
      </c>
    </row>
    <row r="39" spans="1:18" x14ac:dyDescent="0.25">
      <c r="A39" s="151">
        <v>36</v>
      </c>
      <c r="B39" s="55" t="s">
        <v>137</v>
      </c>
      <c r="C39" s="153" t="s">
        <v>153</v>
      </c>
      <c r="D39" s="200">
        <v>148000</v>
      </c>
      <c r="E39" s="173">
        <v>598000</v>
      </c>
      <c r="F39" s="201">
        <f t="shared" si="0"/>
        <v>746000</v>
      </c>
      <c r="G39" s="259">
        <f t="shared" si="1"/>
        <v>139000</v>
      </c>
      <c r="H39" s="260">
        <v>695000</v>
      </c>
      <c r="I39" s="260">
        <f t="shared" si="2"/>
        <v>834000</v>
      </c>
      <c r="J39" s="144">
        <f>187314.831664-1000</f>
        <v>186314.831664</v>
      </c>
      <c r="K39" s="144">
        <v>749259.32665600011</v>
      </c>
      <c r="L39" s="142">
        <f t="shared" si="3"/>
        <v>935574.15832000016</v>
      </c>
      <c r="M39" s="236">
        <f t="shared" si="4"/>
        <v>139000</v>
      </c>
      <c r="N39" s="236">
        <f t="shared" si="5"/>
        <v>598000</v>
      </c>
      <c r="O39" s="236">
        <f t="shared" si="6"/>
        <v>737000</v>
      </c>
      <c r="P39" s="301">
        <f t="shared" si="7"/>
        <v>129270</v>
      </c>
      <c r="Q39" s="301">
        <f t="shared" si="8"/>
        <v>556140</v>
      </c>
      <c r="R39" s="300">
        <f t="shared" si="9"/>
        <v>685410</v>
      </c>
    </row>
    <row r="40" spans="1:18" x14ac:dyDescent="0.25">
      <c r="A40" s="151">
        <v>37</v>
      </c>
      <c r="B40" s="55" t="s">
        <v>138</v>
      </c>
      <c r="C40" s="153" t="s">
        <v>153</v>
      </c>
      <c r="D40" s="200">
        <v>230000</v>
      </c>
      <c r="E40" s="173">
        <v>548000</v>
      </c>
      <c r="F40" s="201">
        <f t="shared" si="0"/>
        <v>778000</v>
      </c>
      <c r="G40" s="259">
        <f t="shared" si="1"/>
        <v>145200</v>
      </c>
      <c r="H40" s="260">
        <v>726000</v>
      </c>
      <c r="I40" s="260">
        <f t="shared" si="2"/>
        <v>871200</v>
      </c>
      <c r="J40" s="144">
        <f>195100.28532-1000</f>
        <v>194100.28532</v>
      </c>
      <c r="K40" s="144">
        <v>780401.1412800001</v>
      </c>
      <c r="L40" s="142">
        <f t="shared" si="3"/>
        <v>974501.42660000012</v>
      </c>
      <c r="M40" s="236">
        <f t="shared" si="4"/>
        <v>145200</v>
      </c>
      <c r="N40" s="236">
        <f t="shared" si="5"/>
        <v>548000</v>
      </c>
      <c r="O40" s="236">
        <f t="shared" si="6"/>
        <v>693200</v>
      </c>
      <c r="P40" s="301">
        <f t="shared" si="7"/>
        <v>135036</v>
      </c>
      <c r="Q40" s="301">
        <f t="shared" si="8"/>
        <v>509640</v>
      </c>
      <c r="R40" s="300">
        <f t="shared" si="9"/>
        <v>644676</v>
      </c>
    </row>
    <row r="41" spans="1:18" ht="33.75" x14ac:dyDescent="0.25">
      <c r="A41" s="151">
        <v>38</v>
      </c>
      <c r="B41" s="55" t="s">
        <v>333</v>
      </c>
      <c r="C41" s="153" t="s">
        <v>153</v>
      </c>
      <c r="D41" s="200">
        <v>246000</v>
      </c>
      <c r="E41" s="173">
        <v>846000</v>
      </c>
      <c r="F41" s="201">
        <f t="shared" si="0"/>
        <v>1092000</v>
      </c>
      <c r="G41" s="259">
        <f t="shared" si="1"/>
        <v>203600</v>
      </c>
      <c r="H41" s="260">
        <v>1018000</v>
      </c>
      <c r="I41" s="260">
        <f t="shared" si="2"/>
        <v>1221600</v>
      </c>
      <c r="J41" s="144">
        <f>208623.1056-1000</f>
        <v>207623.10560000001</v>
      </c>
      <c r="K41" s="144">
        <v>834492.42240000004</v>
      </c>
      <c r="L41" s="142">
        <f t="shared" si="3"/>
        <v>1042115.528</v>
      </c>
      <c r="M41" s="236">
        <f t="shared" si="4"/>
        <v>203600</v>
      </c>
      <c r="N41" s="236">
        <f t="shared" si="5"/>
        <v>834492.42240000004</v>
      </c>
      <c r="O41" s="236">
        <f t="shared" si="6"/>
        <v>1038092.4224</v>
      </c>
      <c r="P41" s="301">
        <f t="shared" si="7"/>
        <v>189348</v>
      </c>
      <c r="Q41" s="301">
        <f t="shared" si="8"/>
        <v>776077.95283199998</v>
      </c>
      <c r="R41" s="300">
        <f t="shared" si="9"/>
        <v>965425.95283199998</v>
      </c>
    </row>
    <row r="42" spans="1:18" ht="22.5" x14ac:dyDescent="0.25">
      <c r="A42" s="155"/>
      <c r="B42" s="156" t="s">
        <v>22</v>
      </c>
      <c r="C42" s="153" t="s">
        <v>153</v>
      </c>
      <c r="D42" s="200">
        <v>0</v>
      </c>
      <c r="E42" s="173">
        <v>0</v>
      </c>
      <c r="F42" s="201">
        <f t="shared" si="0"/>
        <v>0</v>
      </c>
      <c r="G42" s="259">
        <f t="shared" si="1"/>
        <v>0</v>
      </c>
      <c r="H42" s="260">
        <v>0</v>
      </c>
      <c r="I42" s="260">
        <f t="shared" si="2"/>
        <v>0</v>
      </c>
      <c r="J42" s="143"/>
      <c r="K42" s="144"/>
      <c r="L42" s="142">
        <f t="shared" si="3"/>
        <v>0</v>
      </c>
      <c r="M42" s="236">
        <f t="shared" si="4"/>
        <v>0</v>
      </c>
      <c r="N42" s="236">
        <f t="shared" si="5"/>
        <v>0</v>
      </c>
      <c r="O42" s="236">
        <f t="shared" si="6"/>
        <v>0</v>
      </c>
      <c r="P42" s="301">
        <f t="shared" si="7"/>
        <v>0</v>
      </c>
      <c r="Q42" s="301">
        <f t="shared" si="8"/>
        <v>0</v>
      </c>
      <c r="R42" s="300">
        <f t="shared" si="9"/>
        <v>0</v>
      </c>
    </row>
    <row r="43" spans="1:18" x14ac:dyDescent="0.25">
      <c r="A43" s="155">
        <v>39</v>
      </c>
      <c r="B43" s="55" t="s">
        <v>23</v>
      </c>
      <c r="C43" s="153" t="s">
        <v>153</v>
      </c>
      <c r="D43" s="200">
        <v>331000</v>
      </c>
      <c r="E43" s="173">
        <v>1038000</v>
      </c>
      <c r="F43" s="201">
        <f t="shared" si="0"/>
        <v>1369000</v>
      </c>
      <c r="G43" s="259">
        <f t="shared" si="1"/>
        <v>255200</v>
      </c>
      <c r="H43" s="260">
        <v>1276000</v>
      </c>
      <c r="I43" s="260">
        <f t="shared" si="2"/>
        <v>1531200</v>
      </c>
      <c r="J43" s="144">
        <f>280625.072995122-1000</f>
        <v>279625.072995122</v>
      </c>
      <c r="K43" s="144">
        <v>1122500.2919804885</v>
      </c>
      <c r="L43" s="142">
        <f t="shared" si="3"/>
        <v>1402125.3649756105</v>
      </c>
      <c r="M43" s="236">
        <f t="shared" si="4"/>
        <v>255200</v>
      </c>
      <c r="N43" s="236">
        <f t="shared" si="5"/>
        <v>1038000</v>
      </c>
      <c r="O43" s="236">
        <f t="shared" si="6"/>
        <v>1293200</v>
      </c>
      <c r="P43" s="301">
        <f t="shared" si="7"/>
        <v>237336</v>
      </c>
      <c r="Q43" s="301">
        <f t="shared" si="8"/>
        <v>965340</v>
      </c>
      <c r="R43" s="300">
        <f t="shared" si="9"/>
        <v>1202676</v>
      </c>
    </row>
    <row r="44" spans="1:18" x14ac:dyDescent="0.25">
      <c r="A44" s="155">
        <v>40</v>
      </c>
      <c r="B44" s="55" t="s">
        <v>167</v>
      </c>
      <c r="C44" s="153" t="s">
        <v>153</v>
      </c>
      <c r="D44" s="200">
        <v>75000</v>
      </c>
      <c r="E44" s="173">
        <v>168000</v>
      </c>
      <c r="F44" s="201">
        <f t="shared" si="0"/>
        <v>243000</v>
      </c>
      <c r="G44" s="259">
        <f t="shared" si="1"/>
        <v>45400</v>
      </c>
      <c r="H44" s="260">
        <v>227000</v>
      </c>
      <c r="I44" s="260">
        <f t="shared" si="2"/>
        <v>272400</v>
      </c>
      <c r="J44" s="144">
        <f>63440-1000</f>
        <v>62440</v>
      </c>
      <c r="K44" s="144">
        <v>253760</v>
      </c>
      <c r="L44" s="142">
        <f t="shared" si="3"/>
        <v>316200</v>
      </c>
      <c r="M44" s="236">
        <f t="shared" si="4"/>
        <v>45400</v>
      </c>
      <c r="N44" s="236">
        <f t="shared" si="5"/>
        <v>168000</v>
      </c>
      <c r="O44" s="236">
        <f t="shared" si="6"/>
        <v>213400</v>
      </c>
      <c r="P44" s="301">
        <f t="shared" si="7"/>
        <v>42222</v>
      </c>
      <c r="Q44" s="301">
        <f t="shared" si="8"/>
        <v>156240</v>
      </c>
      <c r="R44" s="300">
        <f t="shared" si="9"/>
        <v>198462</v>
      </c>
    </row>
    <row r="45" spans="1:18" x14ac:dyDescent="0.25">
      <c r="A45" s="155">
        <v>41</v>
      </c>
      <c r="B45" s="55" t="s">
        <v>24</v>
      </c>
      <c r="C45" s="153" t="s">
        <v>153</v>
      </c>
      <c r="D45" s="200">
        <v>41000</v>
      </c>
      <c r="E45" s="173">
        <v>142000</v>
      </c>
      <c r="F45" s="201">
        <f t="shared" si="0"/>
        <v>183000</v>
      </c>
      <c r="G45" s="259">
        <f t="shared" si="1"/>
        <v>34000</v>
      </c>
      <c r="H45" s="260">
        <v>170000</v>
      </c>
      <c r="I45" s="260">
        <f t="shared" si="2"/>
        <v>204000</v>
      </c>
      <c r="J45" s="144">
        <f>34908.1897425628-1000</f>
        <v>33908.189742562798</v>
      </c>
      <c r="K45" s="144">
        <v>139632.7589702511</v>
      </c>
      <c r="L45" s="142">
        <f t="shared" si="3"/>
        <v>173540.9487128139</v>
      </c>
      <c r="M45" s="236">
        <f t="shared" si="4"/>
        <v>33908.189742562798</v>
      </c>
      <c r="N45" s="236">
        <f t="shared" si="5"/>
        <v>139632.7589702511</v>
      </c>
      <c r="O45" s="236">
        <f t="shared" si="6"/>
        <v>173540.9487128139</v>
      </c>
      <c r="P45" s="301">
        <f t="shared" si="7"/>
        <v>31534.616460583402</v>
      </c>
      <c r="Q45" s="301">
        <f t="shared" si="8"/>
        <v>129858.46584233352</v>
      </c>
      <c r="R45" s="300">
        <f t="shared" si="9"/>
        <v>161393.08230291691</v>
      </c>
    </row>
    <row r="46" spans="1:18" x14ac:dyDescent="0.25">
      <c r="A46" s="155">
        <v>42</v>
      </c>
      <c r="B46" s="55" t="s">
        <v>25</v>
      </c>
      <c r="C46" s="153" t="s">
        <v>153</v>
      </c>
      <c r="D46" s="200">
        <v>49000</v>
      </c>
      <c r="E46" s="173">
        <v>158000</v>
      </c>
      <c r="F46" s="201">
        <f t="shared" si="0"/>
        <v>207000</v>
      </c>
      <c r="G46" s="259">
        <f t="shared" si="1"/>
        <v>38600</v>
      </c>
      <c r="H46" s="260">
        <v>193000</v>
      </c>
      <c r="I46" s="260">
        <f t="shared" si="2"/>
        <v>231600</v>
      </c>
      <c r="J46" s="144">
        <f>41614.5956576-1000</f>
        <v>40614.595657600003</v>
      </c>
      <c r="K46" s="144">
        <v>166458.38263040001</v>
      </c>
      <c r="L46" s="142">
        <f t="shared" si="3"/>
        <v>207072.97828800001</v>
      </c>
      <c r="M46" s="236">
        <f t="shared" si="4"/>
        <v>38600</v>
      </c>
      <c r="N46" s="236">
        <f t="shared" si="5"/>
        <v>158000</v>
      </c>
      <c r="O46" s="236">
        <f t="shared" si="6"/>
        <v>196600</v>
      </c>
      <c r="P46" s="301">
        <f t="shared" si="7"/>
        <v>35898</v>
      </c>
      <c r="Q46" s="301">
        <f t="shared" si="8"/>
        <v>146940</v>
      </c>
      <c r="R46" s="300">
        <f t="shared" si="9"/>
        <v>182838</v>
      </c>
    </row>
    <row r="47" spans="1:18" x14ac:dyDescent="0.25">
      <c r="A47" s="155">
        <v>43</v>
      </c>
      <c r="B47" s="55" t="s">
        <v>497</v>
      </c>
      <c r="C47" s="153" t="s">
        <v>153</v>
      </c>
      <c r="D47" s="200">
        <v>320000</v>
      </c>
      <c r="E47" s="173">
        <v>1002000</v>
      </c>
      <c r="F47" s="201">
        <f t="shared" si="0"/>
        <v>1322000</v>
      </c>
      <c r="G47" s="259">
        <f t="shared" si="1"/>
        <v>246400</v>
      </c>
      <c r="H47" s="260">
        <v>1232000</v>
      </c>
      <c r="I47" s="260">
        <f t="shared" si="2"/>
        <v>1478400</v>
      </c>
      <c r="J47" s="144">
        <f>270956.216276177-1000</f>
        <v>269956.21627617697</v>
      </c>
      <c r="K47" s="144">
        <v>1083824.8651047095</v>
      </c>
      <c r="L47" s="142">
        <f t="shared" si="3"/>
        <v>1353781.0813808865</v>
      </c>
      <c r="M47" s="236">
        <f t="shared" si="4"/>
        <v>246400</v>
      </c>
      <c r="N47" s="236">
        <f t="shared" si="5"/>
        <v>1002000</v>
      </c>
      <c r="O47" s="236">
        <f t="shared" si="6"/>
        <v>1248400</v>
      </c>
      <c r="P47" s="301">
        <f t="shared" si="7"/>
        <v>229152</v>
      </c>
      <c r="Q47" s="301">
        <f t="shared" si="8"/>
        <v>931860</v>
      </c>
      <c r="R47" s="300">
        <f t="shared" si="9"/>
        <v>1161012</v>
      </c>
    </row>
    <row r="48" spans="1:18" x14ac:dyDescent="0.25">
      <c r="A48" s="155">
        <v>44</v>
      </c>
      <c r="B48" s="55" t="s">
        <v>498</v>
      </c>
      <c r="C48" s="153" t="s">
        <v>153</v>
      </c>
      <c r="D48" s="200">
        <v>51000</v>
      </c>
      <c r="E48" s="173">
        <v>159000</v>
      </c>
      <c r="F48" s="201">
        <f t="shared" si="0"/>
        <v>210000</v>
      </c>
      <c r="G48" s="259">
        <f t="shared" si="1"/>
        <v>39000</v>
      </c>
      <c r="H48" s="260">
        <v>195000</v>
      </c>
      <c r="I48" s="260">
        <f t="shared" si="2"/>
        <v>234000</v>
      </c>
      <c r="J48" s="144">
        <f>43036.233908327-1000</f>
        <v>42036.233908326998</v>
      </c>
      <c r="K48" s="144">
        <v>172144.93563330796</v>
      </c>
      <c r="L48" s="142">
        <f t="shared" si="3"/>
        <v>214181.16954163497</v>
      </c>
      <c r="M48" s="236">
        <f t="shared" si="4"/>
        <v>39000</v>
      </c>
      <c r="N48" s="236">
        <f t="shared" si="5"/>
        <v>159000</v>
      </c>
      <c r="O48" s="236">
        <f t="shared" si="6"/>
        <v>198000</v>
      </c>
      <c r="P48" s="301">
        <f t="shared" si="7"/>
        <v>36270</v>
      </c>
      <c r="Q48" s="301">
        <f t="shared" si="8"/>
        <v>147870</v>
      </c>
      <c r="R48" s="300">
        <f t="shared" si="9"/>
        <v>184140</v>
      </c>
    </row>
    <row r="49" spans="1:18" x14ac:dyDescent="0.25">
      <c r="A49" s="155">
        <v>45</v>
      </c>
      <c r="B49" s="55" t="s">
        <v>499</v>
      </c>
      <c r="C49" s="153" t="s">
        <v>153</v>
      </c>
      <c r="D49" s="200">
        <v>735000</v>
      </c>
      <c r="E49" s="173">
        <v>2563000</v>
      </c>
      <c r="F49" s="201">
        <f t="shared" si="0"/>
        <v>3298000</v>
      </c>
      <c r="G49" s="259">
        <f t="shared" si="1"/>
        <v>614800</v>
      </c>
      <c r="H49" s="260">
        <v>3074000</v>
      </c>
      <c r="I49" s="260">
        <f t="shared" si="2"/>
        <v>3688800</v>
      </c>
      <c r="J49" s="144">
        <f>622758.179287659-1000</f>
        <v>621758.179287659</v>
      </c>
      <c r="K49" s="144">
        <v>2491032.7171506365</v>
      </c>
      <c r="L49" s="142">
        <f t="shared" si="3"/>
        <v>3112790.8964382955</v>
      </c>
      <c r="M49" s="236">
        <f t="shared" si="4"/>
        <v>614800</v>
      </c>
      <c r="N49" s="236">
        <f t="shared" si="5"/>
        <v>2491032.7171506365</v>
      </c>
      <c r="O49" s="236">
        <f t="shared" si="6"/>
        <v>3105832.7171506365</v>
      </c>
      <c r="P49" s="301">
        <f t="shared" si="7"/>
        <v>571764</v>
      </c>
      <c r="Q49" s="301">
        <f t="shared" si="8"/>
        <v>2316660.426950092</v>
      </c>
      <c r="R49" s="300">
        <f t="shared" si="9"/>
        <v>2888424.426950092</v>
      </c>
    </row>
    <row r="50" spans="1:18" x14ac:dyDescent="0.25">
      <c r="A50" s="155">
        <v>46</v>
      </c>
      <c r="B50" s="55" t="s">
        <v>500</v>
      </c>
      <c r="C50" s="153" t="s">
        <v>153</v>
      </c>
      <c r="D50" s="200">
        <v>968000</v>
      </c>
      <c r="E50" s="173">
        <v>6826000</v>
      </c>
      <c r="F50" s="201">
        <f t="shared" si="0"/>
        <v>7794000</v>
      </c>
      <c r="G50" s="259">
        <f t="shared" si="1"/>
        <v>1453200</v>
      </c>
      <c r="H50" s="260">
        <v>7266000</v>
      </c>
      <c r="I50" s="260">
        <f t="shared" si="2"/>
        <v>8719200</v>
      </c>
      <c r="J50" s="144">
        <f>1620000-1000</f>
        <v>1619000</v>
      </c>
      <c r="K50" s="144">
        <v>6480000</v>
      </c>
      <c r="L50" s="142">
        <f t="shared" si="3"/>
        <v>8099000</v>
      </c>
      <c r="M50" s="236">
        <f t="shared" si="4"/>
        <v>968000</v>
      </c>
      <c r="N50" s="236">
        <f t="shared" si="5"/>
        <v>6480000</v>
      </c>
      <c r="O50" s="236">
        <f t="shared" si="6"/>
        <v>7448000</v>
      </c>
      <c r="P50" s="301">
        <f t="shared" si="7"/>
        <v>900240</v>
      </c>
      <c r="Q50" s="301">
        <f t="shared" si="8"/>
        <v>6026400</v>
      </c>
      <c r="R50" s="300">
        <f t="shared" si="9"/>
        <v>6926640</v>
      </c>
    </row>
    <row r="51" spans="1:18" x14ac:dyDescent="0.25">
      <c r="A51" s="155">
        <v>47</v>
      </c>
      <c r="B51" s="55" t="s">
        <v>501</v>
      </c>
      <c r="C51" s="153" t="s">
        <v>153</v>
      </c>
      <c r="D51" s="200">
        <v>553000</v>
      </c>
      <c r="E51" s="173">
        <v>1928000</v>
      </c>
      <c r="F51" s="201">
        <f t="shared" si="0"/>
        <v>2481000</v>
      </c>
      <c r="G51" s="259">
        <f t="shared" si="1"/>
        <v>462400</v>
      </c>
      <c r="H51" s="260">
        <v>2312000</v>
      </c>
      <c r="I51" s="260">
        <f t="shared" si="2"/>
        <v>2774400</v>
      </c>
      <c r="J51" s="144">
        <f>468430.4352-1000</f>
        <v>467430.43520000001</v>
      </c>
      <c r="K51" s="144">
        <v>1873721.7408</v>
      </c>
      <c r="L51" s="142">
        <f t="shared" si="3"/>
        <v>2341152.176</v>
      </c>
      <c r="M51" s="236">
        <f t="shared" si="4"/>
        <v>462400</v>
      </c>
      <c r="N51" s="236">
        <f t="shared" si="5"/>
        <v>1873721.7408</v>
      </c>
      <c r="O51" s="236">
        <f t="shared" si="6"/>
        <v>2336121.7407999998</v>
      </c>
      <c r="P51" s="301">
        <f t="shared" si="7"/>
        <v>430032</v>
      </c>
      <c r="Q51" s="301">
        <f t="shared" si="8"/>
        <v>1742561.2189440001</v>
      </c>
      <c r="R51" s="300">
        <f t="shared" si="9"/>
        <v>2172593.2189440001</v>
      </c>
    </row>
    <row r="52" spans="1:18" x14ac:dyDescent="0.25">
      <c r="A52" s="155">
        <v>48</v>
      </c>
      <c r="B52" s="55" t="s">
        <v>502</v>
      </c>
      <c r="C52" s="153" t="s">
        <v>153</v>
      </c>
      <c r="D52" s="200">
        <v>968000</v>
      </c>
      <c r="E52" s="173">
        <v>2626000</v>
      </c>
      <c r="F52" s="201">
        <f t="shared" si="0"/>
        <v>3594000</v>
      </c>
      <c r="G52" s="259">
        <f t="shared" si="1"/>
        <v>670000</v>
      </c>
      <c r="H52" s="260">
        <v>3350000</v>
      </c>
      <c r="I52" s="260">
        <f t="shared" si="2"/>
        <v>4020000</v>
      </c>
      <c r="J52" s="144">
        <f>959918-1000</f>
        <v>958918</v>
      </c>
      <c r="K52" s="144">
        <v>3839672</v>
      </c>
      <c r="L52" s="142">
        <f t="shared" si="3"/>
        <v>4798590</v>
      </c>
      <c r="M52" s="236">
        <f t="shared" si="4"/>
        <v>670000</v>
      </c>
      <c r="N52" s="236">
        <f t="shared" si="5"/>
        <v>2626000</v>
      </c>
      <c r="O52" s="236">
        <f t="shared" si="6"/>
        <v>3296000</v>
      </c>
      <c r="P52" s="301">
        <f t="shared" si="7"/>
        <v>623100</v>
      </c>
      <c r="Q52" s="301">
        <f t="shared" si="8"/>
        <v>2442180</v>
      </c>
      <c r="R52" s="300">
        <f t="shared" si="9"/>
        <v>3065280</v>
      </c>
    </row>
    <row r="53" spans="1:18" x14ac:dyDescent="0.25">
      <c r="A53" s="155">
        <v>49</v>
      </c>
      <c r="B53" s="55" t="s">
        <v>503</v>
      </c>
      <c r="C53" s="153" t="s">
        <v>153</v>
      </c>
      <c r="D53" s="200">
        <v>885000</v>
      </c>
      <c r="E53" s="173">
        <v>10364000</v>
      </c>
      <c r="F53" s="201">
        <f t="shared" si="0"/>
        <v>11249000</v>
      </c>
      <c r="G53" s="259">
        <f t="shared" si="1"/>
        <v>2097200</v>
      </c>
      <c r="H53" s="260">
        <v>10486000</v>
      </c>
      <c r="I53" s="260">
        <f t="shared" si="2"/>
        <v>12583200</v>
      </c>
      <c r="J53" s="144">
        <f>2195774.7452-1000</f>
        <v>2194774.7451999998</v>
      </c>
      <c r="K53" s="144">
        <v>8783098.980800001</v>
      </c>
      <c r="L53" s="142">
        <f t="shared" si="3"/>
        <v>10977873.726</v>
      </c>
      <c r="M53" s="236">
        <f t="shared" si="4"/>
        <v>885000</v>
      </c>
      <c r="N53" s="236">
        <f t="shared" si="5"/>
        <v>8783098.980800001</v>
      </c>
      <c r="O53" s="236">
        <f t="shared" si="6"/>
        <v>9668098.980800001</v>
      </c>
      <c r="P53" s="301">
        <f t="shared" si="7"/>
        <v>823050</v>
      </c>
      <c r="Q53" s="301">
        <f t="shared" si="8"/>
        <v>8168282.0521440003</v>
      </c>
      <c r="R53" s="300">
        <f t="shared" si="9"/>
        <v>8991332.0521440003</v>
      </c>
    </row>
    <row r="54" spans="1:18" x14ac:dyDescent="0.25">
      <c r="A54" s="155">
        <v>50</v>
      </c>
      <c r="B54" s="55" t="s">
        <v>504</v>
      </c>
      <c r="C54" s="153" t="s">
        <v>153</v>
      </c>
      <c r="D54" s="200">
        <v>1566000</v>
      </c>
      <c r="E54" s="173">
        <v>5461000</v>
      </c>
      <c r="F54" s="201">
        <f t="shared" si="0"/>
        <v>7027000</v>
      </c>
      <c r="G54" s="259">
        <f t="shared" si="1"/>
        <v>1310200</v>
      </c>
      <c r="H54" s="260">
        <v>6551000</v>
      </c>
      <c r="I54" s="260">
        <f t="shared" si="2"/>
        <v>7861200</v>
      </c>
      <c r="J54" s="144">
        <f>1326998.4-1000</f>
        <v>1325998.3999999999</v>
      </c>
      <c r="K54" s="144">
        <v>5307993.6000000006</v>
      </c>
      <c r="L54" s="142">
        <f t="shared" si="3"/>
        <v>6633992</v>
      </c>
      <c r="M54" s="236">
        <f t="shared" si="4"/>
        <v>1310200</v>
      </c>
      <c r="N54" s="236">
        <f t="shared" si="5"/>
        <v>5307993.6000000006</v>
      </c>
      <c r="O54" s="236">
        <f t="shared" si="6"/>
        <v>6618193.6000000006</v>
      </c>
      <c r="P54" s="301">
        <f t="shared" si="7"/>
        <v>1218486</v>
      </c>
      <c r="Q54" s="301">
        <f t="shared" si="8"/>
        <v>4936434.0480000004</v>
      </c>
      <c r="R54" s="300">
        <f t="shared" si="9"/>
        <v>6154920.0480000004</v>
      </c>
    </row>
    <row r="55" spans="1:18" x14ac:dyDescent="0.25">
      <c r="A55" s="155">
        <v>51</v>
      </c>
      <c r="B55" s="55" t="s">
        <v>505</v>
      </c>
      <c r="C55" s="153" t="s">
        <v>153</v>
      </c>
      <c r="D55" s="200">
        <v>230000</v>
      </c>
      <c r="E55" s="173">
        <v>2341000</v>
      </c>
      <c r="F55" s="201">
        <f t="shared" si="0"/>
        <v>2571000</v>
      </c>
      <c r="G55" s="259">
        <f t="shared" si="1"/>
        <v>479600</v>
      </c>
      <c r="H55" s="260">
        <v>2398000</v>
      </c>
      <c r="I55" s="260">
        <f t="shared" si="2"/>
        <v>2877600</v>
      </c>
      <c r="J55" s="144">
        <f>568950.564-1000</f>
        <v>567950.56400000001</v>
      </c>
      <c r="K55" s="144">
        <v>2275802.2560000001</v>
      </c>
      <c r="L55" s="142">
        <f t="shared" si="3"/>
        <v>2843752.8200000003</v>
      </c>
      <c r="M55" s="236">
        <f t="shared" si="4"/>
        <v>230000</v>
      </c>
      <c r="N55" s="236">
        <f t="shared" si="5"/>
        <v>2275802.2560000001</v>
      </c>
      <c r="O55" s="236">
        <f t="shared" si="6"/>
        <v>2505802.2560000001</v>
      </c>
      <c r="P55" s="301">
        <f t="shared" si="7"/>
        <v>213900</v>
      </c>
      <c r="Q55" s="301">
        <f t="shared" si="8"/>
        <v>2116496.0980799999</v>
      </c>
      <c r="R55" s="300">
        <f t="shared" si="9"/>
        <v>2330396.0980799999</v>
      </c>
    </row>
    <row r="56" spans="1:18" x14ac:dyDescent="0.25">
      <c r="A56" s="155">
        <v>52</v>
      </c>
      <c r="B56" s="55" t="s">
        <v>506</v>
      </c>
      <c r="C56" s="153" t="s">
        <v>153</v>
      </c>
      <c r="D56" s="200">
        <v>502000</v>
      </c>
      <c r="E56" s="173">
        <v>4757000</v>
      </c>
      <c r="F56" s="201">
        <f t="shared" si="0"/>
        <v>5259000</v>
      </c>
      <c r="G56" s="259">
        <f t="shared" si="1"/>
        <v>980400</v>
      </c>
      <c r="H56" s="260">
        <v>4902000</v>
      </c>
      <c r="I56" s="260">
        <f t="shared" si="2"/>
        <v>5882400</v>
      </c>
      <c r="J56" s="144">
        <f>1155933.697184-1000</f>
        <v>1154933.6971839999</v>
      </c>
      <c r="K56" s="144">
        <v>4623734.7887359997</v>
      </c>
      <c r="L56" s="142">
        <f t="shared" si="3"/>
        <v>5778668.4859199999</v>
      </c>
      <c r="M56" s="236">
        <f t="shared" si="4"/>
        <v>502000</v>
      </c>
      <c r="N56" s="236">
        <f t="shared" si="5"/>
        <v>4623734.7887359997</v>
      </c>
      <c r="O56" s="236">
        <f t="shared" si="6"/>
        <v>5125734.7887359997</v>
      </c>
      <c r="P56" s="301">
        <f t="shared" si="7"/>
        <v>466860</v>
      </c>
      <c r="Q56" s="301">
        <f t="shared" si="8"/>
        <v>4300073.35352448</v>
      </c>
      <c r="R56" s="300">
        <f t="shared" si="9"/>
        <v>4766933.35352448</v>
      </c>
    </row>
    <row r="57" spans="1:18" x14ac:dyDescent="0.25">
      <c r="A57" s="155">
        <v>53</v>
      </c>
      <c r="B57" s="55" t="s">
        <v>507</v>
      </c>
      <c r="C57" s="153" t="s">
        <v>153</v>
      </c>
      <c r="D57" s="200">
        <v>266000</v>
      </c>
      <c r="E57" s="173">
        <v>1850000</v>
      </c>
      <c r="F57" s="201">
        <f t="shared" si="0"/>
        <v>2116000</v>
      </c>
      <c r="G57" s="259">
        <f t="shared" si="1"/>
        <v>394400</v>
      </c>
      <c r="H57" s="260">
        <v>1972000</v>
      </c>
      <c r="I57" s="260">
        <f t="shared" si="2"/>
        <v>2366400</v>
      </c>
      <c r="J57" s="144">
        <f>449497.485528-1000</f>
        <v>448497.48552799999</v>
      </c>
      <c r="K57" s="144">
        <v>1797989.942112</v>
      </c>
      <c r="L57" s="142">
        <f t="shared" si="3"/>
        <v>2246487.4276399999</v>
      </c>
      <c r="M57" s="236">
        <f t="shared" si="4"/>
        <v>266000</v>
      </c>
      <c r="N57" s="236">
        <f t="shared" si="5"/>
        <v>1797989.942112</v>
      </c>
      <c r="O57" s="236">
        <f t="shared" si="6"/>
        <v>2063989.942112</v>
      </c>
      <c r="P57" s="301">
        <f t="shared" si="7"/>
        <v>247380</v>
      </c>
      <c r="Q57" s="301">
        <f t="shared" si="8"/>
        <v>1672130.64616416</v>
      </c>
      <c r="R57" s="300">
        <f t="shared" si="9"/>
        <v>1919510.64616416</v>
      </c>
    </row>
    <row r="58" spans="1:18" x14ac:dyDescent="0.25">
      <c r="A58" s="155">
        <v>54</v>
      </c>
      <c r="B58" s="58" t="s">
        <v>357</v>
      </c>
      <c r="C58" s="153" t="s">
        <v>153</v>
      </c>
      <c r="D58" s="200">
        <v>177000</v>
      </c>
      <c r="E58" s="173">
        <v>635000</v>
      </c>
      <c r="F58" s="201">
        <f t="shared" si="0"/>
        <v>812000</v>
      </c>
      <c r="G58" s="259">
        <f t="shared" si="1"/>
        <v>151400</v>
      </c>
      <c r="H58" s="260">
        <v>757000</v>
      </c>
      <c r="I58" s="260">
        <f t="shared" si="2"/>
        <v>908400</v>
      </c>
      <c r="J58" s="144">
        <f>156467.3292-1000</f>
        <v>155467.32920000001</v>
      </c>
      <c r="K58" s="144">
        <v>625869.31680000003</v>
      </c>
      <c r="L58" s="142">
        <f t="shared" si="3"/>
        <v>781336.64600000007</v>
      </c>
      <c r="M58" s="236">
        <f t="shared" si="4"/>
        <v>151400</v>
      </c>
      <c r="N58" s="236">
        <f t="shared" si="5"/>
        <v>625869.31680000003</v>
      </c>
      <c r="O58" s="236">
        <f t="shared" si="6"/>
        <v>777269.31680000003</v>
      </c>
      <c r="P58" s="301">
        <f t="shared" si="7"/>
        <v>140802</v>
      </c>
      <c r="Q58" s="301">
        <f t="shared" si="8"/>
        <v>582058.46462400001</v>
      </c>
      <c r="R58" s="300">
        <f t="shared" si="9"/>
        <v>722860.46462400001</v>
      </c>
    </row>
    <row r="59" spans="1:18" ht="22.5" x14ac:dyDescent="0.25">
      <c r="A59" s="155"/>
      <c r="B59" s="156" t="s">
        <v>97</v>
      </c>
      <c r="C59" s="153" t="s">
        <v>153</v>
      </c>
      <c r="D59" s="200">
        <v>0</v>
      </c>
      <c r="E59" s="173">
        <v>0</v>
      </c>
      <c r="F59" s="201">
        <f t="shared" si="0"/>
        <v>0</v>
      </c>
      <c r="G59" s="259">
        <f t="shared" si="1"/>
        <v>0</v>
      </c>
      <c r="H59" s="260">
        <v>0</v>
      </c>
      <c r="I59" s="260">
        <f t="shared" si="2"/>
        <v>0</v>
      </c>
      <c r="J59" s="143"/>
      <c r="K59" s="144"/>
      <c r="L59" s="142">
        <f t="shared" si="3"/>
        <v>0</v>
      </c>
      <c r="M59" s="236">
        <f t="shared" si="4"/>
        <v>0</v>
      </c>
      <c r="N59" s="236">
        <f t="shared" si="5"/>
        <v>0</v>
      </c>
      <c r="O59" s="236">
        <f t="shared" si="6"/>
        <v>0</v>
      </c>
      <c r="P59" s="301">
        <f t="shared" si="7"/>
        <v>0</v>
      </c>
      <c r="Q59" s="301">
        <f t="shared" si="8"/>
        <v>0</v>
      </c>
      <c r="R59" s="300">
        <f t="shared" si="9"/>
        <v>0</v>
      </c>
    </row>
    <row r="60" spans="1:18" x14ac:dyDescent="0.25">
      <c r="A60" s="155">
        <v>55</v>
      </c>
      <c r="B60" s="55" t="s">
        <v>169</v>
      </c>
      <c r="C60" s="153" t="s">
        <v>153</v>
      </c>
      <c r="D60" s="200">
        <v>772000</v>
      </c>
      <c r="E60" s="173">
        <v>2979000</v>
      </c>
      <c r="F60" s="201">
        <f t="shared" si="0"/>
        <v>3751000</v>
      </c>
      <c r="G60" s="259">
        <f t="shared" si="1"/>
        <v>699400</v>
      </c>
      <c r="H60" s="260">
        <v>3497000</v>
      </c>
      <c r="I60" s="260">
        <f t="shared" si="2"/>
        <v>4196400</v>
      </c>
      <c r="J60" s="144">
        <f>654131.337115216-1000</f>
        <v>653131.33711521595</v>
      </c>
      <c r="K60" s="144">
        <v>2616525.3484608643</v>
      </c>
      <c r="L60" s="142">
        <f t="shared" si="3"/>
        <v>3269656.6855760803</v>
      </c>
      <c r="M60" s="236">
        <f t="shared" si="4"/>
        <v>653131.33711521595</v>
      </c>
      <c r="N60" s="236">
        <f t="shared" si="5"/>
        <v>2616525.3484608643</v>
      </c>
      <c r="O60" s="236">
        <f t="shared" si="6"/>
        <v>3269656.6855760803</v>
      </c>
      <c r="P60" s="301">
        <f t="shared" si="7"/>
        <v>607412.14351715078</v>
      </c>
      <c r="Q60" s="301">
        <f t="shared" si="8"/>
        <v>2433368.5740686036</v>
      </c>
      <c r="R60" s="300">
        <f t="shared" si="9"/>
        <v>3040780.7175857546</v>
      </c>
    </row>
    <row r="61" spans="1:18" x14ac:dyDescent="0.25">
      <c r="A61" s="155">
        <v>56</v>
      </c>
      <c r="B61" s="55" t="s">
        <v>170</v>
      </c>
      <c r="C61" s="153" t="s">
        <v>153</v>
      </c>
      <c r="D61" s="200">
        <v>652000</v>
      </c>
      <c r="E61" s="173">
        <v>2272000</v>
      </c>
      <c r="F61" s="201">
        <f t="shared" si="0"/>
        <v>2924000</v>
      </c>
      <c r="G61" s="259">
        <f t="shared" si="1"/>
        <v>545000</v>
      </c>
      <c r="H61" s="260">
        <v>2725000</v>
      </c>
      <c r="I61" s="260">
        <f t="shared" si="2"/>
        <v>3270000</v>
      </c>
      <c r="J61" s="144">
        <f>552213.79668-1000</f>
        <v>551213.79668000003</v>
      </c>
      <c r="K61" s="144">
        <v>2208855.1867200001</v>
      </c>
      <c r="L61" s="142">
        <f t="shared" si="3"/>
        <v>2760068.9834000003</v>
      </c>
      <c r="M61" s="236">
        <f t="shared" si="4"/>
        <v>545000</v>
      </c>
      <c r="N61" s="236">
        <f t="shared" si="5"/>
        <v>2208855.1867200001</v>
      </c>
      <c r="O61" s="236">
        <f t="shared" si="6"/>
        <v>2753855.1867200001</v>
      </c>
      <c r="P61" s="301">
        <f t="shared" si="7"/>
        <v>506850</v>
      </c>
      <c r="Q61" s="301">
        <f t="shared" si="8"/>
        <v>2054235.3236496001</v>
      </c>
      <c r="R61" s="300">
        <f t="shared" si="9"/>
        <v>2561085.3236496001</v>
      </c>
    </row>
    <row r="62" spans="1:18" x14ac:dyDescent="0.25">
      <c r="A62" s="155">
        <v>57</v>
      </c>
      <c r="B62" s="55" t="s">
        <v>211</v>
      </c>
      <c r="C62" s="153" t="s">
        <v>153</v>
      </c>
      <c r="D62" s="200">
        <v>285000</v>
      </c>
      <c r="E62" s="173">
        <v>893000</v>
      </c>
      <c r="F62" s="201">
        <f t="shared" si="0"/>
        <v>1178000</v>
      </c>
      <c r="G62" s="259">
        <f t="shared" si="1"/>
        <v>219600</v>
      </c>
      <c r="H62" s="260">
        <v>1098000</v>
      </c>
      <c r="I62" s="260">
        <f t="shared" si="2"/>
        <v>1317600</v>
      </c>
      <c r="J62" s="144">
        <f>241400-1000</f>
        <v>240400</v>
      </c>
      <c r="K62" s="144">
        <v>965600</v>
      </c>
      <c r="L62" s="142">
        <f t="shared" si="3"/>
        <v>1206000</v>
      </c>
      <c r="M62" s="236">
        <f t="shared" si="4"/>
        <v>219600</v>
      </c>
      <c r="N62" s="236">
        <f t="shared" si="5"/>
        <v>893000</v>
      </c>
      <c r="O62" s="236">
        <f t="shared" si="6"/>
        <v>1112600</v>
      </c>
      <c r="P62" s="301">
        <f t="shared" si="7"/>
        <v>204228</v>
      </c>
      <c r="Q62" s="301">
        <f t="shared" si="8"/>
        <v>830490</v>
      </c>
      <c r="R62" s="300">
        <f t="shared" si="9"/>
        <v>1034718</v>
      </c>
    </row>
    <row r="63" spans="1:18" x14ac:dyDescent="0.25">
      <c r="A63" s="155">
        <v>58</v>
      </c>
      <c r="B63" s="55" t="s">
        <v>291</v>
      </c>
      <c r="C63" s="153" t="s">
        <v>153</v>
      </c>
      <c r="D63" s="200">
        <v>251000</v>
      </c>
      <c r="E63" s="173">
        <v>788000</v>
      </c>
      <c r="F63" s="201">
        <f t="shared" si="0"/>
        <v>1039000</v>
      </c>
      <c r="G63" s="259">
        <f t="shared" si="1"/>
        <v>193600</v>
      </c>
      <c r="H63" s="260">
        <v>968000</v>
      </c>
      <c r="I63" s="260">
        <f t="shared" si="2"/>
        <v>1161600</v>
      </c>
      <c r="J63" s="144">
        <f>213000-1000</f>
        <v>212000</v>
      </c>
      <c r="K63" s="144">
        <v>852000</v>
      </c>
      <c r="L63" s="142">
        <f t="shared" si="3"/>
        <v>1064000</v>
      </c>
      <c r="M63" s="236">
        <f t="shared" si="4"/>
        <v>193600</v>
      </c>
      <c r="N63" s="236">
        <f t="shared" si="5"/>
        <v>788000</v>
      </c>
      <c r="O63" s="236">
        <f t="shared" si="6"/>
        <v>981600</v>
      </c>
      <c r="P63" s="301">
        <f t="shared" si="7"/>
        <v>180048</v>
      </c>
      <c r="Q63" s="301">
        <f t="shared" si="8"/>
        <v>732840</v>
      </c>
      <c r="R63" s="300">
        <f t="shared" si="9"/>
        <v>912888</v>
      </c>
    </row>
    <row r="64" spans="1:18" x14ac:dyDescent="0.25">
      <c r="A64" s="155">
        <v>59</v>
      </c>
      <c r="B64" s="55" t="s">
        <v>17</v>
      </c>
      <c r="C64" s="153" t="s">
        <v>153</v>
      </c>
      <c r="D64" s="200">
        <v>196000</v>
      </c>
      <c r="E64" s="173">
        <v>613000</v>
      </c>
      <c r="F64" s="201">
        <f t="shared" si="0"/>
        <v>809000</v>
      </c>
      <c r="G64" s="259">
        <f t="shared" si="1"/>
        <v>150800</v>
      </c>
      <c r="H64" s="260">
        <v>754000</v>
      </c>
      <c r="I64" s="260">
        <f t="shared" si="2"/>
        <v>904800</v>
      </c>
      <c r="J64" s="144">
        <f>165837.476647649-1000</f>
        <v>164837.47664764899</v>
      </c>
      <c r="K64" s="144">
        <v>663349.90659059712</v>
      </c>
      <c r="L64" s="142">
        <f t="shared" si="3"/>
        <v>828187.38323824608</v>
      </c>
      <c r="M64" s="236">
        <f t="shared" si="4"/>
        <v>150800</v>
      </c>
      <c r="N64" s="236">
        <f t="shared" si="5"/>
        <v>613000</v>
      </c>
      <c r="O64" s="236">
        <f t="shared" si="6"/>
        <v>763800</v>
      </c>
      <c r="P64" s="301">
        <f t="shared" si="7"/>
        <v>140244</v>
      </c>
      <c r="Q64" s="301">
        <f t="shared" si="8"/>
        <v>570090</v>
      </c>
      <c r="R64" s="300">
        <f t="shared" si="9"/>
        <v>710334</v>
      </c>
    </row>
    <row r="65" spans="1:18" x14ac:dyDescent="0.25">
      <c r="A65" s="155">
        <v>60</v>
      </c>
      <c r="B65" s="55" t="s">
        <v>16</v>
      </c>
      <c r="C65" s="153" t="s">
        <v>153</v>
      </c>
      <c r="D65" s="200">
        <v>287000</v>
      </c>
      <c r="E65" s="173">
        <v>900000</v>
      </c>
      <c r="F65" s="201">
        <f t="shared" si="0"/>
        <v>1187000</v>
      </c>
      <c r="G65" s="259">
        <f t="shared" si="1"/>
        <v>221400</v>
      </c>
      <c r="H65" s="260">
        <v>1107000</v>
      </c>
      <c r="I65" s="260">
        <f t="shared" si="2"/>
        <v>1328400</v>
      </c>
      <c r="J65" s="144">
        <f>243371.881314083-1000</f>
        <v>242371.881314083</v>
      </c>
      <c r="K65" s="144">
        <v>973487.52525633096</v>
      </c>
      <c r="L65" s="142">
        <f t="shared" si="3"/>
        <v>1215859.4065704141</v>
      </c>
      <c r="M65" s="236">
        <f t="shared" si="4"/>
        <v>221400</v>
      </c>
      <c r="N65" s="236">
        <f t="shared" si="5"/>
        <v>900000</v>
      </c>
      <c r="O65" s="236">
        <f t="shared" si="6"/>
        <v>1121400</v>
      </c>
      <c r="P65" s="301">
        <f t="shared" si="7"/>
        <v>205902</v>
      </c>
      <c r="Q65" s="301">
        <f t="shared" si="8"/>
        <v>837000</v>
      </c>
      <c r="R65" s="300">
        <f t="shared" si="9"/>
        <v>1042902</v>
      </c>
    </row>
    <row r="66" spans="1:18" x14ac:dyDescent="0.25">
      <c r="A66" s="155">
        <v>61</v>
      </c>
      <c r="B66" s="58" t="s">
        <v>75</v>
      </c>
      <c r="C66" s="153" t="s">
        <v>153</v>
      </c>
      <c r="D66" s="200">
        <v>165000</v>
      </c>
      <c r="E66" s="173">
        <v>518000</v>
      </c>
      <c r="F66" s="201">
        <f t="shared" si="0"/>
        <v>683000</v>
      </c>
      <c r="G66" s="259">
        <f t="shared" si="1"/>
        <v>127400</v>
      </c>
      <c r="H66" s="260">
        <v>637000</v>
      </c>
      <c r="I66" s="260">
        <f t="shared" si="2"/>
        <v>764400</v>
      </c>
      <c r="J66" s="144">
        <f>139992.675092171-1000</f>
        <v>138992.675092171</v>
      </c>
      <c r="K66" s="144">
        <v>559970.700368686</v>
      </c>
      <c r="L66" s="142">
        <f t="shared" si="3"/>
        <v>698963.37546085706</v>
      </c>
      <c r="M66" s="236">
        <f t="shared" si="4"/>
        <v>127400</v>
      </c>
      <c r="N66" s="236">
        <f t="shared" si="5"/>
        <v>518000</v>
      </c>
      <c r="O66" s="236">
        <f t="shared" si="6"/>
        <v>645400</v>
      </c>
      <c r="P66" s="301">
        <f t="shared" si="7"/>
        <v>118482</v>
      </c>
      <c r="Q66" s="301">
        <f t="shared" si="8"/>
        <v>481740</v>
      </c>
      <c r="R66" s="300">
        <f t="shared" si="9"/>
        <v>600222</v>
      </c>
    </row>
    <row r="67" spans="1:18" x14ac:dyDescent="0.25">
      <c r="A67" s="155">
        <v>62</v>
      </c>
      <c r="B67" s="58" t="s">
        <v>76</v>
      </c>
      <c r="C67" s="153" t="s">
        <v>153</v>
      </c>
      <c r="D67" s="200">
        <v>141000</v>
      </c>
      <c r="E67" s="173">
        <v>441000</v>
      </c>
      <c r="F67" s="201">
        <f t="shared" si="0"/>
        <v>582000</v>
      </c>
      <c r="G67" s="259">
        <f t="shared" si="1"/>
        <v>108400</v>
      </c>
      <c r="H67" s="260">
        <v>542000</v>
      </c>
      <c r="I67" s="260">
        <f t="shared" si="2"/>
        <v>650400</v>
      </c>
      <c r="J67" s="144">
        <f>119319.545182846-1000</f>
        <v>118319.54518284601</v>
      </c>
      <c r="K67" s="144">
        <v>477278.18073138298</v>
      </c>
      <c r="L67" s="142">
        <f t="shared" si="3"/>
        <v>595597.72591422894</v>
      </c>
      <c r="M67" s="236">
        <f t="shared" si="4"/>
        <v>108400</v>
      </c>
      <c r="N67" s="236">
        <f t="shared" si="5"/>
        <v>441000</v>
      </c>
      <c r="O67" s="236">
        <f t="shared" si="6"/>
        <v>549400</v>
      </c>
      <c r="P67" s="301">
        <f t="shared" si="7"/>
        <v>100812</v>
      </c>
      <c r="Q67" s="301">
        <f t="shared" si="8"/>
        <v>410130</v>
      </c>
      <c r="R67" s="300">
        <f t="shared" si="9"/>
        <v>510942</v>
      </c>
    </row>
    <row r="68" spans="1:18" x14ac:dyDescent="0.25">
      <c r="A68" s="155">
        <v>63</v>
      </c>
      <c r="B68" s="55" t="s">
        <v>18</v>
      </c>
      <c r="C68" s="153" t="s">
        <v>153</v>
      </c>
      <c r="D68" s="200">
        <v>327000</v>
      </c>
      <c r="E68" s="173">
        <v>645000</v>
      </c>
      <c r="F68" s="201">
        <f t="shared" si="0"/>
        <v>972000</v>
      </c>
      <c r="G68" s="259">
        <f t="shared" si="1"/>
        <v>181200</v>
      </c>
      <c r="H68" s="260">
        <v>906000</v>
      </c>
      <c r="I68" s="260">
        <f t="shared" si="2"/>
        <v>1087200</v>
      </c>
      <c r="J68" s="144">
        <f>277102.625376-1000</f>
        <v>276102.62537600001</v>
      </c>
      <c r="K68" s="144">
        <v>1108410.501504</v>
      </c>
      <c r="L68" s="142">
        <f t="shared" si="3"/>
        <v>1384513.1268800001</v>
      </c>
      <c r="M68" s="236">
        <f t="shared" si="4"/>
        <v>181200</v>
      </c>
      <c r="N68" s="236">
        <f t="shared" si="5"/>
        <v>645000</v>
      </c>
      <c r="O68" s="236">
        <f t="shared" si="6"/>
        <v>826200</v>
      </c>
      <c r="P68" s="301">
        <f t="shared" si="7"/>
        <v>168516</v>
      </c>
      <c r="Q68" s="301">
        <f t="shared" si="8"/>
        <v>599850</v>
      </c>
      <c r="R68" s="300">
        <f t="shared" si="9"/>
        <v>768366</v>
      </c>
    </row>
    <row r="69" spans="1:18" x14ac:dyDescent="0.25">
      <c r="A69" s="155">
        <v>64</v>
      </c>
      <c r="B69" s="55" t="s">
        <v>21</v>
      </c>
      <c r="C69" s="153" t="s">
        <v>153</v>
      </c>
      <c r="D69" s="200">
        <v>216000</v>
      </c>
      <c r="E69" s="173">
        <v>677000</v>
      </c>
      <c r="F69" s="201">
        <f t="shared" ref="F69:F132" si="10">(D69+E69)</f>
        <v>893000</v>
      </c>
      <c r="G69" s="259">
        <f t="shared" ref="G69:G132" si="11">+H69*20%</f>
        <v>166400</v>
      </c>
      <c r="H69" s="260">
        <v>832000</v>
      </c>
      <c r="I69" s="260">
        <f t="shared" ref="I69:I132" si="12">+H69+G69</f>
        <v>998400</v>
      </c>
      <c r="J69" s="144">
        <f>183067.344351301-1000</f>
        <v>182067.344351301</v>
      </c>
      <c r="K69" s="144">
        <v>732269.37740520446</v>
      </c>
      <c r="L69" s="142">
        <f t="shared" ref="L69:L132" si="13">J69+K69</f>
        <v>914336.72175650543</v>
      </c>
      <c r="M69" s="236">
        <f t="shared" ref="M69:M132" si="14">MIN(D69,G69,J69)</f>
        <v>166400</v>
      </c>
      <c r="N69" s="236">
        <f t="shared" ref="N69:N132" si="15">MIN(E69,H69,K69)</f>
        <v>677000</v>
      </c>
      <c r="O69" s="236">
        <f t="shared" ref="O69:O132" si="16">M69+N69</f>
        <v>843400</v>
      </c>
      <c r="P69" s="301">
        <f t="shared" ref="P69:P132" si="17">M69-(M69*7%)</f>
        <v>154752</v>
      </c>
      <c r="Q69" s="301">
        <f t="shared" ref="Q69:Q132" si="18">N69-(N69*7%)</f>
        <v>629610</v>
      </c>
      <c r="R69" s="300">
        <f t="shared" ref="R69:R132" si="19">Q69+P69</f>
        <v>784362</v>
      </c>
    </row>
    <row r="70" spans="1:18" x14ac:dyDescent="0.25">
      <c r="A70" s="155">
        <v>65</v>
      </c>
      <c r="B70" s="55" t="s">
        <v>20</v>
      </c>
      <c r="C70" s="153" t="s">
        <v>153</v>
      </c>
      <c r="D70" s="200">
        <v>99000</v>
      </c>
      <c r="E70" s="173">
        <v>311000</v>
      </c>
      <c r="F70" s="201">
        <f t="shared" si="10"/>
        <v>410000</v>
      </c>
      <c r="G70" s="259">
        <f t="shared" si="11"/>
        <v>76400</v>
      </c>
      <c r="H70" s="260">
        <v>382000</v>
      </c>
      <c r="I70" s="260">
        <f t="shared" si="12"/>
        <v>458400</v>
      </c>
      <c r="J70" s="144">
        <f>83995.6050553028-1000</f>
        <v>82995.605055302804</v>
      </c>
      <c r="K70" s="144">
        <v>335982.42022121151</v>
      </c>
      <c r="L70" s="142">
        <f t="shared" si="13"/>
        <v>418978.02527651429</v>
      </c>
      <c r="M70" s="236">
        <f t="shared" si="14"/>
        <v>76400</v>
      </c>
      <c r="N70" s="236">
        <f t="shared" si="15"/>
        <v>311000</v>
      </c>
      <c r="O70" s="236">
        <f t="shared" si="16"/>
        <v>387400</v>
      </c>
      <c r="P70" s="301">
        <f t="shared" si="17"/>
        <v>71052</v>
      </c>
      <c r="Q70" s="301">
        <f t="shared" si="18"/>
        <v>289230</v>
      </c>
      <c r="R70" s="300">
        <f t="shared" si="19"/>
        <v>360282</v>
      </c>
    </row>
    <row r="71" spans="1:18" ht="22.5" x14ac:dyDescent="0.25">
      <c r="A71" s="155">
        <v>66</v>
      </c>
      <c r="B71" s="55" t="s">
        <v>172</v>
      </c>
      <c r="C71" s="153" t="s">
        <v>153</v>
      </c>
      <c r="D71" s="200">
        <v>767000</v>
      </c>
      <c r="E71" s="173">
        <v>3954000</v>
      </c>
      <c r="F71" s="201">
        <f t="shared" si="10"/>
        <v>4721000</v>
      </c>
      <c r="G71" s="259">
        <f t="shared" si="11"/>
        <v>880200</v>
      </c>
      <c r="H71" s="260">
        <v>4401000</v>
      </c>
      <c r="I71" s="260">
        <f t="shared" si="12"/>
        <v>5281200</v>
      </c>
      <c r="J71" s="144">
        <f>960744.336328-1000</f>
        <v>959744.33632799995</v>
      </c>
      <c r="K71" s="144">
        <v>3842977.3453120003</v>
      </c>
      <c r="L71" s="142">
        <f t="shared" si="13"/>
        <v>4802721.6816400001</v>
      </c>
      <c r="M71" s="236">
        <f t="shared" si="14"/>
        <v>767000</v>
      </c>
      <c r="N71" s="236">
        <f t="shared" si="15"/>
        <v>3842977.3453120003</v>
      </c>
      <c r="O71" s="236">
        <f t="shared" si="16"/>
        <v>4609977.3453120003</v>
      </c>
      <c r="P71" s="301">
        <f t="shared" si="17"/>
        <v>713310</v>
      </c>
      <c r="Q71" s="301">
        <f t="shared" si="18"/>
        <v>3573968.9311401602</v>
      </c>
      <c r="R71" s="300">
        <f t="shared" si="19"/>
        <v>4287278.9311401602</v>
      </c>
    </row>
    <row r="72" spans="1:18" x14ac:dyDescent="0.25">
      <c r="A72" s="155">
        <v>67</v>
      </c>
      <c r="B72" s="55" t="s">
        <v>294</v>
      </c>
      <c r="C72" s="153" t="s">
        <v>153</v>
      </c>
      <c r="D72" s="200">
        <v>273000</v>
      </c>
      <c r="E72" s="173">
        <v>939000</v>
      </c>
      <c r="F72" s="201">
        <f t="shared" si="10"/>
        <v>1212000</v>
      </c>
      <c r="G72" s="259">
        <f t="shared" si="11"/>
        <v>226000</v>
      </c>
      <c r="H72" s="260">
        <v>1130000</v>
      </c>
      <c r="I72" s="260">
        <f t="shared" si="12"/>
        <v>1356000</v>
      </c>
      <c r="J72" s="144">
        <f>231437.051664-1000</f>
        <v>230437.051664</v>
      </c>
      <c r="K72" s="144">
        <v>925748.20665600011</v>
      </c>
      <c r="L72" s="142">
        <f t="shared" si="13"/>
        <v>1156185.25832</v>
      </c>
      <c r="M72" s="236">
        <f t="shared" si="14"/>
        <v>226000</v>
      </c>
      <c r="N72" s="236">
        <f t="shared" si="15"/>
        <v>925748.20665600011</v>
      </c>
      <c r="O72" s="236">
        <f t="shared" si="16"/>
        <v>1151748.2066560001</v>
      </c>
      <c r="P72" s="301">
        <f t="shared" si="17"/>
        <v>210180</v>
      </c>
      <c r="Q72" s="301">
        <f t="shared" si="18"/>
        <v>860945.83219008008</v>
      </c>
      <c r="R72" s="300">
        <f t="shared" si="19"/>
        <v>1071125.8321900801</v>
      </c>
    </row>
    <row r="73" spans="1:18" x14ac:dyDescent="0.25">
      <c r="A73" s="155">
        <v>68</v>
      </c>
      <c r="B73" s="58" t="s">
        <v>292</v>
      </c>
      <c r="C73" s="153" t="s">
        <v>153</v>
      </c>
      <c r="D73" s="200">
        <v>148000</v>
      </c>
      <c r="E73" s="173">
        <v>315000</v>
      </c>
      <c r="F73" s="201">
        <f t="shared" si="10"/>
        <v>463000</v>
      </c>
      <c r="G73" s="259">
        <f t="shared" si="11"/>
        <v>86200</v>
      </c>
      <c r="H73" s="260">
        <v>431000</v>
      </c>
      <c r="I73" s="260">
        <f t="shared" si="12"/>
        <v>517200</v>
      </c>
      <c r="J73" s="144">
        <f>125136.637120823-1000</f>
        <v>124136.637120823</v>
      </c>
      <c r="K73" s="144">
        <v>500546.54848329048</v>
      </c>
      <c r="L73" s="142">
        <f t="shared" si="13"/>
        <v>624683.1856041135</v>
      </c>
      <c r="M73" s="236">
        <f t="shared" si="14"/>
        <v>86200</v>
      </c>
      <c r="N73" s="236">
        <f t="shared" si="15"/>
        <v>315000</v>
      </c>
      <c r="O73" s="236">
        <f t="shared" si="16"/>
        <v>401200</v>
      </c>
      <c r="P73" s="301">
        <f t="shared" si="17"/>
        <v>80166</v>
      </c>
      <c r="Q73" s="301">
        <f t="shared" si="18"/>
        <v>292950</v>
      </c>
      <c r="R73" s="300">
        <f t="shared" si="19"/>
        <v>373116</v>
      </c>
    </row>
    <row r="74" spans="1:18" x14ac:dyDescent="0.25">
      <c r="A74" s="155">
        <v>69</v>
      </c>
      <c r="B74" s="58" t="s">
        <v>150</v>
      </c>
      <c r="C74" s="153" t="s">
        <v>153</v>
      </c>
      <c r="D74" s="200">
        <v>278000</v>
      </c>
      <c r="E74" s="173">
        <v>871000</v>
      </c>
      <c r="F74" s="201">
        <f t="shared" si="10"/>
        <v>1149000</v>
      </c>
      <c r="G74" s="259">
        <f t="shared" si="11"/>
        <v>214200</v>
      </c>
      <c r="H74" s="260">
        <v>1071000</v>
      </c>
      <c r="I74" s="260">
        <f t="shared" si="12"/>
        <v>1285200</v>
      </c>
      <c r="J74" s="144">
        <f>235579.614848183-1000</f>
        <v>234579.614848183</v>
      </c>
      <c r="K74" s="144">
        <v>942318.45939273061</v>
      </c>
      <c r="L74" s="142">
        <f t="shared" si="13"/>
        <v>1176898.0742409136</v>
      </c>
      <c r="M74" s="236">
        <f t="shared" si="14"/>
        <v>214200</v>
      </c>
      <c r="N74" s="236">
        <f t="shared" si="15"/>
        <v>871000</v>
      </c>
      <c r="O74" s="236">
        <f t="shared" si="16"/>
        <v>1085200</v>
      </c>
      <c r="P74" s="301">
        <f t="shared" si="17"/>
        <v>199206</v>
      </c>
      <c r="Q74" s="301">
        <f t="shared" si="18"/>
        <v>810030</v>
      </c>
      <c r="R74" s="300">
        <f t="shared" si="19"/>
        <v>1009236</v>
      </c>
    </row>
    <row r="75" spans="1:18" x14ac:dyDescent="0.25">
      <c r="A75" s="155">
        <v>70</v>
      </c>
      <c r="B75" s="55" t="s">
        <v>293</v>
      </c>
      <c r="C75" s="153" t="s">
        <v>153</v>
      </c>
      <c r="D75" s="200">
        <v>359000</v>
      </c>
      <c r="E75" s="173">
        <v>1236000</v>
      </c>
      <c r="F75" s="201">
        <f t="shared" si="10"/>
        <v>1595000</v>
      </c>
      <c r="G75" s="259">
        <f t="shared" si="11"/>
        <v>297400</v>
      </c>
      <c r="H75" s="260">
        <v>1487000</v>
      </c>
      <c r="I75" s="260">
        <f t="shared" si="12"/>
        <v>1784400</v>
      </c>
      <c r="J75" s="144">
        <f>304522.4364-1000</f>
        <v>303522.43640000001</v>
      </c>
      <c r="K75" s="144">
        <v>1218089.7456</v>
      </c>
      <c r="L75" s="142">
        <f t="shared" si="13"/>
        <v>1521612.182</v>
      </c>
      <c r="M75" s="236">
        <f t="shared" si="14"/>
        <v>297400</v>
      </c>
      <c r="N75" s="236">
        <f t="shared" si="15"/>
        <v>1218089.7456</v>
      </c>
      <c r="O75" s="236">
        <f t="shared" si="16"/>
        <v>1515489.7456</v>
      </c>
      <c r="P75" s="301">
        <f t="shared" si="17"/>
        <v>276582</v>
      </c>
      <c r="Q75" s="301">
        <f t="shared" si="18"/>
        <v>1132823.4634080001</v>
      </c>
      <c r="R75" s="300">
        <f t="shared" si="19"/>
        <v>1409405.4634080001</v>
      </c>
    </row>
    <row r="76" spans="1:18" ht="22.5" x14ac:dyDescent="0.25">
      <c r="A76" s="155">
        <v>71</v>
      </c>
      <c r="B76" s="55" t="s">
        <v>508</v>
      </c>
      <c r="C76" s="153" t="s">
        <v>153</v>
      </c>
      <c r="D76" s="200">
        <v>1824000</v>
      </c>
      <c r="E76" s="173">
        <v>7296000</v>
      </c>
      <c r="F76" s="201">
        <f t="shared" si="10"/>
        <v>9120000</v>
      </c>
      <c r="G76" s="259">
        <f t="shared" si="11"/>
        <v>1700200</v>
      </c>
      <c r="H76" s="260">
        <v>8501000</v>
      </c>
      <c r="I76" s="260">
        <f t="shared" si="12"/>
        <v>10201200</v>
      </c>
      <c r="J76" s="144">
        <f>1545750.160936-1000</f>
        <v>1544750.1609360001</v>
      </c>
      <c r="K76" s="144">
        <v>6183000.6437440002</v>
      </c>
      <c r="L76" s="142">
        <f t="shared" si="13"/>
        <v>7727750.8046800001</v>
      </c>
      <c r="M76" s="236">
        <f t="shared" si="14"/>
        <v>1544750.1609360001</v>
      </c>
      <c r="N76" s="236">
        <f t="shared" si="15"/>
        <v>6183000.6437440002</v>
      </c>
      <c r="O76" s="236">
        <f t="shared" si="16"/>
        <v>7727750.8046800001</v>
      </c>
      <c r="P76" s="301">
        <f t="shared" si="17"/>
        <v>1436617.6496704801</v>
      </c>
      <c r="Q76" s="301">
        <f t="shared" si="18"/>
        <v>5750190.5986819202</v>
      </c>
      <c r="R76" s="300">
        <f t="shared" si="19"/>
        <v>7186808.2483524</v>
      </c>
    </row>
    <row r="77" spans="1:18" x14ac:dyDescent="0.25">
      <c r="A77" s="155">
        <v>72</v>
      </c>
      <c r="B77" s="55" t="s">
        <v>509</v>
      </c>
      <c r="C77" s="153" t="s">
        <v>153</v>
      </c>
      <c r="D77" s="200">
        <v>231000</v>
      </c>
      <c r="E77" s="173">
        <v>725000</v>
      </c>
      <c r="F77" s="201">
        <f t="shared" si="10"/>
        <v>956000</v>
      </c>
      <c r="G77" s="259">
        <f t="shared" si="11"/>
        <v>178400</v>
      </c>
      <c r="H77" s="260">
        <v>892000</v>
      </c>
      <c r="I77" s="260">
        <f t="shared" si="12"/>
        <v>1070400</v>
      </c>
      <c r="J77" s="144">
        <f>195989.74512904-1000</f>
        <v>194989.74512904001</v>
      </c>
      <c r="K77" s="144">
        <v>783958.98051616037</v>
      </c>
      <c r="L77" s="142">
        <f t="shared" si="13"/>
        <v>978948.72564520035</v>
      </c>
      <c r="M77" s="236">
        <f t="shared" si="14"/>
        <v>178400</v>
      </c>
      <c r="N77" s="236">
        <f t="shared" si="15"/>
        <v>725000</v>
      </c>
      <c r="O77" s="236">
        <f t="shared" si="16"/>
        <v>903400</v>
      </c>
      <c r="P77" s="301">
        <f t="shared" si="17"/>
        <v>165912</v>
      </c>
      <c r="Q77" s="301">
        <f t="shared" si="18"/>
        <v>674250</v>
      </c>
      <c r="R77" s="300">
        <f t="shared" si="19"/>
        <v>840162</v>
      </c>
    </row>
    <row r="78" spans="1:18" ht="22.5" x14ac:dyDescent="0.25">
      <c r="A78" s="155"/>
      <c r="B78" s="156" t="s">
        <v>124</v>
      </c>
      <c r="C78" s="153" t="s">
        <v>153</v>
      </c>
      <c r="D78" s="200">
        <v>0</v>
      </c>
      <c r="E78" s="173">
        <v>0</v>
      </c>
      <c r="F78" s="201">
        <f t="shared" si="10"/>
        <v>0</v>
      </c>
      <c r="G78" s="259">
        <f t="shared" si="11"/>
        <v>0</v>
      </c>
      <c r="H78" s="260">
        <v>0</v>
      </c>
      <c r="I78" s="260">
        <f t="shared" si="12"/>
        <v>0</v>
      </c>
      <c r="J78" s="143"/>
      <c r="K78" s="144"/>
      <c r="L78" s="142">
        <f t="shared" si="13"/>
        <v>0</v>
      </c>
      <c r="M78" s="236">
        <f t="shared" si="14"/>
        <v>0</v>
      </c>
      <c r="N78" s="236">
        <f t="shared" si="15"/>
        <v>0</v>
      </c>
      <c r="O78" s="236">
        <f t="shared" si="16"/>
        <v>0</v>
      </c>
      <c r="P78" s="301">
        <f t="shared" si="17"/>
        <v>0</v>
      </c>
      <c r="Q78" s="301">
        <f t="shared" si="18"/>
        <v>0</v>
      </c>
      <c r="R78" s="300">
        <f t="shared" si="19"/>
        <v>0</v>
      </c>
    </row>
    <row r="79" spans="1:18" ht="22.5" x14ac:dyDescent="0.25">
      <c r="A79" s="155">
        <v>73</v>
      </c>
      <c r="B79" s="55" t="s">
        <v>296</v>
      </c>
      <c r="C79" s="153" t="s">
        <v>153</v>
      </c>
      <c r="D79" s="200">
        <v>974000</v>
      </c>
      <c r="E79" s="173">
        <v>3528000</v>
      </c>
      <c r="F79" s="201">
        <f t="shared" si="10"/>
        <v>4502000</v>
      </c>
      <c r="G79" s="259">
        <f t="shared" si="11"/>
        <v>839400</v>
      </c>
      <c r="H79" s="260">
        <v>4197000</v>
      </c>
      <c r="I79" s="260">
        <f t="shared" si="12"/>
        <v>5036400</v>
      </c>
      <c r="J79" s="144">
        <f>940708.308635615-1000</f>
        <v>939708.30863561505</v>
      </c>
      <c r="K79" s="144">
        <v>3762833.2345424625</v>
      </c>
      <c r="L79" s="142">
        <f t="shared" si="13"/>
        <v>4702541.5431780778</v>
      </c>
      <c r="M79" s="236">
        <f t="shared" si="14"/>
        <v>839400</v>
      </c>
      <c r="N79" s="236">
        <f t="shared" si="15"/>
        <v>3528000</v>
      </c>
      <c r="O79" s="236">
        <f t="shared" si="16"/>
        <v>4367400</v>
      </c>
      <c r="P79" s="301">
        <f t="shared" si="17"/>
        <v>780642</v>
      </c>
      <c r="Q79" s="301">
        <f t="shared" si="18"/>
        <v>3281040</v>
      </c>
      <c r="R79" s="300">
        <f t="shared" si="19"/>
        <v>4061682</v>
      </c>
    </row>
    <row r="80" spans="1:18" x14ac:dyDescent="0.25">
      <c r="A80" s="155">
        <v>74</v>
      </c>
      <c r="B80" s="55" t="s">
        <v>125</v>
      </c>
      <c r="C80" s="153" t="s">
        <v>153</v>
      </c>
      <c r="D80" s="200">
        <v>920000</v>
      </c>
      <c r="E80" s="173">
        <v>3425000</v>
      </c>
      <c r="F80" s="201">
        <f t="shared" si="10"/>
        <v>4345000</v>
      </c>
      <c r="G80" s="259">
        <f t="shared" si="11"/>
        <v>810000</v>
      </c>
      <c r="H80" s="260">
        <v>4050000</v>
      </c>
      <c r="I80" s="260">
        <f t="shared" si="12"/>
        <v>4860000</v>
      </c>
      <c r="J80" s="144">
        <f>913061.651197044-1000</f>
        <v>912061.65119704395</v>
      </c>
      <c r="K80" s="144">
        <v>3652246.6047881776</v>
      </c>
      <c r="L80" s="142">
        <f t="shared" si="13"/>
        <v>4564308.2559852218</v>
      </c>
      <c r="M80" s="236">
        <f t="shared" si="14"/>
        <v>810000</v>
      </c>
      <c r="N80" s="236">
        <f t="shared" si="15"/>
        <v>3425000</v>
      </c>
      <c r="O80" s="236">
        <f t="shared" si="16"/>
        <v>4235000</v>
      </c>
      <c r="P80" s="301">
        <f t="shared" si="17"/>
        <v>753300</v>
      </c>
      <c r="Q80" s="301">
        <f t="shared" si="18"/>
        <v>3185250</v>
      </c>
      <c r="R80" s="300">
        <f t="shared" si="19"/>
        <v>3938550</v>
      </c>
    </row>
    <row r="81" spans="1:18" x14ac:dyDescent="0.25">
      <c r="A81" s="155">
        <v>75</v>
      </c>
      <c r="B81" s="58" t="s">
        <v>126</v>
      </c>
      <c r="C81" s="153" t="s">
        <v>153</v>
      </c>
      <c r="D81" s="200">
        <v>135000</v>
      </c>
      <c r="E81" s="173">
        <v>422000</v>
      </c>
      <c r="F81" s="201">
        <f t="shared" si="10"/>
        <v>557000</v>
      </c>
      <c r="G81" s="259">
        <f t="shared" si="11"/>
        <v>103800</v>
      </c>
      <c r="H81" s="260">
        <v>519000</v>
      </c>
      <c r="I81" s="260">
        <f t="shared" si="12"/>
        <v>622800</v>
      </c>
      <c r="J81" s="144">
        <f>114147.873536694-1000</f>
        <v>113147.87353669399</v>
      </c>
      <c r="K81" s="144">
        <v>456591.49414677464</v>
      </c>
      <c r="L81" s="142">
        <f t="shared" si="13"/>
        <v>569739.36768346862</v>
      </c>
      <c r="M81" s="236">
        <f t="shared" si="14"/>
        <v>103800</v>
      </c>
      <c r="N81" s="236">
        <f t="shared" si="15"/>
        <v>422000</v>
      </c>
      <c r="O81" s="236">
        <f t="shared" si="16"/>
        <v>525800</v>
      </c>
      <c r="P81" s="301">
        <f t="shared" si="17"/>
        <v>96534</v>
      </c>
      <c r="Q81" s="301">
        <f t="shared" si="18"/>
        <v>392460</v>
      </c>
      <c r="R81" s="300">
        <f t="shared" si="19"/>
        <v>488994</v>
      </c>
    </row>
    <row r="82" spans="1:18" x14ac:dyDescent="0.25">
      <c r="A82" s="155">
        <v>76</v>
      </c>
      <c r="B82" s="55" t="s">
        <v>127</v>
      </c>
      <c r="C82" s="153" t="s">
        <v>153</v>
      </c>
      <c r="D82" s="200">
        <v>45000</v>
      </c>
      <c r="E82" s="173">
        <v>142000</v>
      </c>
      <c r="F82" s="201">
        <f t="shared" si="10"/>
        <v>187000</v>
      </c>
      <c r="G82" s="259">
        <f t="shared" si="11"/>
        <v>34800</v>
      </c>
      <c r="H82" s="260">
        <v>174000</v>
      </c>
      <c r="I82" s="260">
        <f t="shared" si="12"/>
        <v>208800</v>
      </c>
      <c r="J82" s="144">
        <f>38336.4556406254-1000</f>
        <v>37336.455640625398</v>
      </c>
      <c r="K82" s="144">
        <v>153345.82256250168</v>
      </c>
      <c r="L82" s="142">
        <f t="shared" si="13"/>
        <v>190682.27820312709</v>
      </c>
      <c r="M82" s="236">
        <f t="shared" si="14"/>
        <v>34800</v>
      </c>
      <c r="N82" s="236">
        <f t="shared" si="15"/>
        <v>142000</v>
      </c>
      <c r="O82" s="236">
        <f t="shared" si="16"/>
        <v>176800</v>
      </c>
      <c r="P82" s="301">
        <f t="shared" si="17"/>
        <v>32364</v>
      </c>
      <c r="Q82" s="301">
        <f t="shared" si="18"/>
        <v>132060</v>
      </c>
      <c r="R82" s="300">
        <f t="shared" si="19"/>
        <v>164424</v>
      </c>
    </row>
    <row r="83" spans="1:18" x14ac:dyDescent="0.25">
      <c r="A83" s="155">
        <v>77</v>
      </c>
      <c r="B83" s="58" t="s">
        <v>510</v>
      </c>
      <c r="C83" s="153" t="s">
        <v>153</v>
      </c>
      <c r="D83" s="200">
        <v>483000</v>
      </c>
      <c r="E83" s="173">
        <v>1513000</v>
      </c>
      <c r="F83" s="201">
        <f t="shared" si="10"/>
        <v>1996000</v>
      </c>
      <c r="G83" s="259">
        <f t="shared" si="11"/>
        <v>372200</v>
      </c>
      <c r="H83" s="260">
        <v>1861000</v>
      </c>
      <c r="I83" s="260">
        <f t="shared" si="12"/>
        <v>2233200</v>
      </c>
      <c r="J83" s="144">
        <f>409209.357961732-1000</f>
        <v>408209.35796173202</v>
      </c>
      <c r="K83" s="144">
        <v>1636837.4318469279</v>
      </c>
      <c r="L83" s="142">
        <f t="shared" si="13"/>
        <v>2045046.7898086598</v>
      </c>
      <c r="M83" s="236">
        <f t="shared" si="14"/>
        <v>372200</v>
      </c>
      <c r="N83" s="236">
        <f t="shared" si="15"/>
        <v>1513000</v>
      </c>
      <c r="O83" s="236">
        <f t="shared" si="16"/>
        <v>1885200</v>
      </c>
      <c r="P83" s="301">
        <f t="shared" si="17"/>
        <v>346146</v>
      </c>
      <c r="Q83" s="301">
        <f t="shared" si="18"/>
        <v>1407090</v>
      </c>
      <c r="R83" s="300">
        <f t="shared" si="19"/>
        <v>1753236</v>
      </c>
    </row>
    <row r="84" spans="1:18" x14ac:dyDescent="0.25">
      <c r="A84" s="155">
        <v>78</v>
      </c>
      <c r="B84" s="55" t="s">
        <v>326</v>
      </c>
      <c r="C84" s="153" t="s">
        <v>153</v>
      </c>
      <c r="D84" s="200">
        <v>267000</v>
      </c>
      <c r="E84" s="173">
        <v>836000</v>
      </c>
      <c r="F84" s="201">
        <f t="shared" si="10"/>
        <v>1103000</v>
      </c>
      <c r="G84" s="259">
        <f t="shared" si="11"/>
        <v>205800</v>
      </c>
      <c r="H84" s="260">
        <v>1029000</v>
      </c>
      <c r="I84" s="260">
        <f t="shared" si="12"/>
        <v>1234800</v>
      </c>
      <c r="J84" s="144">
        <f>226142.013610431-1000</f>
        <v>225142.01361043099</v>
      </c>
      <c r="K84" s="144">
        <v>904568.05444172351</v>
      </c>
      <c r="L84" s="142">
        <f t="shared" si="13"/>
        <v>1129710.0680521545</v>
      </c>
      <c r="M84" s="236">
        <f t="shared" si="14"/>
        <v>205800</v>
      </c>
      <c r="N84" s="236">
        <f t="shared" si="15"/>
        <v>836000</v>
      </c>
      <c r="O84" s="236">
        <f t="shared" si="16"/>
        <v>1041800</v>
      </c>
      <c r="P84" s="301">
        <f t="shared" si="17"/>
        <v>191394</v>
      </c>
      <c r="Q84" s="301">
        <f t="shared" si="18"/>
        <v>777480</v>
      </c>
      <c r="R84" s="300">
        <f t="shared" si="19"/>
        <v>968874</v>
      </c>
    </row>
    <row r="85" spans="1:18" x14ac:dyDescent="0.25">
      <c r="A85" s="155">
        <v>79</v>
      </c>
      <c r="B85" s="55" t="s">
        <v>123</v>
      </c>
      <c r="C85" s="153" t="s">
        <v>153</v>
      </c>
      <c r="D85" s="200">
        <v>172000</v>
      </c>
      <c r="E85" s="173">
        <v>540000</v>
      </c>
      <c r="F85" s="201">
        <f t="shared" si="10"/>
        <v>712000</v>
      </c>
      <c r="G85" s="259">
        <f t="shared" si="11"/>
        <v>133000</v>
      </c>
      <c r="H85" s="260">
        <v>665000</v>
      </c>
      <c r="I85" s="260">
        <f t="shared" si="12"/>
        <v>798000</v>
      </c>
      <c r="J85" s="144">
        <f>146156.187527707-1000</f>
        <v>145156.18752770699</v>
      </c>
      <c r="K85" s="144">
        <v>584624.75011082843</v>
      </c>
      <c r="L85" s="142">
        <f t="shared" si="13"/>
        <v>729780.9376385354</v>
      </c>
      <c r="M85" s="236">
        <f t="shared" si="14"/>
        <v>133000</v>
      </c>
      <c r="N85" s="236">
        <f t="shared" si="15"/>
        <v>540000</v>
      </c>
      <c r="O85" s="236">
        <f t="shared" si="16"/>
        <v>673000</v>
      </c>
      <c r="P85" s="301">
        <f t="shared" si="17"/>
        <v>123690</v>
      </c>
      <c r="Q85" s="301">
        <f t="shared" si="18"/>
        <v>502200</v>
      </c>
      <c r="R85" s="300">
        <f t="shared" si="19"/>
        <v>625890</v>
      </c>
    </row>
    <row r="86" spans="1:18" x14ac:dyDescent="0.25">
      <c r="A86" s="155">
        <v>80</v>
      </c>
      <c r="B86" s="55" t="s">
        <v>298</v>
      </c>
      <c r="C86" s="153" t="s">
        <v>153</v>
      </c>
      <c r="D86" s="200">
        <v>91000</v>
      </c>
      <c r="E86" s="173">
        <v>285000</v>
      </c>
      <c r="F86" s="201">
        <f t="shared" si="10"/>
        <v>376000</v>
      </c>
      <c r="G86" s="259">
        <f t="shared" si="11"/>
        <v>70200</v>
      </c>
      <c r="H86" s="260">
        <v>351000</v>
      </c>
      <c r="I86" s="260">
        <f t="shared" si="12"/>
        <v>421200</v>
      </c>
      <c r="J86" s="144">
        <f>77183.3258415389-1000</f>
        <v>76183.325841538899</v>
      </c>
      <c r="K86" s="144">
        <v>308733.30336615565</v>
      </c>
      <c r="L86" s="142">
        <f t="shared" si="13"/>
        <v>384916.62920769455</v>
      </c>
      <c r="M86" s="236">
        <f t="shared" si="14"/>
        <v>70200</v>
      </c>
      <c r="N86" s="236">
        <f t="shared" si="15"/>
        <v>285000</v>
      </c>
      <c r="O86" s="236">
        <f t="shared" si="16"/>
        <v>355200</v>
      </c>
      <c r="P86" s="301">
        <f t="shared" si="17"/>
        <v>65286</v>
      </c>
      <c r="Q86" s="301">
        <f t="shared" si="18"/>
        <v>265050</v>
      </c>
      <c r="R86" s="300">
        <f t="shared" si="19"/>
        <v>330336</v>
      </c>
    </row>
    <row r="87" spans="1:18" x14ac:dyDescent="0.25">
      <c r="A87" s="155">
        <v>81</v>
      </c>
      <c r="B87" s="55" t="s">
        <v>177</v>
      </c>
      <c r="C87" s="153" t="s">
        <v>153</v>
      </c>
      <c r="D87" s="200">
        <v>272000</v>
      </c>
      <c r="E87" s="173">
        <v>935000</v>
      </c>
      <c r="F87" s="201">
        <f t="shared" si="10"/>
        <v>1207000</v>
      </c>
      <c r="G87" s="259">
        <f t="shared" si="11"/>
        <v>224800</v>
      </c>
      <c r="H87" s="260">
        <v>1124000</v>
      </c>
      <c r="I87" s="260">
        <f t="shared" si="12"/>
        <v>1348800</v>
      </c>
      <c r="J87" s="144">
        <f>230326.63836-1000</f>
        <v>229326.63836000001</v>
      </c>
      <c r="K87" s="144">
        <v>921306.55343999993</v>
      </c>
      <c r="L87" s="142">
        <f t="shared" si="13"/>
        <v>1150633.1917999999</v>
      </c>
      <c r="M87" s="236">
        <f t="shared" si="14"/>
        <v>224800</v>
      </c>
      <c r="N87" s="236">
        <f t="shared" si="15"/>
        <v>921306.55343999993</v>
      </c>
      <c r="O87" s="236">
        <f t="shared" si="16"/>
        <v>1146106.5534399999</v>
      </c>
      <c r="P87" s="301">
        <f t="shared" si="17"/>
        <v>209064</v>
      </c>
      <c r="Q87" s="301">
        <f t="shared" si="18"/>
        <v>856815.09469919989</v>
      </c>
      <c r="R87" s="300">
        <f t="shared" si="19"/>
        <v>1065879.0946991998</v>
      </c>
    </row>
    <row r="88" spans="1:18" x14ac:dyDescent="0.25">
      <c r="A88" s="155">
        <v>82</v>
      </c>
      <c r="B88" s="158" t="s">
        <v>102</v>
      </c>
      <c r="C88" s="153" t="s">
        <v>153</v>
      </c>
      <c r="D88" s="200">
        <v>112000</v>
      </c>
      <c r="E88" s="173">
        <v>350000</v>
      </c>
      <c r="F88" s="201">
        <f t="shared" si="10"/>
        <v>462000</v>
      </c>
      <c r="G88" s="259">
        <f t="shared" si="11"/>
        <v>86200</v>
      </c>
      <c r="H88" s="260">
        <v>431000</v>
      </c>
      <c r="I88" s="260">
        <f t="shared" si="12"/>
        <v>517200</v>
      </c>
      <c r="J88" s="144">
        <f>94764.2723700852-1000</f>
        <v>93764.272370085193</v>
      </c>
      <c r="K88" s="144">
        <v>379057.08948034118</v>
      </c>
      <c r="L88" s="142">
        <f t="shared" si="13"/>
        <v>472821.36185042636</v>
      </c>
      <c r="M88" s="236">
        <f t="shared" si="14"/>
        <v>86200</v>
      </c>
      <c r="N88" s="236">
        <f t="shared" si="15"/>
        <v>350000</v>
      </c>
      <c r="O88" s="236">
        <f t="shared" si="16"/>
        <v>436200</v>
      </c>
      <c r="P88" s="301">
        <f t="shared" si="17"/>
        <v>80166</v>
      </c>
      <c r="Q88" s="301">
        <f t="shared" si="18"/>
        <v>325500</v>
      </c>
      <c r="R88" s="300">
        <f t="shared" si="19"/>
        <v>405666</v>
      </c>
    </row>
    <row r="89" spans="1:18" x14ac:dyDescent="0.25">
      <c r="A89" s="155">
        <v>83</v>
      </c>
      <c r="B89" s="58" t="s">
        <v>112</v>
      </c>
      <c r="C89" s="153" t="s">
        <v>153</v>
      </c>
      <c r="D89" s="200">
        <v>256000</v>
      </c>
      <c r="E89" s="173">
        <v>581000</v>
      </c>
      <c r="F89" s="201">
        <f t="shared" si="10"/>
        <v>837000</v>
      </c>
      <c r="G89" s="259">
        <f t="shared" si="11"/>
        <v>156200</v>
      </c>
      <c r="H89" s="260">
        <v>781000</v>
      </c>
      <c r="I89" s="260">
        <f t="shared" si="12"/>
        <v>937200</v>
      </c>
      <c r="J89" s="144">
        <f>217222.542795822-1000</f>
        <v>216222.542795822</v>
      </c>
      <c r="K89" s="144">
        <v>868890.17118328798</v>
      </c>
      <c r="L89" s="142">
        <f t="shared" si="13"/>
        <v>1085112.7139791099</v>
      </c>
      <c r="M89" s="236">
        <f t="shared" si="14"/>
        <v>156200</v>
      </c>
      <c r="N89" s="236">
        <f t="shared" si="15"/>
        <v>581000</v>
      </c>
      <c r="O89" s="236">
        <f t="shared" si="16"/>
        <v>737200</v>
      </c>
      <c r="P89" s="301">
        <f t="shared" si="17"/>
        <v>145266</v>
      </c>
      <c r="Q89" s="301">
        <f t="shared" si="18"/>
        <v>540330</v>
      </c>
      <c r="R89" s="300">
        <f t="shared" si="19"/>
        <v>685596</v>
      </c>
    </row>
    <row r="90" spans="1:18" x14ac:dyDescent="0.25">
      <c r="A90" s="155">
        <v>84</v>
      </c>
      <c r="B90" s="58" t="s">
        <v>78</v>
      </c>
      <c r="C90" s="153" t="s">
        <v>153</v>
      </c>
      <c r="D90" s="200">
        <v>165000</v>
      </c>
      <c r="E90" s="173">
        <v>518000</v>
      </c>
      <c r="F90" s="201">
        <f t="shared" si="10"/>
        <v>683000</v>
      </c>
      <c r="G90" s="259">
        <f t="shared" si="11"/>
        <v>127400</v>
      </c>
      <c r="H90" s="260">
        <v>637000</v>
      </c>
      <c r="I90" s="260">
        <f t="shared" si="12"/>
        <v>764400</v>
      </c>
      <c r="J90" s="144">
        <f>139992.675092171-1000</f>
        <v>138992.675092171</v>
      </c>
      <c r="K90" s="144">
        <v>559970.700368686</v>
      </c>
      <c r="L90" s="142">
        <f t="shared" si="13"/>
        <v>698963.37546085706</v>
      </c>
      <c r="M90" s="236">
        <f t="shared" si="14"/>
        <v>127400</v>
      </c>
      <c r="N90" s="236">
        <f t="shared" si="15"/>
        <v>518000</v>
      </c>
      <c r="O90" s="236">
        <f t="shared" si="16"/>
        <v>645400</v>
      </c>
      <c r="P90" s="301">
        <f t="shared" si="17"/>
        <v>118482</v>
      </c>
      <c r="Q90" s="301">
        <f t="shared" si="18"/>
        <v>481740</v>
      </c>
      <c r="R90" s="300">
        <f t="shared" si="19"/>
        <v>600222</v>
      </c>
    </row>
    <row r="91" spans="1:18" ht="22.5" x14ac:dyDescent="0.25">
      <c r="A91" s="155">
        <v>85</v>
      </c>
      <c r="B91" s="55" t="s">
        <v>299</v>
      </c>
      <c r="C91" s="153" t="s">
        <v>153</v>
      </c>
      <c r="D91" s="200">
        <v>974000</v>
      </c>
      <c r="E91" s="173">
        <v>3433000</v>
      </c>
      <c r="F91" s="201">
        <f t="shared" si="10"/>
        <v>4407000</v>
      </c>
      <c r="G91" s="259">
        <f t="shared" si="11"/>
        <v>821600</v>
      </c>
      <c r="H91" s="260">
        <v>4108000</v>
      </c>
      <c r="I91" s="260">
        <f t="shared" si="12"/>
        <v>4929600</v>
      </c>
      <c r="J91" s="144">
        <f>915185.050385875-1000</f>
        <v>914185.05038587505</v>
      </c>
      <c r="K91" s="144">
        <v>3660740.2015435006</v>
      </c>
      <c r="L91" s="142">
        <f t="shared" si="13"/>
        <v>4574925.2519293753</v>
      </c>
      <c r="M91" s="236">
        <f t="shared" si="14"/>
        <v>821600</v>
      </c>
      <c r="N91" s="236">
        <f t="shared" si="15"/>
        <v>3433000</v>
      </c>
      <c r="O91" s="236">
        <f t="shared" si="16"/>
        <v>4254600</v>
      </c>
      <c r="P91" s="301">
        <f t="shared" si="17"/>
        <v>764088</v>
      </c>
      <c r="Q91" s="301">
        <f t="shared" si="18"/>
        <v>3192690</v>
      </c>
      <c r="R91" s="300">
        <f t="shared" si="19"/>
        <v>3956778</v>
      </c>
    </row>
    <row r="92" spans="1:18" x14ac:dyDescent="0.25">
      <c r="A92" s="155">
        <v>86</v>
      </c>
      <c r="B92" s="58" t="s">
        <v>111</v>
      </c>
      <c r="C92" s="153" t="s">
        <v>153</v>
      </c>
      <c r="D92" s="200">
        <v>127000</v>
      </c>
      <c r="E92" s="173">
        <v>398000</v>
      </c>
      <c r="F92" s="201">
        <f t="shared" si="10"/>
        <v>525000</v>
      </c>
      <c r="G92" s="259">
        <f t="shared" si="11"/>
        <v>97800</v>
      </c>
      <c r="H92" s="260">
        <v>489000</v>
      </c>
      <c r="I92" s="260">
        <f t="shared" si="12"/>
        <v>586800</v>
      </c>
      <c r="J92" s="144">
        <f>107686.673147824-1000</f>
        <v>106686.673147824</v>
      </c>
      <c r="K92" s="144">
        <v>430746.69259129692</v>
      </c>
      <c r="L92" s="142">
        <f t="shared" si="13"/>
        <v>537433.36573912087</v>
      </c>
      <c r="M92" s="236">
        <f t="shared" si="14"/>
        <v>97800</v>
      </c>
      <c r="N92" s="236">
        <f t="shared" si="15"/>
        <v>398000</v>
      </c>
      <c r="O92" s="236">
        <f t="shared" si="16"/>
        <v>495800</v>
      </c>
      <c r="P92" s="301">
        <f t="shared" si="17"/>
        <v>90954</v>
      </c>
      <c r="Q92" s="301">
        <f t="shared" si="18"/>
        <v>370140</v>
      </c>
      <c r="R92" s="300">
        <f t="shared" si="19"/>
        <v>461094</v>
      </c>
    </row>
    <row r="93" spans="1:18" x14ac:dyDescent="0.25">
      <c r="A93" s="155">
        <v>87</v>
      </c>
      <c r="B93" s="58" t="s">
        <v>300</v>
      </c>
      <c r="C93" s="153" t="s">
        <v>153</v>
      </c>
      <c r="D93" s="200">
        <v>466000</v>
      </c>
      <c r="E93" s="173">
        <v>2095000</v>
      </c>
      <c r="F93" s="201">
        <f t="shared" si="10"/>
        <v>2561000</v>
      </c>
      <c r="G93" s="259">
        <f t="shared" si="11"/>
        <v>477600</v>
      </c>
      <c r="H93" s="260">
        <v>2388000</v>
      </c>
      <c r="I93" s="260">
        <f t="shared" si="12"/>
        <v>2865600</v>
      </c>
      <c r="J93" s="144">
        <f>509036.58624-1000</f>
        <v>508036.58623999998</v>
      </c>
      <c r="K93" s="144">
        <v>2036146.3449600001</v>
      </c>
      <c r="L93" s="142">
        <f t="shared" si="13"/>
        <v>2544182.9312</v>
      </c>
      <c r="M93" s="236">
        <f t="shared" si="14"/>
        <v>466000</v>
      </c>
      <c r="N93" s="236">
        <f t="shared" si="15"/>
        <v>2036146.3449600001</v>
      </c>
      <c r="O93" s="236">
        <f t="shared" si="16"/>
        <v>2502146.3449600004</v>
      </c>
      <c r="P93" s="301">
        <f t="shared" si="17"/>
        <v>433380</v>
      </c>
      <c r="Q93" s="301">
        <f t="shared" si="18"/>
        <v>1893616.1008128002</v>
      </c>
      <c r="R93" s="300">
        <f t="shared" si="19"/>
        <v>2326996.1008128002</v>
      </c>
    </row>
    <row r="94" spans="1:18" ht="22.5" x14ac:dyDescent="0.25">
      <c r="A94" s="155"/>
      <c r="B94" s="156" t="s">
        <v>31</v>
      </c>
      <c r="C94" s="153" t="s">
        <v>153</v>
      </c>
      <c r="D94" s="200">
        <v>0</v>
      </c>
      <c r="E94" s="173">
        <v>0</v>
      </c>
      <c r="F94" s="201">
        <f t="shared" si="10"/>
        <v>0</v>
      </c>
      <c r="G94" s="259">
        <f t="shared" si="11"/>
        <v>0</v>
      </c>
      <c r="H94" s="260">
        <v>0</v>
      </c>
      <c r="I94" s="260">
        <f t="shared" si="12"/>
        <v>0</v>
      </c>
      <c r="J94" s="143"/>
      <c r="K94" s="144"/>
      <c r="L94" s="142">
        <f t="shared" si="13"/>
        <v>0</v>
      </c>
      <c r="M94" s="236">
        <f t="shared" si="14"/>
        <v>0</v>
      </c>
      <c r="N94" s="236">
        <f t="shared" si="15"/>
        <v>0</v>
      </c>
      <c r="O94" s="236">
        <f t="shared" si="16"/>
        <v>0</v>
      </c>
      <c r="P94" s="301">
        <f t="shared" si="17"/>
        <v>0</v>
      </c>
      <c r="Q94" s="301">
        <f t="shared" si="18"/>
        <v>0</v>
      </c>
      <c r="R94" s="300">
        <f t="shared" si="19"/>
        <v>0</v>
      </c>
    </row>
    <row r="95" spans="1:18" x14ac:dyDescent="0.25">
      <c r="A95" s="155">
        <v>88</v>
      </c>
      <c r="B95" s="55" t="s">
        <v>323</v>
      </c>
      <c r="C95" s="153" t="s">
        <v>153</v>
      </c>
      <c r="D95" s="200">
        <v>532000</v>
      </c>
      <c r="E95" s="173">
        <v>2130000</v>
      </c>
      <c r="F95" s="201">
        <f t="shared" si="10"/>
        <v>2662000</v>
      </c>
      <c r="G95" s="259">
        <f t="shared" si="11"/>
        <v>496200</v>
      </c>
      <c r="H95" s="260">
        <v>2481000</v>
      </c>
      <c r="I95" s="260">
        <f t="shared" si="12"/>
        <v>2977200</v>
      </c>
      <c r="J95" s="144">
        <f>451220.204227258-1000</f>
        <v>450220.20422725799</v>
      </c>
      <c r="K95" s="144">
        <v>1804880.816909031</v>
      </c>
      <c r="L95" s="142">
        <f t="shared" si="13"/>
        <v>2255101.021136289</v>
      </c>
      <c r="M95" s="236">
        <f t="shared" si="14"/>
        <v>450220.20422725799</v>
      </c>
      <c r="N95" s="236">
        <f t="shared" si="15"/>
        <v>1804880.816909031</v>
      </c>
      <c r="O95" s="236">
        <f t="shared" si="16"/>
        <v>2255101.021136289</v>
      </c>
      <c r="P95" s="301">
        <f t="shared" si="17"/>
        <v>418704.78993134992</v>
      </c>
      <c r="Q95" s="301">
        <f t="shared" si="18"/>
        <v>1678539.1597253988</v>
      </c>
      <c r="R95" s="300">
        <f t="shared" si="19"/>
        <v>2097243.9496567487</v>
      </c>
    </row>
    <row r="96" spans="1:18" x14ac:dyDescent="0.25">
      <c r="A96" s="155">
        <v>89</v>
      </c>
      <c r="B96" s="55" t="s">
        <v>178</v>
      </c>
      <c r="C96" s="153" t="s">
        <v>153</v>
      </c>
      <c r="D96" s="200">
        <v>532000</v>
      </c>
      <c r="E96" s="173">
        <v>1692000</v>
      </c>
      <c r="F96" s="201">
        <f t="shared" si="10"/>
        <v>2224000</v>
      </c>
      <c r="G96" s="259">
        <f t="shared" si="11"/>
        <v>414800</v>
      </c>
      <c r="H96" s="260">
        <v>2074000</v>
      </c>
      <c r="I96" s="260">
        <f t="shared" si="12"/>
        <v>2488800</v>
      </c>
      <c r="J96" s="144">
        <f>558832.2012-1000</f>
        <v>557832.20120000001</v>
      </c>
      <c r="K96" s="144">
        <v>2235328.8048</v>
      </c>
      <c r="L96" s="142">
        <f t="shared" si="13"/>
        <v>2793161.0060000001</v>
      </c>
      <c r="M96" s="236">
        <f t="shared" si="14"/>
        <v>414800</v>
      </c>
      <c r="N96" s="236">
        <f t="shared" si="15"/>
        <v>1692000</v>
      </c>
      <c r="O96" s="236">
        <f t="shared" si="16"/>
        <v>2106800</v>
      </c>
      <c r="P96" s="301">
        <f t="shared" si="17"/>
        <v>385764</v>
      </c>
      <c r="Q96" s="301">
        <f t="shared" si="18"/>
        <v>1573560</v>
      </c>
      <c r="R96" s="300">
        <f t="shared" si="19"/>
        <v>1959324</v>
      </c>
    </row>
    <row r="97" spans="1:18" x14ac:dyDescent="0.25">
      <c r="A97" s="155">
        <v>90</v>
      </c>
      <c r="B97" s="55" t="s">
        <v>301</v>
      </c>
      <c r="C97" s="153" t="s">
        <v>153</v>
      </c>
      <c r="D97" s="200">
        <v>99000</v>
      </c>
      <c r="E97" s="173">
        <v>396000</v>
      </c>
      <c r="F97" s="201">
        <f t="shared" si="10"/>
        <v>495000</v>
      </c>
      <c r="G97" s="259">
        <f t="shared" si="11"/>
        <v>92200</v>
      </c>
      <c r="H97" s="260">
        <v>461000</v>
      </c>
      <c r="I97" s="260">
        <f t="shared" si="12"/>
        <v>553200</v>
      </c>
      <c r="J97" s="144">
        <f>83932.8872-1000</f>
        <v>82932.887199999997</v>
      </c>
      <c r="K97" s="144">
        <v>335731.54879999999</v>
      </c>
      <c r="L97" s="142">
        <f t="shared" si="13"/>
        <v>418664.43599999999</v>
      </c>
      <c r="M97" s="236">
        <f t="shared" si="14"/>
        <v>82932.887199999997</v>
      </c>
      <c r="N97" s="236">
        <f t="shared" si="15"/>
        <v>335731.54879999999</v>
      </c>
      <c r="O97" s="236">
        <f t="shared" si="16"/>
        <v>418664.43599999999</v>
      </c>
      <c r="P97" s="301">
        <f t="shared" si="17"/>
        <v>77127.585095999995</v>
      </c>
      <c r="Q97" s="301">
        <f t="shared" si="18"/>
        <v>312230.34038399998</v>
      </c>
      <c r="R97" s="300">
        <f t="shared" si="19"/>
        <v>389357.92547999998</v>
      </c>
    </row>
    <row r="98" spans="1:18" x14ac:dyDescent="0.25">
      <c r="A98" s="155">
        <v>91</v>
      </c>
      <c r="B98" s="58" t="s">
        <v>79</v>
      </c>
      <c r="C98" s="153" t="s">
        <v>153</v>
      </c>
      <c r="D98" s="200">
        <v>89000</v>
      </c>
      <c r="E98" s="173">
        <v>247000</v>
      </c>
      <c r="F98" s="201">
        <f t="shared" si="10"/>
        <v>336000</v>
      </c>
      <c r="G98" s="259">
        <f t="shared" si="11"/>
        <v>62600</v>
      </c>
      <c r="H98" s="260">
        <v>313000</v>
      </c>
      <c r="I98" s="260">
        <f t="shared" si="12"/>
        <v>375600</v>
      </c>
      <c r="J98" s="144">
        <f>75380.671203477-1000</f>
        <v>74380.671203477003</v>
      </c>
      <c r="K98" s="144">
        <v>301522.68481390801</v>
      </c>
      <c r="L98" s="142">
        <f t="shared" si="13"/>
        <v>375903.35601738503</v>
      </c>
      <c r="M98" s="236">
        <f t="shared" si="14"/>
        <v>62600</v>
      </c>
      <c r="N98" s="236">
        <f t="shared" si="15"/>
        <v>247000</v>
      </c>
      <c r="O98" s="236">
        <f t="shared" si="16"/>
        <v>309600</v>
      </c>
      <c r="P98" s="301">
        <f t="shared" si="17"/>
        <v>58218</v>
      </c>
      <c r="Q98" s="301">
        <f t="shared" si="18"/>
        <v>229710</v>
      </c>
      <c r="R98" s="300">
        <f t="shared" si="19"/>
        <v>287928</v>
      </c>
    </row>
    <row r="99" spans="1:18" x14ac:dyDescent="0.25">
      <c r="A99" s="155">
        <v>92</v>
      </c>
      <c r="B99" s="55" t="s">
        <v>32</v>
      </c>
      <c r="C99" s="153" t="s">
        <v>153</v>
      </c>
      <c r="D99" s="200">
        <v>89000</v>
      </c>
      <c r="E99" s="173">
        <v>279000</v>
      </c>
      <c r="F99" s="201">
        <f t="shared" si="10"/>
        <v>368000</v>
      </c>
      <c r="G99" s="259">
        <f t="shared" si="11"/>
        <v>68600</v>
      </c>
      <c r="H99" s="260">
        <v>343000</v>
      </c>
      <c r="I99" s="260">
        <f t="shared" si="12"/>
        <v>411600</v>
      </c>
      <c r="J99" s="144">
        <f>170144.943573562-1000</f>
        <v>169144.94357356199</v>
      </c>
      <c r="K99" s="144">
        <v>680579.77429424913</v>
      </c>
      <c r="L99" s="142">
        <f t="shared" si="13"/>
        <v>849724.71786781109</v>
      </c>
      <c r="M99" s="236">
        <f t="shared" si="14"/>
        <v>68600</v>
      </c>
      <c r="N99" s="236">
        <f t="shared" si="15"/>
        <v>279000</v>
      </c>
      <c r="O99" s="236">
        <f t="shared" si="16"/>
        <v>347600</v>
      </c>
      <c r="P99" s="301">
        <f t="shared" si="17"/>
        <v>63798</v>
      </c>
      <c r="Q99" s="301">
        <f t="shared" si="18"/>
        <v>259470</v>
      </c>
      <c r="R99" s="300">
        <f t="shared" si="19"/>
        <v>323268</v>
      </c>
    </row>
    <row r="100" spans="1:18" x14ac:dyDescent="0.25">
      <c r="A100" s="155">
        <v>93</v>
      </c>
      <c r="B100" s="58" t="s">
        <v>77</v>
      </c>
      <c r="C100" s="153" t="s">
        <v>153</v>
      </c>
      <c r="D100" s="200">
        <v>44000</v>
      </c>
      <c r="E100" s="173">
        <v>177000</v>
      </c>
      <c r="F100" s="201">
        <f t="shared" si="10"/>
        <v>221000</v>
      </c>
      <c r="G100" s="259">
        <f t="shared" si="11"/>
        <v>41200</v>
      </c>
      <c r="H100" s="260">
        <v>206000</v>
      </c>
      <c r="I100" s="260">
        <f t="shared" si="12"/>
        <v>247200</v>
      </c>
      <c r="J100" s="143"/>
      <c r="K100" s="144"/>
      <c r="L100" s="142">
        <f t="shared" si="13"/>
        <v>0</v>
      </c>
      <c r="M100" s="236">
        <f t="shared" si="14"/>
        <v>41200</v>
      </c>
      <c r="N100" s="236">
        <f t="shared" si="15"/>
        <v>177000</v>
      </c>
      <c r="O100" s="236">
        <f t="shared" si="16"/>
        <v>218200</v>
      </c>
      <c r="P100" s="301">
        <f t="shared" si="17"/>
        <v>38316</v>
      </c>
      <c r="Q100" s="301">
        <f t="shared" si="18"/>
        <v>164610</v>
      </c>
      <c r="R100" s="300">
        <f t="shared" si="19"/>
        <v>202926</v>
      </c>
    </row>
    <row r="101" spans="1:18" ht="22.5" x14ac:dyDescent="0.25">
      <c r="A101" s="155"/>
      <c r="B101" s="156" t="s">
        <v>90</v>
      </c>
      <c r="C101" s="153" t="s">
        <v>153</v>
      </c>
      <c r="D101" s="200">
        <v>0</v>
      </c>
      <c r="E101" s="173">
        <v>0</v>
      </c>
      <c r="F101" s="201">
        <f t="shared" si="10"/>
        <v>0</v>
      </c>
      <c r="G101" s="259">
        <f t="shared" si="11"/>
        <v>0</v>
      </c>
      <c r="H101" s="260">
        <v>0</v>
      </c>
      <c r="I101" s="260">
        <f t="shared" si="12"/>
        <v>0</v>
      </c>
      <c r="J101" s="144">
        <f>37403.4865656-1000</f>
        <v>36403.486565599997</v>
      </c>
      <c r="K101" s="144">
        <v>149613.94626239999</v>
      </c>
      <c r="L101" s="142">
        <f t="shared" si="13"/>
        <v>186017.43282799999</v>
      </c>
      <c r="M101" s="236">
        <f t="shared" si="14"/>
        <v>0</v>
      </c>
      <c r="N101" s="236">
        <f t="shared" si="15"/>
        <v>0</v>
      </c>
      <c r="O101" s="236">
        <f t="shared" si="16"/>
        <v>0</v>
      </c>
      <c r="P101" s="301">
        <f t="shared" si="17"/>
        <v>0</v>
      </c>
      <c r="Q101" s="301">
        <f t="shared" si="18"/>
        <v>0</v>
      </c>
      <c r="R101" s="300">
        <f t="shared" si="19"/>
        <v>0</v>
      </c>
    </row>
    <row r="102" spans="1:18" x14ac:dyDescent="0.25">
      <c r="A102" s="155">
        <v>94</v>
      </c>
      <c r="B102" s="55" t="s">
        <v>481</v>
      </c>
      <c r="C102" s="153" t="s">
        <v>153</v>
      </c>
      <c r="D102" s="200">
        <v>44000</v>
      </c>
      <c r="E102" s="173">
        <v>119000</v>
      </c>
      <c r="F102" s="201">
        <f t="shared" si="10"/>
        <v>163000</v>
      </c>
      <c r="G102" s="259">
        <f t="shared" si="11"/>
        <v>30400</v>
      </c>
      <c r="H102" s="260">
        <v>152000</v>
      </c>
      <c r="I102" s="260">
        <f t="shared" si="12"/>
        <v>182400</v>
      </c>
      <c r="J102" s="144">
        <f>254766.182347359-1000</f>
        <v>253766.18234735899</v>
      </c>
      <c r="K102" s="144">
        <v>1019064.7293894358</v>
      </c>
      <c r="L102" s="142">
        <f t="shared" si="13"/>
        <v>1272830.9117367947</v>
      </c>
      <c r="M102" s="236">
        <f t="shared" si="14"/>
        <v>30400</v>
      </c>
      <c r="N102" s="236">
        <f t="shared" si="15"/>
        <v>119000</v>
      </c>
      <c r="O102" s="236">
        <f t="shared" si="16"/>
        <v>149400</v>
      </c>
      <c r="P102" s="301">
        <f t="shared" si="17"/>
        <v>28272</v>
      </c>
      <c r="Q102" s="301">
        <f t="shared" si="18"/>
        <v>110670</v>
      </c>
      <c r="R102" s="300">
        <f t="shared" si="19"/>
        <v>138942</v>
      </c>
    </row>
    <row r="103" spans="1:18" x14ac:dyDescent="0.25">
      <c r="A103" s="155">
        <v>95</v>
      </c>
      <c r="B103" s="55" t="s">
        <v>181</v>
      </c>
      <c r="C103" s="153" t="s">
        <v>153</v>
      </c>
      <c r="D103" s="200">
        <v>260000</v>
      </c>
      <c r="E103" s="173">
        <v>942000</v>
      </c>
      <c r="F103" s="201">
        <f t="shared" si="10"/>
        <v>1202000</v>
      </c>
      <c r="G103" s="259">
        <f t="shared" si="11"/>
        <v>224000</v>
      </c>
      <c r="H103" s="260">
        <v>1120000</v>
      </c>
      <c r="I103" s="260">
        <f t="shared" si="12"/>
        <v>1344000</v>
      </c>
      <c r="J103" s="144">
        <f>418869.436635607-1000</f>
        <v>417869.43663560698</v>
      </c>
      <c r="K103" s="144">
        <v>1675477.7465424277</v>
      </c>
      <c r="L103" s="142">
        <f t="shared" si="13"/>
        <v>2093347.1831780346</v>
      </c>
      <c r="M103" s="236">
        <f t="shared" si="14"/>
        <v>224000</v>
      </c>
      <c r="N103" s="236">
        <f t="shared" si="15"/>
        <v>942000</v>
      </c>
      <c r="O103" s="236">
        <f t="shared" si="16"/>
        <v>1166000</v>
      </c>
      <c r="P103" s="301">
        <f t="shared" si="17"/>
        <v>208320</v>
      </c>
      <c r="Q103" s="301">
        <f t="shared" si="18"/>
        <v>876060</v>
      </c>
      <c r="R103" s="300">
        <f t="shared" si="19"/>
        <v>1084380</v>
      </c>
    </row>
    <row r="104" spans="1:18" x14ac:dyDescent="0.25">
      <c r="A104" s="155">
        <v>96</v>
      </c>
      <c r="B104" s="58" t="s">
        <v>303</v>
      </c>
      <c r="C104" s="153" t="s">
        <v>153</v>
      </c>
      <c r="D104" s="200">
        <v>252000</v>
      </c>
      <c r="E104" s="173">
        <v>1006000</v>
      </c>
      <c r="F104" s="201">
        <f t="shared" si="10"/>
        <v>1258000</v>
      </c>
      <c r="G104" s="259">
        <f t="shared" si="11"/>
        <v>234600</v>
      </c>
      <c r="H104" s="260">
        <v>1173000</v>
      </c>
      <c r="I104" s="260">
        <f t="shared" si="12"/>
        <v>1407600</v>
      </c>
      <c r="J104" s="144">
        <f>213219.612832692-1000</f>
        <v>212219.61283269199</v>
      </c>
      <c r="K104" s="144">
        <v>852878.45133076783</v>
      </c>
      <c r="L104" s="142">
        <f t="shared" si="13"/>
        <v>1065098.0641634599</v>
      </c>
      <c r="M104" s="236">
        <f t="shared" si="14"/>
        <v>212219.61283269199</v>
      </c>
      <c r="N104" s="236">
        <f t="shared" si="15"/>
        <v>852878.45133076783</v>
      </c>
      <c r="O104" s="236">
        <f t="shared" si="16"/>
        <v>1065098.0641634599</v>
      </c>
      <c r="P104" s="301">
        <f t="shared" si="17"/>
        <v>197364.23993440354</v>
      </c>
      <c r="Q104" s="301">
        <f t="shared" si="18"/>
        <v>793176.95973761403</v>
      </c>
      <c r="R104" s="300">
        <f t="shared" si="19"/>
        <v>990541.1996720176</v>
      </c>
    </row>
    <row r="105" spans="1:18" x14ac:dyDescent="0.25">
      <c r="A105" s="155">
        <v>97</v>
      </c>
      <c r="B105" s="58" t="s">
        <v>80</v>
      </c>
      <c r="C105" s="153" t="s">
        <v>153</v>
      </c>
      <c r="D105" s="200">
        <v>148000</v>
      </c>
      <c r="E105" s="173">
        <v>788000</v>
      </c>
      <c r="F105" s="201">
        <f t="shared" si="10"/>
        <v>936000</v>
      </c>
      <c r="G105" s="259">
        <f t="shared" si="11"/>
        <v>174600</v>
      </c>
      <c r="H105" s="260">
        <v>873000</v>
      </c>
      <c r="I105" s="260">
        <f t="shared" si="12"/>
        <v>1047600</v>
      </c>
      <c r="J105" s="144">
        <f xml:space="preserve"> 171504.11822-1000</f>
        <v>170504.11822</v>
      </c>
      <c r="K105" s="144">
        <v>686016.47288000002</v>
      </c>
      <c r="L105" s="142">
        <f t="shared" si="13"/>
        <v>856520.59110000008</v>
      </c>
      <c r="M105" s="236">
        <f t="shared" si="14"/>
        <v>148000</v>
      </c>
      <c r="N105" s="236">
        <f t="shared" si="15"/>
        <v>686016.47288000002</v>
      </c>
      <c r="O105" s="236">
        <f t="shared" si="16"/>
        <v>834016.47288000002</v>
      </c>
      <c r="P105" s="301">
        <f t="shared" si="17"/>
        <v>137640</v>
      </c>
      <c r="Q105" s="301">
        <f t="shared" si="18"/>
        <v>637995.31977840001</v>
      </c>
      <c r="R105" s="300">
        <f t="shared" si="19"/>
        <v>775635.31977840001</v>
      </c>
    </row>
    <row r="106" spans="1:18" x14ac:dyDescent="0.25">
      <c r="A106" s="155">
        <v>98</v>
      </c>
      <c r="B106" s="58" t="s">
        <v>184</v>
      </c>
      <c r="C106" s="153" t="s">
        <v>153</v>
      </c>
      <c r="D106" s="200">
        <v>202000</v>
      </c>
      <c r="E106" s="173">
        <v>615000</v>
      </c>
      <c r="F106" s="201">
        <f t="shared" si="10"/>
        <v>817000</v>
      </c>
      <c r="G106" s="259">
        <f t="shared" si="11"/>
        <v>152400</v>
      </c>
      <c r="H106" s="260">
        <v>762000</v>
      </c>
      <c r="I106" s="260">
        <f t="shared" si="12"/>
        <v>914400</v>
      </c>
      <c r="J106" s="144">
        <f>180349.6-1000</f>
        <v>179349.6</v>
      </c>
      <c r="K106" s="144">
        <v>721398.4</v>
      </c>
      <c r="L106" s="142">
        <f t="shared" si="13"/>
        <v>900748</v>
      </c>
      <c r="M106" s="236">
        <f t="shared" si="14"/>
        <v>152400</v>
      </c>
      <c r="N106" s="236">
        <f t="shared" si="15"/>
        <v>615000</v>
      </c>
      <c r="O106" s="236">
        <f t="shared" si="16"/>
        <v>767400</v>
      </c>
      <c r="P106" s="301">
        <f t="shared" si="17"/>
        <v>141732</v>
      </c>
      <c r="Q106" s="301">
        <f t="shared" si="18"/>
        <v>571950</v>
      </c>
      <c r="R106" s="300">
        <f t="shared" si="19"/>
        <v>713682</v>
      </c>
    </row>
    <row r="107" spans="1:18" x14ac:dyDescent="0.25">
      <c r="A107" s="155">
        <v>99</v>
      </c>
      <c r="B107" s="158" t="s">
        <v>305</v>
      </c>
      <c r="C107" s="153" t="s">
        <v>153</v>
      </c>
      <c r="D107" s="200">
        <v>213000</v>
      </c>
      <c r="E107" s="173">
        <v>590000</v>
      </c>
      <c r="F107" s="201">
        <f t="shared" si="10"/>
        <v>803000</v>
      </c>
      <c r="G107" s="259">
        <f t="shared" si="11"/>
        <v>149600</v>
      </c>
      <c r="H107" s="260">
        <v>748000</v>
      </c>
      <c r="I107" s="260">
        <f t="shared" si="12"/>
        <v>897600</v>
      </c>
      <c r="J107" s="144">
        <f>181225.472758955-1000</f>
        <v>180225.472758955</v>
      </c>
      <c r="K107" s="144">
        <v>724901.89103581931</v>
      </c>
      <c r="L107" s="142">
        <f t="shared" si="13"/>
        <v>905127.36379477428</v>
      </c>
      <c r="M107" s="236">
        <f t="shared" si="14"/>
        <v>149600</v>
      </c>
      <c r="N107" s="236">
        <f t="shared" si="15"/>
        <v>590000</v>
      </c>
      <c r="O107" s="236">
        <f t="shared" si="16"/>
        <v>739600</v>
      </c>
      <c r="P107" s="301">
        <f t="shared" si="17"/>
        <v>139128</v>
      </c>
      <c r="Q107" s="301">
        <f t="shared" si="18"/>
        <v>548700</v>
      </c>
      <c r="R107" s="300">
        <f t="shared" si="19"/>
        <v>687828</v>
      </c>
    </row>
    <row r="108" spans="1:18" x14ac:dyDescent="0.25">
      <c r="A108" s="155">
        <v>100</v>
      </c>
      <c r="B108" s="58" t="s">
        <v>99</v>
      </c>
      <c r="C108" s="153" t="s">
        <v>153</v>
      </c>
      <c r="D108" s="200">
        <v>176000</v>
      </c>
      <c r="E108" s="173">
        <v>374000</v>
      </c>
      <c r="F108" s="201">
        <f t="shared" si="10"/>
        <v>550000</v>
      </c>
      <c r="G108" s="259">
        <f t="shared" si="11"/>
        <v>102600</v>
      </c>
      <c r="H108" s="260">
        <v>513000</v>
      </c>
      <c r="I108" s="260">
        <f t="shared" si="12"/>
        <v>615600</v>
      </c>
      <c r="J108" s="144">
        <f>164141.423606478-1000</f>
        <v>163141.423606478</v>
      </c>
      <c r="K108" s="144">
        <v>656565.69442591351</v>
      </c>
      <c r="L108" s="142">
        <f t="shared" si="13"/>
        <v>819707.11803239153</v>
      </c>
      <c r="M108" s="236">
        <f t="shared" si="14"/>
        <v>102600</v>
      </c>
      <c r="N108" s="236">
        <f t="shared" si="15"/>
        <v>374000</v>
      </c>
      <c r="O108" s="236">
        <f t="shared" si="16"/>
        <v>476600</v>
      </c>
      <c r="P108" s="301">
        <f t="shared" si="17"/>
        <v>95418</v>
      </c>
      <c r="Q108" s="301">
        <f t="shared" si="18"/>
        <v>347820</v>
      </c>
      <c r="R108" s="300">
        <f t="shared" si="19"/>
        <v>443238</v>
      </c>
    </row>
    <row r="109" spans="1:18" x14ac:dyDescent="0.25">
      <c r="A109" s="155">
        <v>101</v>
      </c>
      <c r="B109" s="55" t="s">
        <v>27</v>
      </c>
      <c r="C109" s="153" t="s">
        <v>153</v>
      </c>
      <c r="D109" s="200">
        <v>163000</v>
      </c>
      <c r="E109" s="173">
        <v>607000</v>
      </c>
      <c r="F109" s="201">
        <f t="shared" si="10"/>
        <v>770000</v>
      </c>
      <c r="G109" s="259">
        <f t="shared" si="11"/>
        <v>143600</v>
      </c>
      <c r="H109" s="260">
        <v>718000</v>
      </c>
      <c r="I109" s="260">
        <f t="shared" si="12"/>
        <v>861600</v>
      </c>
      <c r="J109" s="144">
        <f>138441.960063641-1000</f>
        <v>137441.96006364099</v>
      </c>
      <c r="K109" s="144">
        <v>553767.84025456558</v>
      </c>
      <c r="L109" s="142">
        <f t="shared" si="13"/>
        <v>691209.80031820654</v>
      </c>
      <c r="M109" s="236">
        <f t="shared" si="14"/>
        <v>137441.96006364099</v>
      </c>
      <c r="N109" s="236">
        <f t="shared" si="15"/>
        <v>553767.84025456558</v>
      </c>
      <c r="O109" s="236">
        <f t="shared" si="16"/>
        <v>691209.80031820654</v>
      </c>
      <c r="P109" s="301">
        <f t="shared" si="17"/>
        <v>127821.02285918612</v>
      </c>
      <c r="Q109" s="301">
        <f t="shared" si="18"/>
        <v>515004.09143674601</v>
      </c>
      <c r="R109" s="300">
        <f t="shared" si="19"/>
        <v>642825.11429593212</v>
      </c>
    </row>
    <row r="110" spans="1:18" x14ac:dyDescent="0.25">
      <c r="A110" s="155">
        <v>102</v>
      </c>
      <c r="B110" s="55" t="s">
        <v>113</v>
      </c>
      <c r="C110" s="153" t="s">
        <v>153</v>
      </c>
      <c r="D110" s="200">
        <v>50000</v>
      </c>
      <c r="E110" s="173">
        <v>199000</v>
      </c>
      <c r="F110" s="201">
        <f t="shared" si="10"/>
        <v>249000</v>
      </c>
      <c r="G110" s="259">
        <f t="shared" si="11"/>
        <v>46200</v>
      </c>
      <c r="H110" s="260">
        <v>231000</v>
      </c>
      <c r="I110" s="260">
        <f t="shared" si="12"/>
        <v>277200</v>
      </c>
      <c r="J110" s="144">
        <f>42061.11-1000</f>
        <v>41061.11</v>
      </c>
      <c r="K110" s="144">
        <v>168244.44</v>
      </c>
      <c r="L110" s="142">
        <f t="shared" si="13"/>
        <v>209305.55</v>
      </c>
      <c r="M110" s="236">
        <f t="shared" si="14"/>
        <v>41061.11</v>
      </c>
      <c r="N110" s="236">
        <f t="shared" si="15"/>
        <v>168244.44</v>
      </c>
      <c r="O110" s="236">
        <f t="shared" si="16"/>
        <v>209305.55</v>
      </c>
      <c r="P110" s="301">
        <f t="shared" si="17"/>
        <v>38186.832300000002</v>
      </c>
      <c r="Q110" s="301">
        <f t="shared" si="18"/>
        <v>156467.32920000001</v>
      </c>
      <c r="R110" s="300">
        <f t="shared" si="19"/>
        <v>194654.16150000002</v>
      </c>
    </row>
    <row r="111" spans="1:18" x14ac:dyDescent="0.25">
      <c r="A111" s="155">
        <v>103</v>
      </c>
      <c r="B111" s="58" t="s">
        <v>306</v>
      </c>
      <c r="C111" s="153" t="s">
        <v>153</v>
      </c>
      <c r="D111" s="200">
        <v>50000</v>
      </c>
      <c r="E111" s="173">
        <v>171000</v>
      </c>
      <c r="F111" s="201">
        <f t="shared" si="10"/>
        <v>221000</v>
      </c>
      <c r="G111" s="259">
        <f t="shared" si="11"/>
        <v>41000</v>
      </c>
      <c r="H111" s="260">
        <v>205000</v>
      </c>
      <c r="I111" s="260">
        <f t="shared" si="12"/>
        <v>246000</v>
      </c>
      <c r="J111" s="144">
        <f>56591.4608439489-1000</f>
        <v>55591.460843948902</v>
      </c>
      <c r="K111" s="144">
        <v>226365.84337579543</v>
      </c>
      <c r="L111" s="142">
        <f t="shared" si="13"/>
        <v>281957.30421974434</v>
      </c>
      <c r="M111" s="236">
        <f t="shared" si="14"/>
        <v>41000</v>
      </c>
      <c r="N111" s="236">
        <f t="shared" si="15"/>
        <v>171000</v>
      </c>
      <c r="O111" s="236">
        <f t="shared" si="16"/>
        <v>212000</v>
      </c>
      <c r="P111" s="301">
        <f t="shared" si="17"/>
        <v>38130</v>
      </c>
      <c r="Q111" s="301">
        <f t="shared" si="18"/>
        <v>159030</v>
      </c>
      <c r="R111" s="300">
        <f t="shared" si="19"/>
        <v>197160</v>
      </c>
    </row>
    <row r="112" spans="1:18" x14ac:dyDescent="0.25">
      <c r="A112" s="155">
        <v>104</v>
      </c>
      <c r="B112" s="58" t="s">
        <v>103</v>
      </c>
      <c r="C112" s="153" t="s">
        <v>153</v>
      </c>
      <c r="D112" s="200">
        <v>67000</v>
      </c>
      <c r="E112" s="173">
        <v>209000</v>
      </c>
      <c r="F112" s="201">
        <f t="shared" si="10"/>
        <v>276000</v>
      </c>
      <c r="G112" s="259">
        <f t="shared" si="11"/>
        <v>51400</v>
      </c>
      <c r="H112" s="260">
        <v>257000</v>
      </c>
      <c r="I112" s="260">
        <f t="shared" si="12"/>
        <v>308400</v>
      </c>
      <c r="J112" s="144">
        <f>271687.759998612-1000</f>
        <v>270687.75999861199</v>
      </c>
      <c r="K112" s="144">
        <v>1086751.0399944482</v>
      </c>
      <c r="L112" s="142">
        <f t="shared" si="13"/>
        <v>1357438.7999930601</v>
      </c>
      <c r="M112" s="236">
        <f t="shared" si="14"/>
        <v>51400</v>
      </c>
      <c r="N112" s="236">
        <f t="shared" si="15"/>
        <v>209000</v>
      </c>
      <c r="O112" s="236">
        <f t="shared" si="16"/>
        <v>260400</v>
      </c>
      <c r="P112" s="301">
        <f t="shared" si="17"/>
        <v>47802</v>
      </c>
      <c r="Q112" s="301">
        <f t="shared" si="18"/>
        <v>194370</v>
      </c>
      <c r="R112" s="300">
        <f t="shared" si="19"/>
        <v>242172</v>
      </c>
    </row>
    <row r="113" spans="1:18" x14ac:dyDescent="0.25">
      <c r="A113" s="155">
        <v>105</v>
      </c>
      <c r="B113" s="55" t="s">
        <v>307</v>
      </c>
      <c r="C113" s="153" t="s">
        <v>153</v>
      </c>
      <c r="D113" s="200">
        <v>73000</v>
      </c>
      <c r="E113" s="173">
        <v>290000</v>
      </c>
      <c r="F113" s="201">
        <f t="shared" si="10"/>
        <v>363000</v>
      </c>
      <c r="G113" s="259">
        <f t="shared" si="11"/>
        <v>67800</v>
      </c>
      <c r="H113" s="260">
        <v>339000</v>
      </c>
      <c r="I113" s="260">
        <f t="shared" si="12"/>
        <v>406800</v>
      </c>
      <c r="J113" s="144">
        <f>61493.4492077923-1000</f>
        <v>60493.449207792299</v>
      </c>
      <c r="K113" s="144">
        <v>245973.79683116914</v>
      </c>
      <c r="L113" s="142">
        <f t="shared" si="13"/>
        <v>306467.24603896146</v>
      </c>
      <c r="M113" s="236">
        <f t="shared" si="14"/>
        <v>60493.449207792299</v>
      </c>
      <c r="N113" s="236">
        <f t="shared" si="15"/>
        <v>245973.79683116914</v>
      </c>
      <c r="O113" s="236">
        <f t="shared" si="16"/>
        <v>306467.24603896146</v>
      </c>
      <c r="P113" s="301">
        <f t="shared" si="17"/>
        <v>56258.90776324684</v>
      </c>
      <c r="Q113" s="301">
        <f t="shared" si="18"/>
        <v>228755.6310529873</v>
      </c>
      <c r="R113" s="300">
        <f t="shared" si="19"/>
        <v>285014.53881623416</v>
      </c>
    </row>
    <row r="114" spans="1:18" x14ac:dyDescent="0.25">
      <c r="A114" s="155">
        <v>106</v>
      </c>
      <c r="B114" s="159" t="s">
        <v>312</v>
      </c>
      <c r="C114" s="153" t="s">
        <v>153</v>
      </c>
      <c r="D114" s="200">
        <v>73000</v>
      </c>
      <c r="E114" s="173">
        <v>227000</v>
      </c>
      <c r="F114" s="201">
        <f t="shared" si="10"/>
        <v>300000</v>
      </c>
      <c r="G114" s="259">
        <f t="shared" si="11"/>
        <v>56000</v>
      </c>
      <c r="H114" s="260">
        <v>280000</v>
      </c>
      <c r="I114" s="260">
        <f t="shared" si="12"/>
        <v>336000</v>
      </c>
      <c r="J114" s="144">
        <f>123995.605055303-1000</f>
        <v>122995.60505530301</v>
      </c>
      <c r="K114" s="144">
        <v>495982.42022121121</v>
      </c>
      <c r="L114" s="142">
        <f t="shared" si="13"/>
        <v>618978.02527651424</v>
      </c>
      <c r="M114" s="236">
        <f t="shared" si="14"/>
        <v>56000</v>
      </c>
      <c r="N114" s="236">
        <f t="shared" si="15"/>
        <v>227000</v>
      </c>
      <c r="O114" s="236">
        <f t="shared" si="16"/>
        <v>283000</v>
      </c>
      <c r="P114" s="301">
        <f t="shared" si="17"/>
        <v>52080</v>
      </c>
      <c r="Q114" s="301">
        <f t="shared" si="18"/>
        <v>211110</v>
      </c>
      <c r="R114" s="300">
        <f t="shared" si="19"/>
        <v>263190</v>
      </c>
    </row>
    <row r="115" spans="1:18" x14ac:dyDescent="0.25">
      <c r="A115" s="155">
        <v>107</v>
      </c>
      <c r="B115" s="55" t="s">
        <v>308</v>
      </c>
      <c r="C115" s="153" t="s">
        <v>153</v>
      </c>
      <c r="D115" s="200">
        <v>142000</v>
      </c>
      <c r="E115" s="173">
        <v>311000</v>
      </c>
      <c r="F115" s="201">
        <f t="shared" si="10"/>
        <v>453000</v>
      </c>
      <c r="G115" s="259">
        <f t="shared" si="11"/>
        <v>84400</v>
      </c>
      <c r="H115" s="260">
        <v>422000</v>
      </c>
      <c r="I115" s="260">
        <f t="shared" si="12"/>
        <v>506400</v>
      </c>
      <c r="J115" s="144">
        <f>366134.688702602-1000</f>
        <v>365134.688702602</v>
      </c>
      <c r="K115" s="144">
        <v>1464538.7548104089</v>
      </c>
      <c r="L115" s="142">
        <f t="shared" si="13"/>
        <v>1829673.4435130109</v>
      </c>
      <c r="M115" s="236">
        <f t="shared" si="14"/>
        <v>84400</v>
      </c>
      <c r="N115" s="236">
        <f t="shared" si="15"/>
        <v>311000</v>
      </c>
      <c r="O115" s="236">
        <f t="shared" si="16"/>
        <v>395400</v>
      </c>
      <c r="P115" s="301">
        <f t="shared" si="17"/>
        <v>78492</v>
      </c>
      <c r="Q115" s="301">
        <f t="shared" si="18"/>
        <v>289230</v>
      </c>
      <c r="R115" s="300">
        <f t="shared" si="19"/>
        <v>367722</v>
      </c>
    </row>
    <row r="116" spans="1:18" x14ac:dyDescent="0.25">
      <c r="A116" s="155">
        <v>108</v>
      </c>
      <c r="B116" s="55" t="s">
        <v>309</v>
      </c>
      <c r="C116" s="153" t="s">
        <v>153</v>
      </c>
      <c r="D116" s="200">
        <v>74000</v>
      </c>
      <c r="E116" s="173">
        <v>295000</v>
      </c>
      <c r="F116" s="201">
        <f t="shared" si="10"/>
        <v>369000</v>
      </c>
      <c r="G116" s="259">
        <f t="shared" si="11"/>
        <v>68800</v>
      </c>
      <c r="H116" s="260">
        <v>344000</v>
      </c>
      <c r="I116" s="260">
        <f t="shared" si="12"/>
        <v>412800</v>
      </c>
      <c r="J116" s="144">
        <f>62600-1000</f>
        <v>61600</v>
      </c>
      <c r="K116" s="144">
        <v>250400</v>
      </c>
      <c r="L116" s="142">
        <f t="shared" si="13"/>
        <v>312000</v>
      </c>
      <c r="M116" s="236">
        <f t="shared" si="14"/>
        <v>61600</v>
      </c>
      <c r="N116" s="236">
        <f t="shared" si="15"/>
        <v>250400</v>
      </c>
      <c r="O116" s="236">
        <f t="shared" si="16"/>
        <v>312000</v>
      </c>
      <c r="P116" s="301">
        <f t="shared" si="17"/>
        <v>57288</v>
      </c>
      <c r="Q116" s="301">
        <f t="shared" si="18"/>
        <v>232872</v>
      </c>
      <c r="R116" s="300">
        <f t="shared" si="19"/>
        <v>290160</v>
      </c>
    </row>
    <row r="117" spans="1:18" x14ac:dyDescent="0.25">
      <c r="A117" s="155">
        <v>109</v>
      </c>
      <c r="B117" s="55" t="s">
        <v>311</v>
      </c>
      <c r="C117" s="153" t="s">
        <v>153</v>
      </c>
      <c r="D117" s="200">
        <v>74000</v>
      </c>
      <c r="E117" s="173">
        <v>158000</v>
      </c>
      <c r="F117" s="201">
        <f t="shared" si="10"/>
        <v>232000</v>
      </c>
      <c r="G117" s="259">
        <f t="shared" si="11"/>
        <v>43200</v>
      </c>
      <c r="H117" s="260">
        <v>216000</v>
      </c>
      <c r="I117" s="260">
        <f t="shared" si="12"/>
        <v>259200</v>
      </c>
      <c r="J117" s="144">
        <f>62600-1000</f>
        <v>61600</v>
      </c>
      <c r="K117" s="144">
        <v>250400</v>
      </c>
      <c r="L117" s="142">
        <f t="shared" si="13"/>
        <v>312000</v>
      </c>
      <c r="M117" s="236">
        <f t="shared" si="14"/>
        <v>43200</v>
      </c>
      <c r="N117" s="236">
        <f t="shared" si="15"/>
        <v>158000</v>
      </c>
      <c r="O117" s="236">
        <f t="shared" si="16"/>
        <v>201200</v>
      </c>
      <c r="P117" s="301">
        <f t="shared" si="17"/>
        <v>40176</v>
      </c>
      <c r="Q117" s="301">
        <f t="shared" si="18"/>
        <v>146940</v>
      </c>
      <c r="R117" s="300">
        <f t="shared" si="19"/>
        <v>187116</v>
      </c>
    </row>
    <row r="118" spans="1:18" ht="22.5" x14ac:dyDescent="0.25">
      <c r="A118" s="155"/>
      <c r="B118" s="156" t="s">
        <v>28</v>
      </c>
      <c r="C118" s="153" t="s">
        <v>153</v>
      </c>
      <c r="D118" s="200">
        <v>0</v>
      </c>
      <c r="E118" s="173">
        <v>0</v>
      </c>
      <c r="F118" s="201">
        <f t="shared" si="10"/>
        <v>0</v>
      </c>
      <c r="G118" s="259">
        <f t="shared" si="11"/>
        <v>0</v>
      </c>
      <c r="H118" s="260">
        <v>0</v>
      </c>
      <c r="I118" s="260">
        <f t="shared" si="12"/>
        <v>0</v>
      </c>
      <c r="J118" s="144"/>
      <c r="K118" s="144"/>
      <c r="L118" s="142">
        <f t="shared" si="13"/>
        <v>0</v>
      </c>
      <c r="M118" s="236">
        <f t="shared" si="14"/>
        <v>0</v>
      </c>
      <c r="N118" s="236">
        <f t="shared" si="15"/>
        <v>0</v>
      </c>
      <c r="O118" s="236">
        <f t="shared" si="16"/>
        <v>0</v>
      </c>
      <c r="P118" s="301">
        <f t="shared" si="17"/>
        <v>0</v>
      </c>
      <c r="Q118" s="301">
        <f t="shared" si="18"/>
        <v>0</v>
      </c>
      <c r="R118" s="300">
        <f t="shared" si="19"/>
        <v>0</v>
      </c>
    </row>
    <row r="119" spans="1:18" x14ac:dyDescent="0.25">
      <c r="A119" s="155">
        <v>110</v>
      </c>
      <c r="B119" s="55" t="s">
        <v>114</v>
      </c>
      <c r="C119" s="153" t="s">
        <v>153</v>
      </c>
      <c r="D119" s="200">
        <v>50000</v>
      </c>
      <c r="E119" s="173">
        <v>201000</v>
      </c>
      <c r="F119" s="201">
        <f t="shared" si="10"/>
        <v>251000</v>
      </c>
      <c r="G119" s="259">
        <f t="shared" si="11"/>
        <v>46800</v>
      </c>
      <c r="H119" s="260">
        <v>234000</v>
      </c>
      <c r="I119" s="260">
        <f t="shared" si="12"/>
        <v>280800</v>
      </c>
      <c r="J119" s="144">
        <f>42600-1000</f>
        <v>41600</v>
      </c>
      <c r="K119" s="144">
        <v>170400</v>
      </c>
      <c r="L119" s="142">
        <f t="shared" si="13"/>
        <v>212000</v>
      </c>
      <c r="M119" s="236">
        <f t="shared" si="14"/>
        <v>41600</v>
      </c>
      <c r="N119" s="236">
        <f t="shared" si="15"/>
        <v>170400</v>
      </c>
      <c r="O119" s="236">
        <f t="shared" si="16"/>
        <v>212000</v>
      </c>
      <c r="P119" s="301">
        <f t="shared" si="17"/>
        <v>38688</v>
      </c>
      <c r="Q119" s="301">
        <f t="shared" si="18"/>
        <v>158472</v>
      </c>
      <c r="R119" s="300">
        <f t="shared" si="19"/>
        <v>197160</v>
      </c>
    </row>
    <row r="120" spans="1:18" x14ac:dyDescent="0.25">
      <c r="A120" s="155">
        <v>111</v>
      </c>
      <c r="B120" s="158" t="s">
        <v>191</v>
      </c>
      <c r="C120" s="153" t="s">
        <v>153</v>
      </c>
      <c r="D120" s="200">
        <v>50000</v>
      </c>
      <c r="E120" s="173">
        <v>158000</v>
      </c>
      <c r="F120" s="201">
        <f t="shared" si="10"/>
        <v>208000</v>
      </c>
      <c r="G120" s="259">
        <f t="shared" si="11"/>
        <v>38800</v>
      </c>
      <c r="H120" s="260">
        <v>194000</v>
      </c>
      <c r="I120" s="260">
        <f t="shared" si="12"/>
        <v>232800</v>
      </c>
      <c r="J120" s="144">
        <f>272555.9928-1000</f>
        <v>271555.99280000001</v>
      </c>
      <c r="K120" s="144">
        <v>1090223.9712</v>
      </c>
      <c r="L120" s="142">
        <f t="shared" si="13"/>
        <v>1361779.9640000002</v>
      </c>
      <c r="M120" s="236">
        <f t="shared" si="14"/>
        <v>38800</v>
      </c>
      <c r="N120" s="236">
        <f t="shared" si="15"/>
        <v>158000</v>
      </c>
      <c r="O120" s="236">
        <f t="shared" si="16"/>
        <v>196800</v>
      </c>
      <c r="P120" s="301">
        <f t="shared" si="17"/>
        <v>36084</v>
      </c>
      <c r="Q120" s="301">
        <f t="shared" si="18"/>
        <v>146940</v>
      </c>
      <c r="R120" s="300">
        <f t="shared" si="19"/>
        <v>183024</v>
      </c>
    </row>
    <row r="121" spans="1:18" x14ac:dyDescent="0.25">
      <c r="A121" s="155">
        <v>112</v>
      </c>
      <c r="B121" s="55" t="s">
        <v>117</v>
      </c>
      <c r="C121" s="153" t="s">
        <v>153</v>
      </c>
      <c r="D121" s="200">
        <v>86000</v>
      </c>
      <c r="E121" s="173">
        <v>345000</v>
      </c>
      <c r="F121" s="201">
        <f t="shared" si="10"/>
        <v>431000</v>
      </c>
      <c r="G121" s="259">
        <f t="shared" si="11"/>
        <v>80400</v>
      </c>
      <c r="H121" s="260">
        <v>402000</v>
      </c>
      <c r="I121" s="260">
        <f t="shared" si="12"/>
        <v>482400</v>
      </c>
      <c r="J121" s="144">
        <f>73097.945264-1000</f>
        <v>72097.945263999994</v>
      </c>
      <c r="K121" s="144">
        <v>292391.78105600004</v>
      </c>
      <c r="L121" s="142">
        <f t="shared" si="13"/>
        <v>364489.72632000002</v>
      </c>
      <c r="M121" s="236">
        <f t="shared" si="14"/>
        <v>72097.945263999994</v>
      </c>
      <c r="N121" s="236">
        <f t="shared" si="15"/>
        <v>292391.78105600004</v>
      </c>
      <c r="O121" s="236">
        <f t="shared" si="16"/>
        <v>364489.72632000002</v>
      </c>
      <c r="P121" s="301">
        <f t="shared" si="17"/>
        <v>67051.089095520001</v>
      </c>
      <c r="Q121" s="301">
        <f t="shared" si="18"/>
        <v>271924.35638208</v>
      </c>
      <c r="R121" s="300">
        <f t="shared" si="19"/>
        <v>338975.44547759998</v>
      </c>
    </row>
    <row r="122" spans="1:18" x14ac:dyDescent="0.25">
      <c r="A122" s="155">
        <v>113</v>
      </c>
      <c r="B122" s="158" t="s">
        <v>347</v>
      </c>
      <c r="C122" s="153" t="s">
        <v>153</v>
      </c>
      <c r="D122" s="200">
        <v>86000</v>
      </c>
      <c r="E122" s="173">
        <v>215000</v>
      </c>
      <c r="F122" s="201">
        <f t="shared" si="10"/>
        <v>301000</v>
      </c>
      <c r="G122" s="259">
        <f t="shared" si="11"/>
        <v>56200</v>
      </c>
      <c r="H122" s="260">
        <v>281000</v>
      </c>
      <c r="I122" s="260">
        <f t="shared" si="12"/>
        <v>337200</v>
      </c>
      <c r="J122" s="144">
        <f>145211.776164-1000</f>
        <v>144211.77616400001</v>
      </c>
      <c r="K122" s="144">
        <v>580847.10465600004</v>
      </c>
      <c r="L122" s="142">
        <f t="shared" si="13"/>
        <v>725058.88082000008</v>
      </c>
      <c r="M122" s="236">
        <f t="shared" si="14"/>
        <v>56200</v>
      </c>
      <c r="N122" s="236">
        <f t="shared" si="15"/>
        <v>215000</v>
      </c>
      <c r="O122" s="236">
        <f t="shared" si="16"/>
        <v>271200</v>
      </c>
      <c r="P122" s="301">
        <f t="shared" si="17"/>
        <v>52266</v>
      </c>
      <c r="Q122" s="301">
        <f t="shared" si="18"/>
        <v>199950</v>
      </c>
      <c r="R122" s="300">
        <f t="shared" si="19"/>
        <v>252216</v>
      </c>
    </row>
    <row r="123" spans="1:18" x14ac:dyDescent="0.25">
      <c r="A123" s="155">
        <v>114</v>
      </c>
      <c r="B123" s="58" t="s">
        <v>80</v>
      </c>
      <c r="C123" s="153" t="s">
        <v>153</v>
      </c>
      <c r="D123" s="200">
        <v>117000</v>
      </c>
      <c r="E123" s="173">
        <v>469000</v>
      </c>
      <c r="F123" s="201">
        <f t="shared" si="10"/>
        <v>586000</v>
      </c>
      <c r="G123" s="259">
        <f t="shared" si="11"/>
        <v>109200</v>
      </c>
      <c r="H123" s="260">
        <v>546000</v>
      </c>
      <c r="I123" s="260">
        <f t="shared" si="12"/>
        <v>655200</v>
      </c>
      <c r="J123" s="144">
        <f>99400-1000</f>
        <v>98400</v>
      </c>
      <c r="K123" s="144">
        <v>397600</v>
      </c>
      <c r="L123" s="142">
        <f t="shared" si="13"/>
        <v>496000</v>
      </c>
      <c r="M123" s="236">
        <f t="shared" si="14"/>
        <v>98400</v>
      </c>
      <c r="N123" s="236">
        <f t="shared" si="15"/>
        <v>397600</v>
      </c>
      <c r="O123" s="236">
        <f t="shared" si="16"/>
        <v>496000</v>
      </c>
      <c r="P123" s="301">
        <f t="shared" si="17"/>
        <v>91512</v>
      </c>
      <c r="Q123" s="301">
        <f t="shared" si="18"/>
        <v>369768</v>
      </c>
      <c r="R123" s="300">
        <f t="shared" si="19"/>
        <v>461280</v>
      </c>
    </row>
    <row r="124" spans="1:18" x14ac:dyDescent="0.25">
      <c r="A124" s="155">
        <v>115</v>
      </c>
      <c r="B124" s="58" t="s">
        <v>99</v>
      </c>
      <c r="C124" s="153" t="s">
        <v>153</v>
      </c>
      <c r="D124" s="200">
        <v>50000</v>
      </c>
      <c r="E124" s="173">
        <v>201000</v>
      </c>
      <c r="F124" s="201">
        <f t="shared" si="10"/>
        <v>251000</v>
      </c>
      <c r="G124" s="259">
        <f t="shared" si="11"/>
        <v>46800</v>
      </c>
      <c r="H124" s="260">
        <v>234000</v>
      </c>
      <c r="I124" s="260">
        <f t="shared" si="12"/>
        <v>280800</v>
      </c>
      <c r="J124" s="144">
        <f>42600-1000</f>
        <v>41600</v>
      </c>
      <c r="K124" s="144">
        <v>170400</v>
      </c>
      <c r="L124" s="142">
        <f t="shared" si="13"/>
        <v>212000</v>
      </c>
      <c r="M124" s="236">
        <f t="shared" si="14"/>
        <v>41600</v>
      </c>
      <c r="N124" s="236">
        <f t="shared" si="15"/>
        <v>170400</v>
      </c>
      <c r="O124" s="236">
        <f t="shared" si="16"/>
        <v>212000</v>
      </c>
      <c r="P124" s="301">
        <f t="shared" si="17"/>
        <v>38688</v>
      </c>
      <c r="Q124" s="301">
        <f t="shared" si="18"/>
        <v>158472</v>
      </c>
      <c r="R124" s="300">
        <f t="shared" si="19"/>
        <v>197160</v>
      </c>
    </row>
    <row r="125" spans="1:18" x14ac:dyDescent="0.25">
      <c r="A125" s="155">
        <v>116</v>
      </c>
      <c r="B125" s="58" t="s">
        <v>103</v>
      </c>
      <c r="C125" s="153" t="s">
        <v>153</v>
      </c>
      <c r="D125" s="200">
        <v>50000</v>
      </c>
      <c r="E125" s="173">
        <v>158000</v>
      </c>
      <c r="F125" s="201">
        <f t="shared" si="10"/>
        <v>208000</v>
      </c>
      <c r="G125" s="259">
        <f t="shared" si="11"/>
        <v>38800</v>
      </c>
      <c r="H125" s="260">
        <v>194000</v>
      </c>
      <c r="I125" s="260">
        <f t="shared" si="12"/>
        <v>232800</v>
      </c>
      <c r="J125" s="144">
        <f>87116.971032-1000</f>
        <v>86116.971032000001</v>
      </c>
      <c r="K125" s="144">
        <v>348467.88412800006</v>
      </c>
      <c r="L125" s="142">
        <f t="shared" si="13"/>
        <v>434584.85516000004</v>
      </c>
      <c r="M125" s="236">
        <f t="shared" si="14"/>
        <v>38800</v>
      </c>
      <c r="N125" s="236">
        <f t="shared" si="15"/>
        <v>158000</v>
      </c>
      <c r="O125" s="236">
        <f t="shared" si="16"/>
        <v>196800</v>
      </c>
      <c r="P125" s="301">
        <f t="shared" si="17"/>
        <v>36084</v>
      </c>
      <c r="Q125" s="301">
        <f t="shared" si="18"/>
        <v>146940</v>
      </c>
      <c r="R125" s="300">
        <f t="shared" si="19"/>
        <v>183024</v>
      </c>
    </row>
    <row r="126" spans="1:18" x14ac:dyDescent="0.25">
      <c r="A126" s="155">
        <v>117</v>
      </c>
      <c r="B126" s="58" t="s">
        <v>348</v>
      </c>
      <c r="C126" s="153" t="s">
        <v>153</v>
      </c>
      <c r="D126" s="200">
        <v>103000</v>
      </c>
      <c r="E126" s="173">
        <v>353000</v>
      </c>
      <c r="F126" s="201">
        <f t="shared" si="10"/>
        <v>456000</v>
      </c>
      <c r="G126" s="259">
        <f t="shared" si="11"/>
        <v>85000</v>
      </c>
      <c r="H126" s="260">
        <v>425000</v>
      </c>
      <c r="I126" s="260">
        <f t="shared" si="12"/>
        <v>510000</v>
      </c>
      <c r="J126" s="144">
        <f>419130.548928-1000</f>
        <v>418130.54892799997</v>
      </c>
      <c r="K126" s="144">
        <v>1676522.1957120001</v>
      </c>
      <c r="L126" s="142">
        <f t="shared" si="13"/>
        <v>2094652.7446400002</v>
      </c>
      <c r="M126" s="236">
        <f t="shared" si="14"/>
        <v>85000</v>
      </c>
      <c r="N126" s="236">
        <f t="shared" si="15"/>
        <v>353000</v>
      </c>
      <c r="O126" s="236">
        <f t="shared" si="16"/>
        <v>438000</v>
      </c>
      <c r="P126" s="301">
        <f t="shared" si="17"/>
        <v>79050</v>
      </c>
      <c r="Q126" s="301">
        <f t="shared" si="18"/>
        <v>328290</v>
      </c>
      <c r="R126" s="300">
        <f t="shared" si="19"/>
        <v>407340</v>
      </c>
    </row>
    <row r="127" spans="1:18" x14ac:dyDescent="0.25">
      <c r="A127" s="155">
        <v>118</v>
      </c>
      <c r="B127" s="55" t="s">
        <v>119</v>
      </c>
      <c r="C127" s="153" t="s">
        <v>153</v>
      </c>
      <c r="D127" s="200">
        <v>18000</v>
      </c>
      <c r="E127" s="173">
        <v>72000</v>
      </c>
      <c r="F127" s="201">
        <f t="shared" si="10"/>
        <v>90000</v>
      </c>
      <c r="G127" s="259">
        <f t="shared" si="11"/>
        <v>16800</v>
      </c>
      <c r="H127" s="260">
        <v>84000</v>
      </c>
      <c r="I127" s="260">
        <f t="shared" si="12"/>
        <v>100800</v>
      </c>
      <c r="J127" s="144">
        <f>15216.3405714116-1000</f>
        <v>14216.3405714116</v>
      </c>
      <c r="K127" s="144">
        <v>60865.362285646406</v>
      </c>
      <c r="L127" s="142">
        <f t="shared" si="13"/>
        <v>75081.702857058001</v>
      </c>
      <c r="M127" s="236">
        <f t="shared" si="14"/>
        <v>14216.3405714116</v>
      </c>
      <c r="N127" s="236">
        <f t="shared" si="15"/>
        <v>60865.362285646406</v>
      </c>
      <c r="O127" s="236">
        <f t="shared" si="16"/>
        <v>75081.702857058001</v>
      </c>
      <c r="P127" s="301">
        <f t="shared" si="17"/>
        <v>13221.196731412787</v>
      </c>
      <c r="Q127" s="301">
        <f t="shared" si="18"/>
        <v>56604.786925651155</v>
      </c>
      <c r="R127" s="300">
        <f t="shared" si="19"/>
        <v>69825.983657063945</v>
      </c>
    </row>
    <row r="128" spans="1:18" ht="22.5" x14ac:dyDescent="0.25">
      <c r="A128" s="155"/>
      <c r="B128" s="156" t="s">
        <v>35</v>
      </c>
      <c r="C128" s="153" t="s">
        <v>153</v>
      </c>
      <c r="D128" s="200">
        <v>0</v>
      </c>
      <c r="E128" s="173">
        <v>0</v>
      </c>
      <c r="F128" s="201">
        <f t="shared" si="10"/>
        <v>0</v>
      </c>
      <c r="G128" s="259">
        <f t="shared" si="11"/>
        <v>0</v>
      </c>
      <c r="H128" s="260">
        <v>0</v>
      </c>
      <c r="I128" s="260">
        <f t="shared" si="12"/>
        <v>0</v>
      </c>
      <c r="J128" s="144"/>
      <c r="K128" s="144"/>
      <c r="L128" s="142">
        <f t="shared" si="13"/>
        <v>0</v>
      </c>
      <c r="M128" s="236">
        <f t="shared" si="14"/>
        <v>0</v>
      </c>
      <c r="N128" s="236">
        <f t="shared" si="15"/>
        <v>0</v>
      </c>
      <c r="O128" s="236">
        <f t="shared" si="16"/>
        <v>0</v>
      </c>
      <c r="P128" s="301">
        <f t="shared" si="17"/>
        <v>0</v>
      </c>
      <c r="Q128" s="301">
        <f t="shared" si="18"/>
        <v>0</v>
      </c>
      <c r="R128" s="300">
        <f t="shared" si="19"/>
        <v>0</v>
      </c>
    </row>
    <row r="129" spans="1:18" x14ac:dyDescent="0.25">
      <c r="A129" s="155">
        <v>119</v>
      </c>
      <c r="B129" s="191" t="s">
        <v>30</v>
      </c>
      <c r="C129" s="153" t="s">
        <v>153</v>
      </c>
      <c r="D129" s="200">
        <v>18000</v>
      </c>
      <c r="E129" s="173">
        <v>60000</v>
      </c>
      <c r="F129" s="201">
        <f t="shared" si="10"/>
        <v>78000</v>
      </c>
      <c r="G129" s="259">
        <f t="shared" si="11"/>
        <v>14600</v>
      </c>
      <c r="H129" s="260">
        <v>73000</v>
      </c>
      <c r="I129" s="260">
        <f t="shared" si="12"/>
        <v>87600</v>
      </c>
      <c r="J129" s="144">
        <f>108635.434908-1000</f>
        <v>107635.434908</v>
      </c>
      <c r="K129" s="144">
        <v>434541.73963200004</v>
      </c>
      <c r="L129" s="142">
        <f t="shared" si="13"/>
        <v>542177.17454000004</v>
      </c>
      <c r="M129" s="236">
        <f t="shared" si="14"/>
        <v>14600</v>
      </c>
      <c r="N129" s="236">
        <f t="shared" si="15"/>
        <v>60000</v>
      </c>
      <c r="O129" s="236">
        <f t="shared" si="16"/>
        <v>74600</v>
      </c>
      <c r="P129" s="301">
        <f t="shared" si="17"/>
        <v>13578</v>
      </c>
      <c r="Q129" s="301">
        <f t="shared" si="18"/>
        <v>55800</v>
      </c>
      <c r="R129" s="300">
        <f t="shared" si="19"/>
        <v>69378</v>
      </c>
    </row>
    <row r="130" spans="1:18" x14ac:dyDescent="0.25">
      <c r="A130" s="155">
        <v>120</v>
      </c>
      <c r="B130" s="192" t="s">
        <v>82</v>
      </c>
      <c r="C130" s="153" t="s">
        <v>153</v>
      </c>
      <c r="D130" s="200">
        <v>126000</v>
      </c>
      <c r="E130" s="173">
        <v>394000</v>
      </c>
      <c r="F130" s="201">
        <f t="shared" si="10"/>
        <v>520000</v>
      </c>
      <c r="G130" s="259">
        <f t="shared" si="11"/>
        <v>96800</v>
      </c>
      <c r="H130" s="260">
        <v>484000</v>
      </c>
      <c r="I130" s="260">
        <f t="shared" si="12"/>
        <v>580800</v>
      </c>
      <c r="J130" s="144">
        <f>111899.850188-1000</f>
        <v>110899.850188</v>
      </c>
      <c r="K130" s="144">
        <v>447599.40075200005</v>
      </c>
      <c r="L130" s="142">
        <f t="shared" si="13"/>
        <v>558499.25094000006</v>
      </c>
      <c r="M130" s="236">
        <f t="shared" si="14"/>
        <v>96800</v>
      </c>
      <c r="N130" s="236">
        <f t="shared" si="15"/>
        <v>394000</v>
      </c>
      <c r="O130" s="236">
        <f t="shared" si="16"/>
        <v>490800</v>
      </c>
      <c r="P130" s="301">
        <f t="shared" si="17"/>
        <v>90024</v>
      </c>
      <c r="Q130" s="301">
        <f t="shared" si="18"/>
        <v>366420</v>
      </c>
      <c r="R130" s="300">
        <f t="shared" si="19"/>
        <v>456444</v>
      </c>
    </row>
    <row r="131" spans="1:18" x14ac:dyDescent="0.25">
      <c r="A131" s="155">
        <v>121</v>
      </c>
      <c r="B131" s="192" t="s">
        <v>349</v>
      </c>
      <c r="C131" s="153" t="s">
        <v>153</v>
      </c>
      <c r="D131" s="200">
        <v>128000</v>
      </c>
      <c r="E131" s="173">
        <v>412000</v>
      </c>
      <c r="F131" s="201">
        <f t="shared" si="10"/>
        <v>540000</v>
      </c>
      <c r="G131" s="259">
        <f t="shared" si="11"/>
        <v>100600</v>
      </c>
      <c r="H131" s="260">
        <v>503000</v>
      </c>
      <c r="I131" s="260">
        <f t="shared" si="12"/>
        <v>603600</v>
      </c>
      <c r="J131" s="144">
        <f>111899.850188-1000</f>
        <v>110899.850188</v>
      </c>
      <c r="K131" s="144">
        <v>447599.40075200005</v>
      </c>
      <c r="L131" s="142">
        <f t="shared" si="13"/>
        <v>558499.25094000006</v>
      </c>
      <c r="M131" s="236">
        <f t="shared" si="14"/>
        <v>100600</v>
      </c>
      <c r="N131" s="236">
        <f t="shared" si="15"/>
        <v>412000</v>
      </c>
      <c r="O131" s="236">
        <f t="shared" si="16"/>
        <v>512600</v>
      </c>
      <c r="P131" s="301">
        <f t="shared" si="17"/>
        <v>93558</v>
      </c>
      <c r="Q131" s="301">
        <f t="shared" si="18"/>
        <v>383160</v>
      </c>
      <c r="R131" s="300">
        <f t="shared" si="19"/>
        <v>476718</v>
      </c>
    </row>
    <row r="132" spans="1:18" x14ac:dyDescent="0.25">
      <c r="A132" s="155">
        <v>122</v>
      </c>
      <c r="B132" s="192" t="s">
        <v>328</v>
      </c>
      <c r="C132" s="153" t="s">
        <v>153</v>
      </c>
      <c r="D132" s="200">
        <v>43000</v>
      </c>
      <c r="E132" s="173">
        <v>173000</v>
      </c>
      <c r="F132" s="201">
        <f t="shared" si="10"/>
        <v>216000</v>
      </c>
      <c r="G132" s="259">
        <f t="shared" si="11"/>
        <v>40200</v>
      </c>
      <c r="H132" s="260">
        <v>201000</v>
      </c>
      <c r="I132" s="260">
        <f t="shared" si="12"/>
        <v>241200</v>
      </c>
      <c r="J132" s="144">
        <f>36677.28792-1000</f>
        <v>35677.287920000002</v>
      </c>
      <c r="K132" s="144">
        <v>146709.15167999998</v>
      </c>
      <c r="L132" s="142">
        <f t="shared" si="13"/>
        <v>182386.43959999998</v>
      </c>
      <c r="M132" s="236">
        <f t="shared" si="14"/>
        <v>35677.287920000002</v>
      </c>
      <c r="N132" s="236">
        <f t="shared" si="15"/>
        <v>146709.15167999998</v>
      </c>
      <c r="O132" s="236">
        <f t="shared" si="16"/>
        <v>182386.43959999998</v>
      </c>
      <c r="P132" s="301">
        <f t="shared" si="17"/>
        <v>33179.877765600002</v>
      </c>
      <c r="Q132" s="301">
        <f t="shared" si="18"/>
        <v>136439.51106239998</v>
      </c>
      <c r="R132" s="300">
        <f t="shared" si="19"/>
        <v>169619.388828</v>
      </c>
    </row>
    <row r="133" spans="1:18" x14ac:dyDescent="0.25">
      <c r="A133" s="155">
        <v>123</v>
      </c>
      <c r="B133" s="192" t="s">
        <v>350</v>
      </c>
      <c r="C133" s="153" t="s">
        <v>153</v>
      </c>
      <c r="D133" s="200">
        <v>132000</v>
      </c>
      <c r="E133" s="173">
        <v>454000</v>
      </c>
      <c r="F133" s="201">
        <f t="shared" ref="F133:F196" si="20">(D133+E133)</f>
        <v>586000</v>
      </c>
      <c r="G133" s="259">
        <f t="shared" ref="G133:G196" si="21">+H133*20%</f>
        <v>109200</v>
      </c>
      <c r="H133" s="260">
        <v>546000</v>
      </c>
      <c r="I133" s="260">
        <f t="shared" ref="I133:I196" si="22">+H133+G133</f>
        <v>655200</v>
      </c>
      <c r="J133" s="144">
        <f>114613.760528895-1000</f>
        <v>113613.760528895</v>
      </c>
      <c r="K133" s="144">
        <v>458455.04211558052</v>
      </c>
      <c r="L133" s="142">
        <f t="shared" ref="L133:L196" si="23">J133+K133</f>
        <v>572068.80264447548</v>
      </c>
      <c r="M133" s="236">
        <f t="shared" ref="M133:M196" si="24">MIN(D133,G133,J133)</f>
        <v>109200</v>
      </c>
      <c r="N133" s="236">
        <f t="shared" ref="N133:N196" si="25">MIN(E133,H133,K133)</f>
        <v>454000</v>
      </c>
      <c r="O133" s="236">
        <f t="shared" ref="O133:O196" si="26">M133+N133</f>
        <v>563200</v>
      </c>
      <c r="P133" s="301">
        <f t="shared" ref="P133:P196" si="27">M133-(M133*7%)</f>
        <v>101556</v>
      </c>
      <c r="Q133" s="301">
        <f t="shared" ref="Q133:Q196" si="28">N133-(N133*7%)</f>
        <v>422220</v>
      </c>
      <c r="R133" s="300">
        <f t="shared" ref="R133:R196" si="29">Q133+P133</f>
        <v>523776</v>
      </c>
    </row>
    <row r="134" spans="1:18" x14ac:dyDescent="0.25">
      <c r="A134" s="155">
        <v>124</v>
      </c>
      <c r="B134" s="160" t="s">
        <v>199</v>
      </c>
      <c r="C134" s="153" t="s">
        <v>153</v>
      </c>
      <c r="D134" s="200">
        <v>43000</v>
      </c>
      <c r="E134" s="173">
        <v>141000</v>
      </c>
      <c r="F134" s="201">
        <f t="shared" si="20"/>
        <v>184000</v>
      </c>
      <c r="G134" s="259">
        <f t="shared" si="21"/>
        <v>34400</v>
      </c>
      <c r="H134" s="260">
        <v>172000</v>
      </c>
      <c r="I134" s="260">
        <f t="shared" si="22"/>
        <v>206400</v>
      </c>
      <c r="J134" s="144">
        <f>179568.961710542-1000</f>
        <v>178568.961710542</v>
      </c>
      <c r="K134" s="144">
        <v>718275.8468421686</v>
      </c>
      <c r="L134" s="142">
        <f t="shared" si="23"/>
        <v>896844.80855271057</v>
      </c>
      <c r="M134" s="236">
        <f t="shared" si="24"/>
        <v>34400</v>
      </c>
      <c r="N134" s="236">
        <f t="shared" si="25"/>
        <v>141000</v>
      </c>
      <c r="O134" s="236">
        <f t="shared" si="26"/>
        <v>175400</v>
      </c>
      <c r="P134" s="301">
        <f t="shared" si="27"/>
        <v>31992</v>
      </c>
      <c r="Q134" s="301">
        <f t="shared" si="28"/>
        <v>131130</v>
      </c>
      <c r="R134" s="300">
        <f t="shared" si="29"/>
        <v>163122</v>
      </c>
    </row>
    <row r="135" spans="1:18" x14ac:dyDescent="0.25">
      <c r="A135" s="155">
        <v>125</v>
      </c>
      <c r="B135" s="58" t="s">
        <v>81</v>
      </c>
      <c r="C135" s="153" t="s">
        <v>153</v>
      </c>
      <c r="D135" s="200">
        <v>43000</v>
      </c>
      <c r="E135" s="173">
        <v>173000</v>
      </c>
      <c r="F135" s="201">
        <f t="shared" si="20"/>
        <v>216000</v>
      </c>
      <c r="G135" s="259">
        <f t="shared" si="21"/>
        <v>40200</v>
      </c>
      <c r="H135" s="260">
        <v>201000</v>
      </c>
      <c r="I135" s="260">
        <f t="shared" si="22"/>
        <v>241200</v>
      </c>
      <c r="J135" s="144">
        <f>36677.28792-1000</f>
        <v>35677.287920000002</v>
      </c>
      <c r="K135" s="144">
        <v>146709.15167999998</v>
      </c>
      <c r="L135" s="142">
        <f t="shared" si="23"/>
        <v>182386.43959999998</v>
      </c>
      <c r="M135" s="236">
        <f t="shared" si="24"/>
        <v>35677.287920000002</v>
      </c>
      <c r="N135" s="236">
        <f t="shared" si="25"/>
        <v>146709.15167999998</v>
      </c>
      <c r="O135" s="236">
        <f t="shared" si="26"/>
        <v>182386.43959999998</v>
      </c>
      <c r="P135" s="301">
        <f t="shared" si="27"/>
        <v>33179.877765600002</v>
      </c>
      <c r="Q135" s="301">
        <f t="shared" si="28"/>
        <v>136439.51106239998</v>
      </c>
      <c r="R135" s="300">
        <f t="shared" si="29"/>
        <v>169619.388828</v>
      </c>
    </row>
    <row r="136" spans="1:18" x14ac:dyDescent="0.25">
      <c r="A136" s="155">
        <v>126</v>
      </c>
      <c r="B136" s="55" t="s">
        <v>327</v>
      </c>
      <c r="C136" s="153" t="s">
        <v>153</v>
      </c>
      <c r="D136" s="200">
        <v>212000</v>
      </c>
      <c r="E136" s="173">
        <v>664000</v>
      </c>
      <c r="F136" s="201">
        <f t="shared" si="20"/>
        <v>876000</v>
      </c>
      <c r="G136" s="259">
        <f t="shared" si="21"/>
        <v>163400</v>
      </c>
      <c r="H136" s="260">
        <v>817000</v>
      </c>
      <c r="I136" s="260">
        <f t="shared" si="22"/>
        <v>980400</v>
      </c>
      <c r="J136" s="144">
        <f>366922.828597904-1000</f>
        <v>365922.82859790401</v>
      </c>
      <c r="K136" s="144">
        <v>1467691.314391616</v>
      </c>
      <c r="L136" s="142">
        <f t="shared" si="23"/>
        <v>1833614.14298952</v>
      </c>
      <c r="M136" s="236">
        <f t="shared" si="24"/>
        <v>163400</v>
      </c>
      <c r="N136" s="236">
        <f t="shared" si="25"/>
        <v>664000</v>
      </c>
      <c r="O136" s="236">
        <f t="shared" si="26"/>
        <v>827400</v>
      </c>
      <c r="P136" s="301">
        <f t="shared" si="27"/>
        <v>151962</v>
      </c>
      <c r="Q136" s="301">
        <f t="shared" si="28"/>
        <v>617520</v>
      </c>
      <c r="R136" s="300">
        <f t="shared" si="29"/>
        <v>769482</v>
      </c>
    </row>
    <row r="137" spans="1:18" x14ac:dyDescent="0.25">
      <c r="A137" s="155">
        <v>127</v>
      </c>
      <c r="B137" s="160" t="s">
        <v>200</v>
      </c>
      <c r="C137" s="153" t="s">
        <v>153</v>
      </c>
      <c r="D137" s="200">
        <v>43000</v>
      </c>
      <c r="E137" s="173">
        <v>141000</v>
      </c>
      <c r="F137" s="201">
        <f t="shared" si="20"/>
        <v>184000</v>
      </c>
      <c r="G137" s="259">
        <f t="shared" si="21"/>
        <v>34400</v>
      </c>
      <c r="H137" s="260">
        <v>172000</v>
      </c>
      <c r="I137" s="260">
        <f t="shared" si="22"/>
        <v>206400</v>
      </c>
      <c r="J137" s="144">
        <f>164620.18681068-1000</f>
        <v>163620.18681068</v>
      </c>
      <c r="K137" s="144">
        <v>658480.74724271928</v>
      </c>
      <c r="L137" s="142">
        <f t="shared" si="23"/>
        <v>822100.93405339925</v>
      </c>
      <c r="M137" s="236">
        <f t="shared" si="24"/>
        <v>34400</v>
      </c>
      <c r="N137" s="236">
        <f t="shared" si="25"/>
        <v>141000</v>
      </c>
      <c r="O137" s="236">
        <f t="shared" si="26"/>
        <v>175400</v>
      </c>
      <c r="P137" s="301">
        <f t="shared" si="27"/>
        <v>31992</v>
      </c>
      <c r="Q137" s="301">
        <f t="shared" si="28"/>
        <v>131130</v>
      </c>
      <c r="R137" s="300">
        <f t="shared" si="29"/>
        <v>163122</v>
      </c>
    </row>
    <row r="138" spans="1:18" x14ac:dyDescent="0.25">
      <c r="A138" s="155">
        <v>128</v>
      </c>
      <c r="B138" s="55" t="s">
        <v>36</v>
      </c>
      <c r="C138" s="153" t="s">
        <v>153</v>
      </c>
      <c r="D138" s="200">
        <v>117000</v>
      </c>
      <c r="E138" s="173">
        <v>469000</v>
      </c>
      <c r="F138" s="201">
        <f t="shared" si="20"/>
        <v>586000</v>
      </c>
      <c r="G138" s="259">
        <f t="shared" si="21"/>
        <v>109200</v>
      </c>
      <c r="H138" s="260">
        <v>546000</v>
      </c>
      <c r="I138" s="260">
        <f t="shared" si="22"/>
        <v>655200</v>
      </c>
      <c r="J138" s="144">
        <f>99400-1000</f>
        <v>98400</v>
      </c>
      <c r="K138" s="144">
        <v>397600</v>
      </c>
      <c r="L138" s="142">
        <f t="shared" si="23"/>
        <v>496000</v>
      </c>
      <c r="M138" s="236">
        <f t="shared" si="24"/>
        <v>98400</v>
      </c>
      <c r="N138" s="236">
        <f t="shared" si="25"/>
        <v>397600</v>
      </c>
      <c r="O138" s="236">
        <f t="shared" si="26"/>
        <v>496000</v>
      </c>
      <c r="P138" s="301">
        <f t="shared" si="27"/>
        <v>91512</v>
      </c>
      <c r="Q138" s="301">
        <f t="shared" si="28"/>
        <v>369768</v>
      </c>
      <c r="R138" s="300">
        <f t="shared" si="29"/>
        <v>461280</v>
      </c>
    </row>
    <row r="139" spans="1:18" x14ac:dyDescent="0.25">
      <c r="A139" s="155">
        <v>129</v>
      </c>
      <c r="B139" s="158" t="s">
        <v>201</v>
      </c>
      <c r="C139" s="153" t="s">
        <v>153</v>
      </c>
      <c r="D139" s="200">
        <v>91000</v>
      </c>
      <c r="E139" s="173">
        <v>365000</v>
      </c>
      <c r="F139" s="201">
        <f t="shared" si="20"/>
        <v>456000</v>
      </c>
      <c r="G139" s="259">
        <f t="shared" si="21"/>
        <v>85200</v>
      </c>
      <c r="H139" s="260">
        <v>426000</v>
      </c>
      <c r="I139" s="260">
        <f t="shared" si="22"/>
        <v>511200</v>
      </c>
      <c r="J139" s="144">
        <f>77392.4424-1000</f>
        <v>76392.4424</v>
      </c>
      <c r="K139" s="144">
        <v>309569.76959999994</v>
      </c>
      <c r="L139" s="142">
        <f t="shared" si="23"/>
        <v>385962.21199999994</v>
      </c>
      <c r="M139" s="236">
        <f t="shared" si="24"/>
        <v>76392.4424</v>
      </c>
      <c r="N139" s="236">
        <f t="shared" si="25"/>
        <v>309569.76959999994</v>
      </c>
      <c r="O139" s="236">
        <f t="shared" si="26"/>
        <v>385962.21199999994</v>
      </c>
      <c r="P139" s="301">
        <f t="shared" si="27"/>
        <v>71044.971432000006</v>
      </c>
      <c r="Q139" s="301">
        <f t="shared" si="28"/>
        <v>287899.88572799996</v>
      </c>
      <c r="R139" s="300">
        <f t="shared" si="29"/>
        <v>358944.85715999996</v>
      </c>
    </row>
    <row r="140" spans="1:18" x14ac:dyDescent="0.25">
      <c r="A140" s="155">
        <v>130</v>
      </c>
      <c r="B140" s="160" t="s">
        <v>461</v>
      </c>
      <c r="C140" s="153" t="s">
        <v>153</v>
      </c>
      <c r="D140" s="200">
        <v>75000</v>
      </c>
      <c r="E140" s="173">
        <v>302000</v>
      </c>
      <c r="F140" s="201">
        <f t="shared" si="20"/>
        <v>377000</v>
      </c>
      <c r="G140" s="259">
        <f t="shared" si="21"/>
        <v>70200</v>
      </c>
      <c r="H140" s="260">
        <v>351000</v>
      </c>
      <c r="I140" s="260">
        <f t="shared" si="22"/>
        <v>421200</v>
      </c>
      <c r="J140" s="144">
        <f>63932.8871999999-1000</f>
        <v>62932.887199999903</v>
      </c>
      <c r="K140" s="144">
        <v>255731.54879999999</v>
      </c>
      <c r="L140" s="142">
        <f t="shared" si="23"/>
        <v>318664.43599999987</v>
      </c>
      <c r="M140" s="236">
        <f t="shared" si="24"/>
        <v>62932.887199999903</v>
      </c>
      <c r="N140" s="236">
        <f t="shared" si="25"/>
        <v>255731.54879999999</v>
      </c>
      <c r="O140" s="236">
        <f t="shared" si="26"/>
        <v>318664.43599999987</v>
      </c>
      <c r="P140" s="301">
        <f t="shared" si="27"/>
        <v>58527.585095999908</v>
      </c>
      <c r="Q140" s="301">
        <f t="shared" si="28"/>
        <v>237830.34038399998</v>
      </c>
      <c r="R140" s="300">
        <f t="shared" si="29"/>
        <v>296357.92547999986</v>
      </c>
    </row>
    <row r="141" spans="1:18" x14ac:dyDescent="0.25">
      <c r="A141" s="155">
        <v>131</v>
      </c>
      <c r="B141" s="160" t="s">
        <v>462</v>
      </c>
      <c r="C141" s="153" t="s">
        <v>153</v>
      </c>
      <c r="D141" s="200">
        <v>73000</v>
      </c>
      <c r="E141" s="173">
        <v>293000</v>
      </c>
      <c r="F141" s="201">
        <f t="shared" si="20"/>
        <v>366000</v>
      </c>
      <c r="G141" s="259">
        <f t="shared" si="21"/>
        <v>68400</v>
      </c>
      <c r="H141" s="260">
        <v>342000</v>
      </c>
      <c r="I141" s="260">
        <f t="shared" si="22"/>
        <v>410400</v>
      </c>
      <c r="J141" s="144">
        <f>62160.6244611574-1000</f>
        <v>61160.6244611574</v>
      </c>
      <c r="K141" s="144">
        <v>248642.4978446298</v>
      </c>
      <c r="L141" s="142">
        <f t="shared" si="23"/>
        <v>309803.12230578723</v>
      </c>
      <c r="M141" s="236">
        <f t="shared" si="24"/>
        <v>61160.6244611574</v>
      </c>
      <c r="N141" s="236">
        <f t="shared" si="25"/>
        <v>248642.4978446298</v>
      </c>
      <c r="O141" s="236">
        <f t="shared" si="26"/>
        <v>309803.12230578723</v>
      </c>
      <c r="P141" s="301">
        <f t="shared" si="27"/>
        <v>56879.380748876385</v>
      </c>
      <c r="Q141" s="301">
        <f t="shared" si="28"/>
        <v>231237.52299550571</v>
      </c>
      <c r="R141" s="300">
        <f t="shared" si="29"/>
        <v>288116.90374438209</v>
      </c>
    </row>
    <row r="142" spans="1:18" x14ac:dyDescent="0.25">
      <c r="A142" s="155">
        <v>132</v>
      </c>
      <c r="B142" s="158" t="s">
        <v>463</v>
      </c>
      <c r="C142" s="153" t="s">
        <v>153</v>
      </c>
      <c r="D142" s="200">
        <v>69000</v>
      </c>
      <c r="E142" s="173">
        <v>259000</v>
      </c>
      <c r="F142" s="201">
        <f t="shared" si="20"/>
        <v>328000</v>
      </c>
      <c r="G142" s="259">
        <f t="shared" si="21"/>
        <v>61200</v>
      </c>
      <c r="H142" s="260">
        <v>306000</v>
      </c>
      <c r="I142" s="260">
        <f t="shared" si="22"/>
        <v>367200</v>
      </c>
      <c r="J142" s="144">
        <f>58150.803499825-1000</f>
        <v>57150.803499825</v>
      </c>
      <c r="K142" s="144">
        <v>232603.21399930026</v>
      </c>
      <c r="L142" s="142">
        <f t="shared" si="23"/>
        <v>289754.01749912527</v>
      </c>
      <c r="M142" s="236">
        <f t="shared" si="24"/>
        <v>57150.803499825</v>
      </c>
      <c r="N142" s="236">
        <f t="shared" si="25"/>
        <v>232603.21399930026</v>
      </c>
      <c r="O142" s="236">
        <f t="shared" si="26"/>
        <v>289754.01749912527</v>
      </c>
      <c r="P142" s="301">
        <f t="shared" si="27"/>
        <v>53150.247254837253</v>
      </c>
      <c r="Q142" s="301">
        <f t="shared" si="28"/>
        <v>216320.98901934925</v>
      </c>
      <c r="R142" s="300">
        <f t="shared" si="29"/>
        <v>269471.23627418652</v>
      </c>
    </row>
    <row r="143" spans="1:18" x14ac:dyDescent="0.25">
      <c r="A143" s="155">
        <v>133</v>
      </c>
      <c r="B143" s="158" t="s">
        <v>464</v>
      </c>
      <c r="C143" s="153" t="s">
        <v>153</v>
      </c>
      <c r="D143" s="200">
        <v>73000</v>
      </c>
      <c r="E143" s="173">
        <v>230000</v>
      </c>
      <c r="F143" s="201">
        <f t="shared" si="20"/>
        <v>303000</v>
      </c>
      <c r="G143" s="259">
        <f t="shared" si="21"/>
        <v>56400</v>
      </c>
      <c r="H143" s="260">
        <v>282000</v>
      </c>
      <c r="I143" s="260">
        <f t="shared" si="22"/>
        <v>338400</v>
      </c>
      <c r="J143" s="144">
        <f>114379.615257308-1000</f>
        <v>113379.615257308</v>
      </c>
      <c r="K143" s="144">
        <v>457518.4610292312</v>
      </c>
      <c r="L143" s="142">
        <f t="shared" si="23"/>
        <v>570898.0762865392</v>
      </c>
      <c r="M143" s="236">
        <f t="shared" si="24"/>
        <v>56400</v>
      </c>
      <c r="N143" s="236">
        <f t="shared" si="25"/>
        <v>230000</v>
      </c>
      <c r="O143" s="236">
        <f t="shared" si="26"/>
        <v>286400</v>
      </c>
      <c r="P143" s="301">
        <f t="shared" si="27"/>
        <v>52452</v>
      </c>
      <c r="Q143" s="301">
        <f t="shared" si="28"/>
        <v>213900</v>
      </c>
      <c r="R143" s="300">
        <f t="shared" si="29"/>
        <v>266352</v>
      </c>
    </row>
    <row r="144" spans="1:18" x14ac:dyDescent="0.25">
      <c r="A144" s="155">
        <v>134</v>
      </c>
      <c r="B144" s="55" t="s">
        <v>37</v>
      </c>
      <c r="C144" s="153" t="s">
        <v>153</v>
      </c>
      <c r="D144" s="200">
        <v>69000</v>
      </c>
      <c r="E144" s="173">
        <v>215000</v>
      </c>
      <c r="F144" s="201">
        <f t="shared" si="20"/>
        <v>284000</v>
      </c>
      <c r="G144" s="259">
        <f t="shared" si="21"/>
        <v>52800</v>
      </c>
      <c r="H144" s="260">
        <v>264000</v>
      </c>
      <c r="I144" s="260">
        <f t="shared" si="22"/>
        <v>316800</v>
      </c>
      <c r="J144" s="144">
        <f>100757.3312-1000</f>
        <v>99757.331200000001</v>
      </c>
      <c r="K144" s="144">
        <v>403029.32480000006</v>
      </c>
      <c r="L144" s="142">
        <f t="shared" si="23"/>
        <v>502786.65600000008</v>
      </c>
      <c r="M144" s="236">
        <f t="shared" si="24"/>
        <v>52800</v>
      </c>
      <c r="N144" s="236">
        <f t="shared" si="25"/>
        <v>215000</v>
      </c>
      <c r="O144" s="236">
        <f t="shared" si="26"/>
        <v>267800</v>
      </c>
      <c r="P144" s="301">
        <f t="shared" si="27"/>
        <v>49104</v>
      </c>
      <c r="Q144" s="301">
        <f t="shared" si="28"/>
        <v>199950</v>
      </c>
      <c r="R144" s="300">
        <f t="shared" si="29"/>
        <v>249054</v>
      </c>
    </row>
    <row r="145" spans="1:18" x14ac:dyDescent="0.25">
      <c r="A145" s="155">
        <v>135</v>
      </c>
      <c r="B145" s="55" t="s">
        <v>337</v>
      </c>
      <c r="C145" s="153" t="s">
        <v>153</v>
      </c>
      <c r="D145" s="200">
        <v>135000</v>
      </c>
      <c r="E145" s="173">
        <v>423000</v>
      </c>
      <c r="F145" s="201">
        <f t="shared" si="20"/>
        <v>558000</v>
      </c>
      <c r="G145" s="259">
        <f t="shared" si="21"/>
        <v>104000</v>
      </c>
      <c r="H145" s="260">
        <v>520000</v>
      </c>
      <c r="I145" s="260">
        <f t="shared" si="22"/>
        <v>624000</v>
      </c>
      <c r="J145" s="144">
        <f>176200-1000</f>
        <v>175200</v>
      </c>
      <c r="K145" s="144">
        <v>704800</v>
      </c>
      <c r="L145" s="142">
        <f t="shared" si="23"/>
        <v>880000</v>
      </c>
      <c r="M145" s="236">
        <f t="shared" si="24"/>
        <v>104000</v>
      </c>
      <c r="N145" s="236">
        <f t="shared" si="25"/>
        <v>423000</v>
      </c>
      <c r="O145" s="236">
        <f t="shared" si="26"/>
        <v>527000</v>
      </c>
      <c r="P145" s="301">
        <f t="shared" si="27"/>
        <v>96720</v>
      </c>
      <c r="Q145" s="301">
        <f t="shared" si="28"/>
        <v>393390</v>
      </c>
      <c r="R145" s="300">
        <f t="shared" si="29"/>
        <v>490110</v>
      </c>
    </row>
    <row r="146" spans="1:18" x14ac:dyDescent="0.25">
      <c r="A146" s="155">
        <v>136</v>
      </c>
      <c r="B146" s="55" t="s">
        <v>351</v>
      </c>
      <c r="C146" s="153" t="s">
        <v>153</v>
      </c>
      <c r="D146" s="200">
        <v>66000</v>
      </c>
      <c r="E146" s="173">
        <v>262000</v>
      </c>
      <c r="F146" s="201">
        <f t="shared" si="20"/>
        <v>328000</v>
      </c>
      <c r="G146" s="259">
        <f t="shared" si="21"/>
        <v>61000</v>
      </c>
      <c r="H146" s="260">
        <v>305000</v>
      </c>
      <c r="I146" s="260">
        <f t="shared" si="22"/>
        <v>366000</v>
      </c>
      <c r="J146" s="144">
        <f>55520.6652-1000</f>
        <v>54520.665200000003</v>
      </c>
      <c r="K146" s="144">
        <v>222082.66079999995</v>
      </c>
      <c r="L146" s="142">
        <f t="shared" si="23"/>
        <v>276603.32599999994</v>
      </c>
      <c r="M146" s="236">
        <f t="shared" si="24"/>
        <v>54520.665200000003</v>
      </c>
      <c r="N146" s="236">
        <f t="shared" si="25"/>
        <v>222082.66079999995</v>
      </c>
      <c r="O146" s="236">
        <f t="shared" si="26"/>
        <v>276603.32599999994</v>
      </c>
      <c r="P146" s="301">
        <f t="shared" si="27"/>
        <v>50704.218636000005</v>
      </c>
      <c r="Q146" s="301">
        <f t="shared" si="28"/>
        <v>206536.87454399996</v>
      </c>
      <c r="R146" s="300">
        <f t="shared" si="29"/>
        <v>257241.09317999997</v>
      </c>
    </row>
    <row r="147" spans="1:18" x14ac:dyDescent="0.25">
      <c r="A147" s="155">
        <v>137</v>
      </c>
      <c r="B147" s="161" t="s">
        <v>329</v>
      </c>
      <c r="C147" s="153" t="s">
        <v>153</v>
      </c>
      <c r="D147" s="200">
        <v>24000</v>
      </c>
      <c r="E147" s="173">
        <v>97000</v>
      </c>
      <c r="F147" s="201">
        <f t="shared" si="20"/>
        <v>121000</v>
      </c>
      <c r="G147" s="259">
        <f t="shared" si="21"/>
        <v>22800</v>
      </c>
      <c r="H147" s="260">
        <v>114000</v>
      </c>
      <c r="I147" s="260">
        <f t="shared" si="22"/>
        <v>136800</v>
      </c>
      <c r="J147" s="144">
        <f>20615.868-1000</f>
        <v>19615.867999999999</v>
      </c>
      <c r="K147" s="144">
        <v>82463.472000000009</v>
      </c>
      <c r="L147" s="142">
        <f t="shared" si="23"/>
        <v>102079.34000000001</v>
      </c>
      <c r="M147" s="236">
        <f t="shared" si="24"/>
        <v>19615.867999999999</v>
      </c>
      <c r="N147" s="236">
        <f t="shared" si="25"/>
        <v>82463.472000000009</v>
      </c>
      <c r="O147" s="236">
        <f t="shared" si="26"/>
        <v>102079.34000000001</v>
      </c>
      <c r="P147" s="301">
        <f t="shared" si="27"/>
        <v>18242.757239999999</v>
      </c>
      <c r="Q147" s="301">
        <f t="shared" si="28"/>
        <v>76691.028960000011</v>
      </c>
      <c r="R147" s="300">
        <f t="shared" si="29"/>
        <v>94933.786200000002</v>
      </c>
    </row>
    <row r="148" spans="1:18" x14ac:dyDescent="0.25">
      <c r="A148" s="155">
        <v>138</v>
      </c>
      <c r="B148" s="158" t="s">
        <v>205</v>
      </c>
      <c r="C148" s="153" t="s">
        <v>153</v>
      </c>
      <c r="D148" s="200">
        <v>66000</v>
      </c>
      <c r="E148" s="173">
        <v>225000</v>
      </c>
      <c r="F148" s="201">
        <f t="shared" si="20"/>
        <v>291000</v>
      </c>
      <c r="G148" s="259">
        <f t="shared" si="21"/>
        <v>54200</v>
      </c>
      <c r="H148" s="260">
        <v>271000</v>
      </c>
      <c r="I148" s="260">
        <f t="shared" si="22"/>
        <v>325200</v>
      </c>
      <c r="J148" s="144">
        <f>66947.9432026171-1000</f>
        <v>65947.943202617098</v>
      </c>
      <c r="K148" s="144">
        <v>267791.77281046857</v>
      </c>
      <c r="L148" s="142">
        <f t="shared" si="23"/>
        <v>333739.71601308568</v>
      </c>
      <c r="M148" s="236">
        <f t="shared" si="24"/>
        <v>54200</v>
      </c>
      <c r="N148" s="236">
        <f t="shared" si="25"/>
        <v>225000</v>
      </c>
      <c r="O148" s="236">
        <f t="shared" si="26"/>
        <v>279200</v>
      </c>
      <c r="P148" s="301">
        <f t="shared" si="27"/>
        <v>50406</v>
      </c>
      <c r="Q148" s="301">
        <f t="shared" si="28"/>
        <v>209250</v>
      </c>
      <c r="R148" s="300">
        <f t="shared" si="29"/>
        <v>259656</v>
      </c>
    </row>
    <row r="149" spans="1:18" ht="23.25" customHeight="1" x14ac:dyDescent="0.25">
      <c r="A149" s="155">
        <v>139</v>
      </c>
      <c r="B149" s="161" t="s">
        <v>207</v>
      </c>
      <c r="C149" s="153" t="s">
        <v>153</v>
      </c>
      <c r="D149" s="200">
        <v>24000</v>
      </c>
      <c r="E149" s="173">
        <v>70000</v>
      </c>
      <c r="F149" s="201">
        <f t="shared" si="20"/>
        <v>94000</v>
      </c>
      <c r="G149" s="259">
        <f t="shared" si="21"/>
        <v>17600</v>
      </c>
      <c r="H149" s="260">
        <v>88000</v>
      </c>
      <c r="I149" s="260">
        <f t="shared" si="22"/>
        <v>105600</v>
      </c>
      <c r="J149" s="144">
        <f>96394.0187749082-1000</f>
        <v>95394.018774908196</v>
      </c>
      <c r="K149" s="144">
        <v>385576.07509963302</v>
      </c>
      <c r="L149" s="142">
        <f t="shared" si="23"/>
        <v>480970.09387454123</v>
      </c>
      <c r="M149" s="236">
        <f t="shared" si="24"/>
        <v>17600</v>
      </c>
      <c r="N149" s="236">
        <f t="shared" si="25"/>
        <v>70000</v>
      </c>
      <c r="O149" s="236">
        <f t="shared" si="26"/>
        <v>87600</v>
      </c>
      <c r="P149" s="301">
        <f t="shared" si="27"/>
        <v>16368</v>
      </c>
      <c r="Q149" s="301">
        <f t="shared" si="28"/>
        <v>65100</v>
      </c>
      <c r="R149" s="300">
        <f t="shared" si="29"/>
        <v>81468</v>
      </c>
    </row>
    <row r="150" spans="1:18" x14ac:dyDescent="0.25">
      <c r="A150" s="155">
        <v>140</v>
      </c>
      <c r="B150" s="160" t="s">
        <v>202</v>
      </c>
      <c r="C150" s="153" t="s">
        <v>153</v>
      </c>
      <c r="D150" s="200">
        <v>79000</v>
      </c>
      <c r="E150" s="173">
        <v>248000</v>
      </c>
      <c r="F150" s="201">
        <f t="shared" si="20"/>
        <v>327000</v>
      </c>
      <c r="G150" s="259">
        <f t="shared" si="21"/>
        <v>61000</v>
      </c>
      <c r="H150" s="260">
        <v>305000</v>
      </c>
      <c r="I150" s="260">
        <f t="shared" si="22"/>
        <v>366000</v>
      </c>
      <c r="J150" s="144">
        <f>66947.9432026171-1000</f>
        <v>65947.943202617098</v>
      </c>
      <c r="K150" s="144">
        <v>267791.77281046857</v>
      </c>
      <c r="L150" s="142">
        <f t="shared" si="23"/>
        <v>333739.71601308568</v>
      </c>
      <c r="M150" s="236">
        <f t="shared" si="24"/>
        <v>61000</v>
      </c>
      <c r="N150" s="236">
        <f t="shared" si="25"/>
        <v>248000</v>
      </c>
      <c r="O150" s="236">
        <f t="shared" si="26"/>
        <v>309000</v>
      </c>
      <c r="P150" s="301">
        <f t="shared" si="27"/>
        <v>56730</v>
      </c>
      <c r="Q150" s="301">
        <f t="shared" si="28"/>
        <v>230640</v>
      </c>
      <c r="R150" s="300">
        <f t="shared" si="29"/>
        <v>287370</v>
      </c>
    </row>
    <row r="151" spans="1:18" x14ac:dyDescent="0.25">
      <c r="A151" s="155">
        <v>141</v>
      </c>
      <c r="B151" s="55" t="s">
        <v>316</v>
      </c>
      <c r="C151" s="153" t="s">
        <v>153</v>
      </c>
      <c r="D151" s="200">
        <v>114000</v>
      </c>
      <c r="E151" s="173">
        <v>356000</v>
      </c>
      <c r="F151" s="201">
        <f t="shared" si="20"/>
        <v>470000</v>
      </c>
      <c r="G151" s="259">
        <f t="shared" si="21"/>
        <v>87600</v>
      </c>
      <c r="H151" s="260">
        <v>438000</v>
      </c>
      <c r="I151" s="260">
        <f t="shared" si="22"/>
        <v>525600</v>
      </c>
      <c r="J151" s="144">
        <f>251179.595863992-1000</f>
        <v>250179.595863992</v>
      </c>
      <c r="K151" s="144">
        <v>1004718.3834559702</v>
      </c>
      <c r="L151" s="142">
        <f t="shared" si="23"/>
        <v>1254897.9793199622</v>
      </c>
      <c r="M151" s="236">
        <f t="shared" si="24"/>
        <v>87600</v>
      </c>
      <c r="N151" s="236">
        <f t="shared" si="25"/>
        <v>356000</v>
      </c>
      <c r="O151" s="236">
        <f t="shared" si="26"/>
        <v>443600</v>
      </c>
      <c r="P151" s="301">
        <f t="shared" si="27"/>
        <v>81468</v>
      </c>
      <c r="Q151" s="301">
        <f t="shared" si="28"/>
        <v>331080</v>
      </c>
      <c r="R151" s="300">
        <f t="shared" si="29"/>
        <v>412548</v>
      </c>
    </row>
    <row r="152" spans="1:18" ht="22.5" x14ac:dyDescent="0.25">
      <c r="A152" s="155"/>
      <c r="B152" s="156" t="s">
        <v>39</v>
      </c>
      <c r="C152" s="153" t="s">
        <v>153</v>
      </c>
      <c r="D152" s="200">
        <v>0</v>
      </c>
      <c r="E152" s="173">
        <v>0</v>
      </c>
      <c r="F152" s="201">
        <f t="shared" si="20"/>
        <v>0</v>
      </c>
      <c r="G152" s="259">
        <f t="shared" si="21"/>
        <v>0</v>
      </c>
      <c r="H152" s="260">
        <v>0</v>
      </c>
      <c r="I152" s="260">
        <f t="shared" si="22"/>
        <v>0</v>
      </c>
      <c r="J152" s="144"/>
      <c r="K152" s="144"/>
      <c r="L152" s="142">
        <f t="shared" si="23"/>
        <v>0</v>
      </c>
      <c r="M152" s="236">
        <f t="shared" si="24"/>
        <v>0</v>
      </c>
      <c r="N152" s="236">
        <f t="shared" si="25"/>
        <v>0</v>
      </c>
      <c r="O152" s="236">
        <f t="shared" si="26"/>
        <v>0</v>
      </c>
      <c r="P152" s="301">
        <f t="shared" si="27"/>
        <v>0</v>
      </c>
      <c r="Q152" s="301">
        <f t="shared" si="28"/>
        <v>0</v>
      </c>
      <c r="R152" s="300">
        <f t="shared" si="29"/>
        <v>0</v>
      </c>
    </row>
    <row r="153" spans="1:18" x14ac:dyDescent="0.25">
      <c r="A153" s="155">
        <v>142</v>
      </c>
      <c r="B153" s="55" t="s">
        <v>40</v>
      </c>
      <c r="C153" s="153" t="s">
        <v>153</v>
      </c>
      <c r="D153" s="200">
        <v>295000</v>
      </c>
      <c r="E153" s="173">
        <v>2194000</v>
      </c>
      <c r="F153" s="201">
        <f t="shared" si="20"/>
        <v>2489000</v>
      </c>
      <c r="G153" s="259">
        <f t="shared" si="21"/>
        <v>464200</v>
      </c>
      <c r="H153" s="260">
        <v>2321000</v>
      </c>
      <c r="I153" s="260">
        <f t="shared" si="22"/>
        <v>2785200</v>
      </c>
      <c r="J153" s="144">
        <f>585839.466000723-1000</f>
        <v>584839.46600072295</v>
      </c>
      <c r="K153" s="144">
        <v>2343357.8640028932</v>
      </c>
      <c r="L153" s="142">
        <f t="shared" si="23"/>
        <v>2928197.3300036164</v>
      </c>
      <c r="M153" s="236">
        <f t="shared" si="24"/>
        <v>295000</v>
      </c>
      <c r="N153" s="236">
        <f t="shared" si="25"/>
        <v>2194000</v>
      </c>
      <c r="O153" s="236">
        <f t="shared" si="26"/>
        <v>2489000</v>
      </c>
      <c r="P153" s="301">
        <f t="shared" si="27"/>
        <v>274350</v>
      </c>
      <c r="Q153" s="301">
        <f t="shared" si="28"/>
        <v>2040420</v>
      </c>
      <c r="R153" s="300">
        <f t="shared" si="29"/>
        <v>2314770</v>
      </c>
    </row>
    <row r="154" spans="1:18" ht="22.5" x14ac:dyDescent="0.25">
      <c r="A154" s="155">
        <v>143</v>
      </c>
      <c r="B154" s="55" t="s">
        <v>209</v>
      </c>
      <c r="C154" s="153" t="s">
        <v>153</v>
      </c>
      <c r="D154" s="200">
        <v>295000</v>
      </c>
      <c r="E154" s="173">
        <v>929000</v>
      </c>
      <c r="F154" s="201">
        <f t="shared" si="20"/>
        <v>1224000</v>
      </c>
      <c r="G154" s="259">
        <f t="shared" si="21"/>
        <v>228200</v>
      </c>
      <c r="H154" s="260">
        <v>1141000</v>
      </c>
      <c r="I154" s="260">
        <f t="shared" si="22"/>
        <v>1369200</v>
      </c>
      <c r="J154" s="144">
        <f>251179.595863992-1000</f>
        <v>250179.595863992</v>
      </c>
      <c r="K154" s="144">
        <v>1004718.3834559702</v>
      </c>
      <c r="L154" s="142">
        <f t="shared" si="23"/>
        <v>1254897.9793199622</v>
      </c>
      <c r="M154" s="236">
        <f t="shared" si="24"/>
        <v>228200</v>
      </c>
      <c r="N154" s="236">
        <f t="shared" si="25"/>
        <v>929000</v>
      </c>
      <c r="O154" s="236">
        <f t="shared" si="26"/>
        <v>1157200</v>
      </c>
      <c r="P154" s="301">
        <f t="shared" si="27"/>
        <v>212226</v>
      </c>
      <c r="Q154" s="301">
        <f t="shared" si="28"/>
        <v>863970</v>
      </c>
      <c r="R154" s="300">
        <f t="shared" si="29"/>
        <v>1076196</v>
      </c>
    </row>
    <row r="155" spans="1:18" x14ac:dyDescent="0.25">
      <c r="A155" s="155">
        <v>144</v>
      </c>
      <c r="B155" s="152" t="s">
        <v>208</v>
      </c>
      <c r="C155" s="153" t="s">
        <v>153</v>
      </c>
      <c r="D155" s="200">
        <v>75000</v>
      </c>
      <c r="E155" s="173">
        <v>258000</v>
      </c>
      <c r="F155" s="201">
        <f t="shared" si="20"/>
        <v>333000</v>
      </c>
      <c r="G155" s="259">
        <f t="shared" si="21"/>
        <v>62200</v>
      </c>
      <c r="H155" s="260">
        <v>311000</v>
      </c>
      <c r="I155" s="260">
        <f t="shared" si="22"/>
        <v>373200</v>
      </c>
      <c r="J155" s="144">
        <f>69943.4699643572-1000</f>
        <v>68943.469964357195</v>
      </c>
      <c r="K155" s="144">
        <v>279773.87985742895</v>
      </c>
      <c r="L155" s="142">
        <f t="shared" si="23"/>
        <v>348717.34982178616</v>
      </c>
      <c r="M155" s="236">
        <f t="shared" si="24"/>
        <v>62200</v>
      </c>
      <c r="N155" s="236">
        <f t="shared" si="25"/>
        <v>258000</v>
      </c>
      <c r="O155" s="236">
        <f t="shared" si="26"/>
        <v>320200</v>
      </c>
      <c r="P155" s="301">
        <f t="shared" si="27"/>
        <v>57846</v>
      </c>
      <c r="Q155" s="301">
        <f t="shared" si="28"/>
        <v>239940</v>
      </c>
      <c r="R155" s="300">
        <f t="shared" si="29"/>
        <v>297786</v>
      </c>
    </row>
    <row r="156" spans="1:18" x14ac:dyDescent="0.25">
      <c r="A156" s="155">
        <v>145</v>
      </c>
      <c r="B156" s="55" t="s">
        <v>41</v>
      </c>
      <c r="C156" s="153" t="s">
        <v>153</v>
      </c>
      <c r="D156" s="200">
        <v>295000</v>
      </c>
      <c r="E156" s="173">
        <v>1944000</v>
      </c>
      <c r="F156" s="201">
        <f t="shared" si="20"/>
        <v>2239000</v>
      </c>
      <c r="G156" s="259">
        <f t="shared" si="21"/>
        <v>417400</v>
      </c>
      <c r="H156" s="260">
        <v>2087000</v>
      </c>
      <c r="I156" s="260">
        <f t="shared" si="22"/>
        <v>2504400</v>
      </c>
      <c r="J156" s="144">
        <f>411783.936320338-1000</f>
        <v>410783.93632033799</v>
      </c>
      <c r="K156" s="144">
        <v>1647135.745281352</v>
      </c>
      <c r="L156" s="142">
        <f t="shared" si="23"/>
        <v>2057919.6816016899</v>
      </c>
      <c r="M156" s="236">
        <f t="shared" si="24"/>
        <v>295000</v>
      </c>
      <c r="N156" s="236">
        <f t="shared" si="25"/>
        <v>1647135.745281352</v>
      </c>
      <c r="O156" s="236">
        <f t="shared" si="26"/>
        <v>1942135.745281352</v>
      </c>
      <c r="P156" s="301">
        <f t="shared" si="27"/>
        <v>274350</v>
      </c>
      <c r="Q156" s="301">
        <f t="shared" si="28"/>
        <v>1531836.2431116572</v>
      </c>
      <c r="R156" s="300">
        <f t="shared" si="29"/>
        <v>1806186.2431116572</v>
      </c>
    </row>
    <row r="157" spans="1:18" ht="22.5" x14ac:dyDescent="0.25">
      <c r="A157" s="155">
        <v>146</v>
      </c>
      <c r="B157" s="55" t="s">
        <v>210</v>
      </c>
      <c r="C157" s="153" t="s">
        <v>153</v>
      </c>
      <c r="D157" s="200">
        <v>295000</v>
      </c>
      <c r="E157" s="173">
        <v>929000</v>
      </c>
      <c r="F157" s="201">
        <f t="shared" si="20"/>
        <v>1224000</v>
      </c>
      <c r="G157" s="259">
        <f t="shared" si="21"/>
        <v>228200</v>
      </c>
      <c r="H157" s="260">
        <v>1141000</v>
      </c>
      <c r="I157" s="260">
        <f t="shared" si="22"/>
        <v>1369200</v>
      </c>
      <c r="J157" s="144">
        <f>295728.715966988-1000</f>
        <v>294728.71596698801</v>
      </c>
      <c r="K157" s="144">
        <v>1182914.8638679534</v>
      </c>
      <c r="L157" s="142">
        <f t="shared" si="23"/>
        <v>1477643.5798349413</v>
      </c>
      <c r="M157" s="236">
        <f t="shared" si="24"/>
        <v>228200</v>
      </c>
      <c r="N157" s="236">
        <f t="shared" si="25"/>
        <v>929000</v>
      </c>
      <c r="O157" s="236">
        <f t="shared" si="26"/>
        <v>1157200</v>
      </c>
      <c r="P157" s="301">
        <f t="shared" si="27"/>
        <v>212226</v>
      </c>
      <c r="Q157" s="301">
        <f t="shared" si="28"/>
        <v>863970</v>
      </c>
      <c r="R157" s="300">
        <f t="shared" si="29"/>
        <v>1076196</v>
      </c>
    </row>
    <row r="158" spans="1:18" x14ac:dyDescent="0.25">
      <c r="A158" s="155">
        <v>147</v>
      </c>
      <c r="B158" s="152" t="s">
        <v>212</v>
      </c>
      <c r="C158" s="153" t="s">
        <v>153</v>
      </c>
      <c r="D158" s="200">
        <v>83000</v>
      </c>
      <c r="E158" s="173">
        <v>259000</v>
      </c>
      <c r="F158" s="201">
        <f t="shared" si="20"/>
        <v>342000</v>
      </c>
      <c r="G158" s="259">
        <f t="shared" si="21"/>
        <v>63600</v>
      </c>
      <c r="H158" s="260">
        <v>318000</v>
      </c>
      <c r="I158" s="260">
        <f t="shared" si="22"/>
        <v>381600</v>
      </c>
      <c r="J158" s="144">
        <f>241400-1000</f>
        <v>240400</v>
      </c>
      <c r="K158" s="144">
        <v>965600</v>
      </c>
      <c r="L158" s="142">
        <f t="shared" si="23"/>
        <v>1206000</v>
      </c>
      <c r="M158" s="236">
        <f t="shared" si="24"/>
        <v>63600</v>
      </c>
      <c r="N158" s="236">
        <f t="shared" si="25"/>
        <v>259000</v>
      </c>
      <c r="O158" s="236">
        <f t="shared" si="26"/>
        <v>322600</v>
      </c>
      <c r="P158" s="301">
        <f t="shared" si="27"/>
        <v>59148</v>
      </c>
      <c r="Q158" s="301">
        <f t="shared" si="28"/>
        <v>240870</v>
      </c>
      <c r="R158" s="300">
        <f t="shared" si="29"/>
        <v>300018</v>
      </c>
    </row>
    <row r="159" spans="1:18" ht="22.5" x14ac:dyDescent="0.25">
      <c r="A159" s="155">
        <v>148</v>
      </c>
      <c r="B159" s="152" t="s">
        <v>213</v>
      </c>
      <c r="C159" s="153" t="s">
        <v>153</v>
      </c>
      <c r="D159" s="200">
        <v>125000</v>
      </c>
      <c r="E159" s="173">
        <v>265000</v>
      </c>
      <c r="F159" s="201">
        <f t="shared" si="20"/>
        <v>390000</v>
      </c>
      <c r="G159" s="259">
        <f t="shared" si="21"/>
        <v>72600</v>
      </c>
      <c r="H159" s="260">
        <v>363000</v>
      </c>
      <c r="I159" s="260">
        <f t="shared" si="22"/>
        <v>435600</v>
      </c>
      <c r="J159" s="144">
        <f>245948.362383417-1000</f>
        <v>244948.362383417</v>
      </c>
      <c r="K159" s="144">
        <v>983793.44953366928</v>
      </c>
      <c r="L159" s="142">
        <f t="shared" si="23"/>
        <v>1228741.8119170864</v>
      </c>
      <c r="M159" s="236">
        <f t="shared" si="24"/>
        <v>72600</v>
      </c>
      <c r="N159" s="236">
        <f t="shared" si="25"/>
        <v>265000</v>
      </c>
      <c r="O159" s="236">
        <f t="shared" si="26"/>
        <v>337600</v>
      </c>
      <c r="P159" s="301">
        <f t="shared" si="27"/>
        <v>67518</v>
      </c>
      <c r="Q159" s="301">
        <f t="shared" si="28"/>
        <v>246450</v>
      </c>
      <c r="R159" s="300">
        <f t="shared" si="29"/>
        <v>313968</v>
      </c>
    </row>
    <row r="160" spans="1:18" x14ac:dyDescent="0.25">
      <c r="A160" s="155">
        <v>149</v>
      </c>
      <c r="B160" s="55" t="s">
        <v>511</v>
      </c>
      <c r="C160" s="153" t="s">
        <v>153</v>
      </c>
      <c r="D160" s="200">
        <v>230000</v>
      </c>
      <c r="E160" s="173">
        <v>1094000</v>
      </c>
      <c r="F160" s="201">
        <f t="shared" si="20"/>
        <v>1324000</v>
      </c>
      <c r="G160" s="259">
        <f t="shared" si="21"/>
        <v>246800</v>
      </c>
      <c r="H160" s="260">
        <v>1234000</v>
      </c>
      <c r="I160" s="260">
        <f t="shared" si="22"/>
        <v>1480800</v>
      </c>
      <c r="J160" s="144">
        <f>340800-1000</f>
        <v>339800</v>
      </c>
      <c r="K160" s="144">
        <v>1363200</v>
      </c>
      <c r="L160" s="142">
        <f t="shared" si="23"/>
        <v>1703000</v>
      </c>
      <c r="M160" s="236">
        <f t="shared" si="24"/>
        <v>230000</v>
      </c>
      <c r="N160" s="236">
        <f t="shared" si="25"/>
        <v>1094000</v>
      </c>
      <c r="O160" s="236">
        <f t="shared" si="26"/>
        <v>1324000</v>
      </c>
      <c r="P160" s="301">
        <f t="shared" si="27"/>
        <v>213900</v>
      </c>
      <c r="Q160" s="301">
        <f t="shared" si="28"/>
        <v>1017420</v>
      </c>
      <c r="R160" s="300">
        <f t="shared" si="29"/>
        <v>1231320</v>
      </c>
    </row>
    <row r="161" spans="1:18" x14ac:dyDescent="0.25">
      <c r="A161" s="155">
        <v>150</v>
      </c>
      <c r="B161" s="55" t="s">
        <v>512</v>
      </c>
      <c r="C161" s="153" t="s">
        <v>153</v>
      </c>
      <c r="D161" s="200">
        <v>11000</v>
      </c>
      <c r="E161" s="173">
        <v>44000</v>
      </c>
      <c r="F161" s="201">
        <f t="shared" si="20"/>
        <v>55000</v>
      </c>
      <c r="G161" s="259">
        <f t="shared" si="21"/>
        <v>10200</v>
      </c>
      <c r="H161" s="260">
        <v>51000</v>
      </c>
      <c r="I161" s="260">
        <f t="shared" si="22"/>
        <v>61200</v>
      </c>
      <c r="J161" s="144">
        <f>9250.71-1000</f>
        <v>8250.7099999999991</v>
      </c>
      <c r="K161" s="144">
        <v>37002.839999999997</v>
      </c>
      <c r="L161" s="142">
        <f t="shared" si="23"/>
        <v>45253.549999999996</v>
      </c>
      <c r="M161" s="236">
        <f t="shared" si="24"/>
        <v>8250.7099999999991</v>
      </c>
      <c r="N161" s="236">
        <f t="shared" si="25"/>
        <v>37002.839999999997</v>
      </c>
      <c r="O161" s="236">
        <f t="shared" si="26"/>
        <v>45253.549999999996</v>
      </c>
      <c r="P161" s="301">
        <f t="shared" si="27"/>
        <v>7673.1602999999996</v>
      </c>
      <c r="Q161" s="301">
        <f t="shared" si="28"/>
        <v>34412.641199999998</v>
      </c>
      <c r="R161" s="300">
        <f t="shared" si="29"/>
        <v>42085.801500000001</v>
      </c>
    </row>
    <row r="162" spans="1:18" x14ac:dyDescent="0.25">
      <c r="A162" s="155">
        <v>151</v>
      </c>
      <c r="B162" s="55" t="s">
        <v>513</v>
      </c>
      <c r="C162" s="153" t="s">
        <v>153</v>
      </c>
      <c r="D162" s="200">
        <v>2000</v>
      </c>
      <c r="E162" s="173">
        <v>9000</v>
      </c>
      <c r="F162" s="201">
        <f t="shared" si="20"/>
        <v>11000</v>
      </c>
      <c r="G162" s="259">
        <f t="shared" si="21"/>
        <v>2200</v>
      </c>
      <c r="H162" s="260">
        <v>11000</v>
      </c>
      <c r="I162" s="260">
        <f t="shared" si="22"/>
        <v>13200</v>
      </c>
      <c r="J162" s="144">
        <f>2010-500</f>
        <v>1510</v>
      </c>
      <c r="K162" s="144">
        <v>8040</v>
      </c>
      <c r="L162" s="142">
        <f t="shared" si="23"/>
        <v>9550</v>
      </c>
      <c r="M162" s="236">
        <f t="shared" si="24"/>
        <v>1510</v>
      </c>
      <c r="N162" s="236">
        <f t="shared" si="25"/>
        <v>8040</v>
      </c>
      <c r="O162" s="236">
        <f t="shared" si="26"/>
        <v>9550</v>
      </c>
      <c r="P162" s="301">
        <f t="shared" si="27"/>
        <v>1404.3</v>
      </c>
      <c r="Q162" s="301">
        <f t="shared" si="28"/>
        <v>7477.2</v>
      </c>
      <c r="R162" s="300">
        <f t="shared" si="29"/>
        <v>8881.5</v>
      </c>
    </row>
    <row r="163" spans="1:18" x14ac:dyDescent="0.25">
      <c r="A163" s="155">
        <v>152</v>
      </c>
      <c r="B163" s="55" t="s">
        <v>514</v>
      </c>
      <c r="C163" s="153" t="s">
        <v>153</v>
      </c>
      <c r="D163" s="200">
        <v>2000</v>
      </c>
      <c r="E163" s="173">
        <v>9000</v>
      </c>
      <c r="F163" s="201">
        <f t="shared" si="20"/>
        <v>11000</v>
      </c>
      <c r="G163" s="259">
        <f t="shared" si="21"/>
        <v>2200</v>
      </c>
      <c r="H163" s="260">
        <v>11000</v>
      </c>
      <c r="I163" s="260">
        <f t="shared" si="22"/>
        <v>13200</v>
      </c>
      <c r="J163" s="144">
        <f t="shared" ref="J163:J165" si="30">2010-500</f>
        <v>1510</v>
      </c>
      <c r="K163" s="144">
        <v>8040</v>
      </c>
      <c r="L163" s="142">
        <f t="shared" si="23"/>
        <v>9550</v>
      </c>
      <c r="M163" s="236">
        <f t="shared" si="24"/>
        <v>1510</v>
      </c>
      <c r="N163" s="236">
        <f t="shared" si="25"/>
        <v>8040</v>
      </c>
      <c r="O163" s="236">
        <f t="shared" si="26"/>
        <v>9550</v>
      </c>
      <c r="P163" s="301">
        <f t="shared" si="27"/>
        <v>1404.3</v>
      </c>
      <c r="Q163" s="301">
        <f t="shared" si="28"/>
        <v>7477.2</v>
      </c>
      <c r="R163" s="300">
        <f t="shared" si="29"/>
        <v>8881.5</v>
      </c>
    </row>
    <row r="164" spans="1:18" x14ac:dyDescent="0.25">
      <c r="A164" s="155">
        <v>153</v>
      </c>
      <c r="B164" s="55" t="s">
        <v>215</v>
      </c>
      <c r="C164" s="153" t="s">
        <v>153</v>
      </c>
      <c r="D164" s="200">
        <v>2000</v>
      </c>
      <c r="E164" s="173">
        <v>9000</v>
      </c>
      <c r="F164" s="201">
        <f t="shared" si="20"/>
        <v>11000</v>
      </c>
      <c r="G164" s="259">
        <f t="shared" si="21"/>
        <v>2200</v>
      </c>
      <c r="H164" s="260">
        <v>11000</v>
      </c>
      <c r="I164" s="260">
        <f t="shared" si="22"/>
        <v>13200</v>
      </c>
      <c r="J164" s="144">
        <f t="shared" si="30"/>
        <v>1510</v>
      </c>
      <c r="K164" s="144">
        <v>8040</v>
      </c>
      <c r="L164" s="142">
        <f t="shared" si="23"/>
        <v>9550</v>
      </c>
      <c r="M164" s="236">
        <f t="shared" si="24"/>
        <v>1510</v>
      </c>
      <c r="N164" s="236">
        <f t="shared" si="25"/>
        <v>8040</v>
      </c>
      <c r="O164" s="236">
        <f t="shared" si="26"/>
        <v>9550</v>
      </c>
      <c r="P164" s="301">
        <f t="shared" si="27"/>
        <v>1404.3</v>
      </c>
      <c r="Q164" s="301">
        <f t="shared" si="28"/>
        <v>7477.2</v>
      </c>
      <c r="R164" s="300">
        <f t="shared" si="29"/>
        <v>8881.5</v>
      </c>
    </row>
    <row r="165" spans="1:18" x14ac:dyDescent="0.25">
      <c r="A165" s="155">
        <v>154</v>
      </c>
      <c r="B165" s="152" t="s">
        <v>216</v>
      </c>
      <c r="C165" s="153" t="s">
        <v>153</v>
      </c>
      <c r="D165" s="200">
        <v>2000</v>
      </c>
      <c r="E165" s="173">
        <v>6000</v>
      </c>
      <c r="F165" s="201">
        <f t="shared" si="20"/>
        <v>8000</v>
      </c>
      <c r="G165" s="259">
        <f t="shared" si="21"/>
        <v>1600</v>
      </c>
      <c r="H165" s="260">
        <v>8000</v>
      </c>
      <c r="I165" s="260">
        <f t="shared" si="22"/>
        <v>9600</v>
      </c>
      <c r="J165" s="144">
        <f t="shared" si="30"/>
        <v>1510</v>
      </c>
      <c r="K165" s="144">
        <v>8040</v>
      </c>
      <c r="L165" s="142">
        <f t="shared" si="23"/>
        <v>9550</v>
      </c>
      <c r="M165" s="236">
        <f t="shared" si="24"/>
        <v>1510</v>
      </c>
      <c r="N165" s="236">
        <f t="shared" si="25"/>
        <v>6000</v>
      </c>
      <c r="O165" s="236">
        <f t="shared" si="26"/>
        <v>7510</v>
      </c>
      <c r="P165" s="301">
        <f t="shared" si="27"/>
        <v>1404.3</v>
      </c>
      <c r="Q165" s="301">
        <f t="shared" si="28"/>
        <v>5580</v>
      </c>
      <c r="R165" s="300">
        <f t="shared" si="29"/>
        <v>6984.3</v>
      </c>
    </row>
    <row r="166" spans="1:18" x14ac:dyDescent="0.25">
      <c r="A166" s="155">
        <v>155</v>
      </c>
      <c r="B166" s="152" t="s">
        <v>221</v>
      </c>
      <c r="C166" s="153" t="s">
        <v>153</v>
      </c>
      <c r="D166" s="200">
        <v>2000</v>
      </c>
      <c r="E166" s="173">
        <v>6000</v>
      </c>
      <c r="F166" s="201">
        <f t="shared" si="20"/>
        <v>8000</v>
      </c>
      <c r="G166" s="259">
        <f t="shared" si="21"/>
        <v>1600</v>
      </c>
      <c r="H166" s="260">
        <v>8000</v>
      </c>
      <c r="I166" s="260">
        <f t="shared" si="22"/>
        <v>9600</v>
      </c>
      <c r="J166" s="144">
        <f>9250.71-500</f>
        <v>8750.7099999999991</v>
      </c>
      <c r="K166" s="144">
        <v>37002.839999999997</v>
      </c>
      <c r="L166" s="142">
        <f t="shared" si="23"/>
        <v>45753.549999999996</v>
      </c>
      <c r="M166" s="236">
        <f t="shared" si="24"/>
        <v>1600</v>
      </c>
      <c r="N166" s="236">
        <f t="shared" si="25"/>
        <v>6000</v>
      </c>
      <c r="O166" s="236">
        <f t="shared" si="26"/>
        <v>7600</v>
      </c>
      <c r="P166" s="301">
        <f t="shared" si="27"/>
        <v>1488</v>
      </c>
      <c r="Q166" s="301">
        <f t="shared" si="28"/>
        <v>5580</v>
      </c>
      <c r="R166" s="300">
        <f t="shared" si="29"/>
        <v>7068</v>
      </c>
    </row>
    <row r="167" spans="1:18" x14ac:dyDescent="0.25">
      <c r="A167" s="155">
        <v>156</v>
      </c>
      <c r="B167" s="152" t="s">
        <v>217</v>
      </c>
      <c r="C167" s="153" t="s">
        <v>153</v>
      </c>
      <c r="D167" s="200">
        <v>2000</v>
      </c>
      <c r="E167" s="173">
        <v>6000</v>
      </c>
      <c r="F167" s="201">
        <f t="shared" si="20"/>
        <v>8000</v>
      </c>
      <c r="G167" s="259">
        <f t="shared" si="21"/>
        <v>1600</v>
      </c>
      <c r="H167" s="260">
        <v>8000</v>
      </c>
      <c r="I167" s="260">
        <f t="shared" si="22"/>
        <v>9600</v>
      </c>
      <c r="J167" s="144">
        <f>2010-500</f>
        <v>1510</v>
      </c>
      <c r="K167" s="144">
        <v>8040</v>
      </c>
      <c r="L167" s="142">
        <f t="shared" si="23"/>
        <v>9550</v>
      </c>
      <c r="M167" s="236">
        <f t="shared" si="24"/>
        <v>1510</v>
      </c>
      <c r="N167" s="236">
        <f t="shared" si="25"/>
        <v>6000</v>
      </c>
      <c r="O167" s="236">
        <f t="shared" si="26"/>
        <v>7510</v>
      </c>
      <c r="P167" s="301">
        <f t="shared" si="27"/>
        <v>1404.3</v>
      </c>
      <c r="Q167" s="301">
        <f t="shared" si="28"/>
        <v>5580</v>
      </c>
      <c r="R167" s="300">
        <f t="shared" si="29"/>
        <v>6984.3</v>
      </c>
    </row>
    <row r="168" spans="1:18" x14ac:dyDescent="0.25">
      <c r="A168" s="155">
        <v>157</v>
      </c>
      <c r="B168" s="152" t="s">
        <v>218</v>
      </c>
      <c r="C168" s="153" t="s">
        <v>153</v>
      </c>
      <c r="D168" s="200">
        <v>2000</v>
      </c>
      <c r="E168" s="173">
        <v>4000</v>
      </c>
      <c r="F168" s="201">
        <f t="shared" si="20"/>
        <v>6000</v>
      </c>
      <c r="G168" s="259">
        <f t="shared" si="21"/>
        <v>1200</v>
      </c>
      <c r="H168" s="260">
        <v>6000</v>
      </c>
      <c r="I168" s="260">
        <f t="shared" si="22"/>
        <v>7200</v>
      </c>
      <c r="J168" s="144">
        <f>187052.080574814-1000</f>
        <v>186052.080574814</v>
      </c>
      <c r="K168" s="144">
        <v>748208.32229925564</v>
      </c>
      <c r="L168" s="142">
        <f t="shared" si="23"/>
        <v>934260.40287406964</v>
      </c>
      <c r="M168" s="236">
        <f t="shared" si="24"/>
        <v>1200</v>
      </c>
      <c r="N168" s="236">
        <f t="shared" si="25"/>
        <v>4000</v>
      </c>
      <c r="O168" s="236">
        <f t="shared" si="26"/>
        <v>5200</v>
      </c>
      <c r="P168" s="301">
        <f t="shared" si="27"/>
        <v>1116</v>
      </c>
      <c r="Q168" s="301">
        <f t="shared" si="28"/>
        <v>3720</v>
      </c>
      <c r="R168" s="300">
        <f t="shared" si="29"/>
        <v>4836</v>
      </c>
    </row>
    <row r="169" spans="1:18" x14ac:dyDescent="0.25">
      <c r="A169" s="155">
        <v>158</v>
      </c>
      <c r="B169" s="152" t="s">
        <v>219</v>
      </c>
      <c r="C169" s="153" t="s">
        <v>153</v>
      </c>
      <c r="D169" s="200">
        <v>11000</v>
      </c>
      <c r="E169" s="173">
        <v>37000</v>
      </c>
      <c r="F169" s="201">
        <f t="shared" si="20"/>
        <v>48000</v>
      </c>
      <c r="G169" s="259">
        <f t="shared" si="21"/>
        <v>8800</v>
      </c>
      <c r="H169" s="260">
        <v>44000</v>
      </c>
      <c r="I169" s="260">
        <f t="shared" si="22"/>
        <v>52800</v>
      </c>
      <c r="J169" s="144">
        <f>140538.8696432-1000</f>
        <v>139538.86964320001</v>
      </c>
      <c r="K169" s="144">
        <v>562155.47857280006</v>
      </c>
      <c r="L169" s="142">
        <f t="shared" si="23"/>
        <v>701694.34821600001</v>
      </c>
      <c r="M169" s="236">
        <f t="shared" si="24"/>
        <v>8800</v>
      </c>
      <c r="N169" s="236">
        <f t="shared" si="25"/>
        <v>37000</v>
      </c>
      <c r="O169" s="236">
        <f t="shared" si="26"/>
        <v>45800</v>
      </c>
      <c r="P169" s="301">
        <f t="shared" si="27"/>
        <v>8184</v>
      </c>
      <c r="Q169" s="301">
        <f t="shared" si="28"/>
        <v>34410</v>
      </c>
      <c r="R169" s="300">
        <f t="shared" si="29"/>
        <v>42594</v>
      </c>
    </row>
    <row r="170" spans="1:18" x14ac:dyDescent="0.25">
      <c r="A170" s="155">
        <v>159</v>
      </c>
      <c r="B170" s="152" t="s">
        <v>220</v>
      </c>
      <c r="C170" s="153" t="s">
        <v>153</v>
      </c>
      <c r="D170" s="200">
        <v>2000</v>
      </c>
      <c r="E170" s="173">
        <v>7000</v>
      </c>
      <c r="F170" s="201">
        <f t="shared" si="20"/>
        <v>9000</v>
      </c>
      <c r="G170" s="259">
        <f t="shared" si="21"/>
        <v>1800</v>
      </c>
      <c r="H170" s="260">
        <v>9000</v>
      </c>
      <c r="I170" s="260">
        <f t="shared" si="22"/>
        <v>10800</v>
      </c>
      <c r="J170" s="144">
        <f>251492.209223217-1000</f>
        <v>250492.20922321701</v>
      </c>
      <c r="K170" s="144">
        <v>1005968.8368928671</v>
      </c>
      <c r="L170" s="142">
        <f t="shared" si="23"/>
        <v>1256461.0461160841</v>
      </c>
      <c r="M170" s="236">
        <f t="shared" si="24"/>
        <v>1800</v>
      </c>
      <c r="N170" s="236">
        <f t="shared" si="25"/>
        <v>7000</v>
      </c>
      <c r="O170" s="236">
        <f t="shared" si="26"/>
        <v>8800</v>
      </c>
      <c r="P170" s="301">
        <f t="shared" si="27"/>
        <v>1674</v>
      </c>
      <c r="Q170" s="301">
        <f t="shared" si="28"/>
        <v>6510</v>
      </c>
      <c r="R170" s="300">
        <f t="shared" si="29"/>
        <v>8184</v>
      </c>
    </row>
    <row r="171" spans="1:18" ht="22.5" x14ac:dyDescent="0.25">
      <c r="A171" s="155">
        <v>160</v>
      </c>
      <c r="B171" s="159" t="s">
        <v>223</v>
      </c>
      <c r="C171" s="153" t="s">
        <v>153</v>
      </c>
      <c r="D171" s="200">
        <v>221000</v>
      </c>
      <c r="E171" s="173">
        <v>692000</v>
      </c>
      <c r="F171" s="201">
        <f t="shared" si="20"/>
        <v>913000</v>
      </c>
      <c r="G171" s="259">
        <f t="shared" si="21"/>
        <v>170200</v>
      </c>
      <c r="H171" s="260">
        <v>851000</v>
      </c>
      <c r="I171" s="260">
        <f t="shared" si="22"/>
        <v>1021200</v>
      </c>
      <c r="J171" s="144">
        <f>279198.182140967-1000</f>
        <v>278198.18214096699</v>
      </c>
      <c r="K171" s="144">
        <v>1116792.7285638682</v>
      </c>
      <c r="L171" s="142">
        <f t="shared" si="23"/>
        <v>1394990.9107048353</v>
      </c>
      <c r="M171" s="236">
        <f t="shared" si="24"/>
        <v>170200</v>
      </c>
      <c r="N171" s="236">
        <f t="shared" si="25"/>
        <v>692000</v>
      </c>
      <c r="O171" s="236">
        <f t="shared" si="26"/>
        <v>862200</v>
      </c>
      <c r="P171" s="301">
        <f t="shared" si="27"/>
        <v>158286</v>
      </c>
      <c r="Q171" s="301">
        <f t="shared" si="28"/>
        <v>643560</v>
      </c>
      <c r="R171" s="300">
        <f t="shared" si="29"/>
        <v>801846</v>
      </c>
    </row>
    <row r="172" spans="1:18" x14ac:dyDescent="0.25">
      <c r="A172" s="155">
        <v>161</v>
      </c>
      <c r="B172" s="161" t="s">
        <v>222</v>
      </c>
      <c r="C172" s="153" t="s">
        <v>153</v>
      </c>
      <c r="D172" s="200">
        <v>40000</v>
      </c>
      <c r="E172" s="173">
        <v>158000</v>
      </c>
      <c r="F172" s="201">
        <f t="shared" si="20"/>
        <v>198000</v>
      </c>
      <c r="G172" s="259">
        <f t="shared" si="21"/>
        <v>37000</v>
      </c>
      <c r="H172" s="260">
        <v>185000</v>
      </c>
      <c r="I172" s="260">
        <f t="shared" si="22"/>
        <v>222000</v>
      </c>
      <c r="J172" s="144">
        <f>33571.9937504-500</f>
        <v>33071.993750399997</v>
      </c>
      <c r="K172" s="144">
        <v>134287.97500159999</v>
      </c>
      <c r="L172" s="142">
        <f t="shared" si="23"/>
        <v>167359.96875199999</v>
      </c>
      <c r="M172" s="236">
        <f t="shared" si="24"/>
        <v>33071.993750399997</v>
      </c>
      <c r="N172" s="236">
        <f t="shared" si="25"/>
        <v>134287.97500159999</v>
      </c>
      <c r="O172" s="236">
        <f t="shared" si="26"/>
        <v>167359.96875199999</v>
      </c>
      <c r="P172" s="301">
        <f t="shared" si="27"/>
        <v>30756.954187871997</v>
      </c>
      <c r="Q172" s="301">
        <f t="shared" si="28"/>
        <v>124887.81675148799</v>
      </c>
      <c r="R172" s="300">
        <f t="shared" si="29"/>
        <v>155644.77093935999</v>
      </c>
    </row>
    <row r="173" spans="1:18" ht="22.5" x14ac:dyDescent="0.25">
      <c r="A173" s="155">
        <v>162</v>
      </c>
      <c r="B173" s="161" t="s">
        <v>224</v>
      </c>
      <c r="C173" s="153" t="s">
        <v>153</v>
      </c>
      <c r="D173" s="200">
        <v>297000</v>
      </c>
      <c r="E173" s="173">
        <v>1020000</v>
      </c>
      <c r="F173" s="201">
        <f t="shared" si="20"/>
        <v>1317000</v>
      </c>
      <c r="G173" s="259">
        <f t="shared" si="21"/>
        <v>245600</v>
      </c>
      <c r="H173" s="260">
        <v>1228000</v>
      </c>
      <c r="I173" s="260">
        <f t="shared" si="22"/>
        <v>1473600</v>
      </c>
      <c r="J173" s="144">
        <f>663578.4264165-1000</f>
        <v>662578.42641650001</v>
      </c>
      <c r="K173" s="144">
        <v>2654313.705666</v>
      </c>
      <c r="L173" s="142">
        <f t="shared" si="23"/>
        <v>3316892.1320825</v>
      </c>
      <c r="M173" s="236">
        <f t="shared" si="24"/>
        <v>245600</v>
      </c>
      <c r="N173" s="236">
        <f t="shared" si="25"/>
        <v>1020000</v>
      </c>
      <c r="O173" s="236">
        <f t="shared" si="26"/>
        <v>1265600</v>
      </c>
      <c r="P173" s="301">
        <f t="shared" si="27"/>
        <v>228408</v>
      </c>
      <c r="Q173" s="301">
        <f t="shared" si="28"/>
        <v>948600</v>
      </c>
      <c r="R173" s="300">
        <f t="shared" si="29"/>
        <v>1177008</v>
      </c>
    </row>
    <row r="174" spans="1:18" ht="22.5" x14ac:dyDescent="0.25">
      <c r="A174" s="155">
        <v>163</v>
      </c>
      <c r="B174" s="152" t="s">
        <v>226</v>
      </c>
      <c r="C174" s="153" t="s">
        <v>153</v>
      </c>
      <c r="D174" s="200">
        <v>1000</v>
      </c>
      <c r="E174" s="173">
        <v>3000</v>
      </c>
      <c r="F174" s="201">
        <f t="shared" si="20"/>
        <v>4000</v>
      </c>
      <c r="G174" s="259">
        <f t="shared" si="21"/>
        <v>800</v>
      </c>
      <c r="H174" s="260">
        <v>4000</v>
      </c>
      <c r="I174" s="260">
        <f t="shared" si="22"/>
        <v>4800</v>
      </c>
      <c r="J174" s="144">
        <f>692.275547632-500</f>
        <v>192.27554763199998</v>
      </c>
      <c r="K174" s="144">
        <v>2769.1021905280004</v>
      </c>
      <c r="L174" s="142">
        <f t="shared" si="23"/>
        <v>2961.3777381600003</v>
      </c>
      <c r="M174" s="236">
        <f t="shared" si="24"/>
        <v>192.27554763199998</v>
      </c>
      <c r="N174" s="236">
        <f t="shared" si="25"/>
        <v>2769.1021905280004</v>
      </c>
      <c r="O174" s="236">
        <f t="shared" si="26"/>
        <v>2961.3777381600003</v>
      </c>
      <c r="P174" s="301">
        <f t="shared" si="27"/>
        <v>178.81625929775998</v>
      </c>
      <c r="Q174" s="301">
        <f t="shared" si="28"/>
        <v>2575.2650371910404</v>
      </c>
      <c r="R174" s="300">
        <f t="shared" si="29"/>
        <v>2754.0812964888005</v>
      </c>
    </row>
    <row r="175" spans="1:18" x14ac:dyDescent="0.25">
      <c r="A175" s="155">
        <v>164</v>
      </c>
      <c r="B175" s="55" t="s">
        <v>42</v>
      </c>
      <c r="C175" s="153" t="s">
        <v>153</v>
      </c>
      <c r="D175" s="200">
        <v>33000</v>
      </c>
      <c r="E175" s="173">
        <v>131000</v>
      </c>
      <c r="F175" s="201">
        <f t="shared" si="20"/>
        <v>164000</v>
      </c>
      <c r="G175" s="259">
        <f t="shared" si="21"/>
        <v>30400</v>
      </c>
      <c r="H175" s="260">
        <v>152000</v>
      </c>
      <c r="I175" s="260">
        <f t="shared" si="22"/>
        <v>182400</v>
      </c>
      <c r="J175" s="144">
        <v>27691.021905279995</v>
      </c>
      <c r="K175" s="144">
        <v>110764.08762112002</v>
      </c>
      <c r="L175" s="142">
        <f t="shared" si="23"/>
        <v>138455.10952640002</v>
      </c>
      <c r="M175" s="236">
        <f t="shared" si="24"/>
        <v>27691.021905279995</v>
      </c>
      <c r="N175" s="236">
        <f t="shared" si="25"/>
        <v>110764.08762112002</v>
      </c>
      <c r="O175" s="236">
        <f t="shared" si="26"/>
        <v>138455.10952640002</v>
      </c>
      <c r="P175" s="301">
        <f t="shared" si="27"/>
        <v>25752.650371910397</v>
      </c>
      <c r="Q175" s="301">
        <f t="shared" si="28"/>
        <v>103010.60148764162</v>
      </c>
      <c r="R175" s="300">
        <f t="shared" si="29"/>
        <v>128763.25185955201</v>
      </c>
    </row>
    <row r="176" spans="1:18" x14ac:dyDescent="0.25">
      <c r="A176" s="155">
        <v>165</v>
      </c>
      <c r="B176" s="162" t="s">
        <v>95</v>
      </c>
      <c r="C176" s="153" t="s">
        <v>153</v>
      </c>
      <c r="D176" s="200">
        <v>109000</v>
      </c>
      <c r="E176" s="173">
        <v>435000</v>
      </c>
      <c r="F176" s="201">
        <f t="shared" si="20"/>
        <v>544000</v>
      </c>
      <c r="G176" s="259">
        <f t="shared" si="21"/>
        <v>101400</v>
      </c>
      <c r="H176" s="260">
        <v>507000</v>
      </c>
      <c r="I176" s="260">
        <f t="shared" si="22"/>
        <v>608400</v>
      </c>
      <c r="J176" s="144">
        <f>92197.95312-500</f>
        <v>91697.953120000006</v>
      </c>
      <c r="K176" s="144">
        <v>368791.81248000002</v>
      </c>
      <c r="L176" s="142">
        <f t="shared" si="23"/>
        <v>460489.76560000004</v>
      </c>
      <c r="M176" s="236">
        <f t="shared" si="24"/>
        <v>91697.953120000006</v>
      </c>
      <c r="N176" s="236">
        <f t="shared" si="25"/>
        <v>368791.81248000002</v>
      </c>
      <c r="O176" s="236">
        <f t="shared" si="26"/>
        <v>460489.76560000004</v>
      </c>
      <c r="P176" s="301">
        <f t="shared" si="27"/>
        <v>85279.096401600007</v>
      </c>
      <c r="Q176" s="301">
        <f t="shared" si="28"/>
        <v>342976.38560640003</v>
      </c>
      <c r="R176" s="300">
        <f t="shared" si="29"/>
        <v>428255.48200800002</v>
      </c>
    </row>
    <row r="177" spans="1:18" x14ac:dyDescent="0.25">
      <c r="A177" s="155">
        <v>166</v>
      </c>
      <c r="B177" s="162" t="s">
        <v>228</v>
      </c>
      <c r="C177" s="153" t="s">
        <v>153</v>
      </c>
      <c r="D177" s="200">
        <v>1000</v>
      </c>
      <c r="E177" s="173">
        <v>3000</v>
      </c>
      <c r="F177" s="201">
        <f t="shared" si="20"/>
        <v>4000</v>
      </c>
      <c r="G177" s="259">
        <f t="shared" si="21"/>
        <v>600</v>
      </c>
      <c r="H177" s="260">
        <v>3000</v>
      </c>
      <c r="I177" s="260">
        <f t="shared" si="22"/>
        <v>3600</v>
      </c>
      <c r="J177" s="144">
        <f>34681.5699539882-500</f>
        <v>34181.569953988197</v>
      </c>
      <c r="K177" s="144">
        <v>138726.27981595305</v>
      </c>
      <c r="L177" s="142">
        <f t="shared" si="23"/>
        <v>172907.84976994124</v>
      </c>
      <c r="M177" s="236">
        <f t="shared" si="24"/>
        <v>600</v>
      </c>
      <c r="N177" s="236">
        <f t="shared" si="25"/>
        <v>3000</v>
      </c>
      <c r="O177" s="236">
        <f t="shared" si="26"/>
        <v>3600</v>
      </c>
      <c r="P177" s="301">
        <f t="shared" si="27"/>
        <v>558</v>
      </c>
      <c r="Q177" s="301">
        <f t="shared" si="28"/>
        <v>2790</v>
      </c>
      <c r="R177" s="300">
        <f t="shared" si="29"/>
        <v>3348</v>
      </c>
    </row>
    <row r="178" spans="1:18" x14ac:dyDescent="0.25">
      <c r="A178" s="155">
        <v>167</v>
      </c>
      <c r="B178" s="162" t="s">
        <v>229</v>
      </c>
      <c r="C178" s="153" t="s">
        <v>153</v>
      </c>
      <c r="D178" s="200">
        <v>33000</v>
      </c>
      <c r="E178" s="173">
        <v>100000</v>
      </c>
      <c r="F178" s="201">
        <f t="shared" si="20"/>
        <v>133000</v>
      </c>
      <c r="G178" s="259">
        <f t="shared" si="21"/>
        <v>24600</v>
      </c>
      <c r="H178" s="260">
        <v>123000</v>
      </c>
      <c r="I178" s="260">
        <f t="shared" si="22"/>
        <v>147600</v>
      </c>
      <c r="J178" s="144">
        <f>181387.827430647-500</f>
        <v>180887.82743064701</v>
      </c>
      <c r="K178" s="144">
        <v>725551.30972258805</v>
      </c>
      <c r="L178" s="142">
        <f t="shared" si="23"/>
        <v>906439.13715323503</v>
      </c>
      <c r="M178" s="236">
        <f t="shared" si="24"/>
        <v>24600</v>
      </c>
      <c r="N178" s="236">
        <f t="shared" si="25"/>
        <v>100000</v>
      </c>
      <c r="O178" s="236">
        <f t="shared" si="26"/>
        <v>124600</v>
      </c>
      <c r="P178" s="301">
        <f t="shared" si="27"/>
        <v>22878</v>
      </c>
      <c r="Q178" s="301">
        <f t="shared" si="28"/>
        <v>93000</v>
      </c>
      <c r="R178" s="300">
        <f t="shared" si="29"/>
        <v>115878</v>
      </c>
    </row>
    <row r="179" spans="1:18" x14ac:dyDescent="0.25">
      <c r="A179" s="155">
        <v>168</v>
      </c>
      <c r="B179" s="162" t="s">
        <v>241</v>
      </c>
      <c r="C179" s="153" t="s">
        <v>153</v>
      </c>
      <c r="D179" s="200">
        <v>89000</v>
      </c>
      <c r="E179" s="173">
        <v>368000</v>
      </c>
      <c r="F179" s="201">
        <f t="shared" si="20"/>
        <v>457000</v>
      </c>
      <c r="G179" s="259">
        <f t="shared" si="21"/>
        <v>85200</v>
      </c>
      <c r="H179" s="260">
        <v>426000</v>
      </c>
      <c r="I179" s="260">
        <f t="shared" si="22"/>
        <v>511200</v>
      </c>
      <c r="J179" s="144">
        <f>2335782.163848-1000</f>
        <v>2334782.1638480001</v>
      </c>
      <c r="K179" s="144">
        <v>9343128.6553920005</v>
      </c>
      <c r="L179" s="142">
        <f t="shared" si="23"/>
        <v>11677910.81924</v>
      </c>
      <c r="M179" s="236">
        <f t="shared" si="24"/>
        <v>85200</v>
      </c>
      <c r="N179" s="236">
        <f t="shared" si="25"/>
        <v>368000</v>
      </c>
      <c r="O179" s="236">
        <f t="shared" si="26"/>
        <v>453200</v>
      </c>
      <c r="P179" s="301">
        <f t="shared" si="27"/>
        <v>79236</v>
      </c>
      <c r="Q179" s="301">
        <f t="shared" si="28"/>
        <v>342240</v>
      </c>
      <c r="R179" s="300">
        <f t="shared" si="29"/>
        <v>421476</v>
      </c>
    </row>
    <row r="180" spans="1:18" x14ac:dyDescent="0.25">
      <c r="A180" s="155">
        <v>169</v>
      </c>
      <c r="B180" s="58" t="s">
        <v>85</v>
      </c>
      <c r="C180" s="153" t="s">
        <v>153</v>
      </c>
      <c r="D180" s="200">
        <v>41000</v>
      </c>
      <c r="E180" s="173">
        <v>128000</v>
      </c>
      <c r="F180" s="201">
        <f t="shared" si="20"/>
        <v>169000</v>
      </c>
      <c r="G180" s="259">
        <f t="shared" si="21"/>
        <v>31600</v>
      </c>
      <c r="H180" s="260">
        <v>158000</v>
      </c>
      <c r="I180" s="260">
        <f t="shared" si="22"/>
        <v>189600</v>
      </c>
      <c r="J180" s="144">
        <f>278462.748498358-1000</f>
        <v>277462.74849835801</v>
      </c>
      <c r="K180" s="144">
        <v>1113850.993993432</v>
      </c>
      <c r="L180" s="142">
        <f t="shared" si="23"/>
        <v>1391313.7424917901</v>
      </c>
      <c r="M180" s="236">
        <f t="shared" si="24"/>
        <v>31600</v>
      </c>
      <c r="N180" s="236">
        <f t="shared" si="25"/>
        <v>128000</v>
      </c>
      <c r="O180" s="236">
        <f t="shared" si="26"/>
        <v>159600</v>
      </c>
      <c r="P180" s="301">
        <f t="shared" si="27"/>
        <v>29388</v>
      </c>
      <c r="Q180" s="301">
        <f t="shared" si="28"/>
        <v>119040</v>
      </c>
      <c r="R180" s="300">
        <f t="shared" si="29"/>
        <v>148428</v>
      </c>
    </row>
    <row r="181" spans="1:18" x14ac:dyDescent="0.25">
      <c r="A181" s="155">
        <v>170</v>
      </c>
      <c r="B181" s="58" t="s">
        <v>232</v>
      </c>
      <c r="C181" s="153" t="s">
        <v>153</v>
      </c>
      <c r="D181" s="200">
        <v>214000</v>
      </c>
      <c r="E181" s="173">
        <v>671000</v>
      </c>
      <c r="F181" s="201">
        <f t="shared" si="20"/>
        <v>885000</v>
      </c>
      <c r="G181" s="259">
        <f t="shared" si="21"/>
        <v>165000</v>
      </c>
      <c r="H181" s="260">
        <v>825000</v>
      </c>
      <c r="I181" s="260">
        <f t="shared" si="22"/>
        <v>990000</v>
      </c>
      <c r="J181" s="144">
        <f>251204.791099536-1000</f>
        <v>250204.791099536</v>
      </c>
      <c r="K181" s="144">
        <v>1004819.1643981421</v>
      </c>
      <c r="L181" s="142">
        <f t="shared" si="23"/>
        <v>1255023.9554976781</v>
      </c>
      <c r="M181" s="236">
        <f t="shared" si="24"/>
        <v>165000</v>
      </c>
      <c r="N181" s="236">
        <f t="shared" si="25"/>
        <v>671000</v>
      </c>
      <c r="O181" s="236">
        <f t="shared" si="26"/>
        <v>836000</v>
      </c>
      <c r="P181" s="301">
        <f t="shared" si="27"/>
        <v>153450</v>
      </c>
      <c r="Q181" s="301">
        <f t="shared" si="28"/>
        <v>624030</v>
      </c>
      <c r="R181" s="300">
        <f t="shared" si="29"/>
        <v>777480</v>
      </c>
    </row>
    <row r="182" spans="1:18" x14ac:dyDescent="0.25">
      <c r="A182" s="155">
        <v>171</v>
      </c>
      <c r="B182" s="58" t="s">
        <v>120</v>
      </c>
      <c r="C182" s="153" t="s">
        <v>153</v>
      </c>
      <c r="D182" s="200">
        <v>216000</v>
      </c>
      <c r="E182" s="173">
        <v>864000</v>
      </c>
      <c r="F182" s="201">
        <f t="shared" si="20"/>
        <v>1080000</v>
      </c>
      <c r="G182" s="259">
        <f t="shared" si="21"/>
        <v>201200</v>
      </c>
      <c r="H182" s="260">
        <v>1006000</v>
      </c>
      <c r="I182" s="260">
        <f t="shared" si="22"/>
        <v>1207200</v>
      </c>
      <c r="J182" s="144">
        <f>182967.038091984-1000</f>
        <v>181967.038091984</v>
      </c>
      <c r="K182" s="144">
        <v>731868.1523679368</v>
      </c>
      <c r="L182" s="142">
        <f t="shared" si="23"/>
        <v>913835.19045992079</v>
      </c>
      <c r="M182" s="236">
        <f t="shared" si="24"/>
        <v>181967.038091984</v>
      </c>
      <c r="N182" s="236">
        <f t="shared" si="25"/>
        <v>731868.1523679368</v>
      </c>
      <c r="O182" s="236">
        <f t="shared" si="26"/>
        <v>913835.19045992079</v>
      </c>
      <c r="P182" s="301">
        <f t="shared" si="27"/>
        <v>169229.34542554512</v>
      </c>
      <c r="Q182" s="301">
        <f t="shared" si="28"/>
        <v>680637.38170218118</v>
      </c>
      <c r="R182" s="300">
        <f t="shared" si="29"/>
        <v>849866.72712772631</v>
      </c>
    </row>
    <row r="183" spans="1:18" x14ac:dyDescent="0.25">
      <c r="A183" s="155">
        <v>172</v>
      </c>
      <c r="B183" s="58" t="s">
        <v>67</v>
      </c>
      <c r="C183" s="153" t="s">
        <v>153</v>
      </c>
      <c r="D183" s="200">
        <v>195000</v>
      </c>
      <c r="E183" s="173">
        <v>1030000</v>
      </c>
      <c r="F183" s="201">
        <f t="shared" si="20"/>
        <v>1225000</v>
      </c>
      <c r="G183" s="259">
        <f t="shared" si="21"/>
        <v>228400</v>
      </c>
      <c r="H183" s="260">
        <v>1142000</v>
      </c>
      <c r="I183" s="260">
        <f t="shared" si="22"/>
        <v>1370400</v>
      </c>
      <c r="J183" s="144">
        <f>242301.906529686-1000</f>
        <v>241301.90652968601</v>
      </c>
      <c r="K183" s="144">
        <v>969207.62611874379</v>
      </c>
      <c r="L183" s="142">
        <f t="shared" si="23"/>
        <v>1210509.5326484297</v>
      </c>
      <c r="M183" s="236">
        <f t="shared" si="24"/>
        <v>195000</v>
      </c>
      <c r="N183" s="236">
        <f t="shared" si="25"/>
        <v>969207.62611874379</v>
      </c>
      <c r="O183" s="236">
        <f t="shared" si="26"/>
        <v>1164207.6261187438</v>
      </c>
      <c r="P183" s="301">
        <f t="shared" si="27"/>
        <v>181350</v>
      </c>
      <c r="Q183" s="301">
        <f t="shared" si="28"/>
        <v>901363.09229043173</v>
      </c>
      <c r="R183" s="300">
        <f t="shared" si="29"/>
        <v>1082713.0922904317</v>
      </c>
    </row>
    <row r="184" spans="1:18" x14ac:dyDescent="0.25">
      <c r="A184" s="155">
        <v>173</v>
      </c>
      <c r="B184" s="161" t="s">
        <v>237</v>
      </c>
      <c r="C184" s="153" t="s">
        <v>153</v>
      </c>
      <c r="D184" s="200">
        <v>282000</v>
      </c>
      <c r="E184" s="173">
        <v>929000</v>
      </c>
      <c r="F184" s="201">
        <f t="shared" si="20"/>
        <v>1211000</v>
      </c>
      <c r="G184" s="259">
        <f t="shared" si="21"/>
        <v>225800</v>
      </c>
      <c r="H184" s="260">
        <v>1129000</v>
      </c>
      <c r="I184" s="260">
        <f t="shared" si="22"/>
        <v>1354800</v>
      </c>
      <c r="J184" s="144">
        <v>239042.44630684762</v>
      </c>
      <c r="K184" s="144">
        <v>956169.78522739059</v>
      </c>
      <c r="L184" s="142">
        <f t="shared" si="23"/>
        <v>1195212.2315342382</v>
      </c>
      <c r="M184" s="236">
        <f t="shared" si="24"/>
        <v>225800</v>
      </c>
      <c r="N184" s="236">
        <f t="shared" si="25"/>
        <v>929000</v>
      </c>
      <c r="O184" s="236">
        <f t="shared" si="26"/>
        <v>1154800</v>
      </c>
      <c r="P184" s="301">
        <f t="shared" si="27"/>
        <v>209994</v>
      </c>
      <c r="Q184" s="301">
        <f t="shared" si="28"/>
        <v>863970</v>
      </c>
      <c r="R184" s="300">
        <f t="shared" si="29"/>
        <v>1073964</v>
      </c>
    </row>
    <row r="185" spans="1:18" x14ac:dyDescent="0.25">
      <c r="A185" s="155">
        <v>174</v>
      </c>
      <c r="B185" s="161" t="s">
        <v>238</v>
      </c>
      <c r="C185" s="153" t="s">
        <v>153</v>
      </c>
      <c r="D185" s="200">
        <v>171000</v>
      </c>
      <c r="E185" s="173">
        <v>677000</v>
      </c>
      <c r="F185" s="201">
        <f t="shared" si="20"/>
        <v>848000</v>
      </c>
      <c r="G185" s="259">
        <f t="shared" si="21"/>
        <v>82000</v>
      </c>
      <c r="H185" s="260">
        <v>410000</v>
      </c>
      <c r="I185" s="260">
        <f t="shared" si="22"/>
        <v>492000</v>
      </c>
      <c r="J185" s="144">
        <f>586974.635207072-1000</f>
        <v>585974.63520707202</v>
      </c>
      <c r="K185" s="144">
        <v>2347898.5408282881</v>
      </c>
      <c r="L185" s="142">
        <f t="shared" si="23"/>
        <v>2933873.17603536</v>
      </c>
      <c r="M185" s="236">
        <f t="shared" si="24"/>
        <v>82000</v>
      </c>
      <c r="N185" s="236">
        <f t="shared" si="25"/>
        <v>410000</v>
      </c>
      <c r="O185" s="236">
        <f t="shared" si="26"/>
        <v>492000</v>
      </c>
      <c r="P185" s="301">
        <f t="shared" si="27"/>
        <v>76260</v>
      </c>
      <c r="Q185" s="301">
        <f t="shared" si="28"/>
        <v>381300</v>
      </c>
      <c r="R185" s="300">
        <f t="shared" si="29"/>
        <v>457560</v>
      </c>
    </row>
    <row r="186" spans="1:18" x14ac:dyDescent="0.25">
      <c r="A186" s="155">
        <v>175</v>
      </c>
      <c r="B186" s="161" t="s">
        <v>233</v>
      </c>
      <c r="C186" s="153" t="s">
        <v>153</v>
      </c>
      <c r="D186" s="200">
        <v>218000</v>
      </c>
      <c r="E186" s="173">
        <v>896000</v>
      </c>
      <c r="F186" s="201">
        <f t="shared" si="20"/>
        <v>1114000</v>
      </c>
      <c r="G186" s="259">
        <f t="shared" si="21"/>
        <v>51400</v>
      </c>
      <c r="H186" s="260">
        <v>257000</v>
      </c>
      <c r="I186" s="260">
        <f t="shared" si="22"/>
        <v>308400</v>
      </c>
      <c r="J186" s="144">
        <f>402095.948440814-1000</f>
        <v>401095.94844081398</v>
      </c>
      <c r="K186" s="144">
        <v>1608383.7937632548</v>
      </c>
      <c r="L186" s="142">
        <f t="shared" si="23"/>
        <v>2009479.7422040687</v>
      </c>
      <c r="M186" s="236">
        <f t="shared" si="24"/>
        <v>51400</v>
      </c>
      <c r="N186" s="236">
        <f t="shared" si="25"/>
        <v>257000</v>
      </c>
      <c r="O186" s="236">
        <f t="shared" si="26"/>
        <v>308400</v>
      </c>
      <c r="P186" s="301">
        <f t="shared" si="27"/>
        <v>47802</v>
      </c>
      <c r="Q186" s="301">
        <f t="shared" si="28"/>
        <v>239010</v>
      </c>
      <c r="R186" s="300">
        <f t="shared" si="29"/>
        <v>286812</v>
      </c>
    </row>
    <row r="187" spans="1:18" x14ac:dyDescent="0.25">
      <c r="A187" s="155">
        <v>176</v>
      </c>
      <c r="B187" s="161" t="s">
        <v>234</v>
      </c>
      <c r="C187" s="153" t="s">
        <v>153</v>
      </c>
      <c r="D187" s="200">
        <v>125000</v>
      </c>
      <c r="E187" s="173">
        <v>498000</v>
      </c>
      <c r="F187" s="201">
        <f t="shared" si="20"/>
        <v>623000</v>
      </c>
      <c r="G187" s="259">
        <f t="shared" si="21"/>
        <v>116000</v>
      </c>
      <c r="H187" s="260">
        <v>580000</v>
      </c>
      <c r="I187" s="260">
        <f t="shared" si="22"/>
        <v>696000</v>
      </c>
      <c r="J187" s="144">
        <f>105532.939684868-1000</f>
        <v>104532.939684868</v>
      </c>
      <c r="K187" s="144">
        <v>422131.75873947091</v>
      </c>
      <c r="L187" s="142">
        <f t="shared" si="23"/>
        <v>526664.69842433895</v>
      </c>
      <c r="M187" s="236">
        <f t="shared" si="24"/>
        <v>104532.939684868</v>
      </c>
      <c r="N187" s="236">
        <f t="shared" si="25"/>
        <v>422131.75873947091</v>
      </c>
      <c r="O187" s="236">
        <f t="shared" si="26"/>
        <v>526664.69842433895</v>
      </c>
      <c r="P187" s="301">
        <f t="shared" si="27"/>
        <v>97215.633906927251</v>
      </c>
      <c r="Q187" s="301">
        <f t="shared" si="28"/>
        <v>392582.53562770796</v>
      </c>
      <c r="R187" s="300">
        <f t="shared" si="29"/>
        <v>489798.16953463521</v>
      </c>
    </row>
    <row r="188" spans="1:18" x14ac:dyDescent="0.25">
      <c r="A188" s="155">
        <v>177</v>
      </c>
      <c r="B188" s="161" t="s">
        <v>235</v>
      </c>
      <c r="C188" s="153" t="s">
        <v>153</v>
      </c>
      <c r="D188" s="200">
        <v>135000</v>
      </c>
      <c r="E188" s="173">
        <v>539000</v>
      </c>
      <c r="F188" s="201">
        <f t="shared" si="20"/>
        <v>674000</v>
      </c>
      <c r="G188" s="259">
        <f t="shared" si="21"/>
        <v>50800</v>
      </c>
      <c r="H188" s="260">
        <v>254000</v>
      </c>
      <c r="I188" s="260">
        <f t="shared" si="22"/>
        <v>304800</v>
      </c>
      <c r="J188" s="144">
        <f>114147.873536694-1000</f>
        <v>113147.87353669399</v>
      </c>
      <c r="K188" s="144">
        <v>456591.49414677464</v>
      </c>
      <c r="L188" s="142">
        <f t="shared" si="23"/>
        <v>569739.36768346862</v>
      </c>
      <c r="M188" s="236">
        <f t="shared" si="24"/>
        <v>50800</v>
      </c>
      <c r="N188" s="236">
        <f t="shared" si="25"/>
        <v>254000</v>
      </c>
      <c r="O188" s="236">
        <f t="shared" si="26"/>
        <v>304800</v>
      </c>
      <c r="P188" s="301">
        <f t="shared" si="27"/>
        <v>47244</v>
      </c>
      <c r="Q188" s="301">
        <f t="shared" si="28"/>
        <v>236220</v>
      </c>
      <c r="R188" s="300">
        <f t="shared" si="29"/>
        <v>283464</v>
      </c>
    </row>
    <row r="189" spans="1:18" x14ac:dyDescent="0.25">
      <c r="A189" s="155">
        <v>178</v>
      </c>
      <c r="B189" s="58" t="s">
        <v>84</v>
      </c>
      <c r="C189" s="153" t="s">
        <v>153</v>
      </c>
      <c r="D189" s="200">
        <v>89000</v>
      </c>
      <c r="E189" s="173">
        <v>356000</v>
      </c>
      <c r="F189" s="201">
        <f t="shared" si="20"/>
        <v>445000</v>
      </c>
      <c r="G189" s="259">
        <f t="shared" si="21"/>
        <v>83000</v>
      </c>
      <c r="H189" s="260">
        <v>415000</v>
      </c>
      <c r="I189" s="260">
        <f t="shared" si="22"/>
        <v>498000</v>
      </c>
      <c r="J189" s="144">
        <f>75380.671203477-1000</f>
        <v>74380.671203477003</v>
      </c>
      <c r="K189" s="144">
        <v>301522.68481390778</v>
      </c>
      <c r="L189" s="142">
        <f t="shared" si="23"/>
        <v>375903.35601738479</v>
      </c>
      <c r="M189" s="236">
        <f t="shared" si="24"/>
        <v>74380.671203477003</v>
      </c>
      <c r="N189" s="236">
        <f t="shared" si="25"/>
        <v>301522.68481390778</v>
      </c>
      <c r="O189" s="236">
        <f t="shared" si="26"/>
        <v>375903.35601738479</v>
      </c>
      <c r="P189" s="301">
        <f t="shared" si="27"/>
        <v>69174.024219233615</v>
      </c>
      <c r="Q189" s="301">
        <f t="shared" si="28"/>
        <v>280416.09687693423</v>
      </c>
      <c r="R189" s="300">
        <f t="shared" si="29"/>
        <v>349590.12109616783</v>
      </c>
    </row>
    <row r="190" spans="1:18" x14ac:dyDescent="0.25">
      <c r="A190" s="155">
        <v>179</v>
      </c>
      <c r="B190" s="58" t="s">
        <v>236</v>
      </c>
      <c r="C190" s="153" t="s">
        <v>153</v>
      </c>
      <c r="D190" s="200">
        <v>125000</v>
      </c>
      <c r="E190" s="173">
        <v>390000</v>
      </c>
      <c r="F190" s="201">
        <f t="shared" si="20"/>
        <v>515000</v>
      </c>
      <c r="G190" s="259">
        <f t="shared" si="21"/>
        <v>96000</v>
      </c>
      <c r="H190" s="260">
        <v>480000</v>
      </c>
      <c r="I190" s="260">
        <f t="shared" si="22"/>
        <v>576000</v>
      </c>
      <c r="J190" s="144">
        <f>224462.496689777-1000</f>
        <v>223462.49668977701</v>
      </c>
      <c r="K190" s="144">
        <v>897849.98675910686</v>
      </c>
      <c r="L190" s="142">
        <f t="shared" si="23"/>
        <v>1121312.483448884</v>
      </c>
      <c r="M190" s="236">
        <f t="shared" si="24"/>
        <v>96000</v>
      </c>
      <c r="N190" s="236">
        <f t="shared" si="25"/>
        <v>390000</v>
      </c>
      <c r="O190" s="236">
        <f t="shared" si="26"/>
        <v>486000</v>
      </c>
      <c r="P190" s="301">
        <f t="shared" si="27"/>
        <v>89280</v>
      </c>
      <c r="Q190" s="301">
        <f t="shared" si="28"/>
        <v>362700</v>
      </c>
      <c r="R190" s="300">
        <f t="shared" si="29"/>
        <v>451980</v>
      </c>
    </row>
    <row r="191" spans="1:18" x14ac:dyDescent="0.25">
      <c r="A191" s="155">
        <v>180</v>
      </c>
      <c r="B191" s="162" t="s">
        <v>239</v>
      </c>
      <c r="C191" s="153" t="s">
        <v>153</v>
      </c>
      <c r="D191" s="200">
        <v>115000</v>
      </c>
      <c r="E191" s="173">
        <v>422000</v>
      </c>
      <c r="F191" s="201">
        <f t="shared" si="20"/>
        <v>537000</v>
      </c>
      <c r="G191" s="259">
        <f t="shared" si="21"/>
        <v>100000</v>
      </c>
      <c r="H191" s="260">
        <v>500000</v>
      </c>
      <c r="I191" s="260">
        <f t="shared" si="22"/>
        <v>600000</v>
      </c>
      <c r="J191" s="144">
        <f>97312.584096-1000</f>
        <v>96312.584096000006</v>
      </c>
      <c r="K191" s="144">
        <v>389250.33638400002</v>
      </c>
      <c r="L191" s="142">
        <f t="shared" si="23"/>
        <v>485562.92048000003</v>
      </c>
      <c r="M191" s="236">
        <f t="shared" si="24"/>
        <v>96312.584096000006</v>
      </c>
      <c r="N191" s="236">
        <f t="shared" si="25"/>
        <v>389250.33638400002</v>
      </c>
      <c r="O191" s="236">
        <f t="shared" si="26"/>
        <v>485562.92048000003</v>
      </c>
      <c r="P191" s="301">
        <f t="shared" si="27"/>
        <v>89570.703209280007</v>
      </c>
      <c r="Q191" s="301">
        <f t="shared" si="28"/>
        <v>362002.81283712003</v>
      </c>
      <c r="R191" s="300">
        <f t="shared" si="29"/>
        <v>451573.51604640007</v>
      </c>
    </row>
    <row r="192" spans="1:18" x14ac:dyDescent="0.25">
      <c r="A192" s="155">
        <v>181</v>
      </c>
      <c r="B192" s="162" t="s">
        <v>240</v>
      </c>
      <c r="C192" s="153" t="s">
        <v>153</v>
      </c>
      <c r="D192" s="200">
        <v>89000</v>
      </c>
      <c r="E192" s="173">
        <v>279000</v>
      </c>
      <c r="F192" s="201">
        <f t="shared" si="20"/>
        <v>368000</v>
      </c>
      <c r="G192" s="259">
        <f t="shared" si="21"/>
        <v>68600</v>
      </c>
      <c r="H192" s="260">
        <v>343000</v>
      </c>
      <c r="I192" s="260">
        <f t="shared" si="22"/>
        <v>411600</v>
      </c>
      <c r="J192" s="144">
        <f xml:space="preserve"> 1783857.79364-1000</f>
        <v>1782857.79364</v>
      </c>
      <c r="K192" s="144">
        <v>7135431.1745600002</v>
      </c>
      <c r="L192" s="142">
        <f t="shared" si="23"/>
        <v>8918288.9682</v>
      </c>
      <c r="M192" s="236">
        <f t="shared" si="24"/>
        <v>68600</v>
      </c>
      <c r="N192" s="236">
        <f t="shared" si="25"/>
        <v>279000</v>
      </c>
      <c r="O192" s="236">
        <f t="shared" si="26"/>
        <v>347600</v>
      </c>
      <c r="P192" s="301">
        <f t="shared" si="27"/>
        <v>63798</v>
      </c>
      <c r="Q192" s="301">
        <f t="shared" si="28"/>
        <v>259470</v>
      </c>
      <c r="R192" s="300">
        <f t="shared" si="29"/>
        <v>323268</v>
      </c>
    </row>
    <row r="193" spans="1:18" x14ac:dyDescent="0.25">
      <c r="A193" s="155">
        <v>182</v>
      </c>
      <c r="B193" s="58" t="s">
        <v>361</v>
      </c>
      <c r="C193" s="153" t="s">
        <v>153</v>
      </c>
      <c r="D193" s="200">
        <v>195000</v>
      </c>
      <c r="E193" s="173">
        <v>830000</v>
      </c>
      <c r="F193" s="201">
        <f t="shared" si="20"/>
        <v>1025000</v>
      </c>
      <c r="G193" s="259">
        <f t="shared" si="21"/>
        <v>191200</v>
      </c>
      <c r="H193" s="260">
        <v>956000</v>
      </c>
      <c r="I193" s="260">
        <f t="shared" si="22"/>
        <v>1147200</v>
      </c>
      <c r="J193" s="144">
        <f>344901.102-1000</f>
        <v>343901.10200000001</v>
      </c>
      <c r="K193" s="144">
        <v>1379604.4080000001</v>
      </c>
      <c r="L193" s="142">
        <f t="shared" si="23"/>
        <v>1723505.51</v>
      </c>
      <c r="M193" s="236">
        <f t="shared" si="24"/>
        <v>191200</v>
      </c>
      <c r="N193" s="236">
        <f t="shared" si="25"/>
        <v>830000</v>
      </c>
      <c r="O193" s="236">
        <f t="shared" si="26"/>
        <v>1021200</v>
      </c>
      <c r="P193" s="301">
        <f t="shared" si="27"/>
        <v>177816</v>
      </c>
      <c r="Q193" s="301">
        <f t="shared" si="28"/>
        <v>771900</v>
      </c>
      <c r="R193" s="300">
        <f t="shared" si="29"/>
        <v>949716</v>
      </c>
    </row>
    <row r="194" spans="1:18" x14ac:dyDescent="0.25">
      <c r="A194" s="155">
        <v>183</v>
      </c>
      <c r="B194" s="58" t="s">
        <v>362</v>
      </c>
      <c r="C194" s="153" t="s">
        <v>153</v>
      </c>
      <c r="D194" s="200">
        <v>115000</v>
      </c>
      <c r="E194" s="173">
        <v>395000</v>
      </c>
      <c r="F194" s="201">
        <f t="shared" si="20"/>
        <v>510000</v>
      </c>
      <c r="G194" s="259">
        <f t="shared" si="21"/>
        <v>95000</v>
      </c>
      <c r="H194" s="260">
        <v>475000</v>
      </c>
      <c r="I194" s="260">
        <f t="shared" si="22"/>
        <v>570000</v>
      </c>
      <c r="J194" s="144">
        <f>220353.1079568-1000</f>
        <v>219353.1079568</v>
      </c>
      <c r="K194" s="144">
        <v>881412.43182720011</v>
      </c>
      <c r="L194" s="142">
        <f t="shared" si="23"/>
        <v>1100765.539784</v>
      </c>
      <c r="M194" s="236">
        <f t="shared" si="24"/>
        <v>95000</v>
      </c>
      <c r="N194" s="236">
        <f t="shared" si="25"/>
        <v>395000</v>
      </c>
      <c r="O194" s="236">
        <f t="shared" si="26"/>
        <v>490000</v>
      </c>
      <c r="P194" s="301">
        <f t="shared" si="27"/>
        <v>88350</v>
      </c>
      <c r="Q194" s="301">
        <f t="shared" si="28"/>
        <v>367350</v>
      </c>
      <c r="R194" s="300">
        <f t="shared" si="29"/>
        <v>455700</v>
      </c>
    </row>
    <row r="195" spans="1:18" x14ac:dyDescent="0.25">
      <c r="A195" s="155">
        <v>184</v>
      </c>
      <c r="B195" s="58" t="s">
        <v>515</v>
      </c>
      <c r="C195" s="153" t="s">
        <v>153</v>
      </c>
      <c r="D195" s="200">
        <v>182000</v>
      </c>
      <c r="E195" s="173">
        <v>729000</v>
      </c>
      <c r="F195" s="201">
        <f t="shared" si="20"/>
        <v>911000</v>
      </c>
      <c r="G195" s="259">
        <f t="shared" si="21"/>
        <v>169800</v>
      </c>
      <c r="H195" s="260">
        <v>849000</v>
      </c>
      <c r="I195" s="260">
        <f t="shared" si="22"/>
        <v>1018800</v>
      </c>
      <c r="J195" s="144">
        <f>154414.747032-1000</f>
        <v>153414.74703200001</v>
      </c>
      <c r="K195" s="144">
        <v>617658.98812799982</v>
      </c>
      <c r="L195" s="142">
        <f t="shared" si="23"/>
        <v>771073.73515999981</v>
      </c>
      <c r="M195" s="236">
        <f t="shared" si="24"/>
        <v>153414.74703200001</v>
      </c>
      <c r="N195" s="236">
        <f t="shared" si="25"/>
        <v>617658.98812799982</v>
      </c>
      <c r="O195" s="236">
        <f t="shared" si="26"/>
        <v>771073.73515999981</v>
      </c>
      <c r="P195" s="301">
        <f t="shared" si="27"/>
        <v>142675.71473976001</v>
      </c>
      <c r="Q195" s="301">
        <f t="shared" si="28"/>
        <v>574422.85895903979</v>
      </c>
      <c r="R195" s="300">
        <f t="shared" si="29"/>
        <v>717098.57369879982</v>
      </c>
    </row>
    <row r="196" spans="1:18" x14ac:dyDescent="0.25">
      <c r="A196" s="155">
        <v>185</v>
      </c>
      <c r="B196" s="58" t="s">
        <v>516</v>
      </c>
      <c r="C196" s="153" t="s">
        <v>153</v>
      </c>
      <c r="D196" s="200">
        <v>195000</v>
      </c>
      <c r="E196" s="173">
        <v>1262000</v>
      </c>
      <c r="F196" s="201">
        <f t="shared" si="20"/>
        <v>1457000</v>
      </c>
      <c r="G196" s="259">
        <f t="shared" si="21"/>
        <v>271600</v>
      </c>
      <c r="H196" s="260">
        <v>1358000</v>
      </c>
      <c r="I196" s="260">
        <f t="shared" si="22"/>
        <v>1629600</v>
      </c>
      <c r="J196" s="144">
        <f>267374.064048-1000</f>
        <v>266374.06404799997</v>
      </c>
      <c r="K196" s="144">
        <v>1069496.2561920001</v>
      </c>
      <c r="L196" s="142">
        <f t="shared" si="23"/>
        <v>1335870.32024</v>
      </c>
      <c r="M196" s="236">
        <f t="shared" si="24"/>
        <v>195000</v>
      </c>
      <c r="N196" s="236">
        <f t="shared" si="25"/>
        <v>1069496.2561920001</v>
      </c>
      <c r="O196" s="236">
        <f t="shared" si="26"/>
        <v>1264496.2561920001</v>
      </c>
      <c r="P196" s="301">
        <f t="shared" si="27"/>
        <v>181350</v>
      </c>
      <c r="Q196" s="301">
        <f t="shared" si="28"/>
        <v>994631.5182585601</v>
      </c>
      <c r="R196" s="300">
        <f t="shared" si="29"/>
        <v>1175981.51825856</v>
      </c>
    </row>
    <row r="197" spans="1:18" x14ac:dyDescent="0.25">
      <c r="A197" s="155">
        <v>186</v>
      </c>
      <c r="B197" s="161" t="s">
        <v>517</v>
      </c>
      <c r="C197" s="153" t="s">
        <v>153</v>
      </c>
      <c r="D197" s="200">
        <v>260000</v>
      </c>
      <c r="E197" s="173">
        <v>894000</v>
      </c>
      <c r="F197" s="201">
        <f t="shared" ref="F197:F260" si="31">(D197+E197)</f>
        <v>1154000</v>
      </c>
      <c r="G197" s="259">
        <f t="shared" ref="G197:G260" si="32">+H197*20%</f>
        <v>215000</v>
      </c>
      <c r="H197" s="260">
        <v>1075000</v>
      </c>
      <c r="I197" s="260">
        <f t="shared" ref="I197:I260" si="33">+H197+G197</f>
        <v>1290000</v>
      </c>
      <c r="J197" s="144">
        <f xml:space="preserve"> 274288.910532-1000</f>
        <v>273288.91053200001</v>
      </c>
      <c r="K197" s="144">
        <v>1097155.6421279998</v>
      </c>
      <c r="L197" s="142">
        <f t="shared" ref="L197:L255" si="34">J197+K197</f>
        <v>1370444.5526599998</v>
      </c>
      <c r="M197" s="236">
        <f t="shared" ref="M197:M260" si="35">MIN(D197,G197,J197)</f>
        <v>215000</v>
      </c>
      <c r="N197" s="236">
        <f t="shared" ref="N197:N260" si="36">MIN(E197,H197,K197)</f>
        <v>894000</v>
      </c>
      <c r="O197" s="236">
        <f t="shared" ref="O197:O260" si="37">M197+N197</f>
        <v>1109000</v>
      </c>
      <c r="P197" s="301">
        <f t="shared" ref="P197:P260" si="38">M197-(M197*7%)</f>
        <v>199950</v>
      </c>
      <c r="Q197" s="301">
        <f t="shared" ref="Q197:Q260" si="39">N197-(N197*7%)</f>
        <v>831420</v>
      </c>
      <c r="R197" s="300">
        <f t="shared" ref="R197:R260" si="40">Q197+P197</f>
        <v>1031370</v>
      </c>
    </row>
    <row r="198" spans="1:18" x14ac:dyDescent="0.25">
      <c r="A198" s="155">
        <v>187</v>
      </c>
      <c r="B198" s="161" t="s">
        <v>518</v>
      </c>
      <c r="C198" s="153" t="s">
        <v>153</v>
      </c>
      <c r="D198" s="200">
        <v>171000</v>
      </c>
      <c r="E198" s="173">
        <v>627000</v>
      </c>
      <c r="F198" s="201">
        <f t="shared" si="31"/>
        <v>798000</v>
      </c>
      <c r="G198" s="259">
        <f t="shared" si="32"/>
        <v>148800</v>
      </c>
      <c r="H198" s="260">
        <v>744000</v>
      </c>
      <c r="I198" s="260">
        <f t="shared" si="33"/>
        <v>892800</v>
      </c>
      <c r="J198" s="144">
        <f>363407.9904-1000</f>
        <v>362407.99040000001</v>
      </c>
      <c r="K198" s="144">
        <v>1453631.9616</v>
      </c>
      <c r="L198" s="142">
        <f t="shared" si="34"/>
        <v>1816039.952</v>
      </c>
      <c r="M198" s="236">
        <f t="shared" si="35"/>
        <v>148800</v>
      </c>
      <c r="N198" s="236">
        <f t="shared" si="36"/>
        <v>627000</v>
      </c>
      <c r="O198" s="236">
        <f t="shared" si="37"/>
        <v>775800</v>
      </c>
      <c r="P198" s="301">
        <f t="shared" si="38"/>
        <v>138384</v>
      </c>
      <c r="Q198" s="301">
        <f t="shared" si="39"/>
        <v>583110</v>
      </c>
      <c r="R198" s="300">
        <f t="shared" si="40"/>
        <v>721494</v>
      </c>
    </row>
    <row r="199" spans="1:18" x14ac:dyDescent="0.25">
      <c r="A199" s="155">
        <v>188</v>
      </c>
      <c r="B199" s="161" t="s">
        <v>519</v>
      </c>
      <c r="C199" s="153" t="s">
        <v>153</v>
      </c>
      <c r="D199" s="200">
        <v>218000</v>
      </c>
      <c r="E199" s="173">
        <v>1085000</v>
      </c>
      <c r="F199" s="201">
        <f t="shared" si="31"/>
        <v>1303000</v>
      </c>
      <c r="G199" s="259">
        <f t="shared" si="32"/>
        <v>243000</v>
      </c>
      <c r="H199" s="260">
        <v>1215000</v>
      </c>
      <c r="I199" s="260">
        <f t="shared" si="33"/>
        <v>1458000</v>
      </c>
      <c r="J199" s="144">
        <f>285813.654672-1000</f>
        <v>284813.65467199998</v>
      </c>
      <c r="K199" s="144">
        <v>1143254.6186880001</v>
      </c>
      <c r="L199" s="142">
        <f t="shared" si="34"/>
        <v>1428068.27336</v>
      </c>
      <c r="M199" s="236">
        <f t="shared" si="35"/>
        <v>218000</v>
      </c>
      <c r="N199" s="236">
        <f t="shared" si="36"/>
        <v>1085000</v>
      </c>
      <c r="O199" s="236">
        <f t="shared" si="37"/>
        <v>1303000</v>
      </c>
      <c r="P199" s="301">
        <f t="shared" si="38"/>
        <v>202740</v>
      </c>
      <c r="Q199" s="301">
        <f t="shared" si="39"/>
        <v>1009050</v>
      </c>
      <c r="R199" s="300">
        <f t="shared" si="40"/>
        <v>1211790</v>
      </c>
    </row>
    <row r="200" spans="1:18" x14ac:dyDescent="0.25">
      <c r="A200" s="155">
        <v>189</v>
      </c>
      <c r="B200" s="161" t="s">
        <v>520</v>
      </c>
      <c r="C200" s="153" t="s">
        <v>153</v>
      </c>
      <c r="D200" s="200">
        <v>195000</v>
      </c>
      <c r="E200" s="173">
        <v>827000</v>
      </c>
      <c r="F200" s="201">
        <f t="shared" si="31"/>
        <v>1022000</v>
      </c>
      <c r="G200" s="259">
        <f t="shared" si="32"/>
        <v>190600</v>
      </c>
      <c r="H200" s="260">
        <v>953000</v>
      </c>
      <c r="I200" s="260">
        <f t="shared" si="33"/>
        <v>1143600</v>
      </c>
      <c r="J200" s="144">
        <f>175176.110928-1000</f>
        <v>174176.11092800001</v>
      </c>
      <c r="K200" s="144">
        <v>700704.44371200004</v>
      </c>
      <c r="L200" s="142">
        <f t="shared" si="34"/>
        <v>874880.55463999999</v>
      </c>
      <c r="M200" s="236">
        <f t="shared" si="35"/>
        <v>174176.11092800001</v>
      </c>
      <c r="N200" s="236">
        <f t="shared" si="36"/>
        <v>700704.44371200004</v>
      </c>
      <c r="O200" s="236">
        <f t="shared" si="37"/>
        <v>874880.55463999999</v>
      </c>
      <c r="P200" s="301">
        <f t="shared" si="38"/>
        <v>161983.78316304</v>
      </c>
      <c r="Q200" s="301">
        <f t="shared" si="39"/>
        <v>651655.13265216001</v>
      </c>
      <c r="R200" s="300">
        <f t="shared" si="40"/>
        <v>813638.91581519996</v>
      </c>
    </row>
    <row r="201" spans="1:18" x14ac:dyDescent="0.25">
      <c r="A201" s="155">
        <v>190</v>
      </c>
      <c r="B201" s="161" t="s">
        <v>521</v>
      </c>
      <c r="C201" s="153" t="s">
        <v>153</v>
      </c>
      <c r="D201" s="200">
        <v>195000</v>
      </c>
      <c r="E201" s="173">
        <v>1202000</v>
      </c>
      <c r="F201" s="201">
        <f t="shared" si="31"/>
        <v>1397000</v>
      </c>
      <c r="G201" s="259">
        <f t="shared" si="32"/>
        <v>260400</v>
      </c>
      <c r="H201" s="260">
        <v>1302000</v>
      </c>
      <c r="I201" s="260">
        <f t="shared" si="33"/>
        <v>1562400</v>
      </c>
      <c r="J201" s="144">
        <f>254654.784384-1000</f>
        <v>253654.784384</v>
      </c>
      <c r="K201" s="144">
        <v>1018619.1375360001</v>
      </c>
      <c r="L201" s="142">
        <f t="shared" si="34"/>
        <v>1272273.9219200001</v>
      </c>
      <c r="M201" s="236">
        <f t="shared" si="35"/>
        <v>195000</v>
      </c>
      <c r="N201" s="236">
        <f t="shared" si="36"/>
        <v>1018619.1375360001</v>
      </c>
      <c r="O201" s="236">
        <f t="shared" si="37"/>
        <v>1213619.137536</v>
      </c>
      <c r="P201" s="301">
        <f t="shared" si="38"/>
        <v>181350</v>
      </c>
      <c r="Q201" s="301">
        <f t="shared" si="39"/>
        <v>947315.79790848005</v>
      </c>
      <c r="R201" s="300">
        <f t="shared" si="40"/>
        <v>1128665.79790848</v>
      </c>
    </row>
    <row r="202" spans="1:18" x14ac:dyDescent="0.25">
      <c r="A202" s="155">
        <v>191</v>
      </c>
      <c r="B202" s="58" t="s">
        <v>522</v>
      </c>
      <c r="C202" s="153" t="s">
        <v>153</v>
      </c>
      <c r="D202" s="200">
        <v>195000</v>
      </c>
      <c r="E202" s="173">
        <v>871000</v>
      </c>
      <c r="F202" s="201">
        <f t="shared" si="31"/>
        <v>1066000</v>
      </c>
      <c r="G202" s="259">
        <f t="shared" si="32"/>
        <v>198800</v>
      </c>
      <c r="H202" s="260">
        <v>994000</v>
      </c>
      <c r="I202" s="260">
        <f t="shared" si="33"/>
        <v>1192800</v>
      </c>
      <c r="J202" s="144">
        <f>184600-1000</f>
        <v>183600</v>
      </c>
      <c r="K202" s="144">
        <v>738400</v>
      </c>
      <c r="L202" s="142">
        <f t="shared" si="34"/>
        <v>922000</v>
      </c>
      <c r="M202" s="236">
        <f t="shared" si="35"/>
        <v>183600</v>
      </c>
      <c r="N202" s="236">
        <f t="shared" si="36"/>
        <v>738400</v>
      </c>
      <c r="O202" s="236">
        <f t="shared" si="37"/>
        <v>922000</v>
      </c>
      <c r="P202" s="301">
        <f t="shared" si="38"/>
        <v>170748</v>
      </c>
      <c r="Q202" s="301">
        <f t="shared" si="39"/>
        <v>686712</v>
      </c>
      <c r="R202" s="300">
        <f t="shared" si="40"/>
        <v>857460</v>
      </c>
    </row>
    <row r="203" spans="1:18" x14ac:dyDescent="0.25">
      <c r="A203" s="155">
        <v>192</v>
      </c>
      <c r="B203" s="58" t="s">
        <v>523</v>
      </c>
      <c r="C203" s="153" t="s">
        <v>153</v>
      </c>
      <c r="D203" s="200">
        <v>149000</v>
      </c>
      <c r="E203" s="173">
        <v>597000</v>
      </c>
      <c r="F203" s="201">
        <f t="shared" si="31"/>
        <v>746000</v>
      </c>
      <c r="G203" s="259">
        <f t="shared" si="32"/>
        <v>139000</v>
      </c>
      <c r="H203" s="260">
        <v>695000</v>
      </c>
      <c r="I203" s="260">
        <f t="shared" si="33"/>
        <v>834000</v>
      </c>
      <c r="J203" s="144">
        <f>126452.521104-1000</f>
        <v>125452.521104</v>
      </c>
      <c r="K203" s="144">
        <v>505810.084416</v>
      </c>
      <c r="L203" s="142">
        <f t="shared" si="34"/>
        <v>631262.60551999998</v>
      </c>
      <c r="M203" s="236">
        <f t="shared" si="35"/>
        <v>125452.521104</v>
      </c>
      <c r="N203" s="236">
        <f t="shared" si="36"/>
        <v>505810.084416</v>
      </c>
      <c r="O203" s="236">
        <f t="shared" si="37"/>
        <v>631262.60551999998</v>
      </c>
      <c r="P203" s="301">
        <f t="shared" si="38"/>
        <v>116670.84462672001</v>
      </c>
      <c r="Q203" s="301">
        <f t="shared" si="39"/>
        <v>470403.37850688002</v>
      </c>
      <c r="R203" s="300">
        <f t="shared" si="40"/>
        <v>587074.22313360008</v>
      </c>
    </row>
    <row r="204" spans="1:18" x14ac:dyDescent="0.25">
      <c r="A204" s="155">
        <v>193</v>
      </c>
      <c r="B204" s="162" t="s">
        <v>524</v>
      </c>
      <c r="C204" s="153" t="s">
        <v>153</v>
      </c>
      <c r="D204" s="200">
        <v>149000</v>
      </c>
      <c r="E204" s="173">
        <v>597000</v>
      </c>
      <c r="F204" s="201">
        <f t="shared" si="31"/>
        <v>746000</v>
      </c>
      <c r="G204" s="259">
        <f t="shared" si="32"/>
        <v>139000</v>
      </c>
      <c r="H204" s="260">
        <v>695000</v>
      </c>
      <c r="I204" s="260">
        <f t="shared" si="33"/>
        <v>834000</v>
      </c>
      <c r="J204" s="144">
        <f>126452.521104-1000</f>
        <v>125452.521104</v>
      </c>
      <c r="K204" s="144">
        <v>505810.084416</v>
      </c>
      <c r="L204" s="142">
        <f t="shared" si="34"/>
        <v>631262.60551999998</v>
      </c>
      <c r="M204" s="236">
        <f t="shared" si="35"/>
        <v>125452.521104</v>
      </c>
      <c r="N204" s="236">
        <f t="shared" si="36"/>
        <v>505810.084416</v>
      </c>
      <c r="O204" s="236">
        <f t="shared" si="37"/>
        <v>631262.60551999998</v>
      </c>
      <c r="P204" s="301">
        <f t="shared" si="38"/>
        <v>116670.84462672001</v>
      </c>
      <c r="Q204" s="301">
        <f t="shared" si="39"/>
        <v>470403.37850688002</v>
      </c>
      <c r="R204" s="300">
        <f t="shared" si="40"/>
        <v>587074.22313360008</v>
      </c>
    </row>
    <row r="205" spans="1:18" ht="22.5" x14ac:dyDescent="0.25">
      <c r="A205" s="155">
        <v>194</v>
      </c>
      <c r="B205" s="193" t="s">
        <v>525</v>
      </c>
      <c r="C205" s="153" t="s">
        <v>153</v>
      </c>
      <c r="D205" s="200">
        <v>195000</v>
      </c>
      <c r="E205" s="173">
        <v>683000</v>
      </c>
      <c r="F205" s="201">
        <f t="shared" si="31"/>
        <v>878000</v>
      </c>
      <c r="G205" s="259">
        <f t="shared" si="32"/>
        <v>163600</v>
      </c>
      <c r="H205" s="260">
        <v>818000</v>
      </c>
      <c r="I205" s="260">
        <f t="shared" si="33"/>
        <v>981600</v>
      </c>
      <c r="J205" s="144">
        <f>299475.1032-1000</f>
        <v>298475.10320000001</v>
      </c>
      <c r="K205" s="144">
        <v>1197900.4128</v>
      </c>
      <c r="L205" s="142">
        <f t="shared" si="34"/>
        <v>1496375.5160000001</v>
      </c>
      <c r="M205" s="236">
        <f t="shared" si="35"/>
        <v>163600</v>
      </c>
      <c r="N205" s="236">
        <f t="shared" si="36"/>
        <v>683000</v>
      </c>
      <c r="O205" s="236">
        <f t="shared" si="37"/>
        <v>846600</v>
      </c>
      <c r="P205" s="301">
        <f t="shared" si="38"/>
        <v>152148</v>
      </c>
      <c r="Q205" s="301">
        <f t="shared" si="39"/>
        <v>635190</v>
      </c>
      <c r="R205" s="300">
        <f t="shared" si="40"/>
        <v>787338</v>
      </c>
    </row>
    <row r="206" spans="1:18" x14ac:dyDescent="0.25">
      <c r="A206" s="155">
        <v>195</v>
      </c>
      <c r="B206" s="58" t="s">
        <v>526</v>
      </c>
      <c r="C206" s="153" t="s">
        <v>153</v>
      </c>
      <c r="D206" s="200">
        <v>149000</v>
      </c>
      <c r="E206" s="173">
        <v>513000</v>
      </c>
      <c r="F206" s="201">
        <f t="shared" si="31"/>
        <v>662000</v>
      </c>
      <c r="G206" s="259">
        <f t="shared" si="32"/>
        <v>123400</v>
      </c>
      <c r="H206" s="260">
        <v>617000</v>
      </c>
      <c r="I206" s="260">
        <f t="shared" si="33"/>
        <v>740400</v>
      </c>
      <c r="J206" s="144">
        <f>230494.8828-1000</f>
        <v>229494.88279999999</v>
      </c>
      <c r="K206" s="144">
        <v>921979.53119999997</v>
      </c>
      <c r="L206" s="142">
        <f t="shared" si="34"/>
        <v>1151474.4139999999</v>
      </c>
      <c r="M206" s="236">
        <f t="shared" si="35"/>
        <v>123400</v>
      </c>
      <c r="N206" s="236">
        <f t="shared" si="36"/>
        <v>513000</v>
      </c>
      <c r="O206" s="236">
        <f t="shared" si="37"/>
        <v>636400</v>
      </c>
      <c r="P206" s="301">
        <f t="shared" si="38"/>
        <v>114762</v>
      </c>
      <c r="Q206" s="301">
        <f t="shared" si="39"/>
        <v>477090</v>
      </c>
      <c r="R206" s="300">
        <f t="shared" si="40"/>
        <v>591852</v>
      </c>
    </row>
    <row r="207" spans="1:18" x14ac:dyDescent="0.25">
      <c r="A207" s="155">
        <v>196</v>
      </c>
      <c r="B207" s="58" t="s">
        <v>527</v>
      </c>
      <c r="C207" s="153" t="s">
        <v>153</v>
      </c>
      <c r="D207" s="200">
        <v>149000</v>
      </c>
      <c r="E207" s="173">
        <v>513000</v>
      </c>
      <c r="F207" s="201">
        <f t="shared" si="31"/>
        <v>662000</v>
      </c>
      <c r="G207" s="259">
        <f t="shared" si="32"/>
        <v>123400</v>
      </c>
      <c r="H207" s="260">
        <v>617000</v>
      </c>
      <c r="I207" s="260">
        <f t="shared" si="33"/>
        <v>740400</v>
      </c>
      <c r="J207" s="144">
        <f>128362.514392206-1000</f>
        <v>127362.51439220599</v>
      </c>
      <c r="K207" s="144">
        <v>513450.05756882578</v>
      </c>
      <c r="L207" s="142">
        <f t="shared" si="34"/>
        <v>640812.57196103176</v>
      </c>
      <c r="M207" s="236">
        <f t="shared" si="35"/>
        <v>123400</v>
      </c>
      <c r="N207" s="236">
        <f t="shared" si="36"/>
        <v>513000</v>
      </c>
      <c r="O207" s="236">
        <f t="shared" si="37"/>
        <v>636400</v>
      </c>
      <c r="P207" s="301">
        <f t="shared" si="38"/>
        <v>114762</v>
      </c>
      <c r="Q207" s="301">
        <f t="shared" si="39"/>
        <v>477090</v>
      </c>
      <c r="R207" s="300">
        <f t="shared" si="40"/>
        <v>591852</v>
      </c>
    </row>
    <row r="208" spans="1:18" x14ac:dyDescent="0.25">
      <c r="A208" s="155">
        <v>197</v>
      </c>
      <c r="B208" s="162" t="s">
        <v>528</v>
      </c>
      <c r="C208" s="153" t="s">
        <v>153</v>
      </c>
      <c r="D208" s="200">
        <v>54000</v>
      </c>
      <c r="E208" s="173">
        <v>214000</v>
      </c>
      <c r="F208" s="201">
        <f t="shared" si="31"/>
        <v>268000</v>
      </c>
      <c r="G208" s="259">
        <f t="shared" si="32"/>
        <v>50000</v>
      </c>
      <c r="H208" s="260">
        <v>250000</v>
      </c>
      <c r="I208" s="260">
        <f t="shared" si="33"/>
        <v>300000</v>
      </c>
      <c r="J208" s="144">
        <f>45425.9988-1000</f>
        <v>44425.998800000001</v>
      </c>
      <c r="K208" s="144">
        <v>181703.9952</v>
      </c>
      <c r="L208" s="142">
        <f t="shared" si="34"/>
        <v>226129.99400000001</v>
      </c>
      <c r="M208" s="236">
        <f t="shared" si="35"/>
        <v>44425.998800000001</v>
      </c>
      <c r="N208" s="236">
        <f t="shared" si="36"/>
        <v>181703.9952</v>
      </c>
      <c r="O208" s="236">
        <f t="shared" si="37"/>
        <v>226129.99400000001</v>
      </c>
      <c r="P208" s="301">
        <f t="shared" si="38"/>
        <v>41316.178884000001</v>
      </c>
      <c r="Q208" s="301">
        <f t="shared" si="39"/>
        <v>168984.715536</v>
      </c>
      <c r="R208" s="300">
        <f t="shared" si="40"/>
        <v>210300.89442</v>
      </c>
    </row>
    <row r="209" spans="1:18" x14ac:dyDescent="0.25">
      <c r="A209" s="155">
        <v>198</v>
      </c>
      <c r="B209" s="162" t="s">
        <v>529</v>
      </c>
      <c r="C209" s="153" t="s">
        <v>153</v>
      </c>
      <c r="D209" s="200">
        <v>53000</v>
      </c>
      <c r="E209" s="173">
        <v>212000</v>
      </c>
      <c r="F209" s="201">
        <f t="shared" si="31"/>
        <v>265000</v>
      </c>
      <c r="G209" s="259">
        <f t="shared" si="32"/>
        <v>49200</v>
      </c>
      <c r="H209" s="260">
        <v>246000</v>
      </c>
      <c r="I209" s="260">
        <f t="shared" si="33"/>
        <v>295200</v>
      </c>
      <c r="J209" s="144">
        <f>44860.9757933057-1000</f>
        <v>43860.975793305697</v>
      </c>
      <c r="K209" s="144">
        <v>179443.90317322323</v>
      </c>
      <c r="L209" s="142">
        <f t="shared" si="34"/>
        <v>223304.87896652892</v>
      </c>
      <c r="M209" s="236">
        <f t="shared" si="35"/>
        <v>43860.975793305697</v>
      </c>
      <c r="N209" s="236">
        <f t="shared" si="36"/>
        <v>179443.90317322323</v>
      </c>
      <c r="O209" s="236">
        <f t="shared" si="37"/>
        <v>223304.87896652892</v>
      </c>
      <c r="P209" s="301">
        <f t="shared" si="38"/>
        <v>40790.7074877743</v>
      </c>
      <c r="Q209" s="301">
        <f t="shared" si="39"/>
        <v>166882.82995109761</v>
      </c>
      <c r="R209" s="300">
        <f t="shared" si="40"/>
        <v>207673.53743887192</v>
      </c>
    </row>
    <row r="210" spans="1:18" x14ac:dyDescent="0.25">
      <c r="A210" s="155">
        <v>199</v>
      </c>
      <c r="B210" s="162" t="s">
        <v>94</v>
      </c>
      <c r="C210" s="153" t="s">
        <v>153</v>
      </c>
      <c r="D210" s="200">
        <v>151000</v>
      </c>
      <c r="E210" s="173">
        <v>475000</v>
      </c>
      <c r="F210" s="201">
        <f t="shared" si="31"/>
        <v>626000</v>
      </c>
      <c r="G210" s="259">
        <f t="shared" si="32"/>
        <v>116600</v>
      </c>
      <c r="H210" s="260">
        <v>583000</v>
      </c>
      <c r="I210" s="260">
        <f t="shared" si="33"/>
        <v>699600</v>
      </c>
      <c r="J210" s="144">
        <f>184403.108632678-1000</f>
        <v>183403.10863267799</v>
      </c>
      <c r="K210" s="144">
        <v>737612.4345307136</v>
      </c>
      <c r="L210" s="142">
        <f t="shared" si="34"/>
        <v>921015.54316339153</v>
      </c>
      <c r="M210" s="236">
        <f t="shared" si="35"/>
        <v>116600</v>
      </c>
      <c r="N210" s="236">
        <f t="shared" si="36"/>
        <v>475000</v>
      </c>
      <c r="O210" s="236">
        <f t="shared" si="37"/>
        <v>591600</v>
      </c>
      <c r="P210" s="301">
        <f t="shared" si="38"/>
        <v>108438</v>
      </c>
      <c r="Q210" s="301">
        <f t="shared" si="39"/>
        <v>441750</v>
      </c>
      <c r="R210" s="300">
        <f t="shared" si="40"/>
        <v>550188</v>
      </c>
    </row>
    <row r="211" spans="1:18" x14ac:dyDescent="0.25">
      <c r="A211" s="155">
        <v>200</v>
      </c>
      <c r="B211" s="162" t="s">
        <v>250</v>
      </c>
      <c r="C211" s="153" t="s">
        <v>153</v>
      </c>
      <c r="D211" s="200">
        <v>12000</v>
      </c>
      <c r="E211" s="173">
        <v>46000</v>
      </c>
      <c r="F211" s="201">
        <f t="shared" si="31"/>
        <v>58000</v>
      </c>
      <c r="G211" s="259">
        <f t="shared" si="32"/>
        <v>10800</v>
      </c>
      <c r="H211" s="260">
        <v>54000</v>
      </c>
      <c r="I211" s="260">
        <f t="shared" si="33"/>
        <v>64800</v>
      </c>
      <c r="J211" s="144">
        <f>9772.51409-1000</f>
        <v>8772.5140900000006</v>
      </c>
      <c r="K211" s="144">
        <v>39090.056360000002</v>
      </c>
      <c r="L211" s="142">
        <f t="shared" si="34"/>
        <v>47862.570449999999</v>
      </c>
      <c r="M211" s="236">
        <f t="shared" si="35"/>
        <v>8772.5140900000006</v>
      </c>
      <c r="N211" s="236">
        <f t="shared" si="36"/>
        <v>39090.056360000002</v>
      </c>
      <c r="O211" s="236">
        <f t="shared" si="37"/>
        <v>47862.570449999999</v>
      </c>
      <c r="P211" s="301">
        <f t="shared" si="38"/>
        <v>8158.4381037000003</v>
      </c>
      <c r="Q211" s="301">
        <f t="shared" si="39"/>
        <v>36353.752414800001</v>
      </c>
      <c r="R211" s="300">
        <f t="shared" si="40"/>
        <v>44512.1905185</v>
      </c>
    </row>
    <row r="212" spans="1:18" x14ac:dyDescent="0.25">
      <c r="A212" s="155">
        <v>201</v>
      </c>
      <c r="B212" s="58" t="s">
        <v>242</v>
      </c>
      <c r="C212" s="153" t="s">
        <v>153</v>
      </c>
      <c r="D212" s="200">
        <v>43000</v>
      </c>
      <c r="E212" s="173">
        <v>166000</v>
      </c>
      <c r="F212" s="201">
        <f t="shared" si="31"/>
        <v>209000</v>
      </c>
      <c r="G212" s="259">
        <f t="shared" si="32"/>
        <v>39000</v>
      </c>
      <c r="H212" s="260">
        <v>195000</v>
      </c>
      <c r="I212" s="260">
        <f t="shared" si="33"/>
        <v>234000</v>
      </c>
      <c r="J212" s="144">
        <f>36306.470810016-1000</f>
        <v>35306.470810015999</v>
      </c>
      <c r="K212" s="144">
        <v>145225.88324006399</v>
      </c>
      <c r="L212" s="142">
        <f t="shared" si="34"/>
        <v>180532.35405008</v>
      </c>
      <c r="M212" s="236">
        <f t="shared" si="35"/>
        <v>35306.470810015999</v>
      </c>
      <c r="N212" s="236">
        <f t="shared" si="36"/>
        <v>145225.88324006399</v>
      </c>
      <c r="O212" s="236">
        <f t="shared" si="37"/>
        <v>180532.35405008</v>
      </c>
      <c r="P212" s="301">
        <f t="shared" si="38"/>
        <v>32835.017853314879</v>
      </c>
      <c r="Q212" s="301">
        <f t="shared" si="39"/>
        <v>135060.07141325952</v>
      </c>
      <c r="R212" s="300">
        <f t="shared" si="40"/>
        <v>167895.08926657439</v>
      </c>
    </row>
    <row r="213" spans="1:18" x14ac:dyDescent="0.25">
      <c r="A213" s="155">
        <v>202</v>
      </c>
      <c r="B213" s="159" t="s">
        <v>230</v>
      </c>
      <c r="C213" s="153" t="s">
        <v>153</v>
      </c>
      <c r="D213" s="200">
        <v>89000</v>
      </c>
      <c r="E213" s="173">
        <v>682000</v>
      </c>
      <c r="F213" s="201">
        <f t="shared" si="31"/>
        <v>771000</v>
      </c>
      <c r="G213" s="259">
        <f t="shared" si="32"/>
        <v>143800</v>
      </c>
      <c r="H213" s="260">
        <v>719000</v>
      </c>
      <c r="I213" s="260">
        <f t="shared" si="33"/>
        <v>862800</v>
      </c>
      <c r="J213" s="144">
        <f>147516.724992-1000</f>
        <v>146516.724992</v>
      </c>
      <c r="K213" s="144">
        <v>590066.89996800001</v>
      </c>
      <c r="L213" s="142">
        <f t="shared" si="34"/>
        <v>736583.62496000004</v>
      </c>
      <c r="M213" s="236">
        <f t="shared" si="35"/>
        <v>89000</v>
      </c>
      <c r="N213" s="236">
        <f t="shared" si="36"/>
        <v>590066.89996800001</v>
      </c>
      <c r="O213" s="236">
        <f t="shared" si="37"/>
        <v>679066.89996800001</v>
      </c>
      <c r="P213" s="301">
        <f t="shared" si="38"/>
        <v>82770</v>
      </c>
      <c r="Q213" s="301">
        <f t="shared" si="39"/>
        <v>548762.21697024</v>
      </c>
      <c r="R213" s="300">
        <f t="shared" si="40"/>
        <v>631532.21697024</v>
      </c>
    </row>
    <row r="214" spans="1:18" x14ac:dyDescent="0.25">
      <c r="A214" s="155">
        <v>203</v>
      </c>
      <c r="B214" s="159" t="s">
        <v>231</v>
      </c>
      <c r="C214" s="153" t="s">
        <v>153</v>
      </c>
      <c r="D214" s="200">
        <v>10000</v>
      </c>
      <c r="E214" s="173">
        <v>22000</v>
      </c>
      <c r="F214" s="201">
        <f t="shared" si="31"/>
        <v>32000</v>
      </c>
      <c r="G214" s="259">
        <f t="shared" si="32"/>
        <v>6000</v>
      </c>
      <c r="H214" s="260">
        <v>30000</v>
      </c>
      <c r="I214" s="260">
        <f t="shared" si="33"/>
        <v>36000</v>
      </c>
      <c r="J214" s="144">
        <f>9772.51409-500</f>
        <v>9272.5140900000006</v>
      </c>
      <c r="K214" s="144">
        <v>39090.056360000002</v>
      </c>
      <c r="L214" s="142">
        <f t="shared" si="34"/>
        <v>48362.570449999999</v>
      </c>
      <c r="M214" s="236">
        <f t="shared" si="35"/>
        <v>6000</v>
      </c>
      <c r="N214" s="236">
        <f t="shared" si="36"/>
        <v>22000</v>
      </c>
      <c r="O214" s="236">
        <f t="shared" si="37"/>
        <v>28000</v>
      </c>
      <c r="P214" s="301">
        <f t="shared" si="38"/>
        <v>5580</v>
      </c>
      <c r="Q214" s="301">
        <f t="shared" si="39"/>
        <v>20460</v>
      </c>
      <c r="R214" s="300">
        <f t="shared" si="40"/>
        <v>26040</v>
      </c>
    </row>
    <row r="215" spans="1:18" x14ac:dyDescent="0.25">
      <c r="A215" s="155">
        <v>204</v>
      </c>
      <c r="B215" s="55" t="s">
        <v>530</v>
      </c>
      <c r="C215" s="153" t="s">
        <v>153</v>
      </c>
      <c r="D215" s="200">
        <v>34000</v>
      </c>
      <c r="E215" s="173">
        <v>95000</v>
      </c>
      <c r="F215" s="201">
        <f t="shared" si="31"/>
        <v>129000</v>
      </c>
      <c r="G215" s="259">
        <f t="shared" si="32"/>
        <v>24200</v>
      </c>
      <c r="H215" s="260">
        <v>121000</v>
      </c>
      <c r="I215" s="260">
        <f t="shared" si="33"/>
        <v>145200</v>
      </c>
      <c r="J215" s="144">
        <f>28830.2614768-1000</f>
        <v>27830.261476799998</v>
      </c>
      <c r="K215" s="144">
        <v>115321.04590719999</v>
      </c>
      <c r="L215" s="142">
        <f t="shared" si="34"/>
        <v>143151.30738399999</v>
      </c>
      <c r="M215" s="236">
        <f t="shared" si="35"/>
        <v>24200</v>
      </c>
      <c r="N215" s="236">
        <f t="shared" si="36"/>
        <v>95000</v>
      </c>
      <c r="O215" s="236">
        <f t="shared" si="37"/>
        <v>119200</v>
      </c>
      <c r="P215" s="301">
        <f t="shared" si="38"/>
        <v>22506</v>
      </c>
      <c r="Q215" s="301">
        <f t="shared" si="39"/>
        <v>88350</v>
      </c>
      <c r="R215" s="300">
        <f t="shared" si="40"/>
        <v>110856</v>
      </c>
    </row>
    <row r="216" spans="1:18" x14ac:dyDescent="0.25">
      <c r="A216" s="155">
        <v>205</v>
      </c>
      <c r="B216" s="159" t="s">
        <v>531</v>
      </c>
      <c r="C216" s="153" t="s">
        <v>153</v>
      </c>
      <c r="D216" s="200">
        <v>174000</v>
      </c>
      <c r="E216" s="173">
        <v>599000</v>
      </c>
      <c r="F216" s="201">
        <f t="shared" si="31"/>
        <v>773000</v>
      </c>
      <c r="G216" s="259">
        <f t="shared" si="32"/>
        <v>144000</v>
      </c>
      <c r="H216" s="260">
        <v>720000</v>
      </c>
      <c r="I216" s="260">
        <f t="shared" si="33"/>
        <v>864000</v>
      </c>
      <c r="J216" s="144">
        <f>364398.350682528-1000</f>
        <v>363398.35068252799</v>
      </c>
      <c r="K216" s="144">
        <v>1457593.402730112</v>
      </c>
      <c r="L216" s="142">
        <f t="shared" si="34"/>
        <v>1820991.75341264</v>
      </c>
      <c r="M216" s="236">
        <f t="shared" si="35"/>
        <v>144000</v>
      </c>
      <c r="N216" s="236">
        <f t="shared" si="36"/>
        <v>599000</v>
      </c>
      <c r="O216" s="236">
        <f t="shared" si="37"/>
        <v>743000</v>
      </c>
      <c r="P216" s="301">
        <f t="shared" si="38"/>
        <v>133920</v>
      </c>
      <c r="Q216" s="301">
        <f t="shared" si="39"/>
        <v>557070</v>
      </c>
      <c r="R216" s="300">
        <f t="shared" si="40"/>
        <v>690990</v>
      </c>
    </row>
    <row r="217" spans="1:18" ht="22.5" x14ac:dyDescent="0.25">
      <c r="A217" s="155"/>
      <c r="B217" s="163" t="s">
        <v>44</v>
      </c>
      <c r="C217" s="153" t="s">
        <v>153</v>
      </c>
      <c r="D217" s="200">
        <v>0</v>
      </c>
      <c r="E217" s="173">
        <v>0</v>
      </c>
      <c r="F217" s="201">
        <f t="shared" si="31"/>
        <v>0</v>
      </c>
      <c r="G217" s="259">
        <f t="shared" si="32"/>
        <v>0</v>
      </c>
      <c r="H217" s="260">
        <v>0</v>
      </c>
      <c r="I217" s="260">
        <f t="shared" si="33"/>
        <v>0</v>
      </c>
      <c r="J217" s="144">
        <f>100946.664-1000</f>
        <v>99946.664000000004</v>
      </c>
      <c r="K217" s="144">
        <v>403786.65599999996</v>
      </c>
      <c r="L217" s="142">
        <f t="shared" si="34"/>
        <v>503733.31999999995</v>
      </c>
      <c r="M217" s="236">
        <f t="shared" si="35"/>
        <v>0</v>
      </c>
      <c r="N217" s="236">
        <f t="shared" si="36"/>
        <v>0</v>
      </c>
      <c r="O217" s="236">
        <f t="shared" si="37"/>
        <v>0</v>
      </c>
      <c r="P217" s="301">
        <f t="shared" si="38"/>
        <v>0</v>
      </c>
      <c r="Q217" s="301">
        <f t="shared" si="39"/>
        <v>0</v>
      </c>
      <c r="R217" s="300">
        <f t="shared" si="40"/>
        <v>0</v>
      </c>
    </row>
    <row r="218" spans="1:18" x14ac:dyDescent="0.25">
      <c r="A218" s="155">
        <v>206</v>
      </c>
      <c r="B218" s="58" t="s">
        <v>86</v>
      </c>
      <c r="C218" s="153" t="s">
        <v>153</v>
      </c>
      <c r="D218" s="200">
        <v>34000</v>
      </c>
      <c r="E218" s="173">
        <v>117000</v>
      </c>
      <c r="F218" s="201">
        <f t="shared" si="31"/>
        <v>151000</v>
      </c>
      <c r="G218" s="259">
        <f t="shared" si="32"/>
        <v>28200</v>
      </c>
      <c r="H218" s="260">
        <v>141000</v>
      </c>
      <c r="I218" s="260">
        <f t="shared" si="33"/>
        <v>169200</v>
      </c>
      <c r="J218" s="144">
        <f>92306.0019443472-1000</f>
        <v>91306.001944347197</v>
      </c>
      <c r="K218" s="144">
        <v>369224.00777738885</v>
      </c>
      <c r="L218" s="142">
        <f t="shared" si="34"/>
        <v>460530.00972173607</v>
      </c>
      <c r="M218" s="236">
        <f t="shared" si="35"/>
        <v>28200</v>
      </c>
      <c r="N218" s="236">
        <f t="shared" si="36"/>
        <v>117000</v>
      </c>
      <c r="O218" s="236">
        <f t="shared" si="37"/>
        <v>145200</v>
      </c>
      <c r="P218" s="301">
        <f t="shared" si="38"/>
        <v>26226</v>
      </c>
      <c r="Q218" s="301">
        <f t="shared" si="39"/>
        <v>108810</v>
      </c>
      <c r="R218" s="300">
        <f t="shared" si="40"/>
        <v>135036</v>
      </c>
    </row>
    <row r="219" spans="1:18" x14ac:dyDescent="0.25">
      <c r="A219" s="155">
        <v>207</v>
      </c>
      <c r="B219" s="159" t="s">
        <v>45</v>
      </c>
      <c r="C219" s="153" t="s">
        <v>153</v>
      </c>
      <c r="D219" s="200">
        <v>41000</v>
      </c>
      <c r="E219" s="173">
        <v>163000</v>
      </c>
      <c r="F219" s="201">
        <f t="shared" si="31"/>
        <v>204000</v>
      </c>
      <c r="G219" s="259">
        <f t="shared" si="32"/>
        <v>38000</v>
      </c>
      <c r="H219" s="260">
        <v>190000</v>
      </c>
      <c r="I219" s="260">
        <f t="shared" si="33"/>
        <v>228000</v>
      </c>
      <c r="J219" s="144">
        <f>34459.7354073037-1000</f>
        <v>33459.735407303699</v>
      </c>
      <c r="K219" s="144">
        <v>137838.941629215</v>
      </c>
      <c r="L219" s="142">
        <f t="shared" si="34"/>
        <v>171298.6770365187</v>
      </c>
      <c r="M219" s="236">
        <f t="shared" si="35"/>
        <v>33459.735407303699</v>
      </c>
      <c r="N219" s="236">
        <f t="shared" si="36"/>
        <v>137838.941629215</v>
      </c>
      <c r="O219" s="236">
        <f t="shared" si="37"/>
        <v>171298.6770365187</v>
      </c>
      <c r="P219" s="301">
        <f t="shared" si="38"/>
        <v>31117.55392879244</v>
      </c>
      <c r="Q219" s="301">
        <f t="shared" si="39"/>
        <v>128190.21571516995</v>
      </c>
      <c r="R219" s="300">
        <f t="shared" si="40"/>
        <v>159307.76964396238</v>
      </c>
    </row>
    <row r="220" spans="1:18" x14ac:dyDescent="0.25">
      <c r="A220" s="155">
        <v>208</v>
      </c>
      <c r="B220" s="164" t="s">
        <v>243</v>
      </c>
      <c r="C220" s="153" t="s">
        <v>153</v>
      </c>
      <c r="D220" s="200">
        <v>95000</v>
      </c>
      <c r="E220" s="173">
        <v>381000</v>
      </c>
      <c r="F220" s="201">
        <f t="shared" si="31"/>
        <v>476000</v>
      </c>
      <c r="G220" s="259">
        <f t="shared" si="32"/>
        <v>88800</v>
      </c>
      <c r="H220" s="260">
        <v>444000</v>
      </c>
      <c r="I220" s="260">
        <f t="shared" si="33"/>
        <v>532800</v>
      </c>
      <c r="J220" s="144">
        <f>80757.3312-1000</f>
        <v>79757.331200000001</v>
      </c>
      <c r="K220" s="144">
        <v>323029.32480000006</v>
      </c>
      <c r="L220" s="142">
        <f t="shared" si="34"/>
        <v>402786.65600000008</v>
      </c>
      <c r="M220" s="236">
        <f t="shared" si="35"/>
        <v>79757.331200000001</v>
      </c>
      <c r="N220" s="236">
        <f t="shared" si="36"/>
        <v>323029.32480000006</v>
      </c>
      <c r="O220" s="236">
        <f t="shared" si="37"/>
        <v>402786.65600000008</v>
      </c>
      <c r="P220" s="301">
        <f t="shared" si="38"/>
        <v>74174.318016000005</v>
      </c>
      <c r="Q220" s="301">
        <f t="shared" si="39"/>
        <v>300417.27206400008</v>
      </c>
      <c r="R220" s="300">
        <f t="shared" si="40"/>
        <v>374591.59008000011</v>
      </c>
    </row>
    <row r="221" spans="1:18" x14ac:dyDescent="0.25">
      <c r="A221" s="155">
        <v>209</v>
      </c>
      <c r="B221" s="159" t="s">
        <v>46</v>
      </c>
      <c r="C221" s="153" t="s">
        <v>153</v>
      </c>
      <c r="D221" s="200">
        <v>56000</v>
      </c>
      <c r="E221" s="173">
        <v>119000</v>
      </c>
      <c r="F221" s="201">
        <f t="shared" si="31"/>
        <v>175000</v>
      </c>
      <c r="G221" s="259">
        <f t="shared" si="32"/>
        <v>19400</v>
      </c>
      <c r="H221" s="260">
        <v>97000</v>
      </c>
      <c r="I221" s="260">
        <f t="shared" si="33"/>
        <v>116400</v>
      </c>
      <c r="J221" s="144">
        <f>92306.0019443472-1000</f>
        <v>91306.001944347197</v>
      </c>
      <c r="K221" s="144">
        <v>369224.00777738885</v>
      </c>
      <c r="L221" s="142">
        <f t="shared" si="34"/>
        <v>460530.00972173607</v>
      </c>
      <c r="M221" s="236">
        <f t="shared" si="35"/>
        <v>19400</v>
      </c>
      <c r="N221" s="236">
        <f t="shared" si="36"/>
        <v>97000</v>
      </c>
      <c r="O221" s="236">
        <f t="shared" si="37"/>
        <v>116400</v>
      </c>
      <c r="P221" s="301">
        <f t="shared" si="38"/>
        <v>18042</v>
      </c>
      <c r="Q221" s="301">
        <f t="shared" si="39"/>
        <v>90210</v>
      </c>
      <c r="R221" s="300">
        <f t="shared" si="40"/>
        <v>108252</v>
      </c>
    </row>
    <row r="222" spans="1:18" x14ac:dyDescent="0.25">
      <c r="A222" s="155">
        <v>210</v>
      </c>
      <c r="B222" s="58" t="s">
        <v>87</v>
      </c>
      <c r="C222" s="153" t="s">
        <v>153</v>
      </c>
      <c r="D222" s="200">
        <v>41000</v>
      </c>
      <c r="E222" s="173">
        <v>127000</v>
      </c>
      <c r="F222" s="201">
        <f t="shared" si="31"/>
        <v>168000</v>
      </c>
      <c r="G222" s="259">
        <f t="shared" si="32"/>
        <v>31400</v>
      </c>
      <c r="H222" s="260">
        <v>157000</v>
      </c>
      <c r="I222" s="260">
        <f t="shared" si="33"/>
        <v>188400</v>
      </c>
      <c r="J222" s="144">
        <f>75049.7515476966-1000</f>
        <v>74049.751547696593</v>
      </c>
      <c r="K222" s="144">
        <v>300199.00619078643</v>
      </c>
      <c r="L222" s="142">
        <f t="shared" si="34"/>
        <v>374248.75773848302</v>
      </c>
      <c r="M222" s="236">
        <f t="shared" si="35"/>
        <v>31400</v>
      </c>
      <c r="N222" s="236">
        <f t="shared" si="36"/>
        <v>127000</v>
      </c>
      <c r="O222" s="236">
        <f t="shared" si="37"/>
        <v>158400</v>
      </c>
      <c r="P222" s="301">
        <f t="shared" si="38"/>
        <v>29202</v>
      </c>
      <c r="Q222" s="301">
        <f t="shared" si="39"/>
        <v>118110</v>
      </c>
      <c r="R222" s="300">
        <f t="shared" si="40"/>
        <v>147312</v>
      </c>
    </row>
    <row r="223" spans="1:18" x14ac:dyDescent="0.25">
      <c r="A223" s="155">
        <v>211</v>
      </c>
      <c r="B223" s="55" t="s">
        <v>129</v>
      </c>
      <c r="C223" s="153" t="s">
        <v>153</v>
      </c>
      <c r="D223" s="200">
        <v>17000</v>
      </c>
      <c r="E223" s="173">
        <v>67000</v>
      </c>
      <c r="F223" s="201">
        <f t="shared" si="31"/>
        <v>84000</v>
      </c>
      <c r="G223" s="259">
        <f t="shared" si="32"/>
        <v>16000</v>
      </c>
      <c r="H223" s="260">
        <v>80000</v>
      </c>
      <c r="I223" s="260">
        <f t="shared" si="33"/>
        <v>96000</v>
      </c>
      <c r="J223" s="144">
        <f>14123.5267146972-1000</f>
        <v>13123.5267146972</v>
      </c>
      <c r="K223" s="144">
        <v>56494.106858788786</v>
      </c>
      <c r="L223" s="142">
        <f t="shared" si="34"/>
        <v>69617.633573485989</v>
      </c>
      <c r="M223" s="236">
        <f t="shared" si="35"/>
        <v>13123.5267146972</v>
      </c>
      <c r="N223" s="236">
        <f t="shared" si="36"/>
        <v>56494.106858788786</v>
      </c>
      <c r="O223" s="236">
        <f t="shared" si="37"/>
        <v>69617.633573485989</v>
      </c>
      <c r="P223" s="301">
        <f t="shared" si="38"/>
        <v>12204.879844668396</v>
      </c>
      <c r="Q223" s="301">
        <f t="shared" si="39"/>
        <v>52539.519378673569</v>
      </c>
      <c r="R223" s="300">
        <f t="shared" si="40"/>
        <v>64744.399223341963</v>
      </c>
    </row>
    <row r="224" spans="1:18" ht="22.5" x14ac:dyDescent="0.25">
      <c r="A224" s="155"/>
      <c r="B224" s="163" t="s">
        <v>59</v>
      </c>
      <c r="C224" s="153" t="s">
        <v>153</v>
      </c>
      <c r="D224" s="200">
        <v>0</v>
      </c>
      <c r="E224" s="173">
        <v>0</v>
      </c>
      <c r="F224" s="201">
        <f t="shared" si="31"/>
        <v>0</v>
      </c>
      <c r="G224" s="259">
        <f t="shared" si="32"/>
        <v>0</v>
      </c>
      <c r="H224" s="260">
        <v>0</v>
      </c>
      <c r="I224" s="260">
        <f t="shared" si="33"/>
        <v>0</v>
      </c>
      <c r="J224" s="144"/>
      <c r="K224" s="144"/>
      <c r="L224" s="142">
        <f t="shared" si="34"/>
        <v>0</v>
      </c>
      <c r="M224" s="236">
        <f t="shared" si="35"/>
        <v>0</v>
      </c>
      <c r="N224" s="236">
        <f t="shared" si="36"/>
        <v>0</v>
      </c>
      <c r="O224" s="236">
        <f t="shared" si="37"/>
        <v>0</v>
      </c>
      <c r="P224" s="301">
        <f t="shared" si="38"/>
        <v>0</v>
      </c>
      <c r="Q224" s="301">
        <f t="shared" si="39"/>
        <v>0</v>
      </c>
      <c r="R224" s="300">
        <f t="shared" si="40"/>
        <v>0</v>
      </c>
    </row>
    <row r="225" spans="1:18" x14ac:dyDescent="0.25">
      <c r="A225" s="155">
        <v>212</v>
      </c>
      <c r="B225" s="159" t="s">
        <v>60</v>
      </c>
      <c r="C225" s="153" t="s">
        <v>153</v>
      </c>
      <c r="D225" s="200">
        <v>34000</v>
      </c>
      <c r="E225" s="173">
        <v>135000</v>
      </c>
      <c r="F225" s="201">
        <f t="shared" si="31"/>
        <v>169000</v>
      </c>
      <c r="G225" s="259">
        <f t="shared" si="32"/>
        <v>31400</v>
      </c>
      <c r="H225" s="260">
        <v>157000</v>
      </c>
      <c r="I225" s="260">
        <f t="shared" si="33"/>
        <v>188400</v>
      </c>
      <c r="J225" s="144">
        <f>28526.5171618816-1000</f>
        <v>27526.517161881598</v>
      </c>
      <c r="K225" s="144">
        <v>114106.06864752639</v>
      </c>
      <c r="L225" s="142">
        <f t="shared" si="34"/>
        <v>141632.58580940799</v>
      </c>
      <c r="M225" s="236">
        <f t="shared" si="35"/>
        <v>27526.517161881598</v>
      </c>
      <c r="N225" s="236">
        <f t="shared" si="36"/>
        <v>114106.06864752639</v>
      </c>
      <c r="O225" s="236">
        <f t="shared" si="37"/>
        <v>141632.58580940799</v>
      </c>
      <c r="P225" s="301">
        <f t="shared" si="38"/>
        <v>25599.660960549885</v>
      </c>
      <c r="Q225" s="301">
        <f t="shared" si="39"/>
        <v>106118.64384219954</v>
      </c>
      <c r="R225" s="300">
        <f t="shared" si="40"/>
        <v>131718.30480274942</v>
      </c>
    </row>
    <row r="226" spans="1:18" x14ac:dyDescent="0.25">
      <c r="A226" s="155">
        <v>213</v>
      </c>
      <c r="B226" s="159" t="s">
        <v>131</v>
      </c>
      <c r="C226" s="153" t="s">
        <v>153</v>
      </c>
      <c r="D226" s="200">
        <v>17000</v>
      </c>
      <c r="E226" s="173">
        <v>51000</v>
      </c>
      <c r="F226" s="201">
        <f t="shared" si="31"/>
        <v>68000</v>
      </c>
      <c r="G226" s="259">
        <f t="shared" si="32"/>
        <v>12800</v>
      </c>
      <c r="H226" s="260">
        <v>64000</v>
      </c>
      <c r="I226" s="260">
        <f t="shared" si="33"/>
        <v>76800</v>
      </c>
      <c r="J226" s="144">
        <f>170638.380089667-1000</f>
        <v>169638.38008966699</v>
      </c>
      <c r="K226" s="144">
        <v>682553.52035866864</v>
      </c>
      <c r="L226" s="142">
        <f t="shared" si="34"/>
        <v>852191.90044833557</v>
      </c>
      <c r="M226" s="236">
        <f t="shared" si="35"/>
        <v>12800</v>
      </c>
      <c r="N226" s="236">
        <f t="shared" si="36"/>
        <v>51000</v>
      </c>
      <c r="O226" s="236">
        <f t="shared" si="37"/>
        <v>63800</v>
      </c>
      <c r="P226" s="301">
        <f t="shared" si="38"/>
        <v>11904</v>
      </c>
      <c r="Q226" s="301">
        <f t="shared" si="39"/>
        <v>47430</v>
      </c>
      <c r="R226" s="300">
        <f t="shared" si="40"/>
        <v>59334</v>
      </c>
    </row>
    <row r="227" spans="1:18" x14ac:dyDescent="0.25">
      <c r="A227" s="155">
        <v>214</v>
      </c>
      <c r="B227" s="159" t="s">
        <v>244</v>
      </c>
      <c r="C227" s="153" t="s">
        <v>153</v>
      </c>
      <c r="D227" s="200">
        <v>36000</v>
      </c>
      <c r="E227" s="173">
        <v>124000</v>
      </c>
      <c r="F227" s="201">
        <f t="shared" si="31"/>
        <v>160000</v>
      </c>
      <c r="G227" s="259">
        <f t="shared" si="32"/>
        <v>29800</v>
      </c>
      <c r="H227" s="260">
        <v>149000</v>
      </c>
      <c r="I227" s="260">
        <f t="shared" si="33"/>
        <v>178800</v>
      </c>
      <c r="J227" s="144">
        <f>65863.1451994689-1000</f>
        <v>64863.145199468898</v>
      </c>
      <c r="K227" s="144">
        <v>263452.58079787553</v>
      </c>
      <c r="L227" s="142">
        <f t="shared" si="34"/>
        <v>328315.72599734442</v>
      </c>
      <c r="M227" s="236">
        <f t="shared" si="35"/>
        <v>29800</v>
      </c>
      <c r="N227" s="236">
        <f t="shared" si="36"/>
        <v>124000</v>
      </c>
      <c r="O227" s="236">
        <f t="shared" si="37"/>
        <v>153800</v>
      </c>
      <c r="P227" s="301">
        <f t="shared" si="38"/>
        <v>27714</v>
      </c>
      <c r="Q227" s="301">
        <f t="shared" si="39"/>
        <v>115320</v>
      </c>
      <c r="R227" s="300">
        <f t="shared" si="40"/>
        <v>143034</v>
      </c>
    </row>
    <row r="228" spans="1:18" x14ac:dyDescent="0.25">
      <c r="A228" s="155">
        <v>215</v>
      </c>
      <c r="B228" s="159" t="s">
        <v>61</v>
      </c>
      <c r="C228" s="153" t="s">
        <v>153</v>
      </c>
      <c r="D228" s="200">
        <v>34000</v>
      </c>
      <c r="E228" s="173">
        <v>82000</v>
      </c>
      <c r="F228" s="201">
        <f t="shared" si="31"/>
        <v>116000</v>
      </c>
      <c r="G228" s="259">
        <f t="shared" si="32"/>
        <v>21400</v>
      </c>
      <c r="H228" s="260">
        <v>107000</v>
      </c>
      <c r="I228" s="260">
        <f t="shared" si="33"/>
        <v>128400</v>
      </c>
      <c r="J228" s="144">
        <f>65863.1451994689-1000</f>
        <v>64863.145199468898</v>
      </c>
      <c r="K228" s="144">
        <v>263452.58079787553</v>
      </c>
      <c r="L228" s="142">
        <f t="shared" si="34"/>
        <v>328315.72599734442</v>
      </c>
      <c r="M228" s="236">
        <f t="shared" si="35"/>
        <v>21400</v>
      </c>
      <c r="N228" s="236">
        <f t="shared" si="36"/>
        <v>82000</v>
      </c>
      <c r="O228" s="236">
        <f t="shared" si="37"/>
        <v>103400</v>
      </c>
      <c r="P228" s="301">
        <f t="shared" si="38"/>
        <v>19902</v>
      </c>
      <c r="Q228" s="301">
        <f t="shared" si="39"/>
        <v>76260</v>
      </c>
      <c r="R228" s="300">
        <f t="shared" si="40"/>
        <v>96162</v>
      </c>
    </row>
    <row r="229" spans="1:18" x14ac:dyDescent="0.25">
      <c r="A229" s="155">
        <v>216</v>
      </c>
      <c r="B229" s="159" t="s">
        <v>532</v>
      </c>
      <c r="C229" s="153" t="s">
        <v>153</v>
      </c>
      <c r="D229" s="200">
        <v>5000</v>
      </c>
      <c r="E229" s="173">
        <v>21000</v>
      </c>
      <c r="F229" s="201">
        <f t="shared" si="31"/>
        <v>26000</v>
      </c>
      <c r="G229" s="259">
        <f t="shared" si="32"/>
        <v>4800</v>
      </c>
      <c r="H229" s="260">
        <v>24000</v>
      </c>
      <c r="I229" s="260">
        <f t="shared" si="33"/>
        <v>28800</v>
      </c>
      <c r="J229" s="144">
        <f>4350-500</f>
        <v>3850</v>
      </c>
      <c r="K229" s="144">
        <v>17400</v>
      </c>
      <c r="L229" s="142">
        <f t="shared" si="34"/>
        <v>21250</v>
      </c>
      <c r="M229" s="236">
        <f t="shared" si="35"/>
        <v>3850</v>
      </c>
      <c r="N229" s="236">
        <f t="shared" si="36"/>
        <v>17400</v>
      </c>
      <c r="O229" s="236">
        <f t="shared" si="37"/>
        <v>21250</v>
      </c>
      <c r="P229" s="301">
        <f t="shared" si="38"/>
        <v>3580.5</v>
      </c>
      <c r="Q229" s="301">
        <f t="shared" si="39"/>
        <v>16182</v>
      </c>
      <c r="R229" s="300">
        <f t="shared" si="40"/>
        <v>19762.5</v>
      </c>
    </row>
    <row r="230" spans="1:18" x14ac:dyDescent="0.25">
      <c r="A230" s="155">
        <v>217</v>
      </c>
      <c r="B230" s="159" t="s">
        <v>321</v>
      </c>
      <c r="C230" s="153" t="s">
        <v>153</v>
      </c>
      <c r="D230" s="200">
        <v>10000</v>
      </c>
      <c r="E230" s="173">
        <v>40000</v>
      </c>
      <c r="F230" s="201">
        <f t="shared" si="31"/>
        <v>50000</v>
      </c>
      <c r="G230" s="259">
        <f t="shared" si="32"/>
        <v>9400</v>
      </c>
      <c r="H230" s="260">
        <v>47000</v>
      </c>
      <c r="I230" s="260">
        <f t="shared" si="33"/>
        <v>56400</v>
      </c>
      <c r="J230" s="144">
        <f>8553.48901372125-500</f>
        <v>8053.4890137212496</v>
      </c>
      <c r="K230" s="144">
        <v>34213.956054885013</v>
      </c>
      <c r="L230" s="142">
        <f t="shared" si="34"/>
        <v>42267.445068606263</v>
      </c>
      <c r="M230" s="236">
        <f t="shared" si="35"/>
        <v>8053.4890137212496</v>
      </c>
      <c r="N230" s="236">
        <f t="shared" si="36"/>
        <v>34213.956054885013</v>
      </c>
      <c r="O230" s="236">
        <f t="shared" si="37"/>
        <v>42267.445068606263</v>
      </c>
      <c r="P230" s="301">
        <f t="shared" si="38"/>
        <v>7489.7447827607621</v>
      </c>
      <c r="Q230" s="301">
        <f t="shared" si="39"/>
        <v>31818.979131043063</v>
      </c>
      <c r="R230" s="300">
        <f t="shared" si="40"/>
        <v>39308.723913803828</v>
      </c>
    </row>
    <row r="231" spans="1:18" x14ac:dyDescent="0.25">
      <c r="A231" s="155">
        <v>218</v>
      </c>
      <c r="B231" s="159" t="s">
        <v>104</v>
      </c>
      <c r="C231" s="153" t="s">
        <v>153</v>
      </c>
      <c r="D231" s="200">
        <v>8000</v>
      </c>
      <c r="E231" s="173">
        <v>33000</v>
      </c>
      <c r="F231" s="201">
        <f t="shared" si="31"/>
        <v>41000</v>
      </c>
      <c r="G231" s="259">
        <f t="shared" si="32"/>
        <v>7800</v>
      </c>
      <c r="H231" s="260">
        <v>39000</v>
      </c>
      <c r="I231" s="260">
        <f t="shared" si="33"/>
        <v>46800</v>
      </c>
      <c r="J231" s="144">
        <f>7089.224058-500</f>
        <v>6589.2240579999998</v>
      </c>
      <c r="K231" s="144">
        <v>28356.896231999999</v>
      </c>
      <c r="L231" s="142">
        <f t="shared" si="34"/>
        <v>34946.120289999999</v>
      </c>
      <c r="M231" s="236">
        <f t="shared" si="35"/>
        <v>6589.2240579999998</v>
      </c>
      <c r="N231" s="236">
        <f t="shared" si="36"/>
        <v>28356.896231999999</v>
      </c>
      <c r="O231" s="236">
        <f t="shared" si="37"/>
        <v>34946.120289999999</v>
      </c>
      <c r="P231" s="301">
        <f t="shared" si="38"/>
        <v>6127.97837394</v>
      </c>
      <c r="Q231" s="301">
        <f t="shared" si="39"/>
        <v>26371.91349576</v>
      </c>
      <c r="R231" s="300">
        <f t="shared" si="40"/>
        <v>32499.891869700001</v>
      </c>
    </row>
    <row r="232" spans="1:18" x14ac:dyDescent="0.25">
      <c r="A232" s="155">
        <v>219</v>
      </c>
      <c r="B232" s="159" t="s">
        <v>247</v>
      </c>
      <c r="C232" s="153" t="s">
        <v>153</v>
      </c>
      <c r="D232" s="200">
        <v>5000</v>
      </c>
      <c r="E232" s="173">
        <v>16000</v>
      </c>
      <c r="F232" s="201">
        <f t="shared" si="31"/>
        <v>21000</v>
      </c>
      <c r="G232" s="259">
        <f t="shared" si="32"/>
        <v>4000</v>
      </c>
      <c r="H232" s="260">
        <v>20000</v>
      </c>
      <c r="I232" s="260">
        <f t="shared" si="33"/>
        <v>24000</v>
      </c>
      <c r="J232" s="144">
        <f>4350-500</f>
        <v>3850</v>
      </c>
      <c r="K232" s="144">
        <v>17400</v>
      </c>
      <c r="L232" s="142">
        <f t="shared" si="34"/>
        <v>21250</v>
      </c>
      <c r="M232" s="236">
        <f t="shared" si="35"/>
        <v>3850</v>
      </c>
      <c r="N232" s="236">
        <f t="shared" si="36"/>
        <v>16000</v>
      </c>
      <c r="O232" s="236">
        <f t="shared" si="37"/>
        <v>19850</v>
      </c>
      <c r="P232" s="301">
        <f t="shared" si="38"/>
        <v>3580.5</v>
      </c>
      <c r="Q232" s="301">
        <f t="shared" si="39"/>
        <v>14880</v>
      </c>
      <c r="R232" s="300">
        <f t="shared" si="40"/>
        <v>18460.5</v>
      </c>
    </row>
    <row r="233" spans="1:18" x14ac:dyDescent="0.25">
      <c r="A233" s="155">
        <v>220</v>
      </c>
      <c r="B233" s="159" t="s">
        <v>248</v>
      </c>
      <c r="C233" s="153" t="s">
        <v>153</v>
      </c>
      <c r="D233" s="200">
        <v>10000</v>
      </c>
      <c r="E233" s="173">
        <v>31000</v>
      </c>
      <c r="F233" s="201">
        <f t="shared" si="31"/>
        <v>41000</v>
      </c>
      <c r="G233" s="259">
        <f t="shared" si="32"/>
        <v>7600</v>
      </c>
      <c r="H233" s="260">
        <v>38000</v>
      </c>
      <c r="I233" s="260">
        <f t="shared" si="33"/>
        <v>45600</v>
      </c>
      <c r="J233" s="144">
        <f>1174393.584-1000</f>
        <v>1173393.584</v>
      </c>
      <c r="K233" s="144">
        <v>4697574.3359999992</v>
      </c>
      <c r="L233" s="142">
        <f t="shared" si="34"/>
        <v>5870967.919999999</v>
      </c>
      <c r="M233" s="236">
        <f t="shared" si="35"/>
        <v>7600</v>
      </c>
      <c r="N233" s="236">
        <f t="shared" si="36"/>
        <v>31000</v>
      </c>
      <c r="O233" s="236">
        <f t="shared" si="37"/>
        <v>38600</v>
      </c>
      <c r="P233" s="301">
        <f t="shared" si="38"/>
        <v>7068</v>
      </c>
      <c r="Q233" s="301">
        <f t="shared" si="39"/>
        <v>28830</v>
      </c>
      <c r="R233" s="300">
        <f t="shared" si="40"/>
        <v>35898</v>
      </c>
    </row>
    <row r="234" spans="1:18" x14ac:dyDescent="0.25">
      <c r="A234" s="155">
        <v>221</v>
      </c>
      <c r="B234" s="159" t="s">
        <v>249</v>
      </c>
      <c r="C234" s="153" t="s">
        <v>153</v>
      </c>
      <c r="D234" s="200">
        <v>8000</v>
      </c>
      <c r="E234" s="173">
        <v>28000</v>
      </c>
      <c r="F234" s="201">
        <f t="shared" si="31"/>
        <v>36000</v>
      </c>
      <c r="G234" s="259">
        <f t="shared" si="32"/>
        <v>6800</v>
      </c>
      <c r="H234" s="260">
        <v>34000</v>
      </c>
      <c r="I234" s="260">
        <f t="shared" si="33"/>
        <v>40800</v>
      </c>
      <c r="J234" s="144">
        <f>1074868.704-500</f>
        <v>1074368.7039999999</v>
      </c>
      <c r="K234" s="144">
        <v>4299474.8159999996</v>
      </c>
      <c r="L234" s="142">
        <f t="shared" si="34"/>
        <v>5373843.5199999996</v>
      </c>
      <c r="M234" s="236">
        <f t="shared" si="35"/>
        <v>6800</v>
      </c>
      <c r="N234" s="236">
        <f t="shared" si="36"/>
        <v>28000</v>
      </c>
      <c r="O234" s="236">
        <f t="shared" si="37"/>
        <v>34800</v>
      </c>
      <c r="P234" s="301">
        <f t="shared" si="38"/>
        <v>6324</v>
      </c>
      <c r="Q234" s="301">
        <f t="shared" si="39"/>
        <v>26040</v>
      </c>
      <c r="R234" s="300">
        <f t="shared" si="40"/>
        <v>32364</v>
      </c>
    </row>
    <row r="235" spans="1:18" ht="22.5" x14ac:dyDescent="0.25">
      <c r="A235" s="155"/>
      <c r="B235" s="165" t="s">
        <v>47</v>
      </c>
      <c r="C235" s="153" t="s">
        <v>153</v>
      </c>
      <c r="D235" s="200">
        <v>0</v>
      </c>
      <c r="E235" s="173">
        <v>0</v>
      </c>
      <c r="F235" s="201">
        <f t="shared" si="31"/>
        <v>0</v>
      </c>
      <c r="G235" s="259">
        <f t="shared" si="32"/>
        <v>0</v>
      </c>
      <c r="H235" s="260">
        <v>0</v>
      </c>
      <c r="I235" s="260">
        <f t="shared" si="33"/>
        <v>0</v>
      </c>
      <c r="J235" s="144">
        <f>784000-500</f>
        <v>783500</v>
      </c>
      <c r="K235" s="144">
        <v>3136000</v>
      </c>
      <c r="L235" s="142">
        <f t="shared" si="34"/>
        <v>3919500</v>
      </c>
      <c r="M235" s="236">
        <f t="shared" si="35"/>
        <v>0</v>
      </c>
      <c r="N235" s="236">
        <f t="shared" si="36"/>
        <v>0</v>
      </c>
      <c r="O235" s="236">
        <f t="shared" si="37"/>
        <v>0</v>
      </c>
      <c r="P235" s="301">
        <f t="shared" si="38"/>
        <v>0</v>
      </c>
      <c r="Q235" s="301">
        <f t="shared" si="39"/>
        <v>0</v>
      </c>
      <c r="R235" s="300">
        <f t="shared" si="40"/>
        <v>0</v>
      </c>
    </row>
    <row r="236" spans="1:18" x14ac:dyDescent="0.25">
      <c r="A236" s="155">
        <v>222</v>
      </c>
      <c r="B236" s="159" t="s">
        <v>533</v>
      </c>
      <c r="C236" s="153" t="s">
        <v>153</v>
      </c>
      <c r="D236" s="200">
        <v>101000</v>
      </c>
      <c r="E236" s="173">
        <v>405000</v>
      </c>
      <c r="F236" s="201">
        <f t="shared" si="31"/>
        <v>506000</v>
      </c>
      <c r="G236" s="259">
        <f t="shared" si="32"/>
        <v>94400</v>
      </c>
      <c r="H236" s="260">
        <v>472000</v>
      </c>
      <c r="I236" s="260">
        <f t="shared" si="33"/>
        <v>566400</v>
      </c>
      <c r="J236" s="144">
        <f xml:space="preserve"> 85853.5899067103-1000</f>
        <v>84853.589906710302</v>
      </c>
      <c r="K236" s="144">
        <v>343414.35962684138</v>
      </c>
      <c r="L236" s="142">
        <f t="shared" si="34"/>
        <v>428267.9495335517</v>
      </c>
      <c r="M236" s="236">
        <f t="shared" si="35"/>
        <v>84853.589906710302</v>
      </c>
      <c r="N236" s="236">
        <f t="shared" si="36"/>
        <v>343414.35962684138</v>
      </c>
      <c r="O236" s="236">
        <f t="shared" si="37"/>
        <v>428267.9495335517</v>
      </c>
      <c r="P236" s="301">
        <f t="shared" si="38"/>
        <v>78913.838613240587</v>
      </c>
      <c r="Q236" s="301">
        <f t="shared" si="39"/>
        <v>319375.35445296246</v>
      </c>
      <c r="R236" s="300">
        <f t="shared" si="40"/>
        <v>398289.19306620304</v>
      </c>
    </row>
    <row r="237" spans="1:18" x14ac:dyDescent="0.25">
      <c r="A237" s="155">
        <v>223</v>
      </c>
      <c r="B237" s="159" t="s">
        <v>534</v>
      </c>
      <c r="C237" s="153" t="s">
        <v>153</v>
      </c>
      <c r="D237" s="200">
        <v>150000</v>
      </c>
      <c r="E237" s="173">
        <v>600000</v>
      </c>
      <c r="F237" s="201">
        <f t="shared" si="31"/>
        <v>750000</v>
      </c>
      <c r="G237" s="259">
        <f t="shared" si="32"/>
        <v>139800</v>
      </c>
      <c r="H237" s="260">
        <v>699000</v>
      </c>
      <c r="I237" s="260">
        <f t="shared" si="33"/>
        <v>838800</v>
      </c>
      <c r="J237" s="144">
        <f>127085.906111907-1000</f>
        <v>126085.906111907</v>
      </c>
      <c r="K237" s="144">
        <v>508343.62444762682</v>
      </c>
      <c r="L237" s="142">
        <f t="shared" si="34"/>
        <v>634429.53055953386</v>
      </c>
      <c r="M237" s="236">
        <f t="shared" si="35"/>
        <v>126085.906111907</v>
      </c>
      <c r="N237" s="236">
        <f t="shared" si="36"/>
        <v>508343.62444762682</v>
      </c>
      <c r="O237" s="236">
        <f t="shared" si="37"/>
        <v>634429.53055953386</v>
      </c>
      <c r="P237" s="301">
        <f t="shared" si="38"/>
        <v>117259.89268407351</v>
      </c>
      <c r="Q237" s="301">
        <f t="shared" si="39"/>
        <v>472759.57073629292</v>
      </c>
      <c r="R237" s="300">
        <f t="shared" si="40"/>
        <v>590019.4634203664</v>
      </c>
    </row>
    <row r="238" spans="1:18" x14ac:dyDescent="0.25">
      <c r="A238" s="155">
        <v>224</v>
      </c>
      <c r="B238" s="159" t="s">
        <v>535</v>
      </c>
      <c r="C238" s="153" t="s">
        <v>153</v>
      </c>
      <c r="D238" s="200">
        <v>177000</v>
      </c>
      <c r="E238" s="173">
        <v>706000</v>
      </c>
      <c r="F238" s="201">
        <f t="shared" si="31"/>
        <v>883000</v>
      </c>
      <c r="G238" s="259">
        <f t="shared" si="32"/>
        <v>164800</v>
      </c>
      <c r="H238" s="260">
        <v>824000</v>
      </c>
      <c r="I238" s="260">
        <f t="shared" si="33"/>
        <v>988800</v>
      </c>
      <c r="J238" s="144">
        <f>149678.956087357-1000</f>
        <v>148678.95608735699</v>
      </c>
      <c r="K238" s="144">
        <v>598715.82434942701</v>
      </c>
      <c r="L238" s="142">
        <f t="shared" si="34"/>
        <v>747394.78043678403</v>
      </c>
      <c r="M238" s="236">
        <f t="shared" si="35"/>
        <v>148678.95608735699</v>
      </c>
      <c r="N238" s="236">
        <f t="shared" si="36"/>
        <v>598715.82434942701</v>
      </c>
      <c r="O238" s="236">
        <f t="shared" si="37"/>
        <v>747394.78043678403</v>
      </c>
      <c r="P238" s="301">
        <f t="shared" si="38"/>
        <v>138271.42916124201</v>
      </c>
      <c r="Q238" s="301">
        <f t="shared" si="39"/>
        <v>556805.71664496709</v>
      </c>
      <c r="R238" s="300">
        <f t="shared" si="40"/>
        <v>695077.14580620907</v>
      </c>
    </row>
    <row r="239" spans="1:18" x14ac:dyDescent="0.25">
      <c r="A239" s="155">
        <v>225</v>
      </c>
      <c r="B239" s="159" t="s">
        <v>50</v>
      </c>
      <c r="C239" s="153" t="s">
        <v>153</v>
      </c>
      <c r="D239" s="200">
        <v>101000</v>
      </c>
      <c r="E239" s="173">
        <v>317000</v>
      </c>
      <c r="F239" s="201">
        <f t="shared" si="31"/>
        <v>418000</v>
      </c>
      <c r="G239" s="259">
        <f t="shared" si="32"/>
        <v>78000</v>
      </c>
      <c r="H239" s="260">
        <v>390000</v>
      </c>
      <c r="I239" s="260">
        <f t="shared" si="33"/>
        <v>468000</v>
      </c>
      <c r="J239" s="144">
        <f>292704.38408892-1000</f>
        <v>291704.38408892002</v>
      </c>
      <c r="K239" s="144">
        <v>1170817.5363556799</v>
      </c>
      <c r="L239" s="142">
        <f t="shared" si="34"/>
        <v>1462521.9204445998</v>
      </c>
      <c r="M239" s="236">
        <f t="shared" si="35"/>
        <v>78000</v>
      </c>
      <c r="N239" s="236">
        <f t="shared" si="36"/>
        <v>317000</v>
      </c>
      <c r="O239" s="236">
        <f t="shared" si="37"/>
        <v>395000</v>
      </c>
      <c r="P239" s="301">
        <f t="shared" si="38"/>
        <v>72540</v>
      </c>
      <c r="Q239" s="301">
        <f t="shared" si="39"/>
        <v>294810</v>
      </c>
      <c r="R239" s="300">
        <f t="shared" si="40"/>
        <v>367350</v>
      </c>
    </row>
    <row r="240" spans="1:18" x14ac:dyDescent="0.25">
      <c r="A240" s="155">
        <v>226</v>
      </c>
      <c r="B240" s="159" t="s">
        <v>51</v>
      </c>
      <c r="C240" s="153" t="s">
        <v>153</v>
      </c>
      <c r="D240" s="200">
        <v>148000</v>
      </c>
      <c r="E240" s="173">
        <v>470000</v>
      </c>
      <c r="F240" s="201">
        <f t="shared" si="31"/>
        <v>618000</v>
      </c>
      <c r="G240" s="259">
        <f t="shared" si="32"/>
        <v>115200</v>
      </c>
      <c r="H240" s="260">
        <v>576000</v>
      </c>
      <c r="I240" s="260">
        <f t="shared" si="33"/>
        <v>691200</v>
      </c>
      <c r="J240" s="144">
        <f>206161.581025982-1000</f>
        <v>205161.58102598201</v>
      </c>
      <c r="K240" s="144">
        <v>824646.32410392771</v>
      </c>
      <c r="L240" s="142">
        <f t="shared" si="34"/>
        <v>1029807.9051299097</v>
      </c>
      <c r="M240" s="236">
        <f t="shared" si="35"/>
        <v>115200</v>
      </c>
      <c r="N240" s="236">
        <f t="shared" si="36"/>
        <v>470000</v>
      </c>
      <c r="O240" s="236">
        <f t="shared" si="37"/>
        <v>585200</v>
      </c>
      <c r="P240" s="301">
        <f t="shared" si="38"/>
        <v>107136</v>
      </c>
      <c r="Q240" s="301">
        <f t="shared" si="39"/>
        <v>437100</v>
      </c>
      <c r="R240" s="300">
        <f t="shared" si="40"/>
        <v>544236</v>
      </c>
    </row>
    <row r="241" spans="1:18" x14ac:dyDescent="0.25">
      <c r="A241" s="155">
        <v>227</v>
      </c>
      <c r="B241" s="159" t="s">
        <v>52</v>
      </c>
      <c r="C241" s="153" t="s">
        <v>153</v>
      </c>
      <c r="D241" s="200">
        <v>177000</v>
      </c>
      <c r="E241" s="173">
        <v>553000</v>
      </c>
      <c r="F241" s="201">
        <f t="shared" si="31"/>
        <v>730000</v>
      </c>
      <c r="G241" s="259">
        <f t="shared" si="32"/>
        <v>136200</v>
      </c>
      <c r="H241" s="260">
        <v>681000</v>
      </c>
      <c r="I241" s="260">
        <f t="shared" si="33"/>
        <v>817200</v>
      </c>
      <c r="J241" s="144">
        <f>328196.604680281-1000</f>
        <v>327196.60468028102</v>
      </c>
      <c r="K241" s="144">
        <v>1312786.4187211245</v>
      </c>
      <c r="L241" s="142">
        <f t="shared" si="34"/>
        <v>1639983.0234014057</v>
      </c>
      <c r="M241" s="236">
        <f t="shared" si="35"/>
        <v>136200</v>
      </c>
      <c r="N241" s="236">
        <f t="shared" si="36"/>
        <v>553000</v>
      </c>
      <c r="O241" s="236">
        <f t="shared" si="37"/>
        <v>689200</v>
      </c>
      <c r="P241" s="301">
        <f t="shared" si="38"/>
        <v>126666</v>
      </c>
      <c r="Q241" s="301">
        <f t="shared" si="39"/>
        <v>514290</v>
      </c>
      <c r="R241" s="300">
        <f t="shared" si="40"/>
        <v>640956</v>
      </c>
    </row>
    <row r="242" spans="1:18" x14ac:dyDescent="0.25">
      <c r="A242" s="155">
        <v>228</v>
      </c>
      <c r="B242" s="159" t="s">
        <v>53</v>
      </c>
      <c r="C242" s="153" t="s">
        <v>153</v>
      </c>
      <c r="D242" s="200">
        <v>148000</v>
      </c>
      <c r="E242" s="173">
        <v>1082000</v>
      </c>
      <c r="F242" s="201">
        <f t="shared" si="31"/>
        <v>1230000</v>
      </c>
      <c r="G242" s="259">
        <f t="shared" si="32"/>
        <v>229400</v>
      </c>
      <c r="H242" s="260">
        <v>1147000</v>
      </c>
      <c r="I242" s="260">
        <f t="shared" si="33"/>
        <v>1376400</v>
      </c>
      <c r="J242" s="144">
        <f>299475.1032-1000</f>
        <v>298475.10320000001</v>
      </c>
      <c r="K242" s="144">
        <v>1197900.4128</v>
      </c>
      <c r="L242" s="142">
        <f t="shared" si="34"/>
        <v>1496375.5160000001</v>
      </c>
      <c r="M242" s="236">
        <f t="shared" si="35"/>
        <v>148000</v>
      </c>
      <c r="N242" s="236">
        <f t="shared" si="36"/>
        <v>1082000</v>
      </c>
      <c r="O242" s="236">
        <f t="shared" si="37"/>
        <v>1230000</v>
      </c>
      <c r="P242" s="301">
        <f t="shared" si="38"/>
        <v>137640</v>
      </c>
      <c r="Q242" s="301">
        <f t="shared" si="39"/>
        <v>1006260</v>
      </c>
      <c r="R242" s="300">
        <f t="shared" si="40"/>
        <v>1143900</v>
      </c>
    </row>
    <row r="243" spans="1:18" x14ac:dyDescent="0.25">
      <c r="A243" s="155">
        <v>229</v>
      </c>
      <c r="B243" s="159" t="s">
        <v>54</v>
      </c>
      <c r="C243" s="153" t="s">
        <v>153</v>
      </c>
      <c r="D243" s="200">
        <v>148000</v>
      </c>
      <c r="E243" s="173">
        <v>660000</v>
      </c>
      <c r="F243" s="201">
        <f t="shared" si="31"/>
        <v>808000</v>
      </c>
      <c r="G243" s="259">
        <f t="shared" si="32"/>
        <v>150600</v>
      </c>
      <c r="H243" s="260">
        <v>753000</v>
      </c>
      <c r="I243" s="260">
        <f t="shared" si="33"/>
        <v>903600</v>
      </c>
      <c r="J243" s="144">
        <f>139745.295663773-1000</f>
        <v>138745.29566377299</v>
      </c>
      <c r="K243" s="144">
        <v>558981.18265509035</v>
      </c>
      <c r="L243" s="142">
        <f t="shared" si="34"/>
        <v>697726.47831886332</v>
      </c>
      <c r="M243" s="236">
        <f t="shared" si="35"/>
        <v>138745.29566377299</v>
      </c>
      <c r="N243" s="236">
        <f t="shared" si="36"/>
        <v>558981.18265509035</v>
      </c>
      <c r="O243" s="236">
        <f t="shared" si="37"/>
        <v>697726.47831886332</v>
      </c>
      <c r="P243" s="301">
        <f t="shared" si="38"/>
        <v>129033.12496730889</v>
      </c>
      <c r="Q243" s="301">
        <f t="shared" si="39"/>
        <v>519852.49986923405</v>
      </c>
      <c r="R243" s="300">
        <f t="shared" si="40"/>
        <v>648885.62483654288</v>
      </c>
    </row>
    <row r="244" spans="1:18" x14ac:dyDescent="0.25">
      <c r="A244" s="155">
        <v>230</v>
      </c>
      <c r="B244" s="159" t="s">
        <v>251</v>
      </c>
      <c r="C244" s="153" t="s">
        <v>153</v>
      </c>
      <c r="D244" s="200">
        <v>387000</v>
      </c>
      <c r="E244" s="173">
        <v>1214000</v>
      </c>
      <c r="F244" s="201">
        <f t="shared" si="31"/>
        <v>1601000</v>
      </c>
      <c r="G244" s="259">
        <f t="shared" si="32"/>
        <v>298400</v>
      </c>
      <c r="H244" s="260">
        <v>1492000</v>
      </c>
      <c r="I244" s="260">
        <f t="shared" si="33"/>
        <v>1790400</v>
      </c>
      <c r="J244" s="144">
        <f>1360173.36-1000</f>
        <v>1359173.36</v>
      </c>
      <c r="K244" s="144">
        <v>5440693.4400000004</v>
      </c>
      <c r="L244" s="142">
        <f t="shared" si="34"/>
        <v>6799866.8000000007</v>
      </c>
      <c r="M244" s="236">
        <f t="shared" si="35"/>
        <v>298400</v>
      </c>
      <c r="N244" s="236">
        <f t="shared" si="36"/>
        <v>1214000</v>
      </c>
      <c r="O244" s="236">
        <f t="shared" si="37"/>
        <v>1512400</v>
      </c>
      <c r="P244" s="301">
        <f t="shared" si="38"/>
        <v>277512</v>
      </c>
      <c r="Q244" s="301">
        <f t="shared" si="39"/>
        <v>1129020</v>
      </c>
      <c r="R244" s="300">
        <f t="shared" si="40"/>
        <v>1406532</v>
      </c>
    </row>
    <row r="245" spans="1:18" x14ac:dyDescent="0.25">
      <c r="A245" s="155">
        <v>231</v>
      </c>
      <c r="B245" s="159" t="s">
        <v>252</v>
      </c>
      <c r="C245" s="153" t="s">
        <v>153</v>
      </c>
      <c r="D245" s="200">
        <v>28000</v>
      </c>
      <c r="E245" s="173">
        <v>111000</v>
      </c>
      <c r="F245" s="201">
        <f t="shared" si="31"/>
        <v>139000</v>
      </c>
      <c r="G245" s="259">
        <f t="shared" si="32"/>
        <v>26000</v>
      </c>
      <c r="H245" s="260">
        <v>130000</v>
      </c>
      <c r="I245" s="260">
        <f t="shared" si="33"/>
        <v>156000</v>
      </c>
      <c r="J245" s="144">
        <f>23536.4493-500</f>
        <v>23036.4493</v>
      </c>
      <c r="K245" s="144">
        <v>94145.797200000001</v>
      </c>
      <c r="L245" s="142">
        <f t="shared" si="34"/>
        <v>117182.24650000001</v>
      </c>
      <c r="M245" s="236">
        <f t="shared" si="35"/>
        <v>23036.4493</v>
      </c>
      <c r="N245" s="236">
        <f t="shared" si="36"/>
        <v>94145.797200000001</v>
      </c>
      <c r="O245" s="236">
        <f t="shared" si="37"/>
        <v>117182.24650000001</v>
      </c>
      <c r="P245" s="301">
        <f t="shared" si="38"/>
        <v>21423.897849000001</v>
      </c>
      <c r="Q245" s="301">
        <f t="shared" si="39"/>
        <v>87555.591396000003</v>
      </c>
      <c r="R245" s="300">
        <f t="shared" si="40"/>
        <v>108979.489245</v>
      </c>
    </row>
    <row r="246" spans="1:18" x14ac:dyDescent="0.25">
      <c r="A246" s="155">
        <v>232</v>
      </c>
      <c r="B246" s="154" t="s">
        <v>58</v>
      </c>
      <c r="C246" s="153" t="s">
        <v>153</v>
      </c>
      <c r="D246" s="200">
        <v>96000</v>
      </c>
      <c r="E246" s="173">
        <v>369000</v>
      </c>
      <c r="F246" s="201">
        <f t="shared" si="31"/>
        <v>465000</v>
      </c>
      <c r="G246" s="259">
        <f t="shared" si="32"/>
        <v>86600</v>
      </c>
      <c r="H246" s="260">
        <v>433000</v>
      </c>
      <c r="I246" s="260">
        <f t="shared" si="33"/>
        <v>519600</v>
      </c>
      <c r="J246" s="144">
        <f>80975.5447509764-500</f>
        <v>80475.544750976405</v>
      </c>
      <c r="K246" s="144">
        <v>323902.17900390556</v>
      </c>
      <c r="L246" s="142">
        <f t="shared" si="34"/>
        <v>404377.723754882</v>
      </c>
      <c r="M246" s="236">
        <f t="shared" si="35"/>
        <v>80475.544750976405</v>
      </c>
      <c r="N246" s="236">
        <f t="shared" si="36"/>
        <v>323902.17900390556</v>
      </c>
      <c r="O246" s="236">
        <f t="shared" si="37"/>
        <v>404377.723754882</v>
      </c>
      <c r="P246" s="301">
        <f t="shared" si="38"/>
        <v>74842.25661840805</v>
      </c>
      <c r="Q246" s="301">
        <f t="shared" si="39"/>
        <v>301229.0264736322</v>
      </c>
      <c r="R246" s="300">
        <f t="shared" si="40"/>
        <v>376071.28309204022</v>
      </c>
    </row>
    <row r="247" spans="1:18" x14ac:dyDescent="0.25">
      <c r="A247" s="155">
        <v>233</v>
      </c>
      <c r="B247" s="154" t="s">
        <v>136</v>
      </c>
      <c r="C247" s="153" t="s">
        <v>153</v>
      </c>
      <c r="D247" s="200">
        <v>1605000</v>
      </c>
      <c r="E247" s="173">
        <v>5597000</v>
      </c>
      <c r="F247" s="201">
        <f t="shared" si="31"/>
        <v>7202000</v>
      </c>
      <c r="G247" s="259">
        <f t="shared" si="32"/>
        <v>1342800</v>
      </c>
      <c r="H247" s="260">
        <v>6714000</v>
      </c>
      <c r="I247" s="260">
        <f t="shared" si="33"/>
        <v>8056800</v>
      </c>
      <c r="J247" s="144">
        <f>1360173.36-1000</f>
        <v>1359173.36</v>
      </c>
      <c r="K247" s="144">
        <v>5440693.4400000004</v>
      </c>
      <c r="L247" s="142">
        <f t="shared" si="34"/>
        <v>6799866.8000000007</v>
      </c>
      <c r="M247" s="236">
        <f t="shared" si="35"/>
        <v>1342800</v>
      </c>
      <c r="N247" s="236">
        <f t="shared" si="36"/>
        <v>5440693.4400000004</v>
      </c>
      <c r="O247" s="236">
        <f t="shared" si="37"/>
        <v>6783493.4400000004</v>
      </c>
      <c r="P247" s="301">
        <f t="shared" si="38"/>
        <v>1248804</v>
      </c>
      <c r="Q247" s="301">
        <f t="shared" si="39"/>
        <v>5059844.8991999999</v>
      </c>
      <c r="R247" s="300">
        <f t="shared" si="40"/>
        <v>6308648.8991999999</v>
      </c>
    </row>
    <row r="248" spans="1:18" x14ac:dyDescent="0.25">
      <c r="A248" s="155">
        <v>234</v>
      </c>
      <c r="B248" s="58" t="s">
        <v>330</v>
      </c>
      <c r="C248" s="153" t="s">
        <v>153</v>
      </c>
      <c r="D248" s="200">
        <v>28000</v>
      </c>
      <c r="E248" s="173">
        <v>94000</v>
      </c>
      <c r="F248" s="201">
        <f t="shared" si="31"/>
        <v>122000</v>
      </c>
      <c r="G248" s="259">
        <f t="shared" si="32"/>
        <v>22600</v>
      </c>
      <c r="H248" s="260">
        <v>113000</v>
      </c>
      <c r="I248" s="260">
        <f t="shared" si="33"/>
        <v>135600</v>
      </c>
      <c r="J248" s="144">
        <f>81097.7566808949-1000</f>
        <v>80097.756680894905</v>
      </c>
      <c r="K248" s="144">
        <v>324391.02672357979</v>
      </c>
      <c r="L248" s="142">
        <f t="shared" si="34"/>
        <v>404488.78340447473</v>
      </c>
      <c r="M248" s="236">
        <f t="shared" si="35"/>
        <v>22600</v>
      </c>
      <c r="N248" s="236">
        <f t="shared" si="36"/>
        <v>94000</v>
      </c>
      <c r="O248" s="236">
        <f t="shared" si="37"/>
        <v>116600</v>
      </c>
      <c r="P248" s="301">
        <f t="shared" si="38"/>
        <v>21018</v>
      </c>
      <c r="Q248" s="301">
        <f t="shared" si="39"/>
        <v>87420</v>
      </c>
      <c r="R248" s="300">
        <f t="shared" si="40"/>
        <v>108438</v>
      </c>
    </row>
    <row r="249" spans="1:18" x14ac:dyDescent="0.25">
      <c r="A249" s="155">
        <v>235</v>
      </c>
      <c r="B249" s="154" t="s">
        <v>536</v>
      </c>
      <c r="C249" s="153" t="s">
        <v>153</v>
      </c>
      <c r="D249" s="200">
        <v>31000</v>
      </c>
      <c r="E249" s="173">
        <v>124000</v>
      </c>
      <c r="F249" s="201">
        <f t="shared" si="31"/>
        <v>155000</v>
      </c>
      <c r="G249" s="259">
        <f t="shared" si="32"/>
        <v>28800</v>
      </c>
      <c r="H249" s="260">
        <v>144000</v>
      </c>
      <c r="I249" s="260">
        <f t="shared" si="33"/>
        <v>172800</v>
      </c>
      <c r="J249" s="144">
        <f>26202.2593198739-1000</f>
        <v>25202.259319873901</v>
      </c>
      <c r="K249" s="144">
        <v>104809.03727949556</v>
      </c>
      <c r="L249" s="142">
        <f t="shared" si="34"/>
        <v>130011.29659936947</v>
      </c>
      <c r="M249" s="236">
        <f t="shared" si="35"/>
        <v>25202.259319873901</v>
      </c>
      <c r="N249" s="236">
        <f t="shared" si="36"/>
        <v>104809.03727949556</v>
      </c>
      <c r="O249" s="236">
        <f t="shared" si="37"/>
        <v>130011.29659936947</v>
      </c>
      <c r="P249" s="301">
        <f t="shared" si="38"/>
        <v>23438.101167482728</v>
      </c>
      <c r="Q249" s="301">
        <f t="shared" si="39"/>
        <v>97472.404669930867</v>
      </c>
      <c r="R249" s="300">
        <f t="shared" si="40"/>
        <v>120910.5058374136</v>
      </c>
    </row>
    <row r="250" spans="1:18" ht="22.5" x14ac:dyDescent="0.25">
      <c r="A250" s="155"/>
      <c r="B250" s="163" t="s">
        <v>98</v>
      </c>
      <c r="C250" s="153" t="s">
        <v>153</v>
      </c>
      <c r="D250" s="200">
        <v>0</v>
      </c>
      <c r="E250" s="173">
        <v>0</v>
      </c>
      <c r="F250" s="201">
        <f t="shared" si="31"/>
        <v>0</v>
      </c>
      <c r="G250" s="259">
        <f t="shared" si="32"/>
        <v>0</v>
      </c>
      <c r="H250" s="260">
        <v>0</v>
      </c>
      <c r="I250" s="260">
        <f t="shared" si="33"/>
        <v>0</v>
      </c>
      <c r="J250" s="144"/>
      <c r="K250" s="144"/>
      <c r="L250" s="142">
        <f t="shared" si="34"/>
        <v>0</v>
      </c>
      <c r="M250" s="236">
        <f t="shared" si="35"/>
        <v>0</v>
      </c>
      <c r="N250" s="236">
        <f t="shared" si="36"/>
        <v>0</v>
      </c>
      <c r="O250" s="236">
        <f t="shared" si="37"/>
        <v>0</v>
      </c>
      <c r="P250" s="301">
        <f t="shared" si="38"/>
        <v>0</v>
      </c>
      <c r="Q250" s="301">
        <f t="shared" si="39"/>
        <v>0</v>
      </c>
      <c r="R250" s="300">
        <f t="shared" si="40"/>
        <v>0</v>
      </c>
    </row>
    <row r="251" spans="1:18" x14ac:dyDescent="0.25">
      <c r="A251" s="155">
        <v>236</v>
      </c>
      <c r="B251" s="159" t="s">
        <v>253</v>
      </c>
      <c r="C251" s="153" t="s">
        <v>153</v>
      </c>
      <c r="D251" s="200">
        <v>66000</v>
      </c>
      <c r="E251" s="173">
        <v>262000</v>
      </c>
      <c r="F251" s="201">
        <f t="shared" si="31"/>
        <v>328000</v>
      </c>
      <c r="G251" s="259">
        <f t="shared" si="32"/>
        <v>61000</v>
      </c>
      <c r="H251" s="260">
        <v>305000</v>
      </c>
      <c r="I251" s="260">
        <f t="shared" si="33"/>
        <v>366000</v>
      </c>
      <c r="J251" s="144">
        <f>55520.6652-1000</f>
        <v>54520.665200000003</v>
      </c>
      <c r="K251" s="144">
        <v>222082.66079999995</v>
      </c>
      <c r="L251" s="142">
        <f t="shared" si="34"/>
        <v>276603.32599999994</v>
      </c>
      <c r="M251" s="236">
        <f t="shared" si="35"/>
        <v>54520.665200000003</v>
      </c>
      <c r="N251" s="236">
        <f t="shared" si="36"/>
        <v>222082.66079999995</v>
      </c>
      <c r="O251" s="236">
        <f t="shared" si="37"/>
        <v>276603.32599999994</v>
      </c>
      <c r="P251" s="301">
        <f t="shared" si="38"/>
        <v>50704.218636000005</v>
      </c>
      <c r="Q251" s="301">
        <f t="shared" si="39"/>
        <v>206536.87454399996</v>
      </c>
      <c r="R251" s="300">
        <f t="shared" si="40"/>
        <v>257241.09317999997</v>
      </c>
    </row>
    <row r="252" spans="1:18" x14ac:dyDescent="0.25">
      <c r="A252" s="155">
        <v>237</v>
      </c>
      <c r="B252" s="159" t="s">
        <v>254</v>
      </c>
      <c r="C252" s="153" t="s">
        <v>153</v>
      </c>
      <c r="D252" s="200">
        <v>31000</v>
      </c>
      <c r="E252" s="173">
        <v>95000</v>
      </c>
      <c r="F252" s="201">
        <f t="shared" si="31"/>
        <v>126000</v>
      </c>
      <c r="G252" s="259">
        <f t="shared" si="32"/>
        <v>23400</v>
      </c>
      <c r="H252" s="260">
        <v>117000</v>
      </c>
      <c r="I252" s="260">
        <f t="shared" si="33"/>
        <v>140400</v>
      </c>
      <c r="J252" s="144">
        <f>29309.2168506311-1000</f>
        <v>28309.216850631099</v>
      </c>
      <c r="K252" s="144">
        <v>117236.86740252422</v>
      </c>
      <c r="L252" s="142">
        <f t="shared" si="34"/>
        <v>145546.08425315534</v>
      </c>
      <c r="M252" s="236">
        <f t="shared" si="35"/>
        <v>23400</v>
      </c>
      <c r="N252" s="236">
        <f t="shared" si="36"/>
        <v>95000</v>
      </c>
      <c r="O252" s="236">
        <f t="shared" si="37"/>
        <v>118400</v>
      </c>
      <c r="P252" s="301">
        <f t="shared" si="38"/>
        <v>21762</v>
      </c>
      <c r="Q252" s="301">
        <f t="shared" si="39"/>
        <v>88350</v>
      </c>
      <c r="R252" s="300">
        <f t="shared" si="40"/>
        <v>110112</v>
      </c>
    </row>
    <row r="253" spans="1:18" x14ac:dyDescent="0.25">
      <c r="A253" s="155">
        <v>238</v>
      </c>
      <c r="B253" s="166" t="s">
        <v>453</v>
      </c>
      <c r="C253" s="153" t="s">
        <v>153</v>
      </c>
      <c r="D253" s="200">
        <v>253000</v>
      </c>
      <c r="E253" s="173">
        <v>1010000</v>
      </c>
      <c r="F253" s="201">
        <f t="shared" si="31"/>
        <v>1263000</v>
      </c>
      <c r="G253" s="259">
        <f t="shared" si="32"/>
        <v>235400</v>
      </c>
      <c r="H253" s="260">
        <v>1177000</v>
      </c>
      <c r="I253" s="260">
        <f t="shared" si="33"/>
        <v>1412400</v>
      </c>
      <c r="J253" s="144">
        <f>214056.078122586-1000</f>
        <v>213056.07812258601</v>
      </c>
      <c r="K253" s="144">
        <v>856224.31249034544</v>
      </c>
      <c r="L253" s="142">
        <f t="shared" si="34"/>
        <v>1069280.3906129315</v>
      </c>
      <c r="M253" s="236">
        <f t="shared" si="35"/>
        <v>213056.07812258601</v>
      </c>
      <c r="N253" s="236">
        <f t="shared" si="36"/>
        <v>856224.31249034544</v>
      </c>
      <c r="O253" s="236">
        <f t="shared" si="37"/>
        <v>1069280.3906129315</v>
      </c>
      <c r="P253" s="301">
        <f t="shared" si="38"/>
        <v>198142.15265400498</v>
      </c>
      <c r="Q253" s="301">
        <f t="shared" si="39"/>
        <v>796288.61061602121</v>
      </c>
      <c r="R253" s="300">
        <f t="shared" si="40"/>
        <v>994430.76327002619</v>
      </c>
    </row>
    <row r="254" spans="1:18" x14ac:dyDescent="0.25">
      <c r="A254" s="155">
        <v>239</v>
      </c>
      <c r="B254" s="166" t="s">
        <v>256</v>
      </c>
      <c r="C254" s="153" t="s">
        <v>153</v>
      </c>
      <c r="D254" s="200">
        <v>48000</v>
      </c>
      <c r="E254" s="173">
        <v>193000</v>
      </c>
      <c r="F254" s="201">
        <f t="shared" si="31"/>
        <v>241000</v>
      </c>
      <c r="G254" s="259">
        <f t="shared" si="32"/>
        <v>44800</v>
      </c>
      <c r="H254" s="260">
        <v>224000</v>
      </c>
      <c r="I254" s="260">
        <f t="shared" si="33"/>
        <v>268800</v>
      </c>
      <c r="J254" s="144">
        <f>40786.9732484815-1000</f>
        <v>39786.973248481503</v>
      </c>
      <c r="K254" s="144">
        <v>163147.89299392613</v>
      </c>
      <c r="L254" s="142">
        <f t="shared" si="34"/>
        <v>202934.86624240765</v>
      </c>
      <c r="M254" s="236">
        <f t="shared" si="35"/>
        <v>39786.973248481503</v>
      </c>
      <c r="N254" s="236">
        <f t="shared" si="36"/>
        <v>163147.89299392613</v>
      </c>
      <c r="O254" s="236">
        <f t="shared" si="37"/>
        <v>202934.86624240765</v>
      </c>
      <c r="P254" s="301">
        <f t="shared" si="38"/>
        <v>37001.885121087798</v>
      </c>
      <c r="Q254" s="301">
        <f t="shared" si="39"/>
        <v>151727.54048435131</v>
      </c>
      <c r="R254" s="300">
        <f t="shared" si="40"/>
        <v>188729.42560543912</v>
      </c>
    </row>
    <row r="255" spans="1:18" x14ac:dyDescent="0.25">
      <c r="A255" s="155">
        <v>240</v>
      </c>
      <c r="B255" s="58" t="s">
        <v>69</v>
      </c>
      <c r="C255" s="153" t="s">
        <v>153</v>
      </c>
      <c r="D255" s="200">
        <v>26000</v>
      </c>
      <c r="E255" s="173">
        <v>102000</v>
      </c>
      <c r="F255" s="201">
        <f t="shared" si="31"/>
        <v>128000</v>
      </c>
      <c r="G255" s="259">
        <f t="shared" si="32"/>
        <v>23800</v>
      </c>
      <c r="H255" s="260">
        <v>119000</v>
      </c>
      <c r="I255" s="260">
        <f t="shared" si="33"/>
        <v>142800</v>
      </c>
      <c r="J255" s="144">
        <f>21699.5226-500</f>
        <v>21199.5226</v>
      </c>
      <c r="K255" s="144">
        <v>86798.090400000001</v>
      </c>
      <c r="L255" s="142">
        <f t="shared" si="34"/>
        <v>107997.613</v>
      </c>
      <c r="M255" s="236">
        <f t="shared" si="35"/>
        <v>21199.5226</v>
      </c>
      <c r="N255" s="236">
        <f t="shared" si="36"/>
        <v>86798.090400000001</v>
      </c>
      <c r="O255" s="236">
        <f t="shared" si="37"/>
        <v>107997.613</v>
      </c>
      <c r="P255" s="301">
        <f t="shared" si="38"/>
        <v>19715.556017999999</v>
      </c>
      <c r="Q255" s="301">
        <f t="shared" si="39"/>
        <v>80722.224071999997</v>
      </c>
      <c r="R255" s="300">
        <f t="shared" si="40"/>
        <v>100437.78009</v>
      </c>
    </row>
    <row r="256" spans="1:18" x14ac:dyDescent="0.25">
      <c r="A256" s="155">
        <v>241</v>
      </c>
      <c r="B256" s="58" t="s">
        <v>70</v>
      </c>
      <c r="C256" s="153" t="s">
        <v>153</v>
      </c>
      <c r="D256" s="200">
        <v>10000</v>
      </c>
      <c r="E256" s="173">
        <v>40000</v>
      </c>
      <c r="F256" s="201">
        <f t="shared" si="31"/>
        <v>50000</v>
      </c>
      <c r="G256" s="259">
        <f t="shared" si="32"/>
        <v>9200</v>
      </c>
      <c r="H256" s="260">
        <v>46000</v>
      </c>
      <c r="I256" s="260">
        <f t="shared" si="33"/>
        <v>55200</v>
      </c>
      <c r="J256" s="144">
        <f>8378.50019999999-500</f>
        <v>7878.5001999999895</v>
      </c>
      <c r="K256" s="144">
        <v>33514.000800000002</v>
      </c>
      <c r="L256" s="142">
        <f>J256+K256</f>
        <v>41392.500999999989</v>
      </c>
      <c r="M256" s="236">
        <f t="shared" si="35"/>
        <v>7878.5001999999895</v>
      </c>
      <c r="N256" s="236">
        <f t="shared" si="36"/>
        <v>33514.000800000002</v>
      </c>
      <c r="O256" s="236">
        <f t="shared" si="37"/>
        <v>41392.500999999989</v>
      </c>
      <c r="P256" s="301">
        <f t="shared" si="38"/>
        <v>7327.0051859999903</v>
      </c>
      <c r="Q256" s="301">
        <f t="shared" si="39"/>
        <v>31168.020744000001</v>
      </c>
      <c r="R256" s="300">
        <f t="shared" si="40"/>
        <v>38495.025929999989</v>
      </c>
    </row>
    <row r="257" spans="1:18" x14ac:dyDescent="0.25">
      <c r="A257" s="155">
        <v>242</v>
      </c>
      <c r="B257" s="58" t="s">
        <v>1</v>
      </c>
      <c r="C257" s="153" t="s">
        <v>153</v>
      </c>
      <c r="D257" s="200">
        <v>40000</v>
      </c>
      <c r="E257" s="173">
        <v>151000</v>
      </c>
      <c r="F257" s="201">
        <f t="shared" si="31"/>
        <v>191000</v>
      </c>
      <c r="G257" s="259">
        <f t="shared" si="32"/>
        <v>35600</v>
      </c>
      <c r="H257" s="260">
        <v>178000</v>
      </c>
      <c r="I257" s="260">
        <f t="shared" si="33"/>
        <v>213600</v>
      </c>
      <c r="J257" s="144">
        <f>33662.9125448-1000</f>
        <v>32662.912544799998</v>
      </c>
      <c r="K257" s="144">
        <v>134651.65017919999</v>
      </c>
      <c r="L257" s="142">
        <f t="shared" ref="L257:L272" si="41">J257+K257</f>
        <v>167314.56272399999</v>
      </c>
      <c r="M257" s="236">
        <f t="shared" si="35"/>
        <v>32662.912544799998</v>
      </c>
      <c r="N257" s="236">
        <f t="shared" si="36"/>
        <v>134651.65017919999</v>
      </c>
      <c r="O257" s="236">
        <f t="shared" si="37"/>
        <v>167314.56272399999</v>
      </c>
      <c r="P257" s="301">
        <f t="shared" si="38"/>
        <v>30376.508666663998</v>
      </c>
      <c r="Q257" s="301">
        <f t="shared" si="39"/>
        <v>125226.03466665599</v>
      </c>
      <c r="R257" s="300">
        <f t="shared" si="40"/>
        <v>155602.54333332001</v>
      </c>
    </row>
    <row r="258" spans="1:18" x14ac:dyDescent="0.25">
      <c r="A258" s="155">
        <v>243</v>
      </c>
      <c r="B258" s="159" t="s">
        <v>56</v>
      </c>
      <c r="C258" s="153" t="s">
        <v>153</v>
      </c>
      <c r="D258" s="200">
        <v>26000</v>
      </c>
      <c r="E258" s="173">
        <v>86000</v>
      </c>
      <c r="F258" s="201">
        <f t="shared" si="31"/>
        <v>112000</v>
      </c>
      <c r="G258" s="259">
        <f t="shared" si="32"/>
        <v>20800</v>
      </c>
      <c r="H258" s="260">
        <v>104000</v>
      </c>
      <c r="I258" s="260">
        <f t="shared" si="33"/>
        <v>124800</v>
      </c>
      <c r="J258" s="144">
        <f>37013.7768-500</f>
        <v>36513.7768</v>
      </c>
      <c r="K258" s="144">
        <v>148055.1072</v>
      </c>
      <c r="L258" s="142">
        <f t="shared" si="41"/>
        <v>184568.88399999999</v>
      </c>
      <c r="M258" s="236">
        <f t="shared" si="35"/>
        <v>20800</v>
      </c>
      <c r="N258" s="236">
        <f t="shared" si="36"/>
        <v>86000</v>
      </c>
      <c r="O258" s="236">
        <f t="shared" si="37"/>
        <v>106800</v>
      </c>
      <c r="P258" s="301">
        <f t="shared" si="38"/>
        <v>19344</v>
      </c>
      <c r="Q258" s="301">
        <f t="shared" si="39"/>
        <v>79980</v>
      </c>
      <c r="R258" s="300">
        <f t="shared" si="40"/>
        <v>99324</v>
      </c>
    </row>
    <row r="259" spans="1:18" x14ac:dyDescent="0.25">
      <c r="A259" s="155">
        <v>244</v>
      </c>
      <c r="B259" s="159" t="s">
        <v>57</v>
      </c>
      <c r="C259" s="153" t="s">
        <v>153</v>
      </c>
      <c r="D259" s="200">
        <v>10000</v>
      </c>
      <c r="E259" s="173">
        <v>33000</v>
      </c>
      <c r="F259" s="201">
        <f t="shared" si="31"/>
        <v>43000</v>
      </c>
      <c r="G259" s="259">
        <f t="shared" si="32"/>
        <v>8000</v>
      </c>
      <c r="H259" s="260">
        <v>40000</v>
      </c>
      <c r="I259" s="260">
        <f t="shared" si="33"/>
        <v>48000</v>
      </c>
      <c r="J259" s="144">
        <f>10871.956-500</f>
        <v>10371.956</v>
      </c>
      <c r="K259" s="144">
        <v>43487.824000000001</v>
      </c>
      <c r="L259" s="142">
        <f t="shared" si="41"/>
        <v>53859.78</v>
      </c>
      <c r="M259" s="236">
        <f t="shared" si="35"/>
        <v>8000</v>
      </c>
      <c r="N259" s="236">
        <f t="shared" si="36"/>
        <v>33000</v>
      </c>
      <c r="O259" s="236">
        <f t="shared" si="37"/>
        <v>41000</v>
      </c>
      <c r="P259" s="301">
        <f t="shared" si="38"/>
        <v>7440</v>
      </c>
      <c r="Q259" s="301">
        <f t="shared" si="39"/>
        <v>30690</v>
      </c>
      <c r="R259" s="300">
        <f t="shared" si="40"/>
        <v>38130</v>
      </c>
    </row>
    <row r="260" spans="1:18" x14ac:dyDescent="0.25">
      <c r="A260" s="155">
        <v>245</v>
      </c>
      <c r="B260" s="166" t="s">
        <v>257</v>
      </c>
      <c r="C260" s="153" t="s">
        <v>153</v>
      </c>
      <c r="D260" s="200">
        <v>10000</v>
      </c>
      <c r="E260" s="173">
        <v>40000</v>
      </c>
      <c r="F260" s="201">
        <f t="shared" si="31"/>
        <v>50000</v>
      </c>
      <c r="G260" s="259">
        <f t="shared" si="32"/>
        <v>9400</v>
      </c>
      <c r="H260" s="260">
        <v>47000</v>
      </c>
      <c r="I260" s="260">
        <f t="shared" si="33"/>
        <v>56400</v>
      </c>
      <c r="J260" s="144">
        <f>8530.623934-500</f>
        <v>8030.6239339999993</v>
      </c>
      <c r="K260" s="144">
        <v>34122.495736000004</v>
      </c>
      <c r="L260" s="142">
        <f t="shared" si="41"/>
        <v>42153.11967</v>
      </c>
      <c r="M260" s="236">
        <f t="shared" si="35"/>
        <v>8030.6239339999993</v>
      </c>
      <c r="N260" s="236">
        <f t="shared" si="36"/>
        <v>34122.495736000004</v>
      </c>
      <c r="O260" s="236">
        <f t="shared" si="37"/>
        <v>42153.11967</v>
      </c>
      <c r="P260" s="301">
        <f t="shared" si="38"/>
        <v>7468.4802586199994</v>
      </c>
      <c r="Q260" s="301">
        <f t="shared" si="39"/>
        <v>31733.921034480005</v>
      </c>
      <c r="R260" s="300">
        <f t="shared" si="40"/>
        <v>39202.401293100003</v>
      </c>
    </row>
    <row r="261" spans="1:18" x14ac:dyDescent="0.25">
      <c r="A261" s="155">
        <v>246</v>
      </c>
      <c r="B261" s="159" t="s">
        <v>258</v>
      </c>
      <c r="C261" s="153" t="s">
        <v>153</v>
      </c>
      <c r="D261" s="200">
        <v>44000</v>
      </c>
      <c r="E261" s="173">
        <v>140000</v>
      </c>
      <c r="F261" s="201">
        <f t="shared" ref="F261:F272" si="42">(D261+E261)</f>
        <v>184000</v>
      </c>
      <c r="G261" s="259">
        <f t="shared" ref="G261:G272" si="43">+H261*20%</f>
        <v>34400</v>
      </c>
      <c r="H261" s="260">
        <v>172000</v>
      </c>
      <c r="I261" s="260">
        <f t="shared" ref="I261:I272" si="44">+H261+G261</f>
        <v>206400</v>
      </c>
      <c r="J261" s="144">
        <f>78447.2-500</f>
        <v>77947.199999999997</v>
      </c>
      <c r="K261" s="144">
        <v>313788.79999999999</v>
      </c>
      <c r="L261" s="142">
        <f t="shared" si="41"/>
        <v>391736</v>
      </c>
      <c r="M261" s="236">
        <f t="shared" ref="M261:M272" si="45">MIN(D261,G261,J261)</f>
        <v>34400</v>
      </c>
      <c r="N261" s="236">
        <f t="shared" ref="N261:N272" si="46">MIN(E261,H261,K261)</f>
        <v>140000</v>
      </c>
      <c r="O261" s="236">
        <f t="shared" ref="O261:O273" si="47">M261+N261</f>
        <v>174400</v>
      </c>
      <c r="P261" s="301">
        <f t="shared" ref="P261:P273" si="48">M261-(M261*7%)</f>
        <v>31992</v>
      </c>
      <c r="Q261" s="301">
        <f t="shared" ref="Q261:Q273" si="49">N261-(N261*7%)</f>
        <v>130200</v>
      </c>
      <c r="R261" s="300">
        <f t="shared" ref="R261:R273" si="50">Q261+P261</f>
        <v>162192</v>
      </c>
    </row>
    <row r="262" spans="1:18" x14ac:dyDescent="0.25">
      <c r="A262" s="155">
        <v>247</v>
      </c>
      <c r="B262" s="159" t="s">
        <v>259</v>
      </c>
      <c r="C262" s="153" t="s">
        <v>153</v>
      </c>
      <c r="D262" s="200">
        <v>12000</v>
      </c>
      <c r="E262" s="173">
        <v>27000</v>
      </c>
      <c r="F262" s="201">
        <f t="shared" si="42"/>
        <v>39000</v>
      </c>
      <c r="G262" s="259">
        <f t="shared" si="43"/>
        <v>7200</v>
      </c>
      <c r="H262" s="260">
        <v>36000</v>
      </c>
      <c r="I262" s="260">
        <f t="shared" si="44"/>
        <v>43200</v>
      </c>
      <c r="J262" s="144">
        <f>188080-500</f>
        <v>187580</v>
      </c>
      <c r="K262" s="144">
        <v>752320</v>
      </c>
      <c r="L262" s="142">
        <f t="shared" si="41"/>
        <v>939900</v>
      </c>
      <c r="M262" s="236">
        <f t="shared" si="45"/>
        <v>7200</v>
      </c>
      <c r="N262" s="236">
        <f t="shared" si="46"/>
        <v>27000</v>
      </c>
      <c r="O262" s="236">
        <f t="shared" si="47"/>
        <v>34200</v>
      </c>
      <c r="P262" s="301">
        <f t="shared" si="48"/>
        <v>6696</v>
      </c>
      <c r="Q262" s="301">
        <f t="shared" si="49"/>
        <v>25110</v>
      </c>
      <c r="R262" s="300">
        <f t="shared" si="50"/>
        <v>31806</v>
      </c>
    </row>
    <row r="263" spans="1:18" x14ac:dyDescent="0.25">
      <c r="A263" s="155">
        <v>248</v>
      </c>
      <c r="B263" s="55" t="s">
        <v>260</v>
      </c>
      <c r="C263" s="153" t="s">
        <v>153</v>
      </c>
      <c r="D263" s="200">
        <v>10000</v>
      </c>
      <c r="E263" s="173">
        <v>34000</v>
      </c>
      <c r="F263" s="201">
        <f t="shared" si="42"/>
        <v>44000</v>
      </c>
      <c r="G263" s="259">
        <f t="shared" si="43"/>
        <v>8200</v>
      </c>
      <c r="H263" s="260">
        <v>41000</v>
      </c>
      <c r="I263" s="260">
        <f t="shared" si="44"/>
        <v>49200</v>
      </c>
      <c r="J263" s="144">
        <v>8530.6239339999956</v>
      </c>
      <c r="K263" s="144">
        <v>34122.495736000004</v>
      </c>
      <c r="L263" s="142">
        <f t="shared" si="41"/>
        <v>42653.11967</v>
      </c>
      <c r="M263" s="236">
        <f t="shared" si="45"/>
        <v>8200</v>
      </c>
      <c r="N263" s="236">
        <f t="shared" si="46"/>
        <v>34000</v>
      </c>
      <c r="O263" s="236">
        <f t="shared" si="47"/>
        <v>42200</v>
      </c>
      <c r="P263" s="301">
        <f t="shared" si="48"/>
        <v>7626</v>
      </c>
      <c r="Q263" s="301">
        <f t="shared" si="49"/>
        <v>31620</v>
      </c>
      <c r="R263" s="300">
        <f t="shared" si="50"/>
        <v>39246</v>
      </c>
    </row>
    <row r="264" spans="1:18" x14ac:dyDescent="0.25">
      <c r="A264" s="155">
        <v>249</v>
      </c>
      <c r="B264" s="167" t="s">
        <v>261</v>
      </c>
      <c r="C264" s="153" t="s">
        <v>153</v>
      </c>
      <c r="D264" s="200">
        <v>93000</v>
      </c>
      <c r="E264" s="173">
        <v>237000</v>
      </c>
      <c r="F264" s="201">
        <f t="shared" si="42"/>
        <v>330000</v>
      </c>
      <c r="G264" s="259">
        <f t="shared" si="43"/>
        <v>61400</v>
      </c>
      <c r="H264" s="260">
        <v>307000</v>
      </c>
      <c r="I264" s="260">
        <f t="shared" si="44"/>
        <v>368400</v>
      </c>
      <c r="J264" s="144">
        <f>390702.468474925-1000</f>
        <v>389702.46847492497</v>
      </c>
      <c r="K264" s="144">
        <v>1562809.8738997029</v>
      </c>
      <c r="L264" s="142">
        <f t="shared" si="41"/>
        <v>1952512.3423746279</v>
      </c>
      <c r="M264" s="236">
        <f t="shared" si="45"/>
        <v>61400</v>
      </c>
      <c r="N264" s="236">
        <f t="shared" si="46"/>
        <v>237000</v>
      </c>
      <c r="O264" s="236">
        <f t="shared" si="47"/>
        <v>298400</v>
      </c>
      <c r="P264" s="301">
        <f t="shared" si="48"/>
        <v>57102</v>
      </c>
      <c r="Q264" s="301">
        <f t="shared" si="49"/>
        <v>220410</v>
      </c>
      <c r="R264" s="300">
        <f t="shared" si="50"/>
        <v>277512</v>
      </c>
    </row>
    <row r="265" spans="1:18" x14ac:dyDescent="0.25">
      <c r="A265" s="155">
        <v>250</v>
      </c>
      <c r="B265" s="55" t="s">
        <v>537</v>
      </c>
      <c r="C265" s="153" t="s">
        <v>153</v>
      </c>
      <c r="D265" s="200">
        <v>57000</v>
      </c>
      <c r="E265" s="173">
        <v>651000</v>
      </c>
      <c r="F265" s="201">
        <f t="shared" si="42"/>
        <v>708000</v>
      </c>
      <c r="G265" s="259">
        <f t="shared" si="43"/>
        <v>132000</v>
      </c>
      <c r="H265" s="260">
        <v>660000</v>
      </c>
      <c r="I265" s="260">
        <f t="shared" si="44"/>
        <v>792000</v>
      </c>
      <c r="J265" s="144">
        <f>601090.717696-1000</f>
        <v>600090.71769600001</v>
      </c>
      <c r="K265" s="144">
        <v>2404362.8707839996</v>
      </c>
      <c r="L265" s="142">
        <f t="shared" si="41"/>
        <v>3004453.5884799995</v>
      </c>
      <c r="M265" s="236">
        <f t="shared" si="45"/>
        <v>57000</v>
      </c>
      <c r="N265" s="236">
        <f t="shared" si="46"/>
        <v>651000</v>
      </c>
      <c r="O265" s="236">
        <f t="shared" si="47"/>
        <v>708000</v>
      </c>
      <c r="P265" s="301">
        <f t="shared" si="48"/>
        <v>53010</v>
      </c>
      <c r="Q265" s="301">
        <f t="shared" si="49"/>
        <v>605430</v>
      </c>
      <c r="R265" s="300">
        <f t="shared" si="50"/>
        <v>658440</v>
      </c>
    </row>
    <row r="266" spans="1:18" ht="22.5" x14ac:dyDescent="0.25">
      <c r="A266" s="168"/>
      <c r="B266" s="163" t="s">
        <v>62</v>
      </c>
      <c r="C266" s="153" t="s">
        <v>153</v>
      </c>
      <c r="D266" s="200">
        <v>0</v>
      </c>
      <c r="E266" s="173">
        <v>0</v>
      </c>
      <c r="F266" s="201">
        <f t="shared" si="42"/>
        <v>0</v>
      </c>
      <c r="G266" s="259">
        <f t="shared" si="43"/>
        <v>0</v>
      </c>
      <c r="H266" s="260">
        <v>0</v>
      </c>
      <c r="I266" s="260">
        <f t="shared" si="44"/>
        <v>0</v>
      </c>
      <c r="J266" s="144"/>
      <c r="K266" s="144"/>
      <c r="L266" s="142">
        <f t="shared" si="41"/>
        <v>0</v>
      </c>
      <c r="M266" s="236">
        <f t="shared" si="45"/>
        <v>0</v>
      </c>
      <c r="N266" s="236">
        <f t="shared" si="46"/>
        <v>0</v>
      </c>
      <c r="O266" s="236">
        <f t="shared" si="47"/>
        <v>0</v>
      </c>
      <c r="P266" s="301">
        <f t="shared" si="48"/>
        <v>0</v>
      </c>
      <c r="Q266" s="301">
        <f t="shared" si="49"/>
        <v>0</v>
      </c>
      <c r="R266" s="300">
        <f t="shared" si="50"/>
        <v>0</v>
      </c>
    </row>
    <row r="267" spans="1:18" ht="22.5" x14ac:dyDescent="0.25">
      <c r="A267" s="168">
        <v>251</v>
      </c>
      <c r="B267" s="159" t="s">
        <v>384</v>
      </c>
      <c r="C267" s="153" t="s">
        <v>153</v>
      </c>
      <c r="D267" s="200">
        <v>359000</v>
      </c>
      <c r="E267" s="173">
        <v>1435000</v>
      </c>
      <c r="F267" s="201">
        <f t="shared" si="42"/>
        <v>1794000</v>
      </c>
      <c r="G267" s="259">
        <f t="shared" si="43"/>
        <v>334600</v>
      </c>
      <c r="H267" s="260">
        <v>1673000</v>
      </c>
      <c r="I267" s="260">
        <f t="shared" si="44"/>
        <v>2007600</v>
      </c>
      <c r="J267" s="144">
        <f>304108.7526848-1000</f>
        <v>303108.75268480001</v>
      </c>
      <c r="K267" s="144">
        <v>1216435.0107391998</v>
      </c>
      <c r="L267" s="142">
        <f t="shared" si="41"/>
        <v>1519543.7634239998</v>
      </c>
      <c r="M267" s="236">
        <f t="shared" si="45"/>
        <v>303108.75268480001</v>
      </c>
      <c r="N267" s="236">
        <f t="shared" si="46"/>
        <v>1216435.0107391998</v>
      </c>
      <c r="O267" s="236">
        <f t="shared" si="47"/>
        <v>1519543.7634239998</v>
      </c>
      <c r="P267" s="301">
        <f t="shared" si="48"/>
        <v>281891.13999686402</v>
      </c>
      <c r="Q267" s="301">
        <f t="shared" si="49"/>
        <v>1131284.5599874558</v>
      </c>
      <c r="R267" s="300">
        <f t="shared" si="50"/>
        <v>1413175.69998432</v>
      </c>
    </row>
    <row r="268" spans="1:18" x14ac:dyDescent="0.25">
      <c r="A268" s="168">
        <v>252</v>
      </c>
      <c r="B268" s="159" t="s">
        <v>63</v>
      </c>
      <c r="C268" s="153" t="s">
        <v>153</v>
      </c>
      <c r="D268" s="200">
        <v>29000</v>
      </c>
      <c r="E268" s="173">
        <v>116000</v>
      </c>
      <c r="F268" s="201">
        <f t="shared" si="42"/>
        <v>145000</v>
      </c>
      <c r="G268" s="259">
        <f t="shared" si="43"/>
        <v>27000</v>
      </c>
      <c r="H268" s="260">
        <v>135000</v>
      </c>
      <c r="I268" s="260">
        <f t="shared" si="44"/>
        <v>162000</v>
      </c>
      <c r="J268" s="144">
        <f>24501.42-500</f>
        <v>24001.42</v>
      </c>
      <c r="K268" s="144">
        <v>98005.680000000008</v>
      </c>
      <c r="L268" s="142">
        <f t="shared" si="41"/>
        <v>122007.1</v>
      </c>
      <c r="M268" s="236">
        <f t="shared" si="45"/>
        <v>24001.42</v>
      </c>
      <c r="N268" s="236">
        <f t="shared" si="46"/>
        <v>98005.680000000008</v>
      </c>
      <c r="O268" s="236">
        <f t="shared" si="47"/>
        <v>122007.1</v>
      </c>
      <c r="P268" s="301">
        <f t="shared" si="48"/>
        <v>22321.320599999999</v>
      </c>
      <c r="Q268" s="301">
        <f t="shared" si="49"/>
        <v>91145.282400000011</v>
      </c>
      <c r="R268" s="300">
        <f t="shared" si="50"/>
        <v>113466.603</v>
      </c>
    </row>
    <row r="269" spans="1:18" x14ac:dyDescent="0.25">
      <c r="A269" s="168">
        <v>253</v>
      </c>
      <c r="B269" s="159" t="s">
        <v>134</v>
      </c>
      <c r="C269" s="153" t="s">
        <v>153</v>
      </c>
      <c r="D269" s="200">
        <v>67000</v>
      </c>
      <c r="E269" s="173">
        <v>231000</v>
      </c>
      <c r="F269" s="201">
        <f t="shared" si="42"/>
        <v>298000</v>
      </c>
      <c r="G269" s="259">
        <f t="shared" si="43"/>
        <v>55600</v>
      </c>
      <c r="H269" s="260">
        <v>278000</v>
      </c>
      <c r="I269" s="260">
        <f t="shared" si="44"/>
        <v>333600</v>
      </c>
      <c r="J269" s="144">
        <f>330008.062550291-1000</f>
        <v>329008.06255029101</v>
      </c>
      <c r="K269" s="144">
        <v>1320032.2502011664</v>
      </c>
      <c r="L269" s="142">
        <f t="shared" si="41"/>
        <v>1649040.3127514573</v>
      </c>
      <c r="M269" s="236">
        <f t="shared" si="45"/>
        <v>55600</v>
      </c>
      <c r="N269" s="236">
        <f t="shared" si="46"/>
        <v>231000</v>
      </c>
      <c r="O269" s="236">
        <f t="shared" si="47"/>
        <v>286600</v>
      </c>
      <c r="P269" s="301">
        <f t="shared" si="48"/>
        <v>51708</v>
      </c>
      <c r="Q269" s="301">
        <f t="shared" si="49"/>
        <v>214830</v>
      </c>
      <c r="R269" s="300">
        <f t="shared" si="50"/>
        <v>266538</v>
      </c>
    </row>
    <row r="270" spans="1:18" x14ac:dyDescent="0.25">
      <c r="A270" s="168">
        <v>254</v>
      </c>
      <c r="B270" s="169" t="s">
        <v>264</v>
      </c>
      <c r="C270" s="153" t="s">
        <v>153</v>
      </c>
      <c r="D270" s="200">
        <v>359000</v>
      </c>
      <c r="E270" s="173">
        <v>1234000</v>
      </c>
      <c r="F270" s="201">
        <f t="shared" si="42"/>
        <v>1593000</v>
      </c>
      <c r="G270" s="259">
        <f t="shared" si="43"/>
        <v>297000</v>
      </c>
      <c r="H270" s="260">
        <v>1485000</v>
      </c>
      <c r="I270" s="260">
        <f t="shared" si="44"/>
        <v>1782000</v>
      </c>
      <c r="J270" s="194">
        <f t="shared" ref="J270:K272" si="51">D270-500</f>
        <v>358500</v>
      </c>
      <c r="K270" s="194">
        <f t="shared" si="51"/>
        <v>1233500</v>
      </c>
      <c r="L270" s="194">
        <f t="shared" si="41"/>
        <v>1592000</v>
      </c>
      <c r="M270" s="236">
        <f t="shared" si="45"/>
        <v>297000</v>
      </c>
      <c r="N270" s="236">
        <f t="shared" si="46"/>
        <v>1233500</v>
      </c>
      <c r="O270" s="236">
        <f t="shared" si="47"/>
        <v>1530500</v>
      </c>
      <c r="P270" s="301">
        <f t="shared" si="48"/>
        <v>276210</v>
      </c>
      <c r="Q270" s="301">
        <f t="shared" si="49"/>
        <v>1147155</v>
      </c>
      <c r="R270" s="300">
        <f t="shared" si="50"/>
        <v>1423365</v>
      </c>
    </row>
    <row r="271" spans="1:18" x14ac:dyDescent="0.25">
      <c r="A271" s="168">
        <v>255</v>
      </c>
      <c r="B271" s="58" t="s">
        <v>73</v>
      </c>
      <c r="C271" s="153" t="s">
        <v>153</v>
      </c>
      <c r="D271" s="200">
        <v>29000</v>
      </c>
      <c r="E271" s="173">
        <v>74000</v>
      </c>
      <c r="F271" s="201">
        <f t="shared" si="42"/>
        <v>103000</v>
      </c>
      <c r="G271" s="259">
        <f t="shared" si="43"/>
        <v>19200</v>
      </c>
      <c r="H271" s="260">
        <v>96000</v>
      </c>
      <c r="I271" s="260">
        <f t="shared" si="44"/>
        <v>115200</v>
      </c>
      <c r="J271" s="194">
        <f t="shared" si="51"/>
        <v>28500</v>
      </c>
      <c r="K271" s="194">
        <f t="shared" si="51"/>
        <v>73500</v>
      </c>
      <c r="L271" s="194">
        <f t="shared" si="41"/>
        <v>102000</v>
      </c>
      <c r="M271" s="236">
        <f t="shared" si="45"/>
        <v>19200</v>
      </c>
      <c r="N271" s="236">
        <f t="shared" si="46"/>
        <v>73500</v>
      </c>
      <c r="O271" s="236">
        <f t="shared" si="47"/>
        <v>92700</v>
      </c>
      <c r="P271" s="301">
        <f t="shared" si="48"/>
        <v>17856</v>
      </c>
      <c r="Q271" s="301">
        <f t="shared" si="49"/>
        <v>68355</v>
      </c>
      <c r="R271" s="300">
        <f t="shared" si="50"/>
        <v>86211</v>
      </c>
    </row>
    <row r="272" spans="1:18" x14ac:dyDescent="0.25">
      <c r="A272" s="168">
        <v>256</v>
      </c>
      <c r="B272" s="58" t="s">
        <v>72</v>
      </c>
      <c r="C272" s="153" t="s">
        <v>153</v>
      </c>
      <c r="D272" s="200">
        <v>312000</v>
      </c>
      <c r="E272" s="173">
        <v>1339000</v>
      </c>
      <c r="F272" s="201">
        <f t="shared" si="42"/>
        <v>1651000</v>
      </c>
      <c r="G272" s="259">
        <f t="shared" si="43"/>
        <v>307800</v>
      </c>
      <c r="H272" s="260">
        <v>1539000</v>
      </c>
      <c r="I272" s="260">
        <f t="shared" si="44"/>
        <v>1846800</v>
      </c>
      <c r="J272" s="194">
        <f t="shared" si="51"/>
        <v>311500</v>
      </c>
      <c r="K272" s="194">
        <f t="shared" si="51"/>
        <v>1338500</v>
      </c>
      <c r="L272" s="194">
        <f t="shared" si="41"/>
        <v>1650000</v>
      </c>
      <c r="M272" s="236">
        <f t="shared" si="45"/>
        <v>307800</v>
      </c>
      <c r="N272" s="236">
        <f t="shared" si="46"/>
        <v>1338500</v>
      </c>
      <c r="O272" s="236">
        <f t="shared" si="47"/>
        <v>1646300</v>
      </c>
      <c r="P272" s="301">
        <f t="shared" si="48"/>
        <v>286254</v>
      </c>
      <c r="Q272" s="301">
        <f t="shared" si="49"/>
        <v>1244805</v>
      </c>
      <c r="R272" s="300">
        <f t="shared" si="50"/>
        <v>1531059</v>
      </c>
    </row>
    <row r="273" spans="1:18" x14ac:dyDescent="0.25">
      <c r="A273" s="284" t="s">
        <v>491</v>
      </c>
      <c r="B273" s="284"/>
      <c r="C273" s="284"/>
      <c r="D273" s="202">
        <f t="shared" ref="D273:N273" si="52">SUM(D4:D272)</f>
        <v>54066000</v>
      </c>
      <c r="E273" s="202">
        <f t="shared" si="52"/>
        <v>218915000</v>
      </c>
      <c r="F273" s="202">
        <f t="shared" si="52"/>
        <v>272981000</v>
      </c>
      <c r="G273" s="235">
        <f t="shared" si="52"/>
        <v>50573200</v>
      </c>
      <c r="H273" s="235">
        <f t="shared" si="52"/>
        <v>252866000</v>
      </c>
      <c r="I273" s="235">
        <f t="shared" si="52"/>
        <v>303439200</v>
      </c>
      <c r="J273" s="195">
        <f t="shared" si="52"/>
        <v>70657359.789159477</v>
      </c>
      <c r="K273" s="195">
        <f t="shared" si="52"/>
        <v>283424939.15663797</v>
      </c>
      <c r="L273" s="195">
        <f t="shared" si="52"/>
        <v>354082298.94579726</v>
      </c>
      <c r="M273" s="236">
        <f t="shared" si="52"/>
        <v>45304826.188423418</v>
      </c>
      <c r="N273" s="236">
        <f t="shared" si="52"/>
        <v>205770416.61423731</v>
      </c>
      <c r="O273" s="236">
        <f t="shared" si="47"/>
        <v>251075242.80266073</v>
      </c>
      <c r="P273" s="301">
        <f t="shared" si="48"/>
        <v>42133488.355233781</v>
      </c>
      <c r="Q273" s="301">
        <f t="shared" si="49"/>
        <v>191366487.45124069</v>
      </c>
      <c r="R273" s="300">
        <f t="shared" si="50"/>
        <v>233499975.80647448</v>
      </c>
    </row>
  </sheetData>
  <mergeCells count="7">
    <mergeCell ref="P2:R2"/>
    <mergeCell ref="M2:O2"/>
    <mergeCell ref="A273:C273"/>
    <mergeCell ref="A1:C1"/>
    <mergeCell ref="D2:F2"/>
    <mergeCell ref="J2:L2"/>
    <mergeCell ref="G2:I2"/>
  </mergeCells>
  <pageMargins left="0.7" right="0.7" top="0.75" bottom="0.75" header="0.3" footer="0.3"/>
  <pageSetup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7">
    <tabColor rgb="FF00B0F0"/>
  </sheetPr>
  <dimension ref="A2:S235"/>
  <sheetViews>
    <sheetView topLeftCell="I214" zoomScaleNormal="100" zoomScaleSheetLayoutView="115" workbookViewId="0">
      <selection activeCell="U4" sqref="U4"/>
    </sheetView>
  </sheetViews>
  <sheetFormatPr baseColWidth="10" defaultColWidth="9.140625" defaultRowHeight="11.25" x14ac:dyDescent="0.25"/>
  <cols>
    <col min="1" max="1" width="4.7109375" style="84" customWidth="1"/>
    <col min="2" max="2" width="56.7109375" style="85" customWidth="1"/>
    <col min="3" max="3" width="8.7109375" style="85" customWidth="1"/>
    <col min="4" max="4" width="13.7109375" style="26" customWidth="1"/>
    <col min="5" max="8" width="13.7109375" style="44" customWidth="1"/>
    <col min="9" max="9" width="16.140625" style="44" customWidth="1"/>
    <col min="10" max="10" width="15.5703125" style="44" customWidth="1"/>
    <col min="11" max="16" width="13.7109375" style="44" customWidth="1"/>
    <col min="17" max="17" width="14.5703125" style="27" customWidth="1"/>
    <col min="18" max="18" width="15.42578125" style="27" customWidth="1"/>
    <col min="19" max="19" width="15.28515625" style="27" customWidth="1"/>
    <col min="20" max="16384" width="9.140625" style="27"/>
  </cols>
  <sheetData>
    <row r="2" spans="1:19" x14ac:dyDescent="0.25">
      <c r="A2" s="279" t="s">
        <v>479</v>
      </c>
      <c r="B2" s="279"/>
      <c r="C2" s="279"/>
    </row>
    <row r="3" spans="1:19" x14ac:dyDescent="0.25">
      <c r="A3" s="28"/>
      <c r="B3" s="27"/>
      <c r="C3" s="27"/>
      <c r="E3" s="269" t="s">
        <v>473</v>
      </c>
      <c r="F3" s="269"/>
      <c r="G3" s="269"/>
      <c r="H3" s="278" t="s">
        <v>572</v>
      </c>
      <c r="I3" s="278"/>
      <c r="J3" s="278"/>
      <c r="K3" s="277" t="s">
        <v>490</v>
      </c>
      <c r="L3" s="277"/>
      <c r="M3" s="277"/>
      <c r="N3" s="266" t="s">
        <v>480</v>
      </c>
      <c r="O3" s="266"/>
      <c r="P3" s="266"/>
      <c r="Q3" s="295" t="s">
        <v>576</v>
      </c>
      <c r="R3" s="296"/>
      <c r="S3" s="297"/>
    </row>
    <row r="4" spans="1:19" ht="45" x14ac:dyDescent="0.25">
      <c r="A4" s="29" t="s">
        <v>0</v>
      </c>
      <c r="B4" s="30" t="s">
        <v>91</v>
      </c>
      <c r="C4" s="45" t="s">
        <v>152</v>
      </c>
      <c r="D4" s="110" t="s">
        <v>472</v>
      </c>
      <c r="E4" s="89" t="s">
        <v>469</v>
      </c>
      <c r="F4" s="89" t="s">
        <v>470</v>
      </c>
      <c r="G4" s="90" t="s">
        <v>471</v>
      </c>
      <c r="H4" s="233" t="s">
        <v>469</v>
      </c>
      <c r="I4" s="233" t="s">
        <v>470</v>
      </c>
      <c r="J4" s="231" t="s">
        <v>471</v>
      </c>
      <c r="K4" s="115" t="s">
        <v>469</v>
      </c>
      <c r="L4" s="115" t="s">
        <v>470</v>
      </c>
      <c r="M4" s="116" t="s">
        <v>471</v>
      </c>
      <c r="N4" s="97" t="s">
        <v>469</v>
      </c>
      <c r="O4" s="97" t="s">
        <v>470</v>
      </c>
      <c r="P4" s="98" t="s">
        <v>471</v>
      </c>
      <c r="Q4" s="298" t="s">
        <v>574</v>
      </c>
      <c r="R4" s="298" t="s">
        <v>575</v>
      </c>
      <c r="S4" s="299" t="s">
        <v>471</v>
      </c>
    </row>
    <row r="5" spans="1:19" ht="33.75" x14ac:dyDescent="0.25">
      <c r="A5" s="31">
        <v>1</v>
      </c>
      <c r="B5" s="32" t="s">
        <v>276</v>
      </c>
      <c r="C5" s="33" t="s">
        <v>153</v>
      </c>
      <c r="D5" s="111">
        <v>7004507.6269549998</v>
      </c>
      <c r="E5" s="112">
        <v>2031307.2118169498</v>
      </c>
      <c r="F5" s="112">
        <v>8125228.8472677991</v>
      </c>
      <c r="G5" s="112">
        <f>F5+E5</f>
        <v>10156536.059084749</v>
      </c>
      <c r="H5" s="257">
        <f>+I5*20%</f>
        <v>1740000</v>
      </c>
      <c r="I5" s="257">
        <v>8700000</v>
      </c>
      <c r="J5" s="232">
        <f>+I5+H5</f>
        <v>10440000</v>
      </c>
      <c r="K5" s="248">
        <v>1920000</v>
      </c>
      <c r="L5" s="249">
        <v>7168114.7475128947</v>
      </c>
      <c r="M5" s="250">
        <v>9088114.7475128956</v>
      </c>
      <c r="N5" s="99">
        <f>MIN(E5,H5,K5)</f>
        <v>1740000</v>
      </c>
      <c r="O5" s="73">
        <f>MIN(F5,I5,L5)</f>
        <v>7168114.7475128947</v>
      </c>
      <c r="P5" s="73">
        <f>O5+N5</f>
        <v>8908114.7475128956</v>
      </c>
      <c r="Q5" s="301">
        <f>N5-(N5*7%)</f>
        <v>1618200</v>
      </c>
      <c r="R5" s="301">
        <f>O5-(O5*7%)</f>
        <v>6666346.7151869917</v>
      </c>
      <c r="S5" s="300">
        <f>R5+Q5</f>
        <v>8284546.7151869917</v>
      </c>
    </row>
    <row r="6" spans="1:19" ht="15" x14ac:dyDescent="0.25">
      <c r="A6" s="31">
        <v>2</v>
      </c>
      <c r="B6" s="46" t="s">
        <v>277</v>
      </c>
      <c r="C6" s="33" t="s">
        <v>153</v>
      </c>
      <c r="D6" s="111">
        <v>1384992.8653356305</v>
      </c>
      <c r="E6" s="112">
        <v>409957.88813934661</v>
      </c>
      <c r="F6" s="112">
        <v>1639831.5525573865</v>
      </c>
      <c r="G6" s="112">
        <f t="shared" ref="G6:G40" si="0">F6+E6</f>
        <v>2049789.4406967331</v>
      </c>
      <c r="H6" s="257">
        <f t="shared" ref="H6:H69" si="1">+I6*20%</f>
        <v>260000</v>
      </c>
      <c r="I6" s="257">
        <v>1300000</v>
      </c>
      <c r="J6" s="232">
        <f t="shared" ref="J6:J69" si="2">+I6+H6</f>
        <v>1560000</v>
      </c>
      <c r="K6" s="248">
        <v>149500</v>
      </c>
      <c r="L6" s="249">
        <v>1232143.6501487112</v>
      </c>
      <c r="M6" s="250">
        <v>1381643.6501487112</v>
      </c>
      <c r="N6" s="99">
        <f t="shared" ref="N6:N69" si="3">MIN(E6,H6,K6)</f>
        <v>149500</v>
      </c>
      <c r="O6" s="73">
        <f t="shared" ref="O6:O69" si="4">MIN(F6,I6,L6)</f>
        <v>1232143.6501487112</v>
      </c>
      <c r="P6" s="73">
        <f t="shared" ref="P6:P69" si="5">O6+N6</f>
        <v>1381643.6501487112</v>
      </c>
      <c r="Q6" s="301">
        <f t="shared" ref="Q6:Q69" si="6">N6-(N6*7%)</f>
        <v>139035</v>
      </c>
      <c r="R6" s="301">
        <f t="shared" ref="R6:R69" si="7">O6-(O6*7%)</f>
        <v>1145893.5946383013</v>
      </c>
      <c r="S6" s="300">
        <f t="shared" ref="S6:S69" si="8">R6+Q6</f>
        <v>1284928.5946383013</v>
      </c>
    </row>
    <row r="7" spans="1:19" ht="15" x14ac:dyDescent="0.25">
      <c r="A7" s="31">
        <v>3</v>
      </c>
      <c r="B7" s="46" t="s">
        <v>156</v>
      </c>
      <c r="C7" s="33" t="s">
        <v>153</v>
      </c>
      <c r="D7" s="111">
        <v>363657.34452946711</v>
      </c>
      <c r="E7" s="112">
        <v>107642.57398072223</v>
      </c>
      <c r="F7" s="112">
        <v>430570.29592288914</v>
      </c>
      <c r="G7" s="112">
        <f t="shared" si="0"/>
        <v>538212.86990361137</v>
      </c>
      <c r="H7" s="257">
        <f t="shared" si="1"/>
        <v>86000</v>
      </c>
      <c r="I7" s="257">
        <v>430000</v>
      </c>
      <c r="J7" s="232">
        <f t="shared" si="2"/>
        <v>516000</v>
      </c>
      <c r="K7" s="248">
        <v>649500</v>
      </c>
      <c r="L7" s="249">
        <v>323155.03663122572</v>
      </c>
      <c r="M7" s="250">
        <v>972655.03663122572</v>
      </c>
      <c r="N7" s="99">
        <f t="shared" si="3"/>
        <v>86000</v>
      </c>
      <c r="O7" s="73">
        <f t="shared" si="4"/>
        <v>323155.03663122572</v>
      </c>
      <c r="P7" s="73">
        <f t="shared" si="5"/>
        <v>409155.03663122572</v>
      </c>
      <c r="Q7" s="301">
        <f t="shared" si="6"/>
        <v>79980</v>
      </c>
      <c r="R7" s="301">
        <f t="shared" si="7"/>
        <v>300534.18406703993</v>
      </c>
      <c r="S7" s="300">
        <f t="shared" si="8"/>
        <v>380514.18406703993</v>
      </c>
    </row>
    <row r="8" spans="1:19" ht="15" x14ac:dyDescent="0.25">
      <c r="A8" s="31">
        <v>4</v>
      </c>
      <c r="B8" s="46" t="s">
        <v>133</v>
      </c>
      <c r="C8" s="33" t="s">
        <v>153</v>
      </c>
      <c r="D8" s="111">
        <v>3559655.875195351</v>
      </c>
      <c r="E8" s="112">
        <v>1032300.2038066518</v>
      </c>
      <c r="F8" s="112">
        <v>4129200.815226607</v>
      </c>
      <c r="G8" s="112">
        <f t="shared" si="0"/>
        <v>5161501.0190332588</v>
      </c>
      <c r="H8" s="257">
        <f t="shared" si="1"/>
        <v>900000</v>
      </c>
      <c r="I8" s="257">
        <v>4500000</v>
      </c>
      <c r="J8" s="232">
        <f t="shared" si="2"/>
        <v>5400000</v>
      </c>
      <c r="K8" s="248">
        <v>1510000</v>
      </c>
      <c r="L8" s="249">
        <v>3986654.6002016957</v>
      </c>
      <c r="M8" s="250">
        <v>5496654.6002016962</v>
      </c>
      <c r="N8" s="99">
        <f t="shared" si="3"/>
        <v>900000</v>
      </c>
      <c r="O8" s="73">
        <f t="shared" si="4"/>
        <v>3986654.6002016957</v>
      </c>
      <c r="P8" s="73">
        <f t="shared" si="5"/>
        <v>4886654.6002016962</v>
      </c>
      <c r="Q8" s="301">
        <f t="shared" si="6"/>
        <v>837000</v>
      </c>
      <c r="R8" s="301">
        <f t="shared" si="7"/>
        <v>3707588.7781875771</v>
      </c>
      <c r="S8" s="300">
        <f t="shared" si="8"/>
        <v>4544588.7781875767</v>
      </c>
    </row>
    <row r="9" spans="1:19" ht="15" x14ac:dyDescent="0.25">
      <c r="A9" s="31">
        <v>5</v>
      </c>
      <c r="B9" s="46" t="s">
        <v>4</v>
      </c>
      <c r="C9" s="33" t="s">
        <v>153</v>
      </c>
      <c r="D9" s="111">
        <v>1303116.8554514798</v>
      </c>
      <c r="E9" s="112">
        <v>385722.58921363787</v>
      </c>
      <c r="F9" s="112">
        <v>1542890.3568545522</v>
      </c>
      <c r="G9" s="112">
        <f t="shared" si="0"/>
        <v>1928612.94606819</v>
      </c>
      <c r="H9" s="257">
        <f t="shared" si="1"/>
        <v>320000</v>
      </c>
      <c r="I9" s="257">
        <v>1600000</v>
      </c>
      <c r="J9" s="232">
        <f t="shared" si="2"/>
        <v>1920000</v>
      </c>
      <c r="K9" s="248">
        <v>1699500</v>
      </c>
      <c r="L9" s="249">
        <v>1459115.3524330773</v>
      </c>
      <c r="M9" s="250">
        <v>3158615.3524330771</v>
      </c>
      <c r="N9" s="99">
        <f t="shared" si="3"/>
        <v>320000</v>
      </c>
      <c r="O9" s="73">
        <f t="shared" si="4"/>
        <v>1459115.3524330773</v>
      </c>
      <c r="P9" s="73">
        <f t="shared" si="5"/>
        <v>1779115.3524330773</v>
      </c>
      <c r="Q9" s="301">
        <f t="shared" si="6"/>
        <v>297600</v>
      </c>
      <c r="R9" s="301">
        <f t="shared" si="7"/>
        <v>1356977.2777627618</v>
      </c>
      <c r="S9" s="300">
        <f t="shared" si="8"/>
        <v>1654577.2777627618</v>
      </c>
    </row>
    <row r="10" spans="1:19" ht="15" x14ac:dyDescent="0.25">
      <c r="A10" s="31">
        <v>6</v>
      </c>
      <c r="B10" s="46" t="s">
        <v>96</v>
      </c>
      <c r="C10" s="33" t="s">
        <v>153</v>
      </c>
      <c r="D10" s="111">
        <v>1067631.1716539275</v>
      </c>
      <c r="E10" s="112">
        <v>316018.82680956251</v>
      </c>
      <c r="F10" s="112">
        <v>1264075.3072382503</v>
      </c>
      <c r="G10" s="112">
        <f t="shared" si="0"/>
        <v>1580094.1340478128</v>
      </c>
      <c r="H10" s="257">
        <f t="shared" si="1"/>
        <v>140000</v>
      </c>
      <c r="I10" s="257">
        <v>700000</v>
      </c>
      <c r="J10" s="232">
        <f t="shared" si="2"/>
        <v>840000</v>
      </c>
      <c r="K10" s="248">
        <v>899500</v>
      </c>
      <c r="L10" s="249">
        <v>1195348.8928779033</v>
      </c>
      <c r="M10" s="250">
        <v>2094848.8928779033</v>
      </c>
      <c r="N10" s="99">
        <f t="shared" si="3"/>
        <v>140000</v>
      </c>
      <c r="O10" s="73">
        <f t="shared" si="4"/>
        <v>700000</v>
      </c>
      <c r="P10" s="73">
        <f t="shared" si="5"/>
        <v>840000</v>
      </c>
      <c r="Q10" s="301">
        <f t="shared" si="6"/>
        <v>130200</v>
      </c>
      <c r="R10" s="301">
        <f t="shared" si="7"/>
        <v>651000</v>
      </c>
      <c r="S10" s="300">
        <f t="shared" si="8"/>
        <v>781200</v>
      </c>
    </row>
    <row r="11" spans="1:19" ht="15" x14ac:dyDescent="0.25">
      <c r="A11" s="31">
        <v>7</v>
      </c>
      <c r="B11" s="46" t="s">
        <v>8</v>
      </c>
      <c r="C11" s="33" t="s">
        <v>153</v>
      </c>
      <c r="D11" s="111">
        <v>186223.72616925</v>
      </c>
      <c r="E11" s="112">
        <v>55122.222946097987</v>
      </c>
      <c r="F11" s="112">
        <v>220488.89178439204</v>
      </c>
      <c r="G11" s="112">
        <f t="shared" si="0"/>
        <v>275611.11473049002</v>
      </c>
      <c r="H11" s="257">
        <f t="shared" si="1"/>
        <v>392000</v>
      </c>
      <c r="I11" s="257">
        <v>1960000</v>
      </c>
      <c r="J11" s="232">
        <f t="shared" si="2"/>
        <v>2352000</v>
      </c>
      <c r="K11" s="248">
        <v>397500</v>
      </c>
      <c r="L11" s="249">
        <v>165239.11629063252</v>
      </c>
      <c r="M11" s="250">
        <v>562739.11629063252</v>
      </c>
      <c r="N11" s="99">
        <f t="shared" si="3"/>
        <v>55122.222946097987</v>
      </c>
      <c r="O11" s="73">
        <f t="shared" si="4"/>
        <v>165239.11629063252</v>
      </c>
      <c r="P11" s="73">
        <f t="shared" si="5"/>
        <v>220361.33923673051</v>
      </c>
      <c r="Q11" s="301">
        <f t="shared" si="6"/>
        <v>51263.667339871128</v>
      </c>
      <c r="R11" s="301">
        <f t="shared" si="7"/>
        <v>153672.37815028825</v>
      </c>
      <c r="S11" s="300">
        <f t="shared" si="8"/>
        <v>204936.04549015936</v>
      </c>
    </row>
    <row r="12" spans="1:19" ht="15" x14ac:dyDescent="0.25">
      <c r="A12" s="31">
        <v>8</v>
      </c>
      <c r="B12" s="46" t="s">
        <v>157</v>
      </c>
      <c r="C12" s="33" t="s">
        <v>153</v>
      </c>
      <c r="D12" s="111">
        <v>239430.50507475002</v>
      </c>
      <c r="E12" s="112">
        <v>110871.42950212595</v>
      </c>
      <c r="F12" s="112">
        <v>443485.71800850402</v>
      </c>
      <c r="G12" s="112">
        <f t="shared" si="0"/>
        <v>554357.14751062996</v>
      </c>
      <c r="H12" s="257">
        <f t="shared" si="1"/>
        <v>62000</v>
      </c>
      <c r="I12" s="257">
        <v>310000</v>
      </c>
      <c r="J12" s="232">
        <f t="shared" si="2"/>
        <v>372000</v>
      </c>
      <c r="K12" s="248">
        <v>499500</v>
      </c>
      <c r="L12" s="249">
        <v>212593.14951652751</v>
      </c>
      <c r="M12" s="250">
        <v>712093.14951652754</v>
      </c>
      <c r="N12" s="99">
        <f t="shared" si="3"/>
        <v>62000</v>
      </c>
      <c r="O12" s="73">
        <f t="shared" si="4"/>
        <v>212593.14951652751</v>
      </c>
      <c r="P12" s="73">
        <f t="shared" si="5"/>
        <v>274593.14951652754</v>
      </c>
      <c r="Q12" s="301">
        <f t="shared" si="6"/>
        <v>57660</v>
      </c>
      <c r="R12" s="301">
        <f t="shared" si="7"/>
        <v>197711.6290503706</v>
      </c>
      <c r="S12" s="300">
        <f t="shared" si="8"/>
        <v>255371.6290503706</v>
      </c>
    </row>
    <row r="13" spans="1:19" ht="15" x14ac:dyDescent="0.25">
      <c r="A13" s="31">
        <v>9</v>
      </c>
      <c r="B13" s="46" t="s">
        <v>393</v>
      </c>
      <c r="C13" s="33" t="s">
        <v>153</v>
      </c>
      <c r="D13" s="111">
        <v>180000</v>
      </c>
      <c r="E13" s="112">
        <v>59680</v>
      </c>
      <c r="F13" s="112">
        <v>238720</v>
      </c>
      <c r="G13" s="112">
        <f t="shared" si="0"/>
        <v>298400</v>
      </c>
      <c r="H13" s="257">
        <f t="shared" si="1"/>
        <v>38000</v>
      </c>
      <c r="I13" s="257">
        <v>190000</v>
      </c>
      <c r="J13" s="232">
        <f t="shared" si="2"/>
        <v>228000</v>
      </c>
      <c r="K13" s="248">
        <v>849500</v>
      </c>
      <c r="L13" s="249">
        <v>159700</v>
      </c>
      <c r="M13" s="250">
        <v>1009200</v>
      </c>
      <c r="N13" s="99">
        <f t="shared" si="3"/>
        <v>38000</v>
      </c>
      <c r="O13" s="73">
        <f t="shared" si="4"/>
        <v>159700</v>
      </c>
      <c r="P13" s="73">
        <f t="shared" si="5"/>
        <v>197700</v>
      </c>
      <c r="Q13" s="301">
        <f t="shared" si="6"/>
        <v>35340</v>
      </c>
      <c r="R13" s="301">
        <f t="shared" si="7"/>
        <v>148521</v>
      </c>
      <c r="S13" s="300">
        <f t="shared" si="8"/>
        <v>183861</v>
      </c>
    </row>
    <row r="14" spans="1:19" ht="15" x14ac:dyDescent="0.25">
      <c r="A14" s="31">
        <v>10</v>
      </c>
      <c r="B14" s="46" t="s">
        <v>10</v>
      </c>
      <c r="C14" s="33" t="s">
        <v>153</v>
      </c>
      <c r="D14" s="111">
        <v>187705.99394355452</v>
      </c>
      <c r="E14" s="112">
        <v>55560.974207292136</v>
      </c>
      <c r="F14" s="112">
        <v>222243.89682916855</v>
      </c>
      <c r="G14" s="112">
        <f t="shared" si="0"/>
        <v>277804.87103646068</v>
      </c>
      <c r="H14" s="257">
        <f t="shared" si="1"/>
        <v>44000</v>
      </c>
      <c r="I14" s="257">
        <v>220000</v>
      </c>
      <c r="J14" s="232">
        <f t="shared" si="2"/>
        <v>264000</v>
      </c>
      <c r="K14" s="248">
        <v>349500</v>
      </c>
      <c r="L14" s="249">
        <v>166558.33460976352</v>
      </c>
      <c r="M14" s="250">
        <v>516058.33460976352</v>
      </c>
      <c r="N14" s="99">
        <f t="shared" si="3"/>
        <v>44000</v>
      </c>
      <c r="O14" s="73">
        <f t="shared" si="4"/>
        <v>166558.33460976352</v>
      </c>
      <c r="P14" s="73">
        <f t="shared" si="5"/>
        <v>210558.33460976352</v>
      </c>
      <c r="Q14" s="301">
        <f t="shared" si="6"/>
        <v>40920</v>
      </c>
      <c r="R14" s="301">
        <f t="shared" si="7"/>
        <v>154899.25118708008</v>
      </c>
      <c r="S14" s="300">
        <f t="shared" si="8"/>
        <v>195819.25118708008</v>
      </c>
    </row>
    <row r="15" spans="1:19" ht="15" x14ac:dyDescent="0.25">
      <c r="A15" s="31">
        <v>11</v>
      </c>
      <c r="B15" s="46" t="s">
        <v>65</v>
      </c>
      <c r="C15" s="33" t="s">
        <v>153</v>
      </c>
      <c r="D15" s="111">
        <v>805698.22873696906</v>
      </c>
      <c r="E15" s="112">
        <v>238486.67570614279</v>
      </c>
      <c r="F15" s="112">
        <v>953946.7028245714</v>
      </c>
      <c r="G15" s="112">
        <f t="shared" si="0"/>
        <v>1192433.3785307142</v>
      </c>
      <c r="H15" s="257">
        <f t="shared" si="1"/>
        <v>190000</v>
      </c>
      <c r="I15" s="257">
        <v>950000</v>
      </c>
      <c r="J15" s="232">
        <f t="shared" si="2"/>
        <v>1140000</v>
      </c>
      <c r="K15" s="248">
        <v>749500</v>
      </c>
      <c r="L15" s="249">
        <v>716571.42357590247</v>
      </c>
      <c r="M15" s="250">
        <v>1466071.4235759024</v>
      </c>
      <c r="N15" s="99">
        <f t="shared" si="3"/>
        <v>190000</v>
      </c>
      <c r="O15" s="73">
        <f t="shared" si="4"/>
        <v>716571.42357590247</v>
      </c>
      <c r="P15" s="73">
        <f t="shared" si="5"/>
        <v>906571.42357590247</v>
      </c>
      <c r="Q15" s="301">
        <f t="shared" si="6"/>
        <v>176700</v>
      </c>
      <c r="R15" s="301">
        <f t="shared" si="7"/>
        <v>666411.4239255893</v>
      </c>
      <c r="S15" s="300">
        <f t="shared" si="8"/>
        <v>843111.4239255893</v>
      </c>
    </row>
    <row r="16" spans="1:19" ht="15" x14ac:dyDescent="0.25">
      <c r="A16" s="31">
        <v>12</v>
      </c>
      <c r="B16" s="46" t="s">
        <v>9</v>
      </c>
      <c r="C16" s="33" t="s">
        <v>153</v>
      </c>
      <c r="D16" s="111">
        <v>275451.09500529862</v>
      </c>
      <c r="E16" s="112">
        <v>97533.399999999965</v>
      </c>
      <c r="F16" s="112">
        <v>390133.60000000003</v>
      </c>
      <c r="G16" s="112">
        <f t="shared" si="0"/>
        <v>487667</v>
      </c>
      <c r="H16" s="257">
        <f t="shared" si="1"/>
        <v>68000</v>
      </c>
      <c r="I16" s="257">
        <v>340000</v>
      </c>
      <c r="J16" s="232">
        <f t="shared" si="2"/>
        <v>408000</v>
      </c>
      <c r="K16" s="248">
        <v>449500</v>
      </c>
      <c r="L16" s="249">
        <v>244651.47455471577</v>
      </c>
      <c r="M16" s="250">
        <v>694151.47455471579</v>
      </c>
      <c r="N16" s="99">
        <f t="shared" si="3"/>
        <v>68000</v>
      </c>
      <c r="O16" s="73">
        <f t="shared" si="4"/>
        <v>244651.47455471577</v>
      </c>
      <c r="P16" s="73">
        <f t="shared" si="5"/>
        <v>312651.47455471579</v>
      </c>
      <c r="Q16" s="301">
        <f t="shared" si="6"/>
        <v>63240</v>
      </c>
      <c r="R16" s="301">
        <f t="shared" si="7"/>
        <v>227525.87133588566</v>
      </c>
      <c r="S16" s="300">
        <f t="shared" si="8"/>
        <v>290765.87133588566</v>
      </c>
    </row>
    <row r="17" spans="1:19" ht="15" x14ac:dyDescent="0.25">
      <c r="A17" s="31">
        <v>13</v>
      </c>
      <c r="B17" s="46" t="s">
        <v>324</v>
      </c>
      <c r="C17" s="33" t="s">
        <v>153</v>
      </c>
      <c r="D17" s="111">
        <v>1007097</v>
      </c>
      <c r="E17" s="112">
        <v>298100.71200000006</v>
      </c>
      <c r="F17" s="112">
        <v>1192402.848</v>
      </c>
      <c r="G17" s="112">
        <f t="shared" si="0"/>
        <v>1490503.56</v>
      </c>
      <c r="H17" s="257">
        <f t="shared" si="1"/>
        <v>142000</v>
      </c>
      <c r="I17" s="257">
        <v>710000</v>
      </c>
      <c r="J17" s="232">
        <f t="shared" si="2"/>
        <v>852000</v>
      </c>
      <c r="K17" s="248">
        <v>397500</v>
      </c>
      <c r="L17" s="249">
        <v>1264461.2674867634</v>
      </c>
      <c r="M17" s="250">
        <v>1661961.2674867634</v>
      </c>
      <c r="N17" s="99">
        <f t="shared" si="3"/>
        <v>142000</v>
      </c>
      <c r="O17" s="73">
        <f t="shared" si="4"/>
        <v>710000</v>
      </c>
      <c r="P17" s="73">
        <f t="shared" si="5"/>
        <v>852000</v>
      </c>
      <c r="Q17" s="301">
        <f t="shared" si="6"/>
        <v>132060</v>
      </c>
      <c r="R17" s="301">
        <f t="shared" si="7"/>
        <v>660300</v>
      </c>
      <c r="S17" s="300">
        <f t="shared" si="8"/>
        <v>792360</v>
      </c>
    </row>
    <row r="18" spans="1:19" ht="15" x14ac:dyDescent="0.25">
      <c r="A18" s="31">
        <v>14</v>
      </c>
      <c r="B18" s="47" t="s">
        <v>158</v>
      </c>
      <c r="C18" s="33" t="s">
        <v>153</v>
      </c>
      <c r="D18" s="111">
        <v>771362.85534699995</v>
      </c>
      <c r="E18" s="112">
        <v>1040851.1999999997</v>
      </c>
      <c r="F18" s="112">
        <v>4163404.8000000003</v>
      </c>
      <c r="G18" s="112">
        <f t="shared" si="0"/>
        <v>5204256</v>
      </c>
      <c r="H18" s="257">
        <f t="shared" si="1"/>
        <v>1032000</v>
      </c>
      <c r="I18" s="257">
        <v>5160000</v>
      </c>
      <c r="J18" s="232">
        <f t="shared" si="2"/>
        <v>6192000</v>
      </c>
      <c r="K18" s="248">
        <v>999500</v>
      </c>
      <c r="L18" s="249">
        <v>4949115.3193928208</v>
      </c>
      <c r="M18" s="250">
        <v>5948615.3193928208</v>
      </c>
      <c r="N18" s="99">
        <f t="shared" si="3"/>
        <v>999500</v>
      </c>
      <c r="O18" s="73">
        <f t="shared" si="4"/>
        <v>4163404.8000000003</v>
      </c>
      <c r="P18" s="73">
        <f t="shared" si="5"/>
        <v>5162904.8000000007</v>
      </c>
      <c r="Q18" s="301">
        <f t="shared" si="6"/>
        <v>929535</v>
      </c>
      <c r="R18" s="301">
        <f t="shared" si="7"/>
        <v>3871966.4640000002</v>
      </c>
      <c r="S18" s="300">
        <f t="shared" si="8"/>
        <v>4801501.4639999997</v>
      </c>
    </row>
    <row r="19" spans="1:19" ht="15" x14ac:dyDescent="0.25">
      <c r="A19" s="31">
        <v>15</v>
      </c>
      <c r="B19" s="46" t="s">
        <v>2</v>
      </c>
      <c r="C19" s="33" t="s">
        <v>153</v>
      </c>
      <c r="D19" s="111">
        <v>573198.253925408</v>
      </c>
      <c r="E19" s="112">
        <v>198066.68316192075</v>
      </c>
      <c r="F19" s="112">
        <v>792266.73264768324</v>
      </c>
      <c r="G19" s="112">
        <f t="shared" si="0"/>
        <v>990333.41580960399</v>
      </c>
      <c r="H19" s="257">
        <f t="shared" si="1"/>
        <v>140000</v>
      </c>
      <c r="I19" s="257">
        <v>700000</v>
      </c>
      <c r="J19" s="232">
        <f t="shared" si="2"/>
        <v>840000</v>
      </c>
      <c r="K19" s="248">
        <v>749500</v>
      </c>
      <c r="L19" s="249">
        <v>509646.4459936131</v>
      </c>
      <c r="M19" s="250">
        <v>1259146.445993613</v>
      </c>
      <c r="N19" s="99">
        <f t="shared" si="3"/>
        <v>140000</v>
      </c>
      <c r="O19" s="73">
        <f t="shared" si="4"/>
        <v>509646.4459936131</v>
      </c>
      <c r="P19" s="73">
        <f t="shared" si="5"/>
        <v>649646.4459936131</v>
      </c>
      <c r="Q19" s="301">
        <f t="shared" si="6"/>
        <v>130200</v>
      </c>
      <c r="R19" s="301">
        <f t="shared" si="7"/>
        <v>473971.19477406016</v>
      </c>
      <c r="S19" s="300">
        <f t="shared" si="8"/>
        <v>604171.19477406016</v>
      </c>
    </row>
    <row r="20" spans="1:19" ht="15" x14ac:dyDescent="0.25">
      <c r="A20" s="31">
        <v>16</v>
      </c>
      <c r="B20" s="46" t="s">
        <v>3</v>
      </c>
      <c r="C20" s="33" t="s">
        <v>153</v>
      </c>
      <c r="D20" s="111">
        <v>573198.253925408</v>
      </c>
      <c r="E20" s="112">
        <v>198666.08316192077</v>
      </c>
      <c r="F20" s="112">
        <v>794664.33264768322</v>
      </c>
      <c r="G20" s="112">
        <f t="shared" si="0"/>
        <v>993330.41580960399</v>
      </c>
      <c r="H20" s="257">
        <f t="shared" si="1"/>
        <v>140000</v>
      </c>
      <c r="I20" s="257">
        <v>700000</v>
      </c>
      <c r="J20" s="232">
        <f t="shared" si="2"/>
        <v>840000</v>
      </c>
      <c r="K20" s="248">
        <v>749500</v>
      </c>
      <c r="L20" s="249">
        <v>509646.4459936131</v>
      </c>
      <c r="M20" s="250">
        <v>1259146.445993613</v>
      </c>
      <c r="N20" s="99">
        <f t="shared" si="3"/>
        <v>140000</v>
      </c>
      <c r="O20" s="73">
        <f t="shared" si="4"/>
        <v>509646.4459936131</v>
      </c>
      <c r="P20" s="73">
        <f t="shared" si="5"/>
        <v>649646.4459936131</v>
      </c>
      <c r="Q20" s="301">
        <f t="shared" si="6"/>
        <v>130200</v>
      </c>
      <c r="R20" s="301">
        <f t="shared" si="7"/>
        <v>473971.19477406016</v>
      </c>
      <c r="S20" s="300">
        <f t="shared" si="8"/>
        <v>604171.19477406016</v>
      </c>
    </row>
    <row r="21" spans="1:19" ht="15" x14ac:dyDescent="0.25">
      <c r="A21" s="31">
        <v>17</v>
      </c>
      <c r="B21" s="46" t="s">
        <v>15</v>
      </c>
      <c r="C21" s="33" t="s">
        <v>153</v>
      </c>
      <c r="D21" s="111">
        <v>1753950.3222268566</v>
      </c>
      <c r="E21" s="112">
        <v>508645.59344578837</v>
      </c>
      <c r="F21" s="112">
        <v>2034582.3737831537</v>
      </c>
      <c r="G21" s="112">
        <f t="shared" si="0"/>
        <v>2543227.9672289421</v>
      </c>
      <c r="H21" s="257">
        <f t="shared" si="1"/>
        <v>3200000</v>
      </c>
      <c r="I21" s="257">
        <v>16000000</v>
      </c>
      <c r="J21" s="232">
        <f t="shared" si="2"/>
        <v>19200000</v>
      </c>
      <c r="K21" s="248">
        <v>999500</v>
      </c>
      <c r="L21" s="249">
        <v>1560515.7867819024</v>
      </c>
      <c r="M21" s="250">
        <v>2560015.7867819024</v>
      </c>
      <c r="N21" s="99">
        <f t="shared" si="3"/>
        <v>508645.59344578837</v>
      </c>
      <c r="O21" s="73">
        <f t="shared" si="4"/>
        <v>1560515.7867819024</v>
      </c>
      <c r="P21" s="73">
        <f t="shared" si="5"/>
        <v>2069161.3802276908</v>
      </c>
      <c r="Q21" s="301">
        <f t="shared" si="6"/>
        <v>473040.40190458321</v>
      </c>
      <c r="R21" s="301">
        <f t="shared" si="7"/>
        <v>1451279.6817071692</v>
      </c>
      <c r="S21" s="300">
        <f t="shared" si="8"/>
        <v>1924320.0836117524</v>
      </c>
    </row>
    <row r="22" spans="1:19" ht="15" x14ac:dyDescent="0.25">
      <c r="A22" s="31">
        <v>18</v>
      </c>
      <c r="B22" s="46" t="s">
        <v>105</v>
      </c>
      <c r="C22" s="33" t="s">
        <v>153</v>
      </c>
      <c r="D22" s="111">
        <v>430774.88161568186</v>
      </c>
      <c r="E22" s="112">
        <v>187509.3649582417</v>
      </c>
      <c r="F22" s="112">
        <v>750037.45983296726</v>
      </c>
      <c r="G22" s="112">
        <f t="shared" si="0"/>
        <v>937546.82479120896</v>
      </c>
      <c r="H22" s="257">
        <f t="shared" si="1"/>
        <v>100000</v>
      </c>
      <c r="I22" s="257">
        <v>500000</v>
      </c>
      <c r="J22" s="232">
        <f t="shared" si="2"/>
        <v>600000</v>
      </c>
      <c r="K22" s="248">
        <v>749500</v>
      </c>
      <c r="L22" s="249">
        <v>382889.64463795687</v>
      </c>
      <c r="M22" s="250">
        <v>1132389.6446379567</v>
      </c>
      <c r="N22" s="99">
        <f t="shared" si="3"/>
        <v>100000</v>
      </c>
      <c r="O22" s="73">
        <f t="shared" si="4"/>
        <v>382889.64463795687</v>
      </c>
      <c r="P22" s="73">
        <f t="shared" si="5"/>
        <v>482889.64463795687</v>
      </c>
      <c r="Q22" s="301">
        <f t="shared" si="6"/>
        <v>93000</v>
      </c>
      <c r="R22" s="301">
        <f t="shared" si="7"/>
        <v>356087.3695132999</v>
      </c>
      <c r="S22" s="300">
        <f t="shared" si="8"/>
        <v>449087.3695132999</v>
      </c>
    </row>
    <row r="23" spans="1:19" ht="15" x14ac:dyDescent="0.25">
      <c r="A23" s="31">
        <v>19</v>
      </c>
      <c r="B23" s="46" t="s">
        <v>106</v>
      </c>
      <c r="C23" s="33" t="s">
        <v>153</v>
      </c>
      <c r="D23" s="111">
        <v>617806.17512427934</v>
      </c>
      <c r="E23" s="112">
        <v>182870.62783678668</v>
      </c>
      <c r="F23" s="112">
        <v>731482.5113471467</v>
      </c>
      <c r="G23" s="112">
        <f t="shared" si="0"/>
        <v>914353.13918393338</v>
      </c>
      <c r="H23" s="257">
        <f t="shared" si="1"/>
        <v>146000</v>
      </c>
      <c r="I23" s="257">
        <v>730000</v>
      </c>
      <c r="J23" s="232">
        <f t="shared" si="2"/>
        <v>876000</v>
      </c>
      <c r="K23" s="248">
        <v>749500</v>
      </c>
      <c r="L23" s="249">
        <v>549347.49586060864</v>
      </c>
      <c r="M23" s="250">
        <v>1298847.4958606088</v>
      </c>
      <c r="N23" s="99">
        <f t="shared" si="3"/>
        <v>146000</v>
      </c>
      <c r="O23" s="73">
        <f t="shared" si="4"/>
        <v>549347.49586060864</v>
      </c>
      <c r="P23" s="73">
        <f t="shared" si="5"/>
        <v>695347.49586060864</v>
      </c>
      <c r="Q23" s="301">
        <f t="shared" si="6"/>
        <v>135780</v>
      </c>
      <c r="R23" s="301">
        <f t="shared" si="7"/>
        <v>510893.17115036602</v>
      </c>
      <c r="S23" s="300">
        <f t="shared" si="8"/>
        <v>646673.17115036608</v>
      </c>
    </row>
    <row r="24" spans="1:19" ht="15" x14ac:dyDescent="0.25">
      <c r="A24" s="31">
        <v>20</v>
      </c>
      <c r="B24" s="46" t="s">
        <v>6</v>
      </c>
      <c r="C24" s="33" t="s">
        <v>153</v>
      </c>
      <c r="D24" s="111">
        <v>286283.4414380911</v>
      </c>
      <c r="E24" s="112">
        <v>84739.898665674962</v>
      </c>
      <c r="F24" s="112">
        <v>338959.59466269985</v>
      </c>
      <c r="G24" s="112">
        <f t="shared" si="0"/>
        <v>423699.49332837481</v>
      </c>
      <c r="H24" s="257">
        <f t="shared" si="1"/>
        <v>6000</v>
      </c>
      <c r="I24" s="257">
        <v>30000</v>
      </c>
      <c r="J24" s="232">
        <f t="shared" si="2"/>
        <v>36000</v>
      </c>
      <c r="K24" s="248">
        <v>474500</v>
      </c>
      <c r="L24" s="249">
        <v>254292.26287990107</v>
      </c>
      <c r="M24" s="250">
        <v>728792.2628799011</v>
      </c>
      <c r="N24" s="99">
        <f t="shared" si="3"/>
        <v>6000</v>
      </c>
      <c r="O24" s="73">
        <f t="shared" si="4"/>
        <v>30000</v>
      </c>
      <c r="P24" s="73">
        <f t="shared" si="5"/>
        <v>36000</v>
      </c>
      <c r="Q24" s="301">
        <f t="shared" si="6"/>
        <v>5580</v>
      </c>
      <c r="R24" s="301">
        <f t="shared" si="7"/>
        <v>27900</v>
      </c>
      <c r="S24" s="300">
        <f t="shared" si="8"/>
        <v>33480</v>
      </c>
    </row>
    <row r="25" spans="1:19" ht="15" x14ac:dyDescent="0.25">
      <c r="A25" s="31">
        <v>21</v>
      </c>
      <c r="B25" s="46" t="s">
        <v>159</v>
      </c>
      <c r="C25" s="33" t="s">
        <v>153</v>
      </c>
      <c r="D25" s="111">
        <v>2352166.65397783</v>
      </c>
      <c r="E25" s="112">
        <v>682128.32965357043</v>
      </c>
      <c r="F25" s="112">
        <v>2728513.3186142831</v>
      </c>
      <c r="G25" s="112">
        <f t="shared" si="0"/>
        <v>3410641.6482678535</v>
      </c>
      <c r="H25" s="257">
        <f t="shared" si="1"/>
        <v>540000</v>
      </c>
      <c r="I25" s="257">
        <v>2700000</v>
      </c>
      <c r="J25" s="232">
        <f t="shared" si="2"/>
        <v>3240000</v>
      </c>
      <c r="K25" s="248">
        <v>649500</v>
      </c>
      <c r="L25" s="249">
        <v>2092928.3220402687</v>
      </c>
      <c r="M25" s="250">
        <v>2742428.3220402687</v>
      </c>
      <c r="N25" s="99">
        <f t="shared" si="3"/>
        <v>540000</v>
      </c>
      <c r="O25" s="73">
        <f t="shared" si="4"/>
        <v>2092928.3220402687</v>
      </c>
      <c r="P25" s="73">
        <f t="shared" si="5"/>
        <v>2632928.3220402687</v>
      </c>
      <c r="Q25" s="301">
        <f t="shared" si="6"/>
        <v>502200</v>
      </c>
      <c r="R25" s="301">
        <f t="shared" si="7"/>
        <v>1946423.3394974498</v>
      </c>
      <c r="S25" s="300">
        <f t="shared" si="8"/>
        <v>2448623.3394974498</v>
      </c>
    </row>
    <row r="26" spans="1:19" ht="11.25" customHeight="1" x14ac:dyDescent="0.25">
      <c r="A26" s="31">
        <v>22</v>
      </c>
      <c r="B26" s="46" t="s">
        <v>160</v>
      </c>
      <c r="C26" s="33" t="s">
        <v>153</v>
      </c>
      <c r="D26" s="111">
        <v>414687</v>
      </c>
      <c r="E26" s="112">
        <v>142747.19999999995</v>
      </c>
      <c r="F26" s="112">
        <v>570988.80000000005</v>
      </c>
      <c r="G26" s="112">
        <f t="shared" si="0"/>
        <v>713736</v>
      </c>
      <c r="H26" s="257">
        <f t="shared" si="1"/>
        <v>108000</v>
      </c>
      <c r="I26" s="257">
        <v>540000</v>
      </c>
      <c r="J26" s="232">
        <f t="shared" si="2"/>
        <v>648000</v>
      </c>
      <c r="K26" s="248">
        <v>249500</v>
      </c>
      <c r="L26" s="249">
        <v>426700</v>
      </c>
      <c r="M26" s="250">
        <v>676200</v>
      </c>
      <c r="N26" s="99">
        <f t="shared" si="3"/>
        <v>108000</v>
      </c>
      <c r="O26" s="73">
        <f t="shared" si="4"/>
        <v>426700</v>
      </c>
      <c r="P26" s="73">
        <f t="shared" si="5"/>
        <v>534700</v>
      </c>
      <c r="Q26" s="301">
        <f t="shared" si="6"/>
        <v>100440</v>
      </c>
      <c r="R26" s="301">
        <f t="shared" si="7"/>
        <v>396831</v>
      </c>
      <c r="S26" s="300">
        <f t="shared" si="8"/>
        <v>497271</v>
      </c>
    </row>
    <row r="27" spans="1:19" ht="15" x14ac:dyDescent="0.25">
      <c r="A27" s="31">
        <v>23</v>
      </c>
      <c r="B27" s="46" t="s">
        <v>5</v>
      </c>
      <c r="C27" s="33" t="s">
        <v>153</v>
      </c>
      <c r="D27" s="111">
        <v>138229</v>
      </c>
      <c r="E27" s="112">
        <v>44915.599999999977</v>
      </c>
      <c r="F27" s="112">
        <v>179662.40000000002</v>
      </c>
      <c r="G27" s="112">
        <f t="shared" si="0"/>
        <v>224578</v>
      </c>
      <c r="H27" s="257">
        <f t="shared" si="1"/>
        <v>34000</v>
      </c>
      <c r="I27" s="257">
        <v>170000</v>
      </c>
      <c r="J27" s="232">
        <f t="shared" si="2"/>
        <v>204000</v>
      </c>
      <c r="K27" s="248">
        <v>167500</v>
      </c>
      <c r="L27" s="249">
        <v>185429.48912857648</v>
      </c>
      <c r="M27" s="250">
        <v>352929.48912857648</v>
      </c>
      <c r="N27" s="99">
        <f t="shared" si="3"/>
        <v>34000</v>
      </c>
      <c r="O27" s="73">
        <f t="shared" si="4"/>
        <v>170000</v>
      </c>
      <c r="P27" s="73">
        <f t="shared" si="5"/>
        <v>204000</v>
      </c>
      <c r="Q27" s="301">
        <f t="shared" si="6"/>
        <v>31620</v>
      </c>
      <c r="R27" s="301">
        <f t="shared" si="7"/>
        <v>158100</v>
      </c>
      <c r="S27" s="300">
        <f t="shared" si="8"/>
        <v>189720</v>
      </c>
    </row>
    <row r="28" spans="1:19" ht="15" x14ac:dyDescent="0.25">
      <c r="A28" s="31">
        <v>24</v>
      </c>
      <c r="B28" s="47" t="s">
        <v>132</v>
      </c>
      <c r="C28" s="33" t="s">
        <v>153</v>
      </c>
      <c r="D28" s="111">
        <v>977543.43913450616</v>
      </c>
      <c r="E28" s="112">
        <v>289352.85798381385</v>
      </c>
      <c r="F28" s="112">
        <v>1157411.4319352552</v>
      </c>
      <c r="G28" s="112">
        <f t="shared" si="0"/>
        <v>1446764.289919069</v>
      </c>
      <c r="H28" s="257">
        <f t="shared" si="1"/>
        <v>188000</v>
      </c>
      <c r="I28" s="257">
        <v>940000</v>
      </c>
      <c r="J28" s="232">
        <f t="shared" si="2"/>
        <v>1128000</v>
      </c>
      <c r="K28" s="248">
        <v>424500</v>
      </c>
      <c r="L28" s="249">
        <v>869513.66082971054</v>
      </c>
      <c r="M28" s="250">
        <v>1294013.6608297105</v>
      </c>
      <c r="N28" s="99">
        <f t="shared" si="3"/>
        <v>188000</v>
      </c>
      <c r="O28" s="73">
        <f t="shared" si="4"/>
        <v>869513.66082971054</v>
      </c>
      <c r="P28" s="73">
        <f t="shared" si="5"/>
        <v>1057513.6608297105</v>
      </c>
      <c r="Q28" s="301">
        <f t="shared" si="6"/>
        <v>174840</v>
      </c>
      <c r="R28" s="301">
        <f t="shared" si="7"/>
        <v>808647.70457163081</v>
      </c>
      <c r="S28" s="300">
        <f t="shared" si="8"/>
        <v>983487.70457163081</v>
      </c>
    </row>
    <row r="29" spans="1:19" ht="15" x14ac:dyDescent="0.25">
      <c r="A29" s="31">
        <v>25</v>
      </c>
      <c r="B29" s="47" t="s">
        <v>149</v>
      </c>
      <c r="C29" s="33" t="s">
        <v>153</v>
      </c>
      <c r="D29" s="111">
        <v>459381.24247799389</v>
      </c>
      <c r="E29" s="112">
        <v>135976.84777348617</v>
      </c>
      <c r="F29" s="112">
        <v>543907.39109394478</v>
      </c>
      <c r="G29" s="112">
        <f t="shared" si="0"/>
        <v>679884.23886743095</v>
      </c>
      <c r="H29" s="257">
        <f t="shared" si="1"/>
        <v>108000</v>
      </c>
      <c r="I29" s="257">
        <v>540000</v>
      </c>
      <c r="J29" s="232">
        <f t="shared" si="2"/>
        <v>648000</v>
      </c>
      <c r="K29" s="248">
        <v>420500</v>
      </c>
      <c r="L29" s="249">
        <v>408349.30580541457</v>
      </c>
      <c r="M29" s="250">
        <v>828849.30580541457</v>
      </c>
      <c r="N29" s="99">
        <f t="shared" si="3"/>
        <v>108000</v>
      </c>
      <c r="O29" s="73">
        <f t="shared" si="4"/>
        <v>408349.30580541457</v>
      </c>
      <c r="P29" s="73">
        <f t="shared" si="5"/>
        <v>516349.30580541457</v>
      </c>
      <c r="Q29" s="301">
        <f t="shared" si="6"/>
        <v>100440</v>
      </c>
      <c r="R29" s="301">
        <f t="shared" si="7"/>
        <v>379764.85439903557</v>
      </c>
      <c r="S29" s="300">
        <f t="shared" si="8"/>
        <v>480204.85439903557</v>
      </c>
    </row>
    <row r="30" spans="1:19" ht="15" x14ac:dyDescent="0.25">
      <c r="A30" s="31">
        <v>26</v>
      </c>
      <c r="B30" s="46" t="s">
        <v>11</v>
      </c>
      <c r="C30" s="33" t="s">
        <v>153</v>
      </c>
      <c r="D30" s="111">
        <v>289412.4420791064</v>
      </c>
      <c r="E30" s="112">
        <v>85666.082855415472</v>
      </c>
      <c r="F30" s="112">
        <v>342664.33142166201</v>
      </c>
      <c r="G30" s="112">
        <f t="shared" si="0"/>
        <v>428330.41427707748</v>
      </c>
      <c r="H30" s="257">
        <f t="shared" si="1"/>
        <v>68000</v>
      </c>
      <c r="I30" s="257">
        <v>340000</v>
      </c>
      <c r="J30" s="232">
        <f t="shared" si="2"/>
        <v>408000</v>
      </c>
      <c r="K30" s="248">
        <v>164500</v>
      </c>
      <c r="L30" s="249">
        <v>257077.07345040468</v>
      </c>
      <c r="M30" s="250">
        <v>421577.07345040468</v>
      </c>
      <c r="N30" s="99">
        <f t="shared" si="3"/>
        <v>68000</v>
      </c>
      <c r="O30" s="73">
        <f t="shared" si="4"/>
        <v>257077.07345040468</v>
      </c>
      <c r="P30" s="73">
        <f t="shared" si="5"/>
        <v>325077.07345040468</v>
      </c>
      <c r="Q30" s="301">
        <f t="shared" si="6"/>
        <v>63240</v>
      </c>
      <c r="R30" s="301">
        <f t="shared" si="7"/>
        <v>239081.67830887635</v>
      </c>
      <c r="S30" s="300">
        <f t="shared" si="8"/>
        <v>302321.67830887635</v>
      </c>
    </row>
    <row r="31" spans="1:19" ht="15" x14ac:dyDescent="0.25">
      <c r="A31" s="31">
        <v>27</v>
      </c>
      <c r="B31" s="47" t="s">
        <v>66</v>
      </c>
      <c r="C31" s="33" t="s">
        <v>153</v>
      </c>
      <c r="D31" s="111">
        <v>456506.02823911834</v>
      </c>
      <c r="E31" s="112">
        <v>135125.78435877897</v>
      </c>
      <c r="F31" s="112">
        <v>540503.13743511622</v>
      </c>
      <c r="G31" s="112">
        <f t="shared" si="0"/>
        <v>675628.92179389519</v>
      </c>
      <c r="H31" s="257">
        <f t="shared" si="1"/>
        <v>108000</v>
      </c>
      <c r="I31" s="257">
        <v>540000</v>
      </c>
      <c r="J31" s="232">
        <f t="shared" si="2"/>
        <v>648000</v>
      </c>
      <c r="K31" s="248">
        <v>164500</v>
      </c>
      <c r="L31" s="249">
        <v>405790.36513281532</v>
      </c>
      <c r="M31" s="250">
        <v>570290.36513281532</v>
      </c>
      <c r="N31" s="99">
        <f t="shared" si="3"/>
        <v>108000</v>
      </c>
      <c r="O31" s="73">
        <f t="shared" si="4"/>
        <v>405790.36513281532</v>
      </c>
      <c r="P31" s="73">
        <f t="shared" si="5"/>
        <v>513790.36513281532</v>
      </c>
      <c r="Q31" s="301">
        <f t="shared" si="6"/>
        <v>100440</v>
      </c>
      <c r="R31" s="301">
        <f t="shared" si="7"/>
        <v>377385.03957351827</v>
      </c>
      <c r="S31" s="300">
        <f t="shared" si="8"/>
        <v>477825.03957351827</v>
      </c>
    </row>
    <row r="32" spans="1:19" ht="15" x14ac:dyDescent="0.25">
      <c r="A32" s="31">
        <v>28</v>
      </c>
      <c r="B32" s="46" t="s">
        <v>13</v>
      </c>
      <c r="C32" s="33" t="s">
        <v>153</v>
      </c>
      <c r="D32" s="111">
        <v>1186551.9583984504</v>
      </c>
      <c r="E32" s="112">
        <v>351219.37968594115</v>
      </c>
      <c r="F32" s="112">
        <v>1404877.5187437653</v>
      </c>
      <c r="G32" s="112">
        <f t="shared" si="0"/>
        <v>1756096.8984297065</v>
      </c>
      <c r="H32" s="257">
        <f t="shared" si="1"/>
        <v>200000</v>
      </c>
      <c r="I32" s="257">
        <v>1000000</v>
      </c>
      <c r="J32" s="232">
        <f t="shared" si="2"/>
        <v>1200000</v>
      </c>
      <c r="K32" s="248">
        <v>224500</v>
      </c>
      <c r="L32" s="249">
        <v>1328551.5334005656</v>
      </c>
      <c r="M32" s="250">
        <v>1553051.5334005656</v>
      </c>
      <c r="N32" s="99">
        <f t="shared" si="3"/>
        <v>200000</v>
      </c>
      <c r="O32" s="73">
        <f t="shared" si="4"/>
        <v>1000000</v>
      </c>
      <c r="P32" s="73">
        <f t="shared" si="5"/>
        <v>1200000</v>
      </c>
      <c r="Q32" s="301">
        <f t="shared" si="6"/>
        <v>186000</v>
      </c>
      <c r="R32" s="301">
        <f t="shared" si="7"/>
        <v>930000</v>
      </c>
      <c r="S32" s="300">
        <f t="shared" si="8"/>
        <v>1116000</v>
      </c>
    </row>
    <row r="33" spans="1:19" ht="15" x14ac:dyDescent="0.25">
      <c r="A33" s="31">
        <v>29</v>
      </c>
      <c r="B33" s="46" t="s">
        <v>14</v>
      </c>
      <c r="C33" s="33" t="s">
        <v>153</v>
      </c>
      <c r="D33" s="111">
        <v>414687</v>
      </c>
      <c r="E33" s="112">
        <v>122747.35199999996</v>
      </c>
      <c r="F33" s="112">
        <v>490989.40800000005</v>
      </c>
      <c r="G33" s="112">
        <f t="shared" si="0"/>
        <v>613736.76</v>
      </c>
      <c r="H33" s="257">
        <f t="shared" si="1"/>
        <v>1040000</v>
      </c>
      <c r="I33" s="257">
        <v>5200000</v>
      </c>
      <c r="J33" s="232">
        <f t="shared" si="2"/>
        <v>6240000</v>
      </c>
      <c r="K33" s="248">
        <v>384500</v>
      </c>
      <c r="L33" s="249">
        <v>439892.5090008236</v>
      </c>
      <c r="M33" s="250">
        <v>824392.5090008236</v>
      </c>
      <c r="N33" s="99">
        <f t="shared" si="3"/>
        <v>122747.35199999996</v>
      </c>
      <c r="O33" s="73">
        <f t="shared" si="4"/>
        <v>439892.5090008236</v>
      </c>
      <c r="P33" s="73">
        <f t="shared" si="5"/>
        <v>562639.86100082356</v>
      </c>
      <c r="Q33" s="301">
        <f t="shared" si="6"/>
        <v>114155.03735999996</v>
      </c>
      <c r="R33" s="301">
        <f t="shared" si="7"/>
        <v>409100.03337076597</v>
      </c>
      <c r="S33" s="300">
        <f t="shared" si="8"/>
        <v>523255.07073076593</v>
      </c>
    </row>
    <row r="34" spans="1:19" ht="15" x14ac:dyDescent="0.25">
      <c r="A34" s="31">
        <v>30</v>
      </c>
      <c r="B34" s="46" t="s">
        <v>280</v>
      </c>
      <c r="C34" s="33" t="s">
        <v>153</v>
      </c>
      <c r="D34" s="111">
        <v>120000</v>
      </c>
      <c r="E34" s="112">
        <v>35520</v>
      </c>
      <c r="F34" s="112">
        <v>142080</v>
      </c>
      <c r="G34" s="112">
        <f t="shared" si="0"/>
        <v>177600</v>
      </c>
      <c r="H34" s="257">
        <f t="shared" si="1"/>
        <v>280000</v>
      </c>
      <c r="I34" s="257">
        <v>1400000</v>
      </c>
      <c r="J34" s="232">
        <f t="shared" si="2"/>
        <v>1680000</v>
      </c>
      <c r="K34" s="248">
        <v>79500</v>
      </c>
      <c r="L34" s="249">
        <v>106300</v>
      </c>
      <c r="M34" s="250">
        <v>185800</v>
      </c>
      <c r="N34" s="99">
        <f t="shared" si="3"/>
        <v>35520</v>
      </c>
      <c r="O34" s="73">
        <f t="shared" si="4"/>
        <v>106300</v>
      </c>
      <c r="P34" s="73">
        <f t="shared" si="5"/>
        <v>141820</v>
      </c>
      <c r="Q34" s="301">
        <f t="shared" si="6"/>
        <v>33033.599999999999</v>
      </c>
      <c r="R34" s="301">
        <f t="shared" si="7"/>
        <v>98859</v>
      </c>
      <c r="S34" s="300">
        <f t="shared" si="8"/>
        <v>131892.6</v>
      </c>
    </row>
    <row r="35" spans="1:19" ht="15" x14ac:dyDescent="0.25">
      <c r="A35" s="31">
        <v>31</v>
      </c>
      <c r="B35" s="46" t="s">
        <v>163</v>
      </c>
      <c r="C35" s="33" t="s">
        <v>153</v>
      </c>
      <c r="D35" s="111">
        <v>164941.01460705002</v>
      </c>
      <c r="E35" s="112">
        <v>48822.540323686786</v>
      </c>
      <c r="F35" s="112">
        <v>195290.16129474723</v>
      </c>
      <c r="G35" s="112">
        <f t="shared" si="0"/>
        <v>244112.70161843402</v>
      </c>
      <c r="H35" s="257">
        <f t="shared" si="1"/>
        <v>38000</v>
      </c>
      <c r="I35" s="257">
        <v>190000</v>
      </c>
      <c r="J35" s="232">
        <f t="shared" si="2"/>
        <v>228000</v>
      </c>
      <c r="K35" s="248">
        <v>119500</v>
      </c>
      <c r="L35" s="249">
        <v>146297.50300027453</v>
      </c>
      <c r="M35" s="250">
        <v>265797.50300027453</v>
      </c>
      <c r="N35" s="99">
        <f t="shared" si="3"/>
        <v>38000</v>
      </c>
      <c r="O35" s="73">
        <f t="shared" si="4"/>
        <v>146297.50300027453</v>
      </c>
      <c r="P35" s="73">
        <f t="shared" si="5"/>
        <v>184297.50300027453</v>
      </c>
      <c r="Q35" s="301">
        <f t="shared" si="6"/>
        <v>35340</v>
      </c>
      <c r="R35" s="301">
        <f t="shared" si="7"/>
        <v>136056.67779025531</v>
      </c>
      <c r="S35" s="300">
        <f t="shared" si="8"/>
        <v>171396.67779025531</v>
      </c>
    </row>
    <row r="36" spans="1:19" ht="15" x14ac:dyDescent="0.25">
      <c r="A36" s="31">
        <v>32</v>
      </c>
      <c r="B36" s="46" t="s">
        <v>281</v>
      </c>
      <c r="C36" s="33" t="s">
        <v>153</v>
      </c>
      <c r="D36" s="111">
        <v>281995.92819915002</v>
      </c>
      <c r="E36" s="112">
        <v>83470.794746948406</v>
      </c>
      <c r="F36" s="112">
        <v>333883.17898779362</v>
      </c>
      <c r="G36" s="112">
        <f t="shared" si="0"/>
        <v>417353.97373474203</v>
      </c>
      <c r="H36" s="257">
        <f t="shared" si="1"/>
        <v>66600</v>
      </c>
      <c r="I36" s="257">
        <v>333000</v>
      </c>
      <c r="J36" s="232">
        <f t="shared" si="2"/>
        <v>399600</v>
      </c>
      <c r="K36" s="248">
        <v>184500</v>
      </c>
      <c r="L36" s="249">
        <v>250476.37609724351</v>
      </c>
      <c r="M36" s="250">
        <v>434976.37609724351</v>
      </c>
      <c r="N36" s="99">
        <f t="shared" si="3"/>
        <v>66600</v>
      </c>
      <c r="O36" s="73">
        <f t="shared" si="4"/>
        <v>250476.37609724351</v>
      </c>
      <c r="P36" s="73">
        <f t="shared" si="5"/>
        <v>317076.37609724351</v>
      </c>
      <c r="Q36" s="301">
        <f t="shared" si="6"/>
        <v>61938</v>
      </c>
      <c r="R36" s="301">
        <f t="shared" si="7"/>
        <v>232943.02977043646</v>
      </c>
      <c r="S36" s="300">
        <f t="shared" si="8"/>
        <v>294881.02977043646</v>
      </c>
    </row>
    <row r="37" spans="1:19" ht="15" x14ac:dyDescent="0.25">
      <c r="A37" s="31">
        <v>33</v>
      </c>
      <c r="B37" s="46" t="s">
        <v>7</v>
      </c>
      <c r="C37" s="33" t="s">
        <v>153</v>
      </c>
      <c r="D37" s="111">
        <v>459966.18918536464</v>
      </c>
      <c r="E37" s="112">
        <v>116149.79999999999</v>
      </c>
      <c r="F37" s="112">
        <v>464599.2</v>
      </c>
      <c r="G37" s="112">
        <f t="shared" si="0"/>
        <v>580749</v>
      </c>
      <c r="H37" s="257">
        <f t="shared" si="1"/>
        <v>104000</v>
      </c>
      <c r="I37" s="257">
        <v>520000</v>
      </c>
      <c r="J37" s="232">
        <f t="shared" si="2"/>
        <v>624000</v>
      </c>
      <c r="K37" s="248">
        <v>424500</v>
      </c>
      <c r="L37" s="249">
        <v>408869.9083749745</v>
      </c>
      <c r="M37" s="250">
        <v>833369.9083749745</v>
      </c>
      <c r="N37" s="99">
        <f t="shared" si="3"/>
        <v>104000</v>
      </c>
      <c r="O37" s="73">
        <f t="shared" si="4"/>
        <v>408869.9083749745</v>
      </c>
      <c r="P37" s="73">
        <f t="shared" si="5"/>
        <v>512869.9083749745</v>
      </c>
      <c r="Q37" s="301">
        <f t="shared" si="6"/>
        <v>96720</v>
      </c>
      <c r="R37" s="301">
        <f t="shared" si="7"/>
        <v>380249.01478872629</v>
      </c>
      <c r="S37" s="300">
        <f t="shared" si="8"/>
        <v>476969.01478872629</v>
      </c>
    </row>
    <row r="38" spans="1:19" ht="15" x14ac:dyDescent="0.25">
      <c r="A38" s="31">
        <v>34</v>
      </c>
      <c r="B38" s="47" t="s">
        <v>353</v>
      </c>
      <c r="C38" s="33" t="s">
        <v>153</v>
      </c>
      <c r="D38" s="111">
        <v>368242.05599999998</v>
      </c>
      <c r="E38" s="112">
        <v>128999.64857600001</v>
      </c>
      <c r="F38" s="112">
        <v>515998.59430400003</v>
      </c>
      <c r="G38" s="112">
        <f t="shared" si="0"/>
        <v>644998.24288000003</v>
      </c>
      <c r="H38" s="257">
        <f t="shared" si="1"/>
        <v>72000</v>
      </c>
      <c r="I38" s="257">
        <v>360000</v>
      </c>
      <c r="J38" s="232">
        <f t="shared" si="2"/>
        <v>432000</v>
      </c>
      <c r="K38" s="248">
        <v>109500</v>
      </c>
      <c r="L38" s="249">
        <v>354655.24919421255</v>
      </c>
      <c r="M38" s="250">
        <v>464155.24919421255</v>
      </c>
      <c r="N38" s="99">
        <f t="shared" si="3"/>
        <v>72000</v>
      </c>
      <c r="O38" s="73">
        <f t="shared" si="4"/>
        <v>354655.24919421255</v>
      </c>
      <c r="P38" s="73">
        <f t="shared" si="5"/>
        <v>426655.24919421255</v>
      </c>
      <c r="Q38" s="301">
        <f t="shared" si="6"/>
        <v>66960</v>
      </c>
      <c r="R38" s="301">
        <f t="shared" si="7"/>
        <v>329829.38175061764</v>
      </c>
      <c r="S38" s="300">
        <f t="shared" si="8"/>
        <v>396789.38175061764</v>
      </c>
    </row>
    <row r="39" spans="1:19" ht="15" x14ac:dyDescent="0.25">
      <c r="A39" s="31">
        <v>35</v>
      </c>
      <c r="B39" s="47" t="s">
        <v>109</v>
      </c>
      <c r="C39" s="33" t="s">
        <v>153</v>
      </c>
      <c r="D39" s="111">
        <v>691688.12577150005</v>
      </c>
      <c r="E39" s="112">
        <v>204739.68522836396</v>
      </c>
      <c r="F39" s="112">
        <v>818958.74091345607</v>
      </c>
      <c r="G39" s="112">
        <f t="shared" si="0"/>
        <v>1023698.42614182</v>
      </c>
      <c r="H39" s="257">
        <f t="shared" si="1"/>
        <v>162000</v>
      </c>
      <c r="I39" s="257">
        <v>810000</v>
      </c>
      <c r="J39" s="232">
        <f t="shared" si="2"/>
        <v>972000</v>
      </c>
      <c r="K39" s="248">
        <v>605000</v>
      </c>
      <c r="L39" s="249">
        <v>615102.43193663505</v>
      </c>
      <c r="M39" s="250">
        <v>1220102.4319366352</v>
      </c>
      <c r="N39" s="99">
        <f t="shared" si="3"/>
        <v>162000</v>
      </c>
      <c r="O39" s="73">
        <f t="shared" si="4"/>
        <v>615102.43193663505</v>
      </c>
      <c r="P39" s="73">
        <f t="shared" si="5"/>
        <v>777102.43193663505</v>
      </c>
      <c r="Q39" s="301">
        <f t="shared" si="6"/>
        <v>150660</v>
      </c>
      <c r="R39" s="301">
        <f t="shared" si="7"/>
        <v>572045.26170107059</v>
      </c>
      <c r="S39" s="300">
        <f t="shared" si="8"/>
        <v>722705.26170107059</v>
      </c>
    </row>
    <row r="40" spans="1:19" ht="22.5" x14ac:dyDescent="0.25">
      <c r="A40" s="31">
        <v>36</v>
      </c>
      <c r="B40" s="46" t="s">
        <v>333</v>
      </c>
      <c r="C40" s="33" t="s">
        <v>153</v>
      </c>
      <c r="D40" s="111">
        <v>735536.25600000005</v>
      </c>
      <c r="E40" s="112">
        <v>217718.731776</v>
      </c>
      <c r="F40" s="112">
        <v>870874.927104</v>
      </c>
      <c r="G40" s="112">
        <f t="shared" si="0"/>
        <v>1088593.65888</v>
      </c>
      <c r="H40" s="257">
        <f t="shared" si="1"/>
        <v>1470000</v>
      </c>
      <c r="I40" s="257">
        <v>7350000</v>
      </c>
      <c r="J40" s="232">
        <f t="shared" si="2"/>
        <v>8820000</v>
      </c>
      <c r="K40" s="248">
        <v>449500</v>
      </c>
      <c r="L40" s="249">
        <v>813989.37148539408</v>
      </c>
      <c r="M40" s="250">
        <v>1263489.371485394</v>
      </c>
      <c r="N40" s="99">
        <f t="shared" si="3"/>
        <v>217718.731776</v>
      </c>
      <c r="O40" s="73">
        <f t="shared" si="4"/>
        <v>813989.37148539408</v>
      </c>
      <c r="P40" s="73">
        <f t="shared" si="5"/>
        <v>1031708.1032613941</v>
      </c>
      <c r="Q40" s="301">
        <f t="shared" si="6"/>
        <v>202478.42055168</v>
      </c>
      <c r="R40" s="301">
        <f t="shared" si="7"/>
        <v>757010.11548141646</v>
      </c>
      <c r="S40" s="300">
        <f t="shared" si="8"/>
        <v>959488.53603309649</v>
      </c>
    </row>
    <row r="41" spans="1:19" ht="22.5" x14ac:dyDescent="0.25">
      <c r="A41" s="49"/>
      <c r="B41" s="30" t="s">
        <v>22</v>
      </c>
      <c r="C41" s="33" t="s">
        <v>153</v>
      </c>
      <c r="D41" s="111"/>
      <c r="E41" s="112"/>
      <c r="F41" s="112"/>
      <c r="G41" s="112"/>
      <c r="H41" s="257">
        <f t="shared" si="1"/>
        <v>0</v>
      </c>
      <c r="I41" s="257"/>
      <c r="J41" s="232">
        <f t="shared" si="2"/>
        <v>0</v>
      </c>
      <c r="K41" s="248"/>
      <c r="L41" s="249"/>
      <c r="M41" s="250">
        <v>0</v>
      </c>
      <c r="N41" s="99">
        <f t="shared" si="3"/>
        <v>0</v>
      </c>
      <c r="O41" s="73">
        <f t="shared" si="4"/>
        <v>0</v>
      </c>
      <c r="P41" s="73">
        <f t="shared" si="5"/>
        <v>0</v>
      </c>
      <c r="Q41" s="301">
        <f t="shared" si="6"/>
        <v>0</v>
      </c>
      <c r="R41" s="301">
        <f t="shared" si="7"/>
        <v>0</v>
      </c>
      <c r="S41" s="300">
        <f t="shared" si="8"/>
        <v>0</v>
      </c>
    </row>
    <row r="42" spans="1:19" ht="15" x14ac:dyDescent="0.25">
      <c r="A42" s="49">
        <v>37</v>
      </c>
      <c r="B42" s="46" t="s">
        <v>23</v>
      </c>
      <c r="C42" s="33" t="s">
        <v>153</v>
      </c>
      <c r="D42" s="111">
        <v>848547.23923337809</v>
      </c>
      <c r="E42" s="112">
        <v>651169.98281307984</v>
      </c>
      <c r="F42" s="112">
        <v>2604679.9312523203</v>
      </c>
      <c r="G42" s="112">
        <v>3255849.9140654001</v>
      </c>
      <c r="H42" s="257">
        <f t="shared" si="1"/>
        <v>214000</v>
      </c>
      <c r="I42" s="257">
        <v>1070000</v>
      </c>
      <c r="J42" s="232">
        <f t="shared" si="2"/>
        <v>1284000</v>
      </c>
      <c r="K42" s="248">
        <v>324500</v>
      </c>
      <c r="L42" s="249">
        <v>754707.04291770654</v>
      </c>
      <c r="M42" s="250">
        <v>1079207.0429177065</v>
      </c>
      <c r="N42" s="99">
        <f t="shared" si="3"/>
        <v>214000</v>
      </c>
      <c r="O42" s="73">
        <f t="shared" si="4"/>
        <v>754707.04291770654</v>
      </c>
      <c r="P42" s="73">
        <f t="shared" si="5"/>
        <v>968707.04291770654</v>
      </c>
      <c r="Q42" s="301">
        <f t="shared" si="6"/>
        <v>199020</v>
      </c>
      <c r="R42" s="301">
        <f t="shared" si="7"/>
        <v>701877.54991346702</v>
      </c>
      <c r="S42" s="300">
        <f t="shared" si="8"/>
        <v>900897.54991346702</v>
      </c>
    </row>
    <row r="43" spans="1:19" ht="15" x14ac:dyDescent="0.25">
      <c r="A43" s="49">
        <v>38</v>
      </c>
      <c r="B43" s="46" t="s">
        <v>167</v>
      </c>
      <c r="C43" s="33" t="s">
        <v>153</v>
      </c>
      <c r="D43" s="111">
        <v>160000</v>
      </c>
      <c r="E43" s="112">
        <v>77360</v>
      </c>
      <c r="F43" s="112">
        <v>309440</v>
      </c>
      <c r="G43" s="112">
        <v>386800</v>
      </c>
      <c r="H43" s="257">
        <f t="shared" si="1"/>
        <v>40000</v>
      </c>
      <c r="I43" s="257">
        <v>200000</v>
      </c>
      <c r="J43" s="232">
        <f t="shared" si="2"/>
        <v>240000</v>
      </c>
      <c r="K43" s="248">
        <v>324500</v>
      </c>
      <c r="L43" s="249">
        <v>141900</v>
      </c>
      <c r="M43" s="250">
        <v>466400</v>
      </c>
      <c r="N43" s="99">
        <f t="shared" si="3"/>
        <v>40000</v>
      </c>
      <c r="O43" s="73">
        <f t="shared" si="4"/>
        <v>141900</v>
      </c>
      <c r="P43" s="73">
        <f t="shared" si="5"/>
        <v>181900</v>
      </c>
      <c r="Q43" s="301">
        <f t="shared" si="6"/>
        <v>37200</v>
      </c>
      <c r="R43" s="301">
        <f t="shared" si="7"/>
        <v>131967</v>
      </c>
      <c r="S43" s="300">
        <f t="shared" si="8"/>
        <v>169167</v>
      </c>
    </row>
    <row r="44" spans="1:19" ht="15" x14ac:dyDescent="0.25">
      <c r="A44" s="49">
        <v>39</v>
      </c>
      <c r="B44" s="46" t="s">
        <v>24</v>
      </c>
      <c r="C44" s="33" t="s">
        <v>153</v>
      </c>
      <c r="D44" s="111">
        <v>161198.18374494262</v>
      </c>
      <c r="E44" s="112">
        <v>59714.662388502999</v>
      </c>
      <c r="F44" s="112">
        <v>238858.64955401202</v>
      </c>
      <c r="G44" s="112">
        <v>298573.31194251502</v>
      </c>
      <c r="H44" s="257">
        <f t="shared" si="1"/>
        <v>40000</v>
      </c>
      <c r="I44" s="257">
        <v>200000</v>
      </c>
      <c r="J44" s="232">
        <f t="shared" si="2"/>
        <v>240000</v>
      </c>
      <c r="K44" s="248">
        <v>84500</v>
      </c>
      <c r="L44" s="249">
        <v>142966.38353299894</v>
      </c>
      <c r="M44" s="250">
        <v>227466.38353299894</v>
      </c>
      <c r="N44" s="99">
        <f t="shared" si="3"/>
        <v>40000</v>
      </c>
      <c r="O44" s="73">
        <f t="shared" si="4"/>
        <v>142966.38353299894</v>
      </c>
      <c r="P44" s="73">
        <f t="shared" si="5"/>
        <v>182966.38353299894</v>
      </c>
      <c r="Q44" s="301">
        <f t="shared" si="6"/>
        <v>37200</v>
      </c>
      <c r="R44" s="301">
        <f t="shared" si="7"/>
        <v>132958.73668568901</v>
      </c>
      <c r="S44" s="300">
        <f t="shared" si="8"/>
        <v>170158.73668568901</v>
      </c>
    </row>
    <row r="45" spans="1:19" ht="15" x14ac:dyDescent="0.25">
      <c r="A45" s="49">
        <v>40</v>
      </c>
      <c r="B45" s="46" t="s">
        <v>25</v>
      </c>
      <c r="C45" s="33" t="s">
        <v>153</v>
      </c>
      <c r="D45" s="111">
        <v>493920.33761023934</v>
      </c>
      <c r="E45" s="112">
        <v>146200.41993263084</v>
      </c>
      <c r="F45" s="112">
        <v>584801.67973052338</v>
      </c>
      <c r="G45" s="112">
        <v>731002.09966315422</v>
      </c>
      <c r="H45" s="257">
        <f t="shared" si="1"/>
        <v>112000</v>
      </c>
      <c r="I45" s="257">
        <v>560000</v>
      </c>
      <c r="J45" s="232">
        <f t="shared" si="2"/>
        <v>672000</v>
      </c>
      <c r="K45" s="248">
        <v>124500</v>
      </c>
      <c r="L45" s="249">
        <v>439089.10047311301</v>
      </c>
      <c r="M45" s="250">
        <v>563589.10047311301</v>
      </c>
      <c r="N45" s="99">
        <f t="shared" si="3"/>
        <v>112000</v>
      </c>
      <c r="O45" s="73">
        <f t="shared" si="4"/>
        <v>439089.10047311301</v>
      </c>
      <c r="P45" s="73">
        <f t="shared" si="5"/>
        <v>551089.10047311301</v>
      </c>
      <c r="Q45" s="301">
        <f t="shared" si="6"/>
        <v>104160</v>
      </c>
      <c r="R45" s="301">
        <f t="shared" si="7"/>
        <v>408352.8634399951</v>
      </c>
      <c r="S45" s="300">
        <f t="shared" si="8"/>
        <v>512512.8634399951</v>
      </c>
    </row>
    <row r="46" spans="1:19" ht="15" x14ac:dyDescent="0.25">
      <c r="A46" s="49">
        <v>41</v>
      </c>
      <c r="B46" s="46" t="s">
        <v>283</v>
      </c>
      <c r="C46" s="33" t="s">
        <v>153</v>
      </c>
      <c r="D46" s="111">
        <v>560000</v>
      </c>
      <c r="E46" s="112">
        <v>377600</v>
      </c>
      <c r="F46" s="112">
        <v>1510400</v>
      </c>
      <c r="G46" s="112">
        <v>1888000</v>
      </c>
      <c r="H46" s="257">
        <f t="shared" si="1"/>
        <v>146000</v>
      </c>
      <c r="I46" s="257">
        <v>730000</v>
      </c>
      <c r="J46" s="232">
        <f t="shared" si="2"/>
        <v>876000</v>
      </c>
      <c r="K46" s="248">
        <v>1040000</v>
      </c>
      <c r="L46" s="249">
        <v>497900</v>
      </c>
      <c r="M46" s="250">
        <v>1537900</v>
      </c>
      <c r="N46" s="99">
        <f t="shared" si="3"/>
        <v>146000</v>
      </c>
      <c r="O46" s="73">
        <f t="shared" si="4"/>
        <v>497900</v>
      </c>
      <c r="P46" s="73">
        <f t="shared" si="5"/>
        <v>643900</v>
      </c>
      <c r="Q46" s="301">
        <f t="shared" si="6"/>
        <v>135780</v>
      </c>
      <c r="R46" s="301">
        <f t="shared" si="7"/>
        <v>463047</v>
      </c>
      <c r="S46" s="300">
        <f t="shared" si="8"/>
        <v>598827</v>
      </c>
    </row>
    <row r="47" spans="1:19" ht="15" x14ac:dyDescent="0.25">
      <c r="A47" s="49">
        <v>42</v>
      </c>
      <c r="B47" s="46" t="s">
        <v>332</v>
      </c>
      <c r="C47" s="33" t="s">
        <v>153</v>
      </c>
      <c r="D47" s="111">
        <v>150000</v>
      </c>
      <c r="E47" s="112">
        <v>70400</v>
      </c>
      <c r="F47" s="112">
        <v>281600</v>
      </c>
      <c r="G47" s="112">
        <v>352000</v>
      </c>
      <c r="H47" s="257">
        <f t="shared" si="1"/>
        <v>38000</v>
      </c>
      <c r="I47" s="257">
        <v>190000</v>
      </c>
      <c r="J47" s="232">
        <f t="shared" si="2"/>
        <v>228000</v>
      </c>
      <c r="K47" s="248">
        <v>899500</v>
      </c>
      <c r="L47" s="249">
        <v>133000</v>
      </c>
      <c r="M47" s="250">
        <v>1032500</v>
      </c>
      <c r="N47" s="99">
        <f t="shared" si="3"/>
        <v>38000</v>
      </c>
      <c r="O47" s="73">
        <f t="shared" si="4"/>
        <v>133000</v>
      </c>
      <c r="P47" s="73">
        <f t="shared" si="5"/>
        <v>171000</v>
      </c>
      <c r="Q47" s="301">
        <f t="shared" si="6"/>
        <v>35340</v>
      </c>
      <c r="R47" s="301">
        <f t="shared" si="7"/>
        <v>123690</v>
      </c>
      <c r="S47" s="300">
        <f t="shared" si="8"/>
        <v>159030</v>
      </c>
    </row>
    <row r="48" spans="1:19" ht="15" x14ac:dyDescent="0.25">
      <c r="A48" s="49">
        <v>43</v>
      </c>
      <c r="B48" s="46" t="s">
        <v>92</v>
      </c>
      <c r="C48" s="33" t="s">
        <v>153</v>
      </c>
      <c r="D48" s="111">
        <v>1263793.76056035</v>
      </c>
      <c r="E48" s="112">
        <v>374082.95312586357</v>
      </c>
      <c r="F48" s="112">
        <v>1496331.8125034545</v>
      </c>
      <c r="G48" s="112">
        <v>1870414.7656293181</v>
      </c>
      <c r="H48" s="257">
        <f t="shared" si="1"/>
        <v>290000</v>
      </c>
      <c r="I48" s="257">
        <v>1450000</v>
      </c>
      <c r="J48" s="232">
        <f t="shared" si="2"/>
        <v>1740000</v>
      </c>
      <c r="K48" s="248">
        <v>449500</v>
      </c>
      <c r="L48" s="249">
        <v>1124276.4468987116</v>
      </c>
      <c r="M48" s="250">
        <v>1573776.4468987116</v>
      </c>
      <c r="N48" s="99">
        <f t="shared" si="3"/>
        <v>290000</v>
      </c>
      <c r="O48" s="73">
        <f t="shared" si="4"/>
        <v>1124276.4468987116</v>
      </c>
      <c r="P48" s="73">
        <f t="shared" si="5"/>
        <v>1414276.4468987116</v>
      </c>
      <c r="Q48" s="301">
        <f t="shared" si="6"/>
        <v>269700</v>
      </c>
      <c r="R48" s="301">
        <f t="shared" si="7"/>
        <v>1045577.0956158018</v>
      </c>
      <c r="S48" s="300">
        <f t="shared" si="8"/>
        <v>1315277.0956158019</v>
      </c>
    </row>
    <row r="49" spans="1:19" ht="22.5" x14ac:dyDescent="0.25">
      <c r="A49" s="49"/>
      <c r="B49" s="30" t="s">
        <v>97</v>
      </c>
      <c r="C49" s="33" t="s">
        <v>153</v>
      </c>
      <c r="D49" s="111"/>
      <c r="E49" s="112"/>
      <c r="F49" s="112"/>
      <c r="G49" s="112"/>
      <c r="H49" s="257">
        <f t="shared" si="1"/>
        <v>0</v>
      </c>
      <c r="I49" s="257"/>
      <c r="J49" s="232">
        <f t="shared" si="2"/>
        <v>0</v>
      </c>
      <c r="K49" s="248"/>
      <c r="L49" s="249"/>
      <c r="M49" s="250">
        <v>0</v>
      </c>
      <c r="N49" s="99">
        <f t="shared" si="3"/>
        <v>0</v>
      </c>
      <c r="O49" s="73">
        <f t="shared" si="4"/>
        <v>0</v>
      </c>
      <c r="P49" s="73">
        <f t="shared" si="5"/>
        <v>0</v>
      </c>
      <c r="Q49" s="301">
        <f t="shared" si="6"/>
        <v>0</v>
      </c>
      <c r="R49" s="301">
        <f t="shared" si="7"/>
        <v>0</v>
      </c>
      <c r="S49" s="300">
        <f t="shared" si="8"/>
        <v>0</v>
      </c>
    </row>
    <row r="50" spans="1:19" ht="15" x14ac:dyDescent="0.25">
      <c r="A50" s="49">
        <v>44</v>
      </c>
      <c r="B50" s="46" t="s">
        <v>169</v>
      </c>
      <c r="C50" s="33" t="s">
        <v>153</v>
      </c>
      <c r="D50" s="111">
        <v>1845185.6231025727</v>
      </c>
      <c r="E50" s="112">
        <v>475103.83069974603</v>
      </c>
      <c r="F50" s="112">
        <v>1900415.3227989841</v>
      </c>
      <c r="G50" s="112">
        <v>2375519.1534987302</v>
      </c>
      <c r="H50" s="257">
        <f t="shared" si="1"/>
        <v>280000</v>
      </c>
      <c r="I50" s="257">
        <v>1400000</v>
      </c>
      <c r="J50" s="232">
        <f t="shared" si="2"/>
        <v>1680000</v>
      </c>
      <c r="K50" s="248">
        <v>749500</v>
      </c>
      <c r="L50" s="249">
        <v>1641715.2045612899</v>
      </c>
      <c r="M50" s="250">
        <v>2391215.2045612899</v>
      </c>
      <c r="N50" s="99">
        <f t="shared" si="3"/>
        <v>280000</v>
      </c>
      <c r="O50" s="73">
        <f t="shared" si="4"/>
        <v>1400000</v>
      </c>
      <c r="P50" s="73">
        <f t="shared" si="5"/>
        <v>1680000</v>
      </c>
      <c r="Q50" s="301">
        <f t="shared" si="6"/>
        <v>260400</v>
      </c>
      <c r="R50" s="301">
        <f t="shared" si="7"/>
        <v>1302000</v>
      </c>
      <c r="S50" s="300">
        <f t="shared" si="8"/>
        <v>1562400</v>
      </c>
    </row>
    <row r="51" spans="1:19" ht="15" x14ac:dyDescent="0.25">
      <c r="A51" s="49">
        <v>45</v>
      </c>
      <c r="B51" s="46" t="s">
        <v>170</v>
      </c>
      <c r="C51" s="33" t="s">
        <v>153</v>
      </c>
      <c r="D51" s="111">
        <v>2340475.2000000002</v>
      </c>
      <c r="E51" s="112">
        <v>538737.80799999973</v>
      </c>
      <c r="F51" s="112">
        <v>2154951.2320000003</v>
      </c>
      <c r="G51" s="112">
        <v>2693689.04</v>
      </c>
      <c r="H51" s="257">
        <f t="shared" si="1"/>
        <v>520000</v>
      </c>
      <c r="I51" s="257">
        <v>2600000</v>
      </c>
      <c r="J51" s="232">
        <f t="shared" si="2"/>
        <v>3120000</v>
      </c>
      <c r="K51" s="248">
        <v>679500</v>
      </c>
      <c r="L51" s="249">
        <v>2491500</v>
      </c>
      <c r="M51" s="250">
        <v>3171000</v>
      </c>
      <c r="N51" s="99">
        <f t="shared" si="3"/>
        <v>520000</v>
      </c>
      <c r="O51" s="73">
        <f t="shared" si="4"/>
        <v>2154951.2320000003</v>
      </c>
      <c r="P51" s="73">
        <f t="shared" si="5"/>
        <v>2674951.2320000003</v>
      </c>
      <c r="Q51" s="301">
        <f t="shared" si="6"/>
        <v>483600</v>
      </c>
      <c r="R51" s="301">
        <f t="shared" si="7"/>
        <v>2004104.6457600002</v>
      </c>
      <c r="S51" s="300">
        <f t="shared" si="8"/>
        <v>2487704.6457600002</v>
      </c>
    </row>
    <row r="52" spans="1:19" ht="15" x14ac:dyDescent="0.25">
      <c r="A52" s="49">
        <v>46</v>
      </c>
      <c r="B52" s="46" t="s">
        <v>211</v>
      </c>
      <c r="C52" s="33" t="s">
        <v>153</v>
      </c>
      <c r="D52" s="111">
        <v>850000</v>
      </c>
      <c r="E52" s="112">
        <v>251600</v>
      </c>
      <c r="F52" s="112">
        <v>1006400</v>
      </c>
      <c r="G52" s="112">
        <v>1258000</v>
      </c>
      <c r="H52" s="257">
        <f t="shared" si="1"/>
        <v>200000</v>
      </c>
      <c r="I52" s="257">
        <v>1000000</v>
      </c>
      <c r="J52" s="232">
        <f t="shared" si="2"/>
        <v>1200000</v>
      </c>
      <c r="K52" s="248">
        <v>574500</v>
      </c>
      <c r="L52" s="249">
        <v>756000</v>
      </c>
      <c r="M52" s="250">
        <v>1330500</v>
      </c>
      <c r="N52" s="99">
        <f t="shared" si="3"/>
        <v>200000</v>
      </c>
      <c r="O52" s="73">
        <f t="shared" si="4"/>
        <v>756000</v>
      </c>
      <c r="P52" s="73">
        <f t="shared" si="5"/>
        <v>956000</v>
      </c>
      <c r="Q52" s="301">
        <f t="shared" si="6"/>
        <v>186000</v>
      </c>
      <c r="R52" s="301">
        <f t="shared" si="7"/>
        <v>703080</v>
      </c>
      <c r="S52" s="300">
        <f t="shared" si="8"/>
        <v>889080</v>
      </c>
    </row>
    <row r="53" spans="1:19" ht="15" x14ac:dyDescent="0.25">
      <c r="A53" s="49">
        <v>47</v>
      </c>
      <c r="B53" s="46" t="s">
        <v>291</v>
      </c>
      <c r="C53" s="33" t="s">
        <v>153</v>
      </c>
      <c r="D53" s="111">
        <v>550000</v>
      </c>
      <c r="E53" s="112">
        <v>162800</v>
      </c>
      <c r="F53" s="112">
        <v>651200</v>
      </c>
      <c r="G53" s="112">
        <v>814000</v>
      </c>
      <c r="H53" s="257">
        <f t="shared" si="1"/>
        <v>130000</v>
      </c>
      <c r="I53" s="257">
        <v>650000</v>
      </c>
      <c r="J53" s="232">
        <f t="shared" si="2"/>
        <v>780000</v>
      </c>
      <c r="K53" s="248">
        <v>649500</v>
      </c>
      <c r="L53" s="249">
        <v>489000</v>
      </c>
      <c r="M53" s="250">
        <v>1138500</v>
      </c>
      <c r="N53" s="99">
        <f t="shared" si="3"/>
        <v>130000</v>
      </c>
      <c r="O53" s="73">
        <f t="shared" si="4"/>
        <v>489000</v>
      </c>
      <c r="P53" s="73">
        <f t="shared" si="5"/>
        <v>619000</v>
      </c>
      <c r="Q53" s="301">
        <f t="shared" si="6"/>
        <v>120900</v>
      </c>
      <c r="R53" s="301">
        <f t="shared" si="7"/>
        <v>454770</v>
      </c>
      <c r="S53" s="300">
        <f t="shared" si="8"/>
        <v>575670</v>
      </c>
    </row>
    <row r="54" spans="1:19" ht="15" x14ac:dyDescent="0.25">
      <c r="A54" s="49">
        <v>48</v>
      </c>
      <c r="B54" s="46" t="s">
        <v>17</v>
      </c>
      <c r="C54" s="33" t="s">
        <v>153</v>
      </c>
      <c r="D54" s="111">
        <v>501455.30999376747</v>
      </c>
      <c r="E54" s="112">
        <v>148430.7717581552</v>
      </c>
      <c r="F54" s="112">
        <v>593723.08703262068</v>
      </c>
      <c r="G54" s="112">
        <v>742153.85879077588</v>
      </c>
      <c r="H54" s="257">
        <f t="shared" si="1"/>
        <v>118000</v>
      </c>
      <c r="I54" s="257">
        <v>590000</v>
      </c>
      <c r="J54" s="232">
        <f t="shared" si="2"/>
        <v>708000</v>
      </c>
      <c r="K54" s="248">
        <v>264500</v>
      </c>
      <c r="L54" s="249">
        <v>445795.22589445306</v>
      </c>
      <c r="M54" s="250">
        <v>710295.225894453</v>
      </c>
      <c r="N54" s="99">
        <f t="shared" si="3"/>
        <v>118000</v>
      </c>
      <c r="O54" s="73">
        <f t="shared" si="4"/>
        <v>445795.22589445306</v>
      </c>
      <c r="P54" s="73">
        <f t="shared" si="5"/>
        <v>563795.225894453</v>
      </c>
      <c r="Q54" s="301">
        <f t="shared" si="6"/>
        <v>109740</v>
      </c>
      <c r="R54" s="301">
        <f t="shared" si="7"/>
        <v>414589.56008184137</v>
      </c>
      <c r="S54" s="300">
        <f t="shared" si="8"/>
        <v>524329.56008184142</v>
      </c>
    </row>
    <row r="55" spans="1:19" ht="15" x14ac:dyDescent="0.25">
      <c r="A55" s="49">
        <v>49</v>
      </c>
      <c r="B55" s="46" t="s">
        <v>16</v>
      </c>
      <c r="C55" s="33" t="s">
        <v>153</v>
      </c>
      <c r="D55" s="111">
        <v>735901.948432412</v>
      </c>
      <c r="E55" s="112">
        <v>217826.97673599387</v>
      </c>
      <c r="F55" s="112">
        <v>871307.90694397583</v>
      </c>
      <c r="G55" s="112">
        <v>1089134.8836799697</v>
      </c>
      <c r="H55" s="257">
        <f t="shared" si="1"/>
        <v>174000</v>
      </c>
      <c r="I55" s="257">
        <v>870000</v>
      </c>
      <c r="J55" s="232">
        <f t="shared" si="2"/>
        <v>1044000</v>
      </c>
      <c r="K55" s="248">
        <v>264500</v>
      </c>
      <c r="L55" s="249">
        <v>654452.73410484672</v>
      </c>
      <c r="M55" s="250">
        <v>918952.73410484672</v>
      </c>
      <c r="N55" s="99">
        <f t="shared" si="3"/>
        <v>174000</v>
      </c>
      <c r="O55" s="73">
        <f t="shared" si="4"/>
        <v>654452.73410484672</v>
      </c>
      <c r="P55" s="73">
        <f t="shared" si="5"/>
        <v>828452.73410484672</v>
      </c>
      <c r="Q55" s="301">
        <f t="shared" si="6"/>
        <v>161820</v>
      </c>
      <c r="R55" s="301">
        <f t="shared" si="7"/>
        <v>608641.04271750746</v>
      </c>
      <c r="S55" s="300">
        <f t="shared" si="8"/>
        <v>770461.04271750746</v>
      </c>
    </row>
    <row r="56" spans="1:19" ht="15" x14ac:dyDescent="0.25">
      <c r="A56" s="49">
        <v>50</v>
      </c>
      <c r="B56" s="47" t="s">
        <v>75</v>
      </c>
      <c r="C56" s="33" t="s">
        <v>153</v>
      </c>
      <c r="D56" s="111">
        <v>423306.43051421933</v>
      </c>
      <c r="E56" s="112">
        <v>125298.70343220892</v>
      </c>
      <c r="F56" s="112">
        <v>501194.81372883572</v>
      </c>
      <c r="G56" s="112">
        <v>626493.51716104464</v>
      </c>
      <c r="H56" s="257">
        <f t="shared" si="1"/>
        <v>100200</v>
      </c>
      <c r="I56" s="257">
        <v>501000</v>
      </c>
      <c r="J56" s="232">
        <f t="shared" si="2"/>
        <v>601200</v>
      </c>
      <c r="K56" s="248">
        <v>679500</v>
      </c>
      <c r="L56" s="249">
        <v>376242.72315765521</v>
      </c>
      <c r="M56" s="250">
        <v>1055742.7231576552</v>
      </c>
      <c r="N56" s="99">
        <f t="shared" si="3"/>
        <v>100200</v>
      </c>
      <c r="O56" s="73">
        <f t="shared" si="4"/>
        <v>376242.72315765521</v>
      </c>
      <c r="P56" s="73">
        <f t="shared" si="5"/>
        <v>476442.72315765521</v>
      </c>
      <c r="Q56" s="301">
        <f t="shared" si="6"/>
        <v>93186</v>
      </c>
      <c r="R56" s="301">
        <f t="shared" si="7"/>
        <v>349905.73253661935</v>
      </c>
      <c r="S56" s="300">
        <f t="shared" si="8"/>
        <v>443091.73253661935</v>
      </c>
    </row>
    <row r="57" spans="1:19" ht="15" x14ac:dyDescent="0.25">
      <c r="A57" s="49">
        <v>51</v>
      </c>
      <c r="B57" s="47" t="s">
        <v>76</v>
      </c>
      <c r="C57" s="33" t="s">
        <v>153</v>
      </c>
      <c r="D57" s="111">
        <v>360795.52539927879</v>
      </c>
      <c r="E57" s="112">
        <v>106795.47551818652</v>
      </c>
      <c r="F57" s="112">
        <v>427181.90207274613</v>
      </c>
      <c r="G57" s="112">
        <v>533977.37759093265</v>
      </c>
      <c r="H57" s="257">
        <f t="shared" si="1"/>
        <v>84000</v>
      </c>
      <c r="I57" s="257">
        <v>420000</v>
      </c>
      <c r="J57" s="232">
        <f t="shared" si="2"/>
        <v>504000</v>
      </c>
      <c r="K57" s="248">
        <v>749500</v>
      </c>
      <c r="L57" s="249">
        <v>320608.01760535815</v>
      </c>
      <c r="M57" s="250">
        <v>1070108.0176053583</v>
      </c>
      <c r="N57" s="99">
        <f t="shared" si="3"/>
        <v>84000</v>
      </c>
      <c r="O57" s="73">
        <f t="shared" si="4"/>
        <v>320608.01760535815</v>
      </c>
      <c r="P57" s="73">
        <f t="shared" si="5"/>
        <v>404608.01760535815</v>
      </c>
      <c r="Q57" s="301">
        <f t="shared" si="6"/>
        <v>78120</v>
      </c>
      <c r="R57" s="301">
        <f t="shared" si="7"/>
        <v>298165.45637298306</v>
      </c>
      <c r="S57" s="300">
        <f t="shared" si="8"/>
        <v>376285.45637298306</v>
      </c>
    </row>
    <row r="58" spans="1:19" ht="15" x14ac:dyDescent="0.25">
      <c r="A58" s="49">
        <v>52</v>
      </c>
      <c r="B58" s="46" t="s">
        <v>18</v>
      </c>
      <c r="C58" s="33" t="s">
        <v>153</v>
      </c>
      <c r="D58" s="111">
        <v>957371.96543347766</v>
      </c>
      <c r="E58" s="112">
        <v>283382.10176830925</v>
      </c>
      <c r="F58" s="112">
        <v>1133528.4070732377</v>
      </c>
      <c r="G58" s="112">
        <v>1416910.508841547</v>
      </c>
      <c r="H58" s="257">
        <f t="shared" si="1"/>
        <v>66000</v>
      </c>
      <c r="I58" s="257">
        <v>330000</v>
      </c>
      <c r="J58" s="232">
        <f t="shared" si="2"/>
        <v>396000</v>
      </c>
      <c r="K58" s="248">
        <v>474500</v>
      </c>
      <c r="L58" s="249">
        <v>851561.04923579516</v>
      </c>
      <c r="M58" s="250">
        <v>1326061.0492357952</v>
      </c>
      <c r="N58" s="99">
        <f t="shared" si="3"/>
        <v>66000</v>
      </c>
      <c r="O58" s="73">
        <f t="shared" si="4"/>
        <v>330000</v>
      </c>
      <c r="P58" s="73">
        <f t="shared" si="5"/>
        <v>396000</v>
      </c>
      <c r="Q58" s="301">
        <f t="shared" si="6"/>
        <v>61380</v>
      </c>
      <c r="R58" s="301">
        <f t="shared" si="7"/>
        <v>306900</v>
      </c>
      <c r="S58" s="300">
        <f t="shared" si="8"/>
        <v>368280</v>
      </c>
    </row>
    <row r="59" spans="1:19" ht="15" x14ac:dyDescent="0.25">
      <c r="A59" s="49">
        <v>53</v>
      </c>
      <c r="B59" s="46" t="s">
        <v>21</v>
      </c>
      <c r="C59" s="33" t="s">
        <v>153</v>
      </c>
      <c r="D59" s="111">
        <v>553554.56298013288</v>
      </c>
      <c r="E59" s="112">
        <v>163852.15064211923</v>
      </c>
      <c r="F59" s="112">
        <v>655408.60256847739</v>
      </c>
      <c r="G59" s="112">
        <v>819260.75321059662</v>
      </c>
      <c r="H59" s="257">
        <f t="shared" si="1"/>
        <v>131200</v>
      </c>
      <c r="I59" s="257">
        <v>656000</v>
      </c>
      <c r="J59" s="232">
        <f t="shared" si="2"/>
        <v>787200</v>
      </c>
      <c r="K59" s="248">
        <v>439500</v>
      </c>
      <c r="L59" s="249">
        <v>492163.56105231825</v>
      </c>
      <c r="M59" s="250">
        <v>931663.5610523182</v>
      </c>
      <c r="N59" s="99">
        <f t="shared" si="3"/>
        <v>131200</v>
      </c>
      <c r="O59" s="73">
        <f t="shared" si="4"/>
        <v>492163.56105231825</v>
      </c>
      <c r="P59" s="73">
        <f t="shared" si="5"/>
        <v>623363.5610523182</v>
      </c>
      <c r="Q59" s="301">
        <f t="shared" si="6"/>
        <v>122016</v>
      </c>
      <c r="R59" s="301">
        <f t="shared" si="7"/>
        <v>457712.11177865596</v>
      </c>
      <c r="S59" s="300">
        <f t="shared" si="8"/>
        <v>579728.11177865602</v>
      </c>
    </row>
    <row r="60" spans="1:19" ht="15" x14ac:dyDescent="0.25">
      <c r="A60" s="49">
        <v>54</v>
      </c>
      <c r="B60" s="46" t="s">
        <v>20</v>
      </c>
      <c r="C60" s="33" t="s">
        <v>153</v>
      </c>
      <c r="D60" s="111">
        <v>253983.85830853155</v>
      </c>
      <c r="E60" s="112">
        <v>75179.222059325315</v>
      </c>
      <c r="F60" s="112">
        <v>300716.88823730138</v>
      </c>
      <c r="G60" s="112">
        <v>375896.11029662669</v>
      </c>
      <c r="H60" s="257">
        <f t="shared" si="1"/>
        <v>60000</v>
      </c>
      <c r="I60" s="257">
        <v>300000</v>
      </c>
      <c r="J60" s="232">
        <f t="shared" si="2"/>
        <v>360000</v>
      </c>
      <c r="K60" s="248">
        <v>439500</v>
      </c>
      <c r="L60" s="249">
        <v>225545.63389459308</v>
      </c>
      <c r="M60" s="250">
        <v>665045.63389459311</v>
      </c>
      <c r="N60" s="99">
        <f t="shared" si="3"/>
        <v>60000</v>
      </c>
      <c r="O60" s="73">
        <f t="shared" si="4"/>
        <v>225545.63389459308</v>
      </c>
      <c r="P60" s="73">
        <f t="shared" si="5"/>
        <v>285545.63389459311</v>
      </c>
      <c r="Q60" s="301">
        <f t="shared" si="6"/>
        <v>55800</v>
      </c>
      <c r="R60" s="301">
        <f t="shared" si="7"/>
        <v>209757.43952197157</v>
      </c>
      <c r="S60" s="300">
        <f t="shared" si="8"/>
        <v>265557.43952197157</v>
      </c>
    </row>
    <row r="61" spans="1:19" ht="22.5" x14ac:dyDescent="0.25">
      <c r="A61" s="49">
        <v>55</v>
      </c>
      <c r="B61" s="46" t="s">
        <v>172</v>
      </c>
      <c r="C61" s="33" t="s">
        <v>153</v>
      </c>
      <c r="D61" s="111">
        <v>3278136.8053992847</v>
      </c>
      <c r="E61" s="112">
        <v>950659.67356579239</v>
      </c>
      <c r="F61" s="112">
        <v>3802638.69426317</v>
      </c>
      <c r="G61" s="112">
        <v>4753298.3678289624</v>
      </c>
      <c r="H61" s="257">
        <f t="shared" si="1"/>
        <v>700000</v>
      </c>
      <c r="I61" s="257">
        <v>3500000</v>
      </c>
      <c r="J61" s="232">
        <f t="shared" si="2"/>
        <v>4200000</v>
      </c>
      <c r="K61" s="248">
        <v>649500</v>
      </c>
      <c r="L61" s="249">
        <v>2917041.7568053636</v>
      </c>
      <c r="M61" s="250">
        <v>3566541.7568053636</v>
      </c>
      <c r="N61" s="99">
        <f t="shared" si="3"/>
        <v>649500</v>
      </c>
      <c r="O61" s="73">
        <f t="shared" si="4"/>
        <v>2917041.7568053636</v>
      </c>
      <c r="P61" s="73">
        <f t="shared" si="5"/>
        <v>3566541.7568053636</v>
      </c>
      <c r="Q61" s="301">
        <f t="shared" si="6"/>
        <v>604035</v>
      </c>
      <c r="R61" s="301">
        <f t="shared" si="7"/>
        <v>2712848.833828988</v>
      </c>
      <c r="S61" s="300">
        <f t="shared" si="8"/>
        <v>3316883.833828988</v>
      </c>
    </row>
    <row r="62" spans="1:19" ht="15" x14ac:dyDescent="0.25">
      <c r="A62" s="49">
        <v>56</v>
      </c>
      <c r="B62" s="46" t="s">
        <v>385</v>
      </c>
      <c r="C62" s="33" t="s">
        <v>153</v>
      </c>
      <c r="D62" s="111">
        <v>4734540.72</v>
      </c>
      <c r="E62" s="112">
        <v>1373016.8087999998</v>
      </c>
      <c r="F62" s="112">
        <v>5492067.2352</v>
      </c>
      <c r="G62" s="112">
        <v>6865084.0439999998</v>
      </c>
      <c r="H62" s="257">
        <f t="shared" si="1"/>
        <v>964000</v>
      </c>
      <c r="I62" s="257">
        <v>4820000</v>
      </c>
      <c r="J62" s="232">
        <f t="shared" si="2"/>
        <v>5784000</v>
      </c>
      <c r="K62" s="248">
        <v>549500</v>
      </c>
      <c r="L62" s="249">
        <v>4271500</v>
      </c>
      <c r="M62" s="250">
        <v>4821000</v>
      </c>
      <c r="N62" s="99">
        <f t="shared" si="3"/>
        <v>549500</v>
      </c>
      <c r="O62" s="73">
        <f t="shared" si="4"/>
        <v>4271500</v>
      </c>
      <c r="P62" s="73">
        <f t="shared" si="5"/>
        <v>4821000</v>
      </c>
      <c r="Q62" s="301">
        <f t="shared" si="6"/>
        <v>511035</v>
      </c>
      <c r="R62" s="301">
        <f t="shared" si="7"/>
        <v>3972495</v>
      </c>
      <c r="S62" s="300">
        <f t="shared" si="8"/>
        <v>4483530</v>
      </c>
    </row>
    <row r="63" spans="1:19" ht="15" x14ac:dyDescent="0.25">
      <c r="A63" s="49">
        <v>57</v>
      </c>
      <c r="B63" s="46" t="s">
        <v>294</v>
      </c>
      <c r="C63" s="33" t="s">
        <v>153</v>
      </c>
      <c r="D63" s="111">
        <v>663499.19999999995</v>
      </c>
      <c r="E63" s="112">
        <v>196395.76319999993</v>
      </c>
      <c r="F63" s="112">
        <v>785583.05279999995</v>
      </c>
      <c r="G63" s="112">
        <v>981978.81599999988</v>
      </c>
      <c r="H63" s="257">
        <f t="shared" si="1"/>
        <v>168000</v>
      </c>
      <c r="I63" s="257">
        <v>840000</v>
      </c>
      <c r="J63" s="232">
        <f t="shared" si="2"/>
        <v>1008000</v>
      </c>
      <c r="K63" s="248">
        <v>679500</v>
      </c>
      <c r="L63" s="249">
        <v>1601500</v>
      </c>
      <c r="M63" s="250">
        <v>2281000</v>
      </c>
      <c r="N63" s="99">
        <f t="shared" si="3"/>
        <v>168000</v>
      </c>
      <c r="O63" s="73">
        <f t="shared" si="4"/>
        <v>785583.05279999995</v>
      </c>
      <c r="P63" s="73">
        <f t="shared" si="5"/>
        <v>953583.05279999995</v>
      </c>
      <c r="Q63" s="301">
        <f t="shared" si="6"/>
        <v>156240</v>
      </c>
      <c r="R63" s="301">
        <f t="shared" si="7"/>
        <v>730592.23910399992</v>
      </c>
      <c r="S63" s="300">
        <f t="shared" si="8"/>
        <v>886832.23910399992</v>
      </c>
    </row>
    <row r="64" spans="1:19" ht="15" x14ac:dyDescent="0.25">
      <c r="A64" s="49">
        <v>58</v>
      </c>
      <c r="B64" s="47" t="s">
        <v>292</v>
      </c>
      <c r="C64" s="33" t="s">
        <v>153</v>
      </c>
      <c r="D64" s="111">
        <v>257434.08318950803</v>
      </c>
      <c r="E64" s="112">
        <v>136200.4886240944</v>
      </c>
      <c r="F64" s="112">
        <v>544801.95449637761</v>
      </c>
      <c r="G64" s="112">
        <v>681002.44312047202</v>
      </c>
      <c r="H64" s="257">
        <f t="shared" si="1"/>
        <v>66000</v>
      </c>
      <c r="I64" s="257">
        <v>330000</v>
      </c>
      <c r="J64" s="232">
        <f t="shared" si="2"/>
        <v>396000</v>
      </c>
      <c r="K64" s="248">
        <v>679500</v>
      </c>
      <c r="L64" s="249">
        <v>228616.33403866214</v>
      </c>
      <c r="M64" s="250">
        <v>908116.33403866214</v>
      </c>
      <c r="N64" s="99">
        <f t="shared" si="3"/>
        <v>66000</v>
      </c>
      <c r="O64" s="73">
        <f t="shared" si="4"/>
        <v>228616.33403866214</v>
      </c>
      <c r="P64" s="73">
        <f t="shared" si="5"/>
        <v>294616.33403866214</v>
      </c>
      <c r="Q64" s="301">
        <f t="shared" si="6"/>
        <v>61380</v>
      </c>
      <c r="R64" s="301">
        <f t="shared" si="7"/>
        <v>212613.19065595578</v>
      </c>
      <c r="S64" s="300">
        <f t="shared" si="8"/>
        <v>273993.19065595581</v>
      </c>
    </row>
    <row r="65" spans="1:19" ht="15" x14ac:dyDescent="0.25">
      <c r="A65" s="49">
        <v>59</v>
      </c>
      <c r="B65" s="47" t="s">
        <v>150</v>
      </c>
      <c r="C65" s="33" t="s">
        <v>153</v>
      </c>
      <c r="D65" s="111">
        <v>550000</v>
      </c>
      <c r="E65" s="112">
        <v>162800</v>
      </c>
      <c r="F65" s="112">
        <v>651200</v>
      </c>
      <c r="G65" s="112">
        <v>814000</v>
      </c>
      <c r="H65" s="257">
        <f t="shared" si="1"/>
        <v>130000</v>
      </c>
      <c r="I65" s="257">
        <v>650000</v>
      </c>
      <c r="J65" s="232">
        <f t="shared" si="2"/>
        <v>780000</v>
      </c>
      <c r="K65" s="248">
        <v>549500</v>
      </c>
      <c r="L65" s="249">
        <v>489000</v>
      </c>
      <c r="M65" s="250">
        <v>1038500</v>
      </c>
      <c r="N65" s="99">
        <f t="shared" si="3"/>
        <v>130000</v>
      </c>
      <c r="O65" s="73">
        <f t="shared" si="4"/>
        <v>489000</v>
      </c>
      <c r="P65" s="73">
        <f t="shared" si="5"/>
        <v>619000</v>
      </c>
      <c r="Q65" s="301">
        <f t="shared" si="6"/>
        <v>120900</v>
      </c>
      <c r="R65" s="301">
        <f t="shared" si="7"/>
        <v>454770</v>
      </c>
      <c r="S65" s="300">
        <f t="shared" si="8"/>
        <v>575670</v>
      </c>
    </row>
    <row r="66" spans="1:19" ht="22.5" x14ac:dyDescent="0.25">
      <c r="A66" s="49"/>
      <c r="B66" s="30" t="s">
        <v>124</v>
      </c>
      <c r="C66" s="33"/>
      <c r="D66" s="111"/>
      <c r="E66" s="112"/>
      <c r="F66" s="112"/>
      <c r="G66" s="112"/>
      <c r="H66" s="257">
        <f t="shared" si="1"/>
        <v>0</v>
      </c>
      <c r="I66" s="257"/>
      <c r="J66" s="232">
        <f t="shared" si="2"/>
        <v>0</v>
      </c>
      <c r="K66" s="248"/>
      <c r="L66" s="249"/>
      <c r="M66" s="250">
        <v>0</v>
      </c>
      <c r="N66" s="99">
        <f t="shared" si="3"/>
        <v>0</v>
      </c>
      <c r="O66" s="73">
        <f t="shared" si="4"/>
        <v>0</v>
      </c>
      <c r="P66" s="73">
        <f t="shared" si="5"/>
        <v>0</v>
      </c>
      <c r="Q66" s="301">
        <f t="shared" si="6"/>
        <v>0</v>
      </c>
      <c r="R66" s="301">
        <f t="shared" si="7"/>
        <v>0</v>
      </c>
      <c r="S66" s="300">
        <f t="shared" si="8"/>
        <v>0</v>
      </c>
    </row>
    <row r="67" spans="1:19" ht="15" x14ac:dyDescent="0.25">
      <c r="A67" s="49">
        <v>60</v>
      </c>
      <c r="B67" s="46" t="s">
        <v>175</v>
      </c>
      <c r="C67" s="33" t="s">
        <v>153</v>
      </c>
      <c r="D67" s="111">
        <v>1800000</v>
      </c>
      <c r="E67" s="112">
        <v>522000</v>
      </c>
      <c r="F67" s="112">
        <v>2088000</v>
      </c>
      <c r="G67" s="112">
        <v>2610000</v>
      </c>
      <c r="H67" s="257">
        <f t="shared" si="1"/>
        <v>424000</v>
      </c>
      <c r="I67" s="257">
        <v>2120000</v>
      </c>
      <c r="J67" s="232">
        <f t="shared" si="2"/>
        <v>2544000</v>
      </c>
      <c r="K67" s="248">
        <v>824500</v>
      </c>
      <c r="L67" s="249">
        <v>1601500</v>
      </c>
      <c r="M67" s="250">
        <v>2426000</v>
      </c>
      <c r="N67" s="99">
        <f t="shared" si="3"/>
        <v>424000</v>
      </c>
      <c r="O67" s="73">
        <f t="shared" si="4"/>
        <v>1601500</v>
      </c>
      <c r="P67" s="73">
        <f t="shared" si="5"/>
        <v>2025500</v>
      </c>
      <c r="Q67" s="301">
        <f t="shared" si="6"/>
        <v>394320</v>
      </c>
      <c r="R67" s="301">
        <f t="shared" si="7"/>
        <v>1489395</v>
      </c>
      <c r="S67" s="300">
        <f t="shared" si="8"/>
        <v>1883715</v>
      </c>
    </row>
    <row r="68" spans="1:19" ht="15" x14ac:dyDescent="0.25">
      <c r="A68" s="49">
        <v>61</v>
      </c>
      <c r="B68" s="46" t="s">
        <v>343</v>
      </c>
      <c r="C68" s="33" t="s">
        <v>153</v>
      </c>
      <c r="D68" s="111">
        <v>2806847.2546404395</v>
      </c>
      <c r="E68" s="112">
        <v>813985.70384572726</v>
      </c>
      <c r="F68" s="112">
        <v>3255942.81538291</v>
      </c>
      <c r="G68" s="112">
        <v>4069928.5192286372</v>
      </c>
      <c r="H68" s="257">
        <f t="shared" si="1"/>
        <v>500000</v>
      </c>
      <c r="I68" s="257">
        <v>2500000</v>
      </c>
      <c r="J68" s="232">
        <f t="shared" si="2"/>
        <v>3000000</v>
      </c>
      <c r="K68" s="248">
        <v>779500</v>
      </c>
      <c r="L68" s="249">
        <v>2497594.0566299912</v>
      </c>
      <c r="M68" s="250">
        <v>3277094.0566299912</v>
      </c>
      <c r="N68" s="99">
        <f t="shared" si="3"/>
        <v>500000</v>
      </c>
      <c r="O68" s="73">
        <f t="shared" si="4"/>
        <v>2497594.0566299912</v>
      </c>
      <c r="P68" s="73">
        <f t="shared" si="5"/>
        <v>2997594.0566299912</v>
      </c>
      <c r="Q68" s="301">
        <f t="shared" si="6"/>
        <v>465000</v>
      </c>
      <c r="R68" s="301">
        <f t="shared" si="7"/>
        <v>2322762.472665892</v>
      </c>
      <c r="S68" s="300">
        <f t="shared" si="8"/>
        <v>2787762.472665892</v>
      </c>
    </row>
    <row r="69" spans="1:19" ht="15" x14ac:dyDescent="0.25">
      <c r="A69" s="49">
        <v>62</v>
      </c>
      <c r="B69" s="47" t="s">
        <v>122</v>
      </c>
      <c r="C69" s="33" t="s">
        <v>153</v>
      </c>
      <c r="D69" s="111">
        <v>2539838.5830853158</v>
      </c>
      <c r="E69" s="112">
        <v>596553.18909474183</v>
      </c>
      <c r="F69" s="112">
        <v>2386212.7563789682</v>
      </c>
      <c r="G69" s="112">
        <v>2982765.9454737101</v>
      </c>
      <c r="H69" s="257">
        <f t="shared" si="1"/>
        <v>560000</v>
      </c>
      <c r="I69" s="257">
        <v>2800000</v>
      </c>
      <c r="J69" s="232">
        <f t="shared" si="2"/>
        <v>3360000</v>
      </c>
      <c r="K69" s="248">
        <v>649500</v>
      </c>
      <c r="L69" s="249">
        <v>2259956.3389459308</v>
      </c>
      <c r="M69" s="250">
        <v>2909456.3389459308</v>
      </c>
      <c r="N69" s="99">
        <f t="shared" si="3"/>
        <v>560000</v>
      </c>
      <c r="O69" s="73">
        <f t="shared" si="4"/>
        <v>2259956.3389459308</v>
      </c>
      <c r="P69" s="73">
        <f t="shared" si="5"/>
        <v>2819956.3389459308</v>
      </c>
      <c r="Q69" s="301">
        <f t="shared" si="6"/>
        <v>520800</v>
      </c>
      <c r="R69" s="301">
        <f t="shared" si="7"/>
        <v>2101759.3952197158</v>
      </c>
      <c r="S69" s="300">
        <f t="shared" si="8"/>
        <v>2622559.3952197158</v>
      </c>
    </row>
    <row r="70" spans="1:19" ht="15" x14ac:dyDescent="0.25">
      <c r="A70" s="49">
        <v>63</v>
      </c>
      <c r="B70" s="47" t="s">
        <v>121</v>
      </c>
      <c r="C70" s="33" t="s">
        <v>153</v>
      </c>
      <c r="D70" s="111">
        <v>423306.43051421933</v>
      </c>
      <c r="E70" s="112">
        <v>125298.70343220892</v>
      </c>
      <c r="F70" s="112">
        <v>501194.81372883572</v>
      </c>
      <c r="G70" s="112">
        <v>626493.51716104464</v>
      </c>
      <c r="H70" s="257">
        <f t="shared" ref="H70:H133" si="9">+I70*20%</f>
        <v>100000</v>
      </c>
      <c r="I70" s="257">
        <v>500000</v>
      </c>
      <c r="J70" s="232">
        <f t="shared" ref="J70:J133" si="10">+I70+H70</f>
        <v>600000</v>
      </c>
      <c r="K70" s="248">
        <v>399500</v>
      </c>
      <c r="L70" s="249">
        <v>376242.72315765521</v>
      </c>
      <c r="M70" s="250">
        <v>775742.72315765521</v>
      </c>
      <c r="N70" s="99">
        <f t="shared" ref="N70:N133" si="11">MIN(E70,H70,K70)</f>
        <v>100000</v>
      </c>
      <c r="O70" s="73">
        <f t="shared" ref="O70:O133" si="12">MIN(F70,I70,L70)</f>
        <v>376242.72315765521</v>
      </c>
      <c r="P70" s="73">
        <f t="shared" ref="P70:P133" si="13">O70+N70</f>
        <v>476242.72315765521</v>
      </c>
      <c r="Q70" s="301">
        <f t="shared" ref="Q70:Q133" si="14">N70-(N70*7%)</f>
        <v>93000</v>
      </c>
      <c r="R70" s="301">
        <f t="shared" ref="R70:R133" si="15">O70-(O70*7%)</f>
        <v>349905.73253661935</v>
      </c>
      <c r="S70" s="300">
        <f t="shared" ref="S70:S133" si="16">R70+Q70</f>
        <v>442905.73253661935</v>
      </c>
    </row>
    <row r="71" spans="1:19" ht="15" x14ac:dyDescent="0.25">
      <c r="A71" s="49">
        <v>64</v>
      </c>
      <c r="B71" s="46" t="s">
        <v>380</v>
      </c>
      <c r="C71" s="33" t="s">
        <v>153</v>
      </c>
      <c r="D71" s="111">
        <v>1107109.1259602658</v>
      </c>
      <c r="E71" s="112">
        <v>287704.301284238</v>
      </c>
      <c r="F71" s="112">
        <v>1150817.205136952</v>
      </c>
      <c r="G71" s="112">
        <v>1438521.50642119</v>
      </c>
      <c r="H71" s="257">
        <f t="shared" si="9"/>
        <v>240000</v>
      </c>
      <c r="I71" s="257">
        <v>1200000</v>
      </c>
      <c r="J71" s="232">
        <f t="shared" si="10"/>
        <v>1440000</v>
      </c>
      <c r="K71" s="248">
        <v>264500</v>
      </c>
      <c r="L71" s="249">
        <v>984827.12210463651</v>
      </c>
      <c r="M71" s="250">
        <v>1249327.1221046364</v>
      </c>
      <c r="N71" s="99">
        <f t="shared" si="11"/>
        <v>240000</v>
      </c>
      <c r="O71" s="73">
        <f t="shared" si="12"/>
        <v>984827.12210463651</v>
      </c>
      <c r="P71" s="73">
        <f t="shared" si="13"/>
        <v>1224827.1221046364</v>
      </c>
      <c r="Q71" s="301">
        <f t="shared" si="14"/>
        <v>223200</v>
      </c>
      <c r="R71" s="301">
        <f t="shared" si="15"/>
        <v>915889.22355731193</v>
      </c>
      <c r="S71" s="300">
        <f t="shared" si="16"/>
        <v>1139089.223557312</v>
      </c>
    </row>
    <row r="72" spans="1:19" ht="15" x14ac:dyDescent="0.25">
      <c r="A72" s="49">
        <v>65</v>
      </c>
      <c r="B72" s="46" t="s">
        <v>386</v>
      </c>
      <c r="C72" s="33" t="s">
        <v>153</v>
      </c>
      <c r="D72" s="111">
        <v>253983.85830853155</v>
      </c>
      <c r="E72" s="112">
        <v>75179.222059325315</v>
      </c>
      <c r="F72" s="112">
        <v>300716.88823730138</v>
      </c>
      <c r="G72" s="112">
        <v>375896.11029662669</v>
      </c>
      <c r="H72" s="257">
        <f t="shared" si="9"/>
        <v>60000</v>
      </c>
      <c r="I72" s="257">
        <v>300000</v>
      </c>
      <c r="J72" s="232">
        <f t="shared" si="10"/>
        <v>360000</v>
      </c>
      <c r="K72" s="248">
        <v>264500</v>
      </c>
      <c r="L72" s="249">
        <v>225545.63389459308</v>
      </c>
      <c r="M72" s="250">
        <v>490045.63389459311</v>
      </c>
      <c r="N72" s="99">
        <f t="shared" si="11"/>
        <v>60000</v>
      </c>
      <c r="O72" s="73">
        <f t="shared" si="12"/>
        <v>225545.63389459308</v>
      </c>
      <c r="P72" s="73">
        <f t="shared" si="13"/>
        <v>285545.63389459311</v>
      </c>
      <c r="Q72" s="301">
        <f t="shared" si="14"/>
        <v>55800</v>
      </c>
      <c r="R72" s="301">
        <f t="shared" si="15"/>
        <v>209757.43952197157</v>
      </c>
      <c r="S72" s="300">
        <f t="shared" si="16"/>
        <v>265557.43952197157</v>
      </c>
    </row>
    <row r="73" spans="1:19" ht="15" x14ac:dyDescent="0.25">
      <c r="A73" s="49">
        <v>66</v>
      </c>
      <c r="B73" s="46" t="s">
        <v>387</v>
      </c>
      <c r="C73" s="33" t="s">
        <v>153</v>
      </c>
      <c r="D73" s="111">
        <v>3800000</v>
      </c>
      <c r="E73" s="112">
        <v>1102000</v>
      </c>
      <c r="F73" s="112">
        <v>4408000</v>
      </c>
      <c r="G73" s="112">
        <v>5510000</v>
      </c>
      <c r="H73" s="257">
        <f t="shared" si="9"/>
        <v>800000</v>
      </c>
      <c r="I73" s="257">
        <v>4000000</v>
      </c>
      <c r="J73" s="232">
        <f t="shared" si="10"/>
        <v>4800000</v>
      </c>
      <c r="K73" s="248">
        <v>649500</v>
      </c>
      <c r="L73" s="249">
        <v>3381500</v>
      </c>
      <c r="M73" s="250">
        <v>4031000</v>
      </c>
      <c r="N73" s="99">
        <f t="shared" si="11"/>
        <v>649500</v>
      </c>
      <c r="O73" s="73">
        <f t="shared" si="12"/>
        <v>3381500</v>
      </c>
      <c r="P73" s="73">
        <f t="shared" si="13"/>
        <v>4031000</v>
      </c>
      <c r="Q73" s="301">
        <f t="shared" si="14"/>
        <v>604035</v>
      </c>
      <c r="R73" s="301">
        <f t="shared" si="15"/>
        <v>3144795</v>
      </c>
      <c r="S73" s="300">
        <f t="shared" si="16"/>
        <v>3748830</v>
      </c>
    </row>
    <row r="74" spans="1:19" ht="15" x14ac:dyDescent="0.25">
      <c r="A74" s="49">
        <v>67</v>
      </c>
      <c r="B74" s="46" t="s">
        <v>388</v>
      </c>
      <c r="C74" s="33" t="s">
        <v>153</v>
      </c>
      <c r="D74" s="111">
        <v>2885126.3822524524</v>
      </c>
      <c r="E74" s="112">
        <v>776686.65085321199</v>
      </c>
      <c r="F74" s="112">
        <v>3106746.603412848</v>
      </c>
      <c r="G74" s="112">
        <v>3883433.25426606</v>
      </c>
      <c r="H74" s="257">
        <f t="shared" si="9"/>
        <v>660000</v>
      </c>
      <c r="I74" s="257">
        <v>3300000</v>
      </c>
      <c r="J74" s="232">
        <f t="shared" si="10"/>
        <v>3960000</v>
      </c>
      <c r="K74" s="248">
        <v>824500</v>
      </c>
      <c r="L74" s="249">
        <v>2567262.4802046828</v>
      </c>
      <c r="M74" s="250">
        <v>3391762.4802046828</v>
      </c>
      <c r="N74" s="99">
        <f t="shared" si="11"/>
        <v>660000</v>
      </c>
      <c r="O74" s="73">
        <f t="shared" si="12"/>
        <v>2567262.4802046828</v>
      </c>
      <c r="P74" s="73">
        <f t="shared" si="13"/>
        <v>3227262.4802046828</v>
      </c>
      <c r="Q74" s="301">
        <f t="shared" si="14"/>
        <v>613800</v>
      </c>
      <c r="R74" s="301">
        <f t="shared" si="15"/>
        <v>2387554.1065903548</v>
      </c>
      <c r="S74" s="300">
        <f t="shared" si="16"/>
        <v>3001354.1065903548</v>
      </c>
    </row>
    <row r="75" spans="1:19" ht="15" x14ac:dyDescent="0.25">
      <c r="A75" s="49">
        <v>68</v>
      </c>
      <c r="B75" s="46" t="s">
        <v>125</v>
      </c>
      <c r="C75" s="33" t="s">
        <v>153</v>
      </c>
      <c r="D75" s="111">
        <v>2800334.8480171436</v>
      </c>
      <c r="E75" s="112">
        <v>720097.10592497187</v>
      </c>
      <c r="F75" s="112">
        <v>2880388.4236998879</v>
      </c>
      <c r="G75" s="112">
        <v>3600485.5296248598</v>
      </c>
      <c r="H75" s="257">
        <f t="shared" si="9"/>
        <v>640000</v>
      </c>
      <c r="I75" s="257">
        <v>3200000</v>
      </c>
      <c r="J75" s="232">
        <f t="shared" si="10"/>
        <v>3840000</v>
      </c>
      <c r="K75" s="248">
        <v>779500</v>
      </c>
      <c r="L75" s="249">
        <v>2491798.0147352577</v>
      </c>
      <c r="M75" s="250">
        <v>3271298.0147352577</v>
      </c>
      <c r="N75" s="99">
        <f t="shared" si="11"/>
        <v>640000</v>
      </c>
      <c r="O75" s="73">
        <f t="shared" si="12"/>
        <v>2491798.0147352577</v>
      </c>
      <c r="P75" s="73">
        <f t="shared" si="13"/>
        <v>3131798.0147352577</v>
      </c>
      <c r="Q75" s="301">
        <f t="shared" si="14"/>
        <v>595200</v>
      </c>
      <c r="R75" s="301">
        <f t="shared" si="15"/>
        <v>2317372.1537037897</v>
      </c>
      <c r="S75" s="300">
        <f t="shared" si="16"/>
        <v>2912572.1537037897</v>
      </c>
    </row>
    <row r="76" spans="1:19" ht="15" x14ac:dyDescent="0.25">
      <c r="A76" s="49">
        <v>69</v>
      </c>
      <c r="B76" s="47" t="s">
        <v>126</v>
      </c>
      <c r="C76" s="33" t="s">
        <v>153</v>
      </c>
      <c r="D76" s="111">
        <v>345157.55103467114</v>
      </c>
      <c r="E76" s="112">
        <v>102166.63510626263</v>
      </c>
      <c r="F76" s="112">
        <v>408666.54042505065</v>
      </c>
      <c r="G76" s="112">
        <v>510833.17553131329</v>
      </c>
      <c r="H76" s="257">
        <f t="shared" si="9"/>
        <v>81600</v>
      </c>
      <c r="I76" s="257">
        <v>408000</v>
      </c>
      <c r="J76" s="232">
        <f t="shared" si="10"/>
        <v>489600</v>
      </c>
      <c r="K76" s="248">
        <v>649500</v>
      </c>
      <c r="L76" s="249">
        <v>306690.22042085731</v>
      </c>
      <c r="M76" s="250">
        <v>956190.22042085731</v>
      </c>
      <c r="N76" s="99">
        <f t="shared" si="11"/>
        <v>81600</v>
      </c>
      <c r="O76" s="73">
        <f t="shared" si="12"/>
        <v>306690.22042085731</v>
      </c>
      <c r="P76" s="73">
        <f t="shared" si="13"/>
        <v>388290.22042085731</v>
      </c>
      <c r="Q76" s="301">
        <f t="shared" si="14"/>
        <v>75888</v>
      </c>
      <c r="R76" s="301">
        <f t="shared" si="15"/>
        <v>285221.90499139728</v>
      </c>
      <c r="S76" s="300">
        <f t="shared" si="16"/>
        <v>361109.90499139728</v>
      </c>
    </row>
    <row r="77" spans="1:19" ht="15" x14ac:dyDescent="0.25">
      <c r="A77" s="49">
        <v>70</v>
      </c>
      <c r="B77" s="47" t="s">
        <v>128</v>
      </c>
      <c r="C77" s="33" t="s">
        <v>153</v>
      </c>
      <c r="D77" s="111">
        <v>1237357.2584261792</v>
      </c>
      <c r="E77" s="112">
        <v>966257.74849414965</v>
      </c>
      <c r="F77" s="112">
        <v>3865030.9939766</v>
      </c>
      <c r="G77" s="112">
        <v>4831288.7424707497</v>
      </c>
      <c r="H77" s="257">
        <f t="shared" si="9"/>
        <v>320000</v>
      </c>
      <c r="I77" s="257">
        <v>1600000</v>
      </c>
      <c r="J77" s="232">
        <f t="shared" si="10"/>
        <v>1920000</v>
      </c>
      <c r="K77" s="248">
        <v>649500</v>
      </c>
      <c r="L77" s="249">
        <v>1100747.9599992994</v>
      </c>
      <c r="M77" s="250">
        <v>1750247.9599992994</v>
      </c>
      <c r="N77" s="99">
        <f t="shared" si="11"/>
        <v>320000</v>
      </c>
      <c r="O77" s="73">
        <f t="shared" si="12"/>
        <v>1100747.9599992994</v>
      </c>
      <c r="P77" s="73">
        <f t="shared" si="13"/>
        <v>1420747.9599992994</v>
      </c>
      <c r="Q77" s="301">
        <f t="shared" si="14"/>
        <v>297600</v>
      </c>
      <c r="R77" s="301">
        <f t="shared" si="15"/>
        <v>1023695.6027993484</v>
      </c>
      <c r="S77" s="300">
        <f t="shared" si="16"/>
        <v>1321295.6027993485</v>
      </c>
    </row>
    <row r="78" spans="1:19" ht="15" x14ac:dyDescent="0.25">
      <c r="A78" s="49">
        <v>71</v>
      </c>
      <c r="B78" s="46" t="s">
        <v>123</v>
      </c>
      <c r="C78" s="33" t="s">
        <v>153</v>
      </c>
      <c r="D78" s="111">
        <v>441943.50882420084</v>
      </c>
      <c r="E78" s="112">
        <v>130815.27861196344</v>
      </c>
      <c r="F78" s="112">
        <v>523261.11444785382</v>
      </c>
      <c r="G78" s="112">
        <v>654076.39305981726</v>
      </c>
      <c r="H78" s="257">
        <f t="shared" si="9"/>
        <v>104000</v>
      </c>
      <c r="I78" s="257">
        <v>520000</v>
      </c>
      <c r="J78" s="232">
        <f t="shared" si="10"/>
        <v>624000</v>
      </c>
      <c r="K78" s="248">
        <v>294500</v>
      </c>
      <c r="L78" s="249">
        <v>392829.72285353875</v>
      </c>
      <c r="M78" s="250">
        <v>687329.72285353881</v>
      </c>
      <c r="N78" s="99">
        <f t="shared" si="11"/>
        <v>104000</v>
      </c>
      <c r="O78" s="73">
        <f t="shared" si="12"/>
        <v>392829.72285353875</v>
      </c>
      <c r="P78" s="73">
        <f t="shared" si="13"/>
        <v>496829.72285353875</v>
      </c>
      <c r="Q78" s="301">
        <f t="shared" si="14"/>
        <v>96720</v>
      </c>
      <c r="R78" s="301">
        <f t="shared" si="15"/>
        <v>365331.64225379104</v>
      </c>
      <c r="S78" s="300">
        <f t="shared" si="16"/>
        <v>462051.64225379104</v>
      </c>
    </row>
    <row r="79" spans="1:19" ht="15" x14ac:dyDescent="0.25">
      <c r="A79" s="49">
        <v>72</v>
      </c>
      <c r="B79" s="46" t="s">
        <v>298</v>
      </c>
      <c r="C79" s="33" t="s">
        <v>153</v>
      </c>
      <c r="D79" s="111">
        <v>233385.05486580846</v>
      </c>
      <c r="E79" s="112">
        <v>89081.976240279386</v>
      </c>
      <c r="F79" s="112">
        <v>356327.9049611176</v>
      </c>
      <c r="G79" s="112">
        <v>445409.88120139699</v>
      </c>
      <c r="H79" s="257">
        <f t="shared" si="9"/>
        <v>58000</v>
      </c>
      <c r="I79" s="257">
        <v>290000</v>
      </c>
      <c r="J79" s="232">
        <f t="shared" si="10"/>
        <v>348000</v>
      </c>
      <c r="K79" s="248">
        <v>294500</v>
      </c>
      <c r="L79" s="249">
        <v>207212.69883056951</v>
      </c>
      <c r="M79" s="250">
        <v>501712.69883056951</v>
      </c>
      <c r="N79" s="99">
        <f t="shared" si="11"/>
        <v>58000</v>
      </c>
      <c r="O79" s="73">
        <f t="shared" si="12"/>
        <v>207212.69883056951</v>
      </c>
      <c r="P79" s="73">
        <f t="shared" si="13"/>
        <v>265212.69883056951</v>
      </c>
      <c r="Q79" s="301">
        <f t="shared" si="14"/>
        <v>53940</v>
      </c>
      <c r="R79" s="301">
        <f t="shared" si="15"/>
        <v>192707.80991242966</v>
      </c>
      <c r="S79" s="300">
        <f t="shared" si="16"/>
        <v>246647.80991242966</v>
      </c>
    </row>
    <row r="80" spans="1:19" ht="15" x14ac:dyDescent="0.25">
      <c r="A80" s="49">
        <v>73</v>
      </c>
      <c r="B80" s="35" t="s">
        <v>389</v>
      </c>
      <c r="C80" s="33" t="s">
        <v>153</v>
      </c>
      <c r="D80" s="111">
        <v>350000</v>
      </c>
      <c r="E80" s="112">
        <v>163600</v>
      </c>
      <c r="F80" s="112">
        <v>654400</v>
      </c>
      <c r="G80" s="112">
        <v>818000</v>
      </c>
      <c r="H80" s="257">
        <f t="shared" si="9"/>
        <v>90000</v>
      </c>
      <c r="I80" s="257">
        <v>450000</v>
      </c>
      <c r="J80" s="232">
        <f t="shared" si="10"/>
        <v>540000</v>
      </c>
      <c r="K80" s="248">
        <v>564500</v>
      </c>
      <c r="L80" s="249">
        <v>311000</v>
      </c>
      <c r="M80" s="250">
        <v>875500</v>
      </c>
      <c r="N80" s="99">
        <f t="shared" si="11"/>
        <v>90000</v>
      </c>
      <c r="O80" s="73">
        <f t="shared" si="12"/>
        <v>311000</v>
      </c>
      <c r="P80" s="73">
        <f t="shared" si="13"/>
        <v>401000</v>
      </c>
      <c r="Q80" s="301">
        <f t="shared" si="14"/>
        <v>83700</v>
      </c>
      <c r="R80" s="301">
        <f t="shared" si="15"/>
        <v>289230</v>
      </c>
      <c r="S80" s="300">
        <f t="shared" si="16"/>
        <v>372930</v>
      </c>
    </row>
    <row r="81" spans="1:19" ht="22.5" x14ac:dyDescent="0.25">
      <c r="A81" s="49"/>
      <c r="B81" s="30" t="s">
        <v>31</v>
      </c>
      <c r="C81" s="33" t="s">
        <v>153</v>
      </c>
      <c r="D81" s="111"/>
      <c r="E81" s="112"/>
      <c r="F81" s="112"/>
      <c r="G81" s="112"/>
      <c r="H81" s="257">
        <f t="shared" si="9"/>
        <v>0</v>
      </c>
      <c r="I81" s="257"/>
      <c r="J81" s="232">
        <f t="shared" si="10"/>
        <v>0</v>
      </c>
      <c r="K81" s="248"/>
      <c r="L81" s="249"/>
      <c r="M81" s="250">
        <v>0</v>
      </c>
      <c r="N81" s="99">
        <f t="shared" si="11"/>
        <v>0</v>
      </c>
      <c r="O81" s="73">
        <f t="shared" si="12"/>
        <v>0</v>
      </c>
      <c r="P81" s="73">
        <f t="shared" si="13"/>
        <v>0</v>
      </c>
      <c r="Q81" s="301">
        <f t="shared" si="14"/>
        <v>0</v>
      </c>
      <c r="R81" s="301">
        <f t="shared" si="15"/>
        <v>0</v>
      </c>
      <c r="S81" s="300">
        <f t="shared" si="16"/>
        <v>0</v>
      </c>
    </row>
    <row r="82" spans="1:19" ht="15" x14ac:dyDescent="0.25">
      <c r="A82" s="49">
        <v>74</v>
      </c>
      <c r="B82" s="46" t="s">
        <v>323</v>
      </c>
      <c r="C82" s="33" t="s">
        <v>153</v>
      </c>
      <c r="D82" s="111">
        <v>2518851.1838000002</v>
      </c>
      <c r="E82" s="112">
        <v>730466.84330199985</v>
      </c>
      <c r="F82" s="112">
        <v>2921867.3732080003</v>
      </c>
      <c r="G82" s="112">
        <v>3652334.2165100002</v>
      </c>
      <c r="H82" s="257">
        <f t="shared" si="9"/>
        <v>500000</v>
      </c>
      <c r="I82" s="257">
        <v>2500000</v>
      </c>
      <c r="J82" s="232">
        <f t="shared" si="10"/>
        <v>3000000</v>
      </c>
      <c r="K82" s="248">
        <v>649500</v>
      </c>
      <c r="L82" s="249">
        <v>2491798.0147352577</v>
      </c>
      <c r="M82" s="250">
        <v>3141298.0147352577</v>
      </c>
      <c r="N82" s="99">
        <f t="shared" si="11"/>
        <v>500000</v>
      </c>
      <c r="O82" s="73">
        <f t="shared" si="12"/>
        <v>2491798.0147352577</v>
      </c>
      <c r="P82" s="73">
        <f t="shared" si="13"/>
        <v>2991798.0147352577</v>
      </c>
      <c r="Q82" s="301">
        <f t="shared" si="14"/>
        <v>465000</v>
      </c>
      <c r="R82" s="301">
        <f t="shared" si="15"/>
        <v>2317372.1537037897</v>
      </c>
      <c r="S82" s="300">
        <f t="shared" si="16"/>
        <v>2782372.1537037897</v>
      </c>
    </row>
    <row r="83" spans="1:19" ht="15" x14ac:dyDescent="0.25">
      <c r="A83" s="49">
        <v>75</v>
      </c>
      <c r="B83" s="46" t="s">
        <v>178</v>
      </c>
      <c r="C83" s="33" t="s">
        <v>153</v>
      </c>
      <c r="D83" s="111">
        <v>1383879.8950437091</v>
      </c>
      <c r="E83" s="112">
        <v>409628.44893293781</v>
      </c>
      <c r="F83" s="112">
        <v>1638513.7957317517</v>
      </c>
      <c r="G83" s="112">
        <v>2048142.2446646895</v>
      </c>
      <c r="H83" s="257">
        <f t="shared" si="9"/>
        <v>328000</v>
      </c>
      <c r="I83" s="257">
        <v>1640000</v>
      </c>
      <c r="J83" s="232">
        <f t="shared" si="10"/>
        <v>1968000</v>
      </c>
      <c r="K83" s="248">
        <v>734500</v>
      </c>
      <c r="L83" s="249">
        <v>1231153.106588901</v>
      </c>
      <c r="M83" s="250">
        <v>1965653.106588901</v>
      </c>
      <c r="N83" s="99">
        <f t="shared" si="11"/>
        <v>328000</v>
      </c>
      <c r="O83" s="73">
        <f t="shared" si="12"/>
        <v>1231153.106588901</v>
      </c>
      <c r="P83" s="73">
        <f t="shared" si="13"/>
        <v>1559153.106588901</v>
      </c>
      <c r="Q83" s="301">
        <f t="shared" si="14"/>
        <v>305040</v>
      </c>
      <c r="R83" s="301">
        <f t="shared" si="15"/>
        <v>1144972.389127678</v>
      </c>
      <c r="S83" s="300">
        <f t="shared" si="16"/>
        <v>1450012.389127678</v>
      </c>
    </row>
    <row r="84" spans="1:19" ht="15" x14ac:dyDescent="0.25">
      <c r="A84" s="49">
        <v>76</v>
      </c>
      <c r="B84" s="46" t="s">
        <v>146</v>
      </c>
      <c r="C84" s="33" t="s">
        <v>153</v>
      </c>
      <c r="D84" s="111">
        <v>1244297.9640000002</v>
      </c>
      <c r="E84" s="112">
        <v>368312.19734399999</v>
      </c>
      <c r="F84" s="112">
        <v>1473248.7893760002</v>
      </c>
      <c r="G84" s="112">
        <v>1841560.9867200002</v>
      </c>
      <c r="H84" s="257">
        <f t="shared" si="9"/>
        <v>300000</v>
      </c>
      <c r="I84" s="257">
        <v>1500000</v>
      </c>
      <c r="J84" s="232">
        <f t="shared" si="10"/>
        <v>1800000</v>
      </c>
      <c r="K84" s="248">
        <v>374500</v>
      </c>
      <c r="L84" s="249">
        <v>1601500</v>
      </c>
      <c r="M84" s="250">
        <v>1976000</v>
      </c>
      <c r="N84" s="99">
        <f t="shared" si="11"/>
        <v>300000</v>
      </c>
      <c r="O84" s="73">
        <f t="shared" si="12"/>
        <v>1473248.7893760002</v>
      </c>
      <c r="P84" s="73">
        <f t="shared" si="13"/>
        <v>1773248.7893760002</v>
      </c>
      <c r="Q84" s="301">
        <f t="shared" si="14"/>
        <v>279000</v>
      </c>
      <c r="R84" s="301">
        <f t="shared" si="15"/>
        <v>1370121.3741196801</v>
      </c>
      <c r="S84" s="300">
        <f t="shared" si="16"/>
        <v>1649121.3741196801</v>
      </c>
    </row>
    <row r="85" spans="1:19" ht="15" x14ac:dyDescent="0.25">
      <c r="A85" s="49">
        <v>77</v>
      </c>
      <c r="B85" s="47" t="s">
        <v>79</v>
      </c>
      <c r="C85" s="33" t="s">
        <v>153</v>
      </c>
      <c r="D85" s="111">
        <v>201884.60532216614</v>
      </c>
      <c r="E85" s="112">
        <v>59757.843175361166</v>
      </c>
      <c r="F85" s="112">
        <v>239031.37270144472</v>
      </c>
      <c r="G85" s="112">
        <v>298789.21587680589</v>
      </c>
      <c r="H85" s="257">
        <f t="shared" si="9"/>
        <v>46000</v>
      </c>
      <c r="I85" s="257">
        <v>230000</v>
      </c>
      <c r="J85" s="232">
        <f t="shared" si="10"/>
        <v>276000</v>
      </c>
      <c r="K85" s="248">
        <v>357500</v>
      </c>
      <c r="L85" s="249">
        <v>179177.29873672785</v>
      </c>
      <c r="M85" s="250">
        <v>536677.2987367278</v>
      </c>
      <c r="N85" s="99">
        <f t="shared" si="11"/>
        <v>46000</v>
      </c>
      <c r="O85" s="73">
        <f t="shared" si="12"/>
        <v>179177.29873672785</v>
      </c>
      <c r="P85" s="73">
        <f t="shared" si="13"/>
        <v>225177.29873672785</v>
      </c>
      <c r="Q85" s="301">
        <f t="shared" si="14"/>
        <v>42780</v>
      </c>
      <c r="R85" s="301">
        <f t="shared" si="15"/>
        <v>166634.88782515691</v>
      </c>
      <c r="S85" s="300">
        <f t="shared" si="16"/>
        <v>209414.88782515691</v>
      </c>
    </row>
    <row r="86" spans="1:19" ht="15" x14ac:dyDescent="0.25">
      <c r="A86" s="49">
        <v>78</v>
      </c>
      <c r="B86" s="46" t="s">
        <v>179</v>
      </c>
      <c r="C86" s="33" t="s">
        <v>153</v>
      </c>
      <c r="D86" s="111">
        <v>227934.23181534884</v>
      </c>
      <c r="E86" s="112">
        <v>67468.53261734324</v>
      </c>
      <c r="F86" s="112">
        <v>269874.13046937302</v>
      </c>
      <c r="G86" s="112">
        <v>337342.66308671626</v>
      </c>
      <c r="H86" s="257">
        <f t="shared" si="9"/>
        <v>52000</v>
      </c>
      <c r="I86" s="257">
        <v>260000</v>
      </c>
      <c r="J86" s="232">
        <f t="shared" si="10"/>
        <v>312000</v>
      </c>
      <c r="K86" s="248">
        <v>324500</v>
      </c>
      <c r="L86" s="249">
        <v>202361.46631566048</v>
      </c>
      <c r="M86" s="250">
        <v>526861.46631566051</v>
      </c>
      <c r="N86" s="99">
        <f t="shared" si="11"/>
        <v>52000</v>
      </c>
      <c r="O86" s="73">
        <f t="shared" si="12"/>
        <v>202361.46631566048</v>
      </c>
      <c r="P86" s="73">
        <f t="shared" si="13"/>
        <v>254361.46631566048</v>
      </c>
      <c r="Q86" s="301">
        <f t="shared" si="14"/>
        <v>48360</v>
      </c>
      <c r="R86" s="301">
        <f t="shared" si="15"/>
        <v>188196.16367356424</v>
      </c>
      <c r="S86" s="300">
        <f t="shared" si="16"/>
        <v>236556.16367356424</v>
      </c>
    </row>
    <row r="87" spans="1:19" ht="15" x14ac:dyDescent="0.25">
      <c r="A87" s="49">
        <v>79</v>
      </c>
      <c r="B87" s="47" t="s">
        <v>77</v>
      </c>
      <c r="C87" s="33" t="s">
        <v>153</v>
      </c>
      <c r="D87" s="111">
        <v>514480.12324035878</v>
      </c>
      <c r="E87" s="112">
        <v>152286.11647914618</v>
      </c>
      <c r="F87" s="112">
        <v>609144.46591658483</v>
      </c>
      <c r="G87" s="112">
        <v>761430.58239573101</v>
      </c>
      <c r="H87" s="257">
        <f t="shared" si="9"/>
        <v>108200</v>
      </c>
      <c r="I87" s="257">
        <v>541000</v>
      </c>
      <c r="J87" s="232">
        <f t="shared" si="10"/>
        <v>649200</v>
      </c>
      <c r="K87" s="248">
        <v>84500</v>
      </c>
      <c r="L87" s="249">
        <v>457387.3096839193</v>
      </c>
      <c r="M87" s="250">
        <v>541887.3096839193</v>
      </c>
      <c r="N87" s="99">
        <f t="shared" si="11"/>
        <v>84500</v>
      </c>
      <c r="O87" s="73">
        <f t="shared" si="12"/>
        <v>457387.3096839193</v>
      </c>
      <c r="P87" s="73">
        <f t="shared" si="13"/>
        <v>541887.3096839193</v>
      </c>
      <c r="Q87" s="301">
        <f t="shared" si="14"/>
        <v>78585</v>
      </c>
      <c r="R87" s="301">
        <f t="shared" si="15"/>
        <v>425370.19800604496</v>
      </c>
      <c r="S87" s="300">
        <f t="shared" si="16"/>
        <v>503955.19800604496</v>
      </c>
    </row>
    <row r="88" spans="1:19" ht="22.5" x14ac:dyDescent="0.25">
      <c r="A88" s="49"/>
      <c r="B88" s="30" t="s">
        <v>90</v>
      </c>
      <c r="C88" s="33" t="s">
        <v>153</v>
      </c>
      <c r="D88" s="111"/>
      <c r="E88" s="112"/>
      <c r="F88" s="112"/>
      <c r="G88" s="112"/>
      <c r="H88" s="257">
        <f t="shared" si="9"/>
        <v>0</v>
      </c>
      <c r="I88" s="257"/>
      <c r="J88" s="232">
        <f t="shared" si="10"/>
        <v>0</v>
      </c>
      <c r="K88" s="248"/>
      <c r="L88" s="249"/>
      <c r="M88" s="250">
        <v>0</v>
      </c>
      <c r="N88" s="99">
        <f t="shared" si="11"/>
        <v>0</v>
      </c>
      <c r="O88" s="73">
        <f t="shared" si="12"/>
        <v>0</v>
      </c>
      <c r="P88" s="73">
        <f t="shared" si="13"/>
        <v>0</v>
      </c>
      <c r="Q88" s="301">
        <f t="shared" si="14"/>
        <v>0</v>
      </c>
      <c r="R88" s="301">
        <f t="shared" si="15"/>
        <v>0</v>
      </c>
      <c r="S88" s="300">
        <f t="shared" si="16"/>
        <v>0</v>
      </c>
    </row>
    <row r="89" spans="1:19" ht="15" x14ac:dyDescent="0.25">
      <c r="A89" s="49">
        <v>80</v>
      </c>
      <c r="B89" s="46" t="s">
        <v>484</v>
      </c>
      <c r="C89" s="33" t="s">
        <v>153</v>
      </c>
      <c r="D89" s="111">
        <v>95772.2020299</v>
      </c>
      <c r="E89" s="112">
        <v>28731.660608969993</v>
      </c>
      <c r="F89" s="112">
        <v>114926.64243588001</v>
      </c>
      <c r="G89" s="112">
        <v>143658.30304485001</v>
      </c>
      <c r="H89" s="257">
        <f t="shared" si="9"/>
        <v>22600</v>
      </c>
      <c r="I89" s="257">
        <v>113000</v>
      </c>
      <c r="J89" s="232">
        <f t="shared" si="10"/>
        <v>135600</v>
      </c>
      <c r="K89" s="248">
        <v>164500</v>
      </c>
      <c r="L89" s="249">
        <v>84737.259806610993</v>
      </c>
      <c r="M89" s="250">
        <v>249237.25980661099</v>
      </c>
      <c r="N89" s="99">
        <f t="shared" si="11"/>
        <v>22600</v>
      </c>
      <c r="O89" s="73">
        <f t="shared" si="12"/>
        <v>84737.259806610993</v>
      </c>
      <c r="P89" s="73">
        <f t="shared" si="13"/>
        <v>107337.25980661099</v>
      </c>
      <c r="Q89" s="301">
        <f t="shared" si="14"/>
        <v>21018</v>
      </c>
      <c r="R89" s="301">
        <f t="shared" si="15"/>
        <v>78805.651620148215</v>
      </c>
      <c r="S89" s="300">
        <f t="shared" si="16"/>
        <v>99823.651620148215</v>
      </c>
    </row>
    <row r="90" spans="1:19" ht="15" x14ac:dyDescent="0.25">
      <c r="A90" s="49">
        <v>81</v>
      </c>
      <c r="B90" s="46" t="s">
        <v>181</v>
      </c>
      <c r="C90" s="33" t="s">
        <v>153</v>
      </c>
      <c r="D90" s="111">
        <v>571196.43829490698</v>
      </c>
      <c r="E90" s="112">
        <v>169074.14573529246</v>
      </c>
      <c r="F90" s="112">
        <v>676296.58294116985</v>
      </c>
      <c r="G90" s="112">
        <v>845370.72867646231</v>
      </c>
      <c r="H90" s="257">
        <f t="shared" si="9"/>
        <v>134000</v>
      </c>
      <c r="I90" s="257">
        <v>670000</v>
      </c>
      <c r="J90" s="232">
        <f t="shared" si="10"/>
        <v>804000</v>
      </c>
      <c r="K90" s="248">
        <v>219500</v>
      </c>
      <c r="L90" s="249">
        <v>507864.83008246723</v>
      </c>
      <c r="M90" s="250">
        <v>727364.83008246729</v>
      </c>
      <c r="N90" s="99">
        <f t="shared" si="11"/>
        <v>134000</v>
      </c>
      <c r="O90" s="73">
        <f t="shared" si="12"/>
        <v>507864.83008246723</v>
      </c>
      <c r="P90" s="73">
        <f t="shared" si="13"/>
        <v>641864.83008246729</v>
      </c>
      <c r="Q90" s="301">
        <f t="shared" si="14"/>
        <v>124620</v>
      </c>
      <c r="R90" s="301">
        <f t="shared" si="15"/>
        <v>472314.29197669454</v>
      </c>
      <c r="S90" s="300">
        <f t="shared" si="16"/>
        <v>596934.29197669448</v>
      </c>
    </row>
    <row r="91" spans="1:19" ht="15" x14ac:dyDescent="0.25">
      <c r="A91" s="49">
        <v>82</v>
      </c>
      <c r="B91" s="47" t="s">
        <v>485</v>
      </c>
      <c r="C91" s="33" t="s">
        <v>153</v>
      </c>
      <c r="D91" s="111">
        <v>1266567.1682963364</v>
      </c>
      <c r="E91" s="112">
        <v>294903.88181571593</v>
      </c>
      <c r="F91" s="112">
        <v>1179615.5272628642</v>
      </c>
      <c r="G91" s="112">
        <v>1474519.4090785801</v>
      </c>
      <c r="H91" s="257">
        <f t="shared" si="9"/>
        <v>268000</v>
      </c>
      <c r="I91" s="257">
        <v>1340000</v>
      </c>
      <c r="J91" s="232">
        <f t="shared" si="10"/>
        <v>1608000</v>
      </c>
      <c r="K91" s="248">
        <v>219500</v>
      </c>
      <c r="L91" s="249">
        <v>1126744.7797837395</v>
      </c>
      <c r="M91" s="250">
        <v>1346244.7797837395</v>
      </c>
      <c r="N91" s="99">
        <f t="shared" si="11"/>
        <v>219500</v>
      </c>
      <c r="O91" s="73">
        <f t="shared" si="12"/>
        <v>1126744.7797837395</v>
      </c>
      <c r="P91" s="73">
        <f t="shared" si="13"/>
        <v>1346244.7797837395</v>
      </c>
      <c r="Q91" s="301">
        <f t="shared" si="14"/>
        <v>204135</v>
      </c>
      <c r="R91" s="301">
        <f t="shared" si="15"/>
        <v>1047872.6451988777</v>
      </c>
      <c r="S91" s="300">
        <f t="shared" si="16"/>
        <v>1252007.6451988777</v>
      </c>
    </row>
    <row r="92" spans="1:19" ht="15" x14ac:dyDescent="0.25">
      <c r="A92" s="49">
        <v>83</v>
      </c>
      <c r="B92" s="47" t="s">
        <v>80</v>
      </c>
      <c r="C92" s="33" t="s">
        <v>153</v>
      </c>
      <c r="D92" s="111">
        <v>644728.2557062722</v>
      </c>
      <c r="E92" s="112">
        <v>300839.56368905585</v>
      </c>
      <c r="F92" s="112">
        <v>1203358.2547562241</v>
      </c>
      <c r="G92" s="112">
        <v>1504197.81844528</v>
      </c>
      <c r="H92" s="257">
        <f t="shared" si="9"/>
        <v>158000</v>
      </c>
      <c r="I92" s="257">
        <v>790000</v>
      </c>
      <c r="J92" s="232">
        <f t="shared" si="10"/>
        <v>948000</v>
      </c>
      <c r="K92" s="248">
        <v>219500</v>
      </c>
      <c r="L92" s="249">
        <v>573308.14757858228</v>
      </c>
      <c r="M92" s="250">
        <v>792808.14757858228</v>
      </c>
      <c r="N92" s="99">
        <f t="shared" si="11"/>
        <v>158000</v>
      </c>
      <c r="O92" s="73">
        <f t="shared" si="12"/>
        <v>573308.14757858228</v>
      </c>
      <c r="P92" s="73">
        <f t="shared" si="13"/>
        <v>731308.14757858228</v>
      </c>
      <c r="Q92" s="301">
        <f t="shared" si="14"/>
        <v>146940</v>
      </c>
      <c r="R92" s="301">
        <f t="shared" si="15"/>
        <v>533176.57724808156</v>
      </c>
      <c r="S92" s="300">
        <f t="shared" si="16"/>
        <v>680116.57724808156</v>
      </c>
    </row>
    <row r="93" spans="1:19" ht="15" x14ac:dyDescent="0.25">
      <c r="A93" s="49">
        <v>84</v>
      </c>
      <c r="B93" s="47" t="s">
        <v>103</v>
      </c>
      <c r="C93" s="33" t="s">
        <v>153</v>
      </c>
      <c r="D93" s="111">
        <v>171119.87660543548</v>
      </c>
      <c r="E93" s="112">
        <v>40651.483475208777</v>
      </c>
      <c r="F93" s="112">
        <v>162605.93390083523</v>
      </c>
      <c r="G93" s="112">
        <v>203257.417376044</v>
      </c>
      <c r="H93" s="257">
        <f t="shared" si="9"/>
        <v>38000</v>
      </c>
      <c r="I93" s="257">
        <v>190000</v>
      </c>
      <c r="J93" s="232">
        <f t="shared" si="10"/>
        <v>228000</v>
      </c>
      <c r="K93" s="248">
        <v>224500</v>
      </c>
      <c r="L93" s="249">
        <v>151796.69017883757</v>
      </c>
      <c r="M93" s="250">
        <v>376296.69017883757</v>
      </c>
      <c r="N93" s="99">
        <f t="shared" si="11"/>
        <v>38000</v>
      </c>
      <c r="O93" s="73">
        <f t="shared" si="12"/>
        <v>151796.69017883757</v>
      </c>
      <c r="P93" s="73">
        <f t="shared" si="13"/>
        <v>189796.69017883757</v>
      </c>
      <c r="Q93" s="301">
        <f t="shared" si="14"/>
        <v>35340</v>
      </c>
      <c r="R93" s="301">
        <f t="shared" si="15"/>
        <v>141170.92186631894</v>
      </c>
      <c r="S93" s="300">
        <f t="shared" si="16"/>
        <v>176510.92186631894</v>
      </c>
    </row>
    <row r="94" spans="1:19" ht="15" x14ac:dyDescent="0.25">
      <c r="A94" s="49">
        <v>85</v>
      </c>
      <c r="B94" s="47" t="s">
        <v>345</v>
      </c>
      <c r="C94" s="33" t="s">
        <v>153</v>
      </c>
      <c r="D94" s="111">
        <v>674375.89829009608</v>
      </c>
      <c r="E94" s="112">
        <v>159615.2658938684</v>
      </c>
      <c r="F94" s="112">
        <v>638461.06357547361</v>
      </c>
      <c r="G94" s="112">
        <v>798076.32946934202</v>
      </c>
      <c r="H94" s="257">
        <f t="shared" si="9"/>
        <v>122000</v>
      </c>
      <c r="I94" s="257">
        <v>610000</v>
      </c>
      <c r="J94" s="232">
        <f t="shared" si="10"/>
        <v>732000</v>
      </c>
      <c r="K94" s="248">
        <v>234500</v>
      </c>
      <c r="L94" s="249">
        <v>599694.54947818548</v>
      </c>
      <c r="M94" s="250">
        <v>834194.54947818548</v>
      </c>
      <c r="N94" s="99">
        <f t="shared" si="11"/>
        <v>122000</v>
      </c>
      <c r="O94" s="73">
        <f t="shared" si="12"/>
        <v>599694.54947818548</v>
      </c>
      <c r="P94" s="73">
        <f t="shared" si="13"/>
        <v>721694.54947818548</v>
      </c>
      <c r="Q94" s="301">
        <f t="shared" si="14"/>
        <v>113460</v>
      </c>
      <c r="R94" s="301">
        <f t="shared" si="15"/>
        <v>557715.93101471243</v>
      </c>
      <c r="S94" s="300">
        <f t="shared" si="16"/>
        <v>671175.93101471243</v>
      </c>
    </row>
    <row r="95" spans="1:19" ht="15" x14ac:dyDescent="0.25">
      <c r="A95" s="49">
        <v>86</v>
      </c>
      <c r="B95" s="35" t="s">
        <v>185</v>
      </c>
      <c r="C95" s="33" t="s">
        <v>153</v>
      </c>
      <c r="D95" s="111">
        <v>615326.50596676872</v>
      </c>
      <c r="E95" s="112">
        <v>142136.64576616359</v>
      </c>
      <c r="F95" s="112">
        <v>568546.58306465438</v>
      </c>
      <c r="G95" s="112">
        <v>710683.22883081797</v>
      </c>
      <c r="H95" s="257">
        <f t="shared" si="9"/>
        <v>137800</v>
      </c>
      <c r="I95" s="257">
        <v>689000</v>
      </c>
      <c r="J95" s="232">
        <f t="shared" si="10"/>
        <v>826800</v>
      </c>
      <c r="K95" s="248">
        <v>234500</v>
      </c>
      <c r="L95" s="249">
        <v>547140.5903104241</v>
      </c>
      <c r="M95" s="250">
        <v>781640.5903104241</v>
      </c>
      <c r="N95" s="99">
        <f t="shared" si="11"/>
        <v>137800</v>
      </c>
      <c r="O95" s="73">
        <f t="shared" si="12"/>
        <v>547140.5903104241</v>
      </c>
      <c r="P95" s="73">
        <f t="shared" si="13"/>
        <v>684940.5903104241</v>
      </c>
      <c r="Q95" s="301">
        <f t="shared" si="14"/>
        <v>128154</v>
      </c>
      <c r="R95" s="301">
        <f t="shared" si="15"/>
        <v>508840.74898869439</v>
      </c>
      <c r="S95" s="300">
        <f t="shared" si="16"/>
        <v>636994.74898869439</v>
      </c>
    </row>
    <row r="96" spans="1:19" ht="15" x14ac:dyDescent="0.25">
      <c r="A96" s="49">
        <v>87</v>
      </c>
      <c r="B96" s="47" t="s">
        <v>99</v>
      </c>
      <c r="C96" s="33" t="s">
        <v>153</v>
      </c>
      <c r="D96" s="111">
        <v>306083.11129489704</v>
      </c>
      <c r="E96" s="112">
        <v>90600.600943289523</v>
      </c>
      <c r="F96" s="112">
        <v>362402.40377315809</v>
      </c>
      <c r="G96" s="112">
        <v>453003.00471644761</v>
      </c>
      <c r="H96" s="257">
        <f t="shared" si="9"/>
        <v>72400</v>
      </c>
      <c r="I96" s="257">
        <v>362000</v>
      </c>
      <c r="J96" s="232">
        <f t="shared" si="10"/>
        <v>434400</v>
      </c>
      <c r="K96" s="248">
        <v>199500</v>
      </c>
      <c r="L96" s="249">
        <v>271913.96905245836</v>
      </c>
      <c r="M96" s="250">
        <v>471413.96905245836</v>
      </c>
      <c r="N96" s="99">
        <f t="shared" si="11"/>
        <v>72400</v>
      </c>
      <c r="O96" s="73">
        <f t="shared" si="12"/>
        <v>271913.96905245836</v>
      </c>
      <c r="P96" s="73">
        <f t="shared" si="13"/>
        <v>344313.96905245836</v>
      </c>
      <c r="Q96" s="301">
        <f t="shared" si="14"/>
        <v>67332</v>
      </c>
      <c r="R96" s="301">
        <f t="shared" si="15"/>
        <v>252879.99121878628</v>
      </c>
      <c r="S96" s="300">
        <f t="shared" si="16"/>
        <v>320211.99121878628</v>
      </c>
    </row>
    <row r="97" spans="1:19" ht="15" x14ac:dyDescent="0.25">
      <c r="A97" s="49">
        <v>88</v>
      </c>
      <c r="B97" s="47" t="s">
        <v>325</v>
      </c>
      <c r="C97" s="33" t="s">
        <v>153</v>
      </c>
      <c r="D97" s="111">
        <v>690157.65</v>
      </c>
      <c r="E97" s="112">
        <v>204286.66440000001</v>
      </c>
      <c r="F97" s="112">
        <v>817146.65760000004</v>
      </c>
      <c r="G97" s="112">
        <v>1021433.322</v>
      </c>
      <c r="H97" s="257">
        <f t="shared" si="9"/>
        <v>112000</v>
      </c>
      <c r="I97" s="257">
        <v>560000</v>
      </c>
      <c r="J97" s="232">
        <f t="shared" si="10"/>
        <v>672000</v>
      </c>
      <c r="K97" s="248">
        <v>199500</v>
      </c>
      <c r="L97" s="249">
        <v>643255.35612552881</v>
      </c>
      <c r="M97" s="250">
        <v>842755.35612552881</v>
      </c>
      <c r="N97" s="99">
        <f t="shared" si="11"/>
        <v>112000</v>
      </c>
      <c r="O97" s="73">
        <f t="shared" si="12"/>
        <v>560000</v>
      </c>
      <c r="P97" s="73">
        <f t="shared" si="13"/>
        <v>672000</v>
      </c>
      <c r="Q97" s="301">
        <f t="shared" si="14"/>
        <v>104160</v>
      </c>
      <c r="R97" s="301">
        <f t="shared" si="15"/>
        <v>520800</v>
      </c>
      <c r="S97" s="300">
        <f t="shared" si="16"/>
        <v>624960</v>
      </c>
    </row>
    <row r="98" spans="1:19" ht="15" x14ac:dyDescent="0.25">
      <c r="A98" s="49">
        <v>89</v>
      </c>
      <c r="B98" s="47" t="s">
        <v>186</v>
      </c>
      <c r="C98" s="33" t="s">
        <v>153</v>
      </c>
      <c r="D98" s="111">
        <v>628310.04600000009</v>
      </c>
      <c r="E98" s="112">
        <v>139979.77361599996</v>
      </c>
      <c r="F98" s="112">
        <v>559919.09446400008</v>
      </c>
      <c r="G98" s="112">
        <v>699898.86808000004</v>
      </c>
      <c r="H98" s="257">
        <f t="shared" si="9"/>
        <v>110000</v>
      </c>
      <c r="I98" s="257">
        <v>550000</v>
      </c>
      <c r="J98" s="232">
        <f t="shared" si="10"/>
        <v>660000</v>
      </c>
      <c r="K98" s="248">
        <v>194500</v>
      </c>
      <c r="L98" s="249">
        <v>851518.15852577402</v>
      </c>
      <c r="M98" s="250">
        <v>1046018.158525774</v>
      </c>
      <c r="N98" s="99">
        <f t="shared" si="11"/>
        <v>110000</v>
      </c>
      <c r="O98" s="73">
        <f t="shared" si="12"/>
        <v>550000</v>
      </c>
      <c r="P98" s="73">
        <f t="shared" si="13"/>
        <v>660000</v>
      </c>
      <c r="Q98" s="301">
        <f t="shared" si="14"/>
        <v>102300</v>
      </c>
      <c r="R98" s="301">
        <f t="shared" si="15"/>
        <v>511500</v>
      </c>
      <c r="S98" s="300">
        <f t="shared" si="16"/>
        <v>613800</v>
      </c>
    </row>
    <row r="99" spans="1:19" ht="15" x14ac:dyDescent="0.25">
      <c r="A99" s="49">
        <v>90</v>
      </c>
      <c r="B99" s="47" t="s">
        <v>483</v>
      </c>
      <c r="C99" s="33" t="s">
        <v>153</v>
      </c>
      <c r="D99" s="111">
        <v>778883.83214616356</v>
      </c>
      <c r="E99" s="112">
        <v>160549.61431526393</v>
      </c>
      <c r="F99" s="112">
        <v>642198.45726105606</v>
      </c>
      <c r="G99" s="112">
        <v>802748.07157631998</v>
      </c>
      <c r="H99" s="257">
        <f t="shared" si="9"/>
        <v>160000</v>
      </c>
      <c r="I99" s="257">
        <v>800000</v>
      </c>
      <c r="J99" s="232">
        <f t="shared" si="10"/>
        <v>960000</v>
      </c>
      <c r="K99" s="248">
        <v>157500</v>
      </c>
      <c r="L99" s="249">
        <v>692706.61061008554</v>
      </c>
      <c r="M99" s="250">
        <v>850206.61061008554</v>
      </c>
      <c r="N99" s="99">
        <f t="shared" si="11"/>
        <v>157500</v>
      </c>
      <c r="O99" s="73">
        <f t="shared" si="12"/>
        <v>642198.45726105606</v>
      </c>
      <c r="P99" s="73">
        <f t="shared" si="13"/>
        <v>799698.45726105606</v>
      </c>
      <c r="Q99" s="301">
        <f t="shared" si="14"/>
        <v>146475</v>
      </c>
      <c r="R99" s="301">
        <f t="shared" si="15"/>
        <v>597244.56525278208</v>
      </c>
      <c r="S99" s="300">
        <f t="shared" si="16"/>
        <v>743719.56525278208</v>
      </c>
    </row>
    <row r="100" spans="1:19" ht="15" x14ac:dyDescent="0.25">
      <c r="A100" s="49">
        <v>91</v>
      </c>
      <c r="B100" s="46" t="s">
        <v>346</v>
      </c>
      <c r="C100" s="33" t="s">
        <v>153</v>
      </c>
      <c r="D100" s="111">
        <v>616106.4</v>
      </c>
      <c r="E100" s="112">
        <v>142367.49439999997</v>
      </c>
      <c r="F100" s="112">
        <v>569469.97759999998</v>
      </c>
      <c r="G100" s="112">
        <v>711837.47199999995</v>
      </c>
      <c r="H100" s="257">
        <f t="shared" si="9"/>
        <v>108000</v>
      </c>
      <c r="I100" s="257">
        <v>540000</v>
      </c>
      <c r="J100" s="232">
        <f t="shared" si="10"/>
        <v>648000</v>
      </c>
      <c r="K100" s="248">
        <v>157500</v>
      </c>
      <c r="L100" s="249">
        <v>796944.73409618693</v>
      </c>
      <c r="M100" s="250">
        <v>954444.73409618693</v>
      </c>
      <c r="N100" s="99">
        <f t="shared" si="11"/>
        <v>108000</v>
      </c>
      <c r="O100" s="73">
        <f t="shared" si="12"/>
        <v>540000</v>
      </c>
      <c r="P100" s="73">
        <f t="shared" si="13"/>
        <v>648000</v>
      </c>
      <c r="Q100" s="301">
        <f t="shared" si="14"/>
        <v>100440</v>
      </c>
      <c r="R100" s="301">
        <f t="shared" si="15"/>
        <v>502200</v>
      </c>
      <c r="S100" s="300">
        <f t="shared" si="16"/>
        <v>602640</v>
      </c>
    </row>
    <row r="101" spans="1:19" ht="13.5" customHeight="1" x14ac:dyDescent="0.25">
      <c r="A101" s="49">
        <v>92</v>
      </c>
      <c r="B101" s="35" t="s">
        <v>190</v>
      </c>
      <c r="C101" s="33" t="s">
        <v>153</v>
      </c>
      <c r="D101" s="111">
        <v>120000</v>
      </c>
      <c r="E101" s="112">
        <v>35520</v>
      </c>
      <c r="F101" s="112">
        <v>142080</v>
      </c>
      <c r="G101" s="112">
        <v>177600</v>
      </c>
      <c r="H101" s="257">
        <f t="shared" si="9"/>
        <v>28000</v>
      </c>
      <c r="I101" s="257">
        <v>140000</v>
      </c>
      <c r="J101" s="232">
        <f t="shared" si="10"/>
        <v>168000</v>
      </c>
      <c r="K101" s="248">
        <v>194500</v>
      </c>
      <c r="L101" s="249">
        <v>106300</v>
      </c>
      <c r="M101" s="250">
        <v>300800</v>
      </c>
      <c r="N101" s="99">
        <f t="shared" si="11"/>
        <v>28000</v>
      </c>
      <c r="O101" s="73">
        <f t="shared" si="12"/>
        <v>106300</v>
      </c>
      <c r="P101" s="73">
        <f t="shared" si="13"/>
        <v>134300</v>
      </c>
      <c r="Q101" s="301">
        <f t="shared" si="14"/>
        <v>26040</v>
      </c>
      <c r="R101" s="301">
        <f t="shared" si="15"/>
        <v>98859</v>
      </c>
      <c r="S101" s="300">
        <f t="shared" si="16"/>
        <v>124899</v>
      </c>
    </row>
    <row r="102" spans="1:19" ht="12" customHeight="1" x14ac:dyDescent="0.25">
      <c r="A102" s="49">
        <v>93</v>
      </c>
      <c r="B102" s="46" t="s">
        <v>375</v>
      </c>
      <c r="C102" s="33" t="s">
        <v>153</v>
      </c>
      <c r="D102" s="111">
        <v>106633.8</v>
      </c>
      <c r="E102" s="112">
        <v>31563.604800000001</v>
      </c>
      <c r="F102" s="112">
        <v>126254.4192</v>
      </c>
      <c r="G102" s="112">
        <v>157818.024</v>
      </c>
      <c r="H102" s="257">
        <f t="shared" si="9"/>
        <v>27000</v>
      </c>
      <c r="I102" s="257">
        <v>135000</v>
      </c>
      <c r="J102" s="232">
        <f t="shared" si="10"/>
        <v>162000</v>
      </c>
      <c r="K102" s="248">
        <v>194500</v>
      </c>
      <c r="L102" s="249">
        <v>195300</v>
      </c>
      <c r="M102" s="250">
        <v>389800</v>
      </c>
      <c r="N102" s="99">
        <f t="shared" si="11"/>
        <v>27000</v>
      </c>
      <c r="O102" s="73">
        <f t="shared" si="12"/>
        <v>126254.4192</v>
      </c>
      <c r="P102" s="73">
        <f t="shared" si="13"/>
        <v>153254.4192</v>
      </c>
      <c r="Q102" s="301">
        <f t="shared" si="14"/>
        <v>25110</v>
      </c>
      <c r="R102" s="301">
        <f t="shared" si="15"/>
        <v>117416.609856</v>
      </c>
      <c r="S102" s="300">
        <f t="shared" si="16"/>
        <v>142526.609856</v>
      </c>
    </row>
    <row r="103" spans="1:19" ht="15" x14ac:dyDescent="0.25">
      <c r="A103" s="49">
        <v>94</v>
      </c>
      <c r="B103" s="46" t="s">
        <v>376</v>
      </c>
      <c r="C103" s="33" t="s">
        <v>153</v>
      </c>
      <c r="D103" s="111">
        <v>106633.8</v>
      </c>
      <c r="E103" s="112">
        <v>31563.604800000001</v>
      </c>
      <c r="F103" s="112">
        <v>126254.4192</v>
      </c>
      <c r="G103" s="112">
        <v>157818.024</v>
      </c>
      <c r="H103" s="257">
        <f t="shared" si="9"/>
        <v>27000</v>
      </c>
      <c r="I103" s="257">
        <v>135000</v>
      </c>
      <c r="J103" s="232">
        <f t="shared" si="10"/>
        <v>162000</v>
      </c>
      <c r="K103" s="248">
        <v>194500</v>
      </c>
      <c r="L103" s="249">
        <v>204200</v>
      </c>
      <c r="M103" s="250">
        <v>398700</v>
      </c>
      <c r="N103" s="99">
        <f t="shared" si="11"/>
        <v>27000</v>
      </c>
      <c r="O103" s="73">
        <f t="shared" si="12"/>
        <v>126254.4192</v>
      </c>
      <c r="P103" s="73">
        <f t="shared" si="13"/>
        <v>153254.4192</v>
      </c>
      <c r="Q103" s="301">
        <f t="shared" si="14"/>
        <v>25110</v>
      </c>
      <c r="R103" s="301">
        <f t="shared" si="15"/>
        <v>117416.609856</v>
      </c>
      <c r="S103" s="300">
        <f t="shared" si="16"/>
        <v>142526.609856</v>
      </c>
    </row>
    <row r="104" spans="1:19" ht="15" x14ac:dyDescent="0.25">
      <c r="A104" s="49">
        <v>95</v>
      </c>
      <c r="B104" s="46" t="s">
        <v>377</v>
      </c>
      <c r="C104" s="33" t="s">
        <v>153</v>
      </c>
      <c r="D104" s="111">
        <v>73458.84</v>
      </c>
      <c r="E104" s="112">
        <v>22037.651999999987</v>
      </c>
      <c r="F104" s="112">
        <v>88150.608000000007</v>
      </c>
      <c r="G104" s="112">
        <v>110188.26</v>
      </c>
      <c r="H104" s="257">
        <f t="shared" si="9"/>
        <v>186000</v>
      </c>
      <c r="I104" s="257">
        <v>930000</v>
      </c>
      <c r="J104" s="232">
        <f t="shared" si="10"/>
        <v>1116000</v>
      </c>
      <c r="K104" s="248">
        <v>194500</v>
      </c>
      <c r="L104" s="249">
        <v>155250</v>
      </c>
      <c r="M104" s="250">
        <v>349750</v>
      </c>
      <c r="N104" s="99">
        <f t="shared" si="11"/>
        <v>22037.651999999987</v>
      </c>
      <c r="O104" s="73">
        <f t="shared" si="12"/>
        <v>88150.608000000007</v>
      </c>
      <c r="P104" s="73">
        <f t="shared" si="13"/>
        <v>110188.26</v>
      </c>
      <c r="Q104" s="301">
        <f t="shared" si="14"/>
        <v>20495.016359999987</v>
      </c>
      <c r="R104" s="301">
        <f t="shared" si="15"/>
        <v>81980.065440000006</v>
      </c>
      <c r="S104" s="300">
        <f t="shared" si="16"/>
        <v>102475.08179999999</v>
      </c>
    </row>
    <row r="105" spans="1:19" ht="22.5" x14ac:dyDescent="0.25">
      <c r="A105" s="49"/>
      <c r="B105" s="30" t="s">
        <v>28</v>
      </c>
      <c r="C105" s="33" t="s">
        <v>153</v>
      </c>
      <c r="D105" s="111"/>
      <c r="E105" s="112"/>
      <c r="F105" s="112"/>
      <c r="G105" s="112"/>
      <c r="H105" s="257">
        <f t="shared" si="9"/>
        <v>0</v>
      </c>
      <c r="I105" s="257"/>
      <c r="J105" s="232">
        <f t="shared" si="10"/>
        <v>0</v>
      </c>
      <c r="K105" s="248"/>
      <c r="L105" s="249"/>
      <c r="M105" s="250">
        <v>0</v>
      </c>
      <c r="N105" s="99">
        <f t="shared" si="11"/>
        <v>0</v>
      </c>
      <c r="O105" s="73">
        <f t="shared" si="12"/>
        <v>0</v>
      </c>
      <c r="P105" s="73">
        <f t="shared" si="13"/>
        <v>0</v>
      </c>
      <c r="Q105" s="301">
        <f t="shared" si="14"/>
        <v>0</v>
      </c>
      <c r="R105" s="301">
        <f t="shared" si="15"/>
        <v>0</v>
      </c>
      <c r="S105" s="300">
        <f t="shared" si="16"/>
        <v>0</v>
      </c>
    </row>
    <row r="106" spans="1:19" ht="12.75" customHeight="1" x14ac:dyDescent="0.25">
      <c r="A106" s="49">
        <v>96</v>
      </c>
      <c r="B106" s="46" t="s">
        <v>114</v>
      </c>
      <c r="C106" s="33" t="s">
        <v>153</v>
      </c>
      <c r="D106" s="111">
        <v>553017.05192241073</v>
      </c>
      <c r="E106" s="112">
        <v>163693.04736903356</v>
      </c>
      <c r="F106" s="112">
        <v>654772.18947613426</v>
      </c>
      <c r="G106" s="112">
        <v>818465.23684516782</v>
      </c>
      <c r="H106" s="257">
        <f t="shared" si="9"/>
        <v>130000</v>
      </c>
      <c r="I106" s="257">
        <v>650000</v>
      </c>
      <c r="J106" s="232">
        <f t="shared" si="10"/>
        <v>780000</v>
      </c>
      <c r="K106" s="248">
        <v>168500</v>
      </c>
      <c r="L106" s="249">
        <v>491685.17621094553</v>
      </c>
      <c r="M106" s="250">
        <v>660185.17621094547</v>
      </c>
      <c r="N106" s="99">
        <f t="shared" si="11"/>
        <v>130000</v>
      </c>
      <c r="O106" s="73">
        <f t="shared" si="12"/>
        <v>491685.17621094553</v>
      </c>
      <c r="P106" s="73">
        <f t="shared" si="13"/>
        <v>621685.17621094547</v>
      </c>
      <c r="Q106" s="301">
        <f t="shared" si="14"/>
        <v>120900</v>
      </c>
      <c r="R106" s="301">
        <f t="shared" si="15"/>
        <v>457267.21387617936</v>
      </c>
      <c r="S106" s="300">
        <f t="shared" si="16"/>
        <v>578167.21387617942</v>
      </c>
    </row>
    <row r="107" spans="1:19" ht="15" x14ac:dyDescent="0.25">
      <c r="A107" s="49">
        <v>97</v>
      </c>
      <c r="B107" s="35" t="s">
        <v>457</v>
      </c>
      <c r="C107" s="33" t="s">
        <v>153</v>
      </c>
      <c r="D107" s="111">
        <v>316950.60173849092</v>
      </c>
      <c r="E107" s="112">
        <v>93817.378114593273</v>
      </c>
      <c r="F107" s="112">
        <v>375269.51245837327</v>
      </c>
      <c r="G107" s="112">
        <v>469086.89057296654</v>
      </c>
      <c r="H107" s="257">
        <f t="shared" si="9"/>
        <v>74000</v>
      </c>
      <c r="I107" s="257">
        <v>370000</v>
      </c>
      <c r="J107" s="232">
        <f t="shared" si="10"/>
        <v>444000</v>
      </c>
      <c r="K107" s="248">
        <v>319500</v>
      </c>
      <c r="L107" s="249">
        <v>281586.03554725694</v>
      </c>
      <c r="M107" s="250">
        <v>601086.03554725694</v>
      </c>
      <c r="N107" s="99">
        <f t="shared" si="11"/>
        <v>74000</v>
      </c>
      <c r="O107" s="73">
        <f t="shared" si="12"/>
        <v>281586.03554725694</v>
      </c>
      <c r="P107" s="73">
        <f t="shared" si="13"/>
        <v>355586.03554725694</v>
      </c>
      <c r="Q107" s="301">
        <f t="shared" si="14"/>
        <v>68820</v>
      </c>
      <c r="R107" s="301">
        <f t="shared" si="15"/>
        <v>261875.01305894894</v>
      </c>
      <c r="S107" s="300">
        <f t="shared" si="16"/>
        <v>330695.01305894891</v>
      </c>
    </row>
    <row r="108" spans="1:19" ht="15" x14ac:dyDescent="0.25">
      <c r="A108" s="49">
        <v>98</v>
      </c>
      <c r="B108" s="46" t="s">
        <v>119</v>
      </c>
      <c r="C108" s="33" t="s">
        <v>153</v>
      </c>
      <c r="D108" s="111">
        <v>832546.84348000004</v>
      </c>
      <c r="E108" s="112">
        <v>260433.86567007995</v>
      </c>
      <c r="F108" s="112">
        <v>1041735.4626803201</v>
      </c>
      <c r="G108" s="112">
        <v>1302169.3283504001</v>
      </c>
      <c r="H108" s="257">
        <f t="shared" si="9"/>
        <v>190000</v>
      </c>
      <c r="I108" s="257">
        <v>950000</v>
      </c>
      <c r="J108" s="232">
        <f t="shared" si="10"/>
        <v>1140000</v>
      </c>
      <c r="K108" s="248">
        <v>219500</v>
      </c>
      <c r="L108" s="249">
        <v>740466.69069720001</v>
      </c>
      <c r="M108" s="250">
        <v>959966.69069720001</v>
      </c>
      <c r="N108" s="99">
        <f t="shared" si="11"/>
        <v>190000</v>
      </c>
      <c r="O108" s="73">
        <f t="shared" si="12"/>
        <v>740466.69069720001</v>
      </c>
      <c r="P108" s="73">
        <f t="shared" si="13"/>
        <v>930466.69069720001</v>
      </c>
      <c r="Q108" s="301">
        <f t="shared" si="14"/>
        <v>176700</v>
      </c>
      <c r="R108" s="301">
        <f t="shared" si="15"/>
        <v>688634.02234839601</v>
      </c>
      <c r="S108" s="300">
        <f t="shared" si="16"/>
        <v>865334.02234839601</v>
      </c>
    </row>
    <row r="109" spans="1:19" ht="15" x14ac:dyDescent="0.25">
      <c r="A109" s="49">
        <v>99</v>
      </c>
      <c r="B109" s="46" t="s">
        <v>117</v>
      </c>
      <c r="C109" s="33" t="s">
        <v>153</v>
      </c>
      <c r="D109" s="111">
        <v>568713.6</v>
      </c>
      <c r="E109" s="112">
        <v>148339.22560000001</v>
      </c>
      <c r="F109" s="112">
        <v>593356.90240000002</v>
      </c>
      <c r="G109" s="112">
        <v>741696.12800000003</v>
      </c>
      <c r="H109" s="257">
        <f t="shared" si="9"/>
        <v>140000</v>
      </c>
      <c r="I109" s="257">
        <v>700000</v>
      </c>
      <c r="J109" s="232">
        <f t="shared" si="10"/>
        <v>840000</v>
      </c>
      <c r="K109" s="248">
        <v>157500</v>
      </c>
      <c r="L109" s="249">
        <v>595352.57971046388</v>
      </c>
      <c r="M109" s="250">
        <v>752852.57971046388</v>
      </c>
      <c r="N109" s="99">
        <f t="shared" si="11"/>
        <v>140000</v>
      </c>
      <c r="O109" s="73">
        <f t="shared" si="12"/>
        <v>593356.90240000002</v>
      </c>
      <c r="P109" s="73">
        <f t="shared" si="13"/>
        <v>733356.90240000002</v>
      </c>
      <c r="Q109" s="301">
        <f t="shared" si="14"/>
        <v>130200</v>
      </c>
      <c r="R109" s="301">
        <f t="shared" si="15"/>
        <v>551821.91923200001</v>
      </c>
      <c r="S109" s="300">
        <f t="shared" si="16"/>
        <v>682021.91923200001</v>
      </c>
    </row>
    <row r="110" spans="1:19" ht="15" x14ac:dyDescent="0.25">
      <c r="A110" s="49">
        <v>100</v>
      </c>
      <c r="B110" s="46" t="s">
        <v>377</v>
      </c>
      <c r="C110" s="33" t="s">
        <v>153</v>
      </c>
      <c r="D110" s="111">
        <v>73458.84</v>
      </c>
      <c r="E110" s="112">
        <v>22037.651999999987</v>
      </c>
      <c r="F110" s="112">
        <v>88150.608000000007</v>
      </c>
      <c r="G110" s="112">
        <v>110188.26</v>
      </c>
      <c r="H110" s="257">
        <f t="shared" si="9"/>
        <v>18000</v>
      </c>
      <c r="I110" s="257">
        <v>90000</v>
      </c>
      <c r="J110" s="232">
        <f t="shared" si="10"/>
        <v>108000</v>
      </c>
      <c r="K110" s="248">
        <v>194500</v>
      </c>
      <c r="L110" s="249">
        <v>159700</v>
      </c>
      <c r="M110" s="250">
        <v>354200</v>
      </c>
      <c r="N110" s="99">
        <f t="shared" si="11"/>
        <v>18000</v>
      </c>
      <c r="O110" s="73">
        <f t="shared" si="12"/>
        <v>88150.608000000007</v>
      </c>
      <c r="P110" s="73">
        <f t="shared" si="13"/>
        <v>106150.60800000001</v>
      </c>
      <c r="Q110" s="301">
        <f t="shared" si="14"/>
        <v>16740</v>
      </c>
      <c r="R110" s="301">
        <f t="shared" si="15"/>
        <v>81980.065440000006</v>
      </c>
      <c r="S110" s="300">
        <f t="shared" si="16"/>
        <v>98720.065440000006</v>
      </c>
    </row>
    <row r="111" spans="1:19" ht="22.5" x14ac:dyDescent="0.25">
      <c r="A111" s="49"/>
      <c r="B111" s="30" t="s">
        <v>35</v>
      </c>
      <c r="C111" s="33" t="s">
        <v>153</v>
      </c>
      <c r="D111" s="111"/>
      <c r="E111" s="112"/>
      <c r="F111" s="112"/>
      <c r="G111" s="112"/>
      <c r="H111" s="257">
        <f t="shared" si="9"/>
        <v>0</v>
      </c>
      <c r="I111" s="257"/>
      <c r="J111" s="232">
        <f t="shared" si="10"/>
        <v>0</v>
      </c>
      <c r="K111" s="248"/>
      <c r="L111" s="249"/>
      <c r="M111" s="250">
        <v>0</v>
      </c>
      <c r="N111" s="99">
        <f t="shared" si="11"/>
        <v>0</v>
      </c>
      <c r="O111" s="73">
        <f t="shared" si="12"/>
        <v>0</v>
      </c>
      <c r="P111" s="73">
        <f t="shared" si="13"/>
        <v>0</v>
      </c>
      <c r="Q111" s="301">
        <f t="shared" si="14"/>
        <v>0</v>
      </c>
      <c r="R111" s="301">
        <f t="shared" si="15"/>
        <v>0</v>
      </c>
      <c r="S111" s="300">
        <f t="shared" si="16"/>
        <v>0</v>
      </c>
    </row>
    <row r="112" spans="1:19" ht="15" x14ac:dyDescent="0.25">
      <c r="A112" s="49">
        <v>101</v>
      </c>
      <c r="B112" s="46" t="s">
        <v>30</v>
      </c>
      <c r="C112" s="33" t="s">
        <v>153</v>
      </c>
      <c r="D112" s="111">
        <v>45586.846363069766</v>
      </c>
      <c r="E112" s="112">
        <v>3676.0539089209196</v>
      </c>
      <c r="F112" s="112">
        <v>14704.215635683679</v>
      </c>
      <c r="G112" s="112">
        <v>18380.269544604598</v>
      </c>
      <c r="H112" s="257">
        <f t="shared" si="9"/>
        <v>3600</v>
      </c>
      <c r="I112" s="257">
        <v>18000</v>
      </c>
      <c r="J112" s="232">
        <f t="shared" si="10"/>
        <v>21600</v>
      </c>
      <c r="K112" s="248">
        <v>84500</v>
      </c>
      <c r="L112" s="249">
        <v>40072.293263132095</v>
      </c>
      <c r="M112" s="250">
        <v>124572.2932631321</v>
      </c>
      <c r="N112" s="99">
        <f t="shared" si="11"/>
        <v>3600</v>
      </c>
      <c r="O112" s="73">
        <f t="shared" si="12"/>
        <v>14704.215635683679</v>
      </c>
      <c r="P112" s="73">
        <f t="shared" si="13"/>
        <v>18304.215635683679</v>
      </c>
      <c r="Q112" s="301">
        <f t="shared" si="14"/>
        <v>3348</v>
      </c>
      <c r="R112" s="301">
        <f t="shared" si="15"/>
        <v>13674.92054118582</v>
      </c>
      <c r="S112" s="300">
        <f t="shared" si="16"/>
        <v>17022.92054118582</v>
      </c>
    </row>
    <row r="113" spans="1:19" ht="15" x14ac:dyDescent="0.25">
      <c r="A113" s="49">
        <v>102</v>
      </c>
      <c r="B113" s="47" t="s">
        <v>81</v>
      </c>
      <c r="C113" s="33" t="s">
        <v>153</v>
      </c>
      <c r="D113" s="134">
        <v>403965.63139522349</v>
      </c>
      <c r="E113" s="112">
        <v>99573.826892986195</v>
      </c>
      <c r="F113" s="112">
        <v>398295.30757194478</v>
      </c>
      <c r="G113" s="112">
        <v>497869.13446493098</v>
      </c>
      <c r="H113" s="257">
        <f t="shared" si="9"/>
        <v>71000</v>
      </c>
      <c r="I113" s="257">
        <v>355000</v>
      </c>
      <c r="J113" s="232">
        <f t="shared" si="10"/>
        <v>426000</v>
      </c>
      <c r="K113" s="248">
        <v>164500</v>
      </c>
      <c r="L113" s="249">
        <v>359029.41194174893</v>
      </c>
      <c r="M113" s="250">
        <v>523529.41194174893</v>
      </c>
      <c r="N113" s="99">
        <f t="shared" si="11"/>
        <v>71000</v>
      </c>
      <c r="O113" s="73">
        <f t="shared" si="12"/>
        <v>355000</v>
      </c>
      <c r="P113" s="73">
        <f t="shared" si="13"/>
        <v>426000</v>
      </c>
      <c r="Q113" s="301">
        <f t="shared" si="14"/>
        <v>66030</v>
      </c>
      <c r="R113" s="301">
        <f t="shared" si="15"/>
        <v>330150</v>
      </c>
      <c r="S113" s="300">
        <f t="shared" si="16"/>
        <v>396180</v>
      </c>
    </row>
    <row r="114" spans="1:19" ht="15" x14ac:dyDescent="0.25">
      <c r="A114" s="49">
        <v>103</v>
      </c>
      <c r="B114" s="47" t="s">
        <v>82</v>
      </c>
      <c r="C114" s="33" t="s">
        <v>153</v>
      </c>
      <c r="D114" s="111">
        <v>240223.79763773648</v>
      </c>
      <c r="E114" s="112">
        <v>73106.244100769982</v>
      </c>
      <c r="F114" s="112">
        <v>292424.97640308004</v>
      </c>
      <c r="G114" s="112">
        <v>365531.22050385003</v>
      </c>
      <c r="H114" s="257">
        <f t="shared" si="9"/>
        <v>57200</v>
      </c>
      <c r="I114" s="257">
        <v>286000</v>
      </c>
      <c r="J114" s="232">
        <f t="shared" si="10"/>
        <v>343200</v>
      </c>
      <c r="K114" s="248">
        <v>134500</v>
      </c>
      <c r="L114" s="249">
        <v>213299.17989758548</v>
      </c>
      <c r="M114" s="250">
        <v>347799.17989758548</v>
      </c>
      <c r="N114" s="99">
        <f t="shared" si="11"/>
        <v>57200</v>
      </c>
      <c r="O114" s="73">
        <f t="shared" si="12"/>
        <v>213299.17989758548</v>
      </c>
      <c r="P114" s="73">
        <f t="shared" si="13"/>
        <v>270499.17989758548</v>
      </c>
      <c r="Q114" s="301">
        <f t="shared" si="14"/>
        <v>53196</v>
      </c>
      <c r="R114" s="301">
        <f t="shared" si="15"/>
        <v>198368.2373047545</v>
      </c>
      <c r="S114" s="300">
        <f t="shared" si="16"/>
        <v>251564.2373047545</v>
      </c>
    </row>
    <row r="115" spans="1:19" ht="15" x14ac:dyDescent="0.25">
      <c r="A115" s="49">
        <v>104</v>
      </c>
      <c r="B115" s="47" t="s">
        <v>328</v>
      </c>
      <c r="C115" s="33" t="s">
        <v>153</v>
      </c>
      <c r="D115" s="111">
        <v>303295.82315056905</v>
      </c>
      <c r="E115" s="112">
        <v>121775.56365256838</v>
      </c>
      <c r="F115" s="112">
        <v>487102.25461027364</v>
      </c>
      <c r="G115" s="112">
        <v>608877.81826284202</v>
      </c>
      <c r="H115" s="257">
        <f t="shared" si="9"/>
        <v>78000</v>
      </c>
      <c r="I115" s="257">
        <v>390000</v>
      </c>
      <c r="J115" s="232">
        <f t="shared" si="10"/>
        <v>468000</v>
      </c>
      <c r="K115" s="248">
        <v>219500</v>
      </c>
      <c r="L115" s="249">
        <v>269433.28260400647</v>
      </c>
      <c r="M115" s="250">
        <v>488933.28260400647</v>
      </c>
      <c r="N115" s="99">
        <f t="shared" si="11"/>
        <v>78000</v>
      </c>
      <c r="O115" s="73">
        <f t="shared" si="12"/>
        <v>269433.28260400647</v>
      </c>
      <c r="P115" s="73">
        <f t="shared" si="13"/>
        <v>347433.28260400647</v>
      </c>
      <c r="Q115" s="301">
        <f t="shared" si="14"/>
        <v>72540</v>
      </c>
      <c r="R115" s="301">
        <f t="shared" si="15"/>
        <v>250572.95282172601</v>
      </c>
      <c r="S115" s="300">
        <f t="shared" si="16"/>
        <v>323112.95282172598</v>
      </c>
    </row>
    <row r="116" spans="1:19" ht="15" x14ac:dyDescent="0.25">
      <c r="A116" s="49">
        <v>105</v>
      </c>
      <c r="B116" s="37" t="s">
        <v>199</v>
      </c>
      <c r="C116" s="33" t="s">
        <v>153</v>
      </c>
      <c r="D116" s="111">
        <v>106633.8</v>
      </c>
      <c r="E116" s="112">
        <v>31563.604800000001</v>
      </c>
      <c r="F116" s="112">
        <v>126254.4192</v>
      </c>
      <c r="G116" s="112">
        <v>157818.024</v>
      </c>
      <c r="H116" s="257">
        <f t="shared" si="9"/>
        <v>26000</v>
      </c>
      <c r="I116" s="257">
        <v>130000</v>
      </c>
      <c r="J116" s="232">
        <f t="shared" si="10"/>
        <v>156000</v>
      </c>
      <c r="K116" s="248">
        <v>107500</v>
      </c>
      <c r="L116" s="249">
        <v>102183.83741547157</v>
      </c>
      <c r="M116" s="250">
        <v>209683.83741547156</v>
      </c>
      <c r="N116" s="99">
        <f t="shared" si="11"/>
        <v>26000</v>
      </c>
      <c r="O116" s="73">
        <f t="shared" si="12"/>
        <v>102183.83741547157</v>
      </c>
      <c r="P116" s="73">
        <f t="shared" si="13"/>
        <v>128183.83741547157</v>
      </c>
      <c r="Q116" s="301">
        <f t="shared" si="14"/>
        <v>24180</v>
      </c>
      <c r="R116" s="301">
        <f t="shared" si="15"/>
        <v>95030.968796388566</v>
      </c>
      <c r="S116" s="300">
        <f t="shared" si="16"/>
        <v>119210.96879638857</v>
      </c>
    </row>
    <row r="117" spans="1:19" ht="15" x14ac:dyDescent="0.25">
      <c r="A117" s="49">
        <v>106</v>
      </c>
      <c r="B117" s="46" t="s">
        <v>327</v>
      </c>
      <c r="C117" s="33" t="s">
        <v>153</v>
      </c>
      <c r="D117" s="111">
        <v>378978.11715095211</v>
      </c>
      <c r="E117" s="112">
        <v>130177.52267668175</v>
      </c>
      <c r="F117" s="112">
        <v>520710.09070672723</v>
      </c>
      <c r="G117" s="112">
        <v>650887.61338340899</v>
      </c>
      <c r="H117" s="257">
        <f t="shared" si="9"/>
        <v>92000</v>
      </c>
      <c r="I117" s="257">
        <v>460000</v>
      </c>
      <c r="J117" s="232">
        <f t="shared" si="10"/>
        <v>552000</v>
      </c>
      <c r="K117" s="248">
        <v>184500</v>
      </c>
      <c r="L117" s="249">
        <v>336790.52426434739</v>
      </c>
      <c r="M117" s="250">
        <v>521290.52426434739</v>
      </c>
      <c r="N117" s="99">
        <f t="shared" si="11"/>
        <v>92000</v>
      </c>
      <c r="O117" s="73">
        <f t="shared" si="12"/>
        <v>336790.52426434739</v>
      </c>
      <c r="P117" s="73">
        <f t="shared" si="13"/>
        <v>428790.52426434739</v>
      </c>
      <c r="Q117" s="301">
        <f t="shared" si="14"/>
        <v>85560</v>
      </c>
      <c r="R117" s="301">
        <f t="shared" si="15"/>
        <v>313215.18756584305</v>
      </c>
      <c r="S117" s="300">
        <f t="shared" si="16"/>
        <v>398775.18756584305</v>
      </c>
    </row>
    <row r="118" spans="1:19" ht="15" x14ac:dyDescent="0.25">
      <c r="A118" s="49">
        <v>107</v>
      </c>
      <c r="B118" s="37" t="s">
        <v>200</v>
      </c>
      <c r="C118" s="33" t="s">
        <v>153</v>
      </c>
      <c r="D118" s="111">
        <v>106633.8</v>
      </c>
      <c r="E118" s="112">
        <v>31563.604800000001</v>
      </c>
      <c r="F118" s="112">
        <v>126254.4192</v>
      </c>
      <c r="G118" s="112">
        <v>157818.024</v>
      </c>
      <c r="H118" s="257">
        <f t="shared" si="9"/>
        <v>26000</v>
      </c>
      <c r="I118" s="257">
        <v>130000</v>
      </c>
      <c r="J118" s="232">
        <f t="shared" si="10"/>
        <v>156000</v>
      </c>
      <c r="K118" s="248">
        <v>127500</v>
      </c>
      <c r="L118" s="249">
        <v>102183.83741547157</v>
      </c>
      <c r="M118" s="250">
        <v>229683.83741547156</v>
      </c>
      <c r="N118" s="99">
        <f t="shared" si="11"/>
        <v>26000</v>
      </c>
      <c r="O118" s="73">
        <f t="shared" si="12"/>
        <v>102183.83741547157</v>
      </c>
      <c r="P118" s="73">
        <f t="shared" si="13"/>
        <v>128183.83741547157</v>
      </c>
      <c r="Q118" s="301">
        <f t="shared" si="14"/>
        <v>24180</v>
      </c>
      <c r="R118" s="301">
        <f t="shared" si="15"/>
        <v>95030.968796388566</v>
      </c>
      <c r="S118" s="300">
        <f t="shared" si="16"/>
        <v>119210.96879638857</v>
      </c>
    </row>
    <row r="119" spans="1:19" ht="15" x14ac:dyDescent="0.25">
      <c r="A119" s="49">
        <v>108</v>
      </c>
      <c r="B119" s="46" t="s">
        <v>36</v>
      </c>
      <c r="C119" s="33" t="s">
        <v>153</v>
      </c>
      <c r="D119" s="111">
        <v>928065.75009417499</v>
      </c>
      <c r="E119" s="112">
        <v>214707.46202787594</v>
      </c>
      <c r="F119" s="112">
        <v>858829.84811150399</v>
      </c>
      <c r="G119" s="112">
        <v>1073537.3101393799</v>
      </c>
      <c r="H119" s="257">
        <f t="shared" si="9"/>
        <v>200000</v>
      </c>
      <c r="I119" s="257">
        <v>1000000</v>
      </c>
      <c r="J119" s="232">
        <f t="shared" si="10"/>
        <v>1200000</v>
      </c>
      <c r="K119" s="248">
        <v>179500</v>
      </c>
      <c r="L119" s="249">
        <v>825478.51758381573</v>
      </c>
      <c r="M119" s="250">
        <v>1004978.5175838157</v>
      </c>
      <c r="N119" s="99">
        <f t="shared" si="11"/>
        <v>179500</v>
      </c>
      <c r="O119" s="73">
        <f t="shared" si="12"/>
        <v>825478.51758381573</v>
      </c>
      <c r="P119" s="73">
        <f t="shared" si="13"/>
        <v>1004978.5175838157</v>
      </c>
      <c r="Q119" s="301">
        <f t="shared" si="14"/>
        <v>166935</v>
      </c>
      <c r="R119" s="301">
        <f t="shared" si="15"/>
        <v>767695.02135294862</v>
      </c>
      <c r="S119" s="300">
        <f t="shared" si="16"/>
        <v>934630.02135294862</v>
      </c>
    </row>
    <row r="120" spans="1:19" ht="15" x14ac:dyDescent="0.25">
      <c r="A120" s="49">
        <v>109</v>
      </c>
      <c r="B120" s="35" t="s">
        <v>201</v>
      </c>
      <c r="C120" s="33" t="s">
        <v>153</v>
      </c>
      <c r="D120" s="111">
        <v>437298.98738503241</v>
      </c>
      <c r="E120" s="112">
        <v>89440.500265969604</v>
      </c>
      <c r="F120" s="112">
        <v>357762.00106387842</v>
      </c>
      <c r="G120" s="112">
        <v>447202.50132984802</v>
      </c>
      <c r="H120" s="257">
        <f t="shared" si="9"/>
        <v>88000</v>
      </c>
      <c r="I120" s="257">
        <v>440000</v>
      </c>
      <c r="J120" s="232">
        <f t="shared" si="10"/>
        <v>528000</v>
      </c>
      <c r="K120" s="248">
        <v>279500</v>
      </c>
      <c r="L120" s="249">
        <v>388696.09877267882</v>
      </c>
      <c r="M120" s="250">
        <v>668196.09877267876</v>
      </c>
      <c r="N120" s="99">
        <f t="shared" si="11"/>
        <v>88000</v>
      </c>
      <c r="O120" s="73">
        <f t="shared" si="12"/>
        <v>357762.00106387842</v>
      </c>
      <c r="P120" s="73">
        <f t="shared" si="13"/>
        <v>445762.00106387842</v>
      </c>
      <c r="Q120" s="301">
        <f t="shared" si="14"/>
        <v>81840</v>
      </c>
      <c r="R120" s="301">
        <f t="shared" si="15"/>
        <v>332718.66098940693</v>
      </c>
      <c r="S120" s="300">
        <f t="shared" si="16"/>
        <v>414558.66098940693</v>
      </c>
    </row>
    <row r="121" spans="1:19" ht="15" x14ac:dyDescent="0.25">
      <c r="A121" s="49">
        <v>110</v>
      </c>
      <c r="B121" s="46" t="s">
        <v>316</v>
      </c>
      <c r="C121" s="33" t="s">
        <v>153</v>
      </c>
      <c r="D121" s="111">
        <v>225115.8</v>
      </c>
      <c r="E121" s="112">
        <v>66634.276799999992</v>
      </c>
      <c r="F121" s="112">
        <v>266537.10719999997</v>
      </c>
      <c r="G121" s="112">
        <v>333171.38399999996</v>
      </c>
      <c r="H121" s="257">
        <f t="shared" si="9"/>
        <v>56000</v>
      </c>
      <c r="I121" s="257">
        <v>280000</v>
      </c>
      <c r="J121" s="232">
        <f t="shared" si="10"/>
        <v>336000</v>
      </c>
      <c r="K121" s="248">
        <v>184500</v>
      </c>
      <c r="L121" s="249">
        <v>233286.62110935085</v>
      </c>
      <c r="M121" s="250">
        <v>417786.62110935082</v>
      </c>
      <c r="N121" s="99">
        <f t="shared" si="11"/>
        <v>56000</v>
      </c>
      <c r="O121" s="73">
        <f t="shared" si="12"/>
        <v>233286.62110935085</v>
      </c>
      <c r="P121" s="73">
        <f t="shared" si="13"/>
        <v>289286.62110935082</v>
      </c>
      <c r="Q121" s="301">
        <f t="shared" si="14"/>
        <v>52080</v>
      </c>
      <c r="R121" s="301">
        <f t="shared" si="15"/>
        <v>216956.55763169628</v>
      </c>
      <c r="S121" s="300">
        <f t="shared" si="16"/>
        <v>269036.55763169628</v>
      </c>
    </row>
    <row r="122" spans="1:19" ht="15" x14ac:dyDescent="0.25">
      <c r="A122" s="49">
        <v>111</v>
      </c>
      <c r="B122" s="37" t="s">
        <v>202</v>
      </c>
      <c r="C122" s="33" t="s">
        <v>153</v>
      </c>
      <c r="D122" s="111">
        <v>165874.79999999999</v>
      </c>
      <c r="E122" s="112">
        <v>38980.940799999982</v>
      </c>
      <c r="F122" s="112">
        <v>155923.76320000002</v>
      </c>
      <c r="G122" s="112">
        <v>194904.704</v>
      </c>
      <c r="H122" s="257">
        <f t="shared" si="9"/>
        <v>39000</v>
      </c>
      <c r="I122" s="257">
        <v>195000</v>
      </c>
      <c r="J122" s="232">
        <f t="shared" si="10"/>
        <v>234000</v>
      </c>
      <c r="K122" s="248">
        <v>134500</v>
      </c>
      <c r="L122" s="249">
        <v>179667.64388102232</v>
      </c>
      <c r="M122" s="250">
        <v>314167.64388102235</v>
      </c>
      <c r="N122" s="99">
        <f t="shared" si="11"/>
        <v>38980.940799999982</v>
      </c>
      <c r="O122" s="73">
        <f t="shared" si="12"/>
        <v>155923.76320000002</v>
      </c>
      <c r="P122" s="73">
        <f t="shared" si="13"/>
        <v>194904.704</v>
      </c>
      <c r="Q122" s="301">
        <f t="shared" si="14"/>
        <v>36252.274943999982</v>
      </c>
      <c r="R122" s="301">
        <f t="shared" si="15"/>
        <v>145009.09977600002</v>
      </c>
      <c r="S122" s="300">
        <f t="shared" si="16"/>
        <v>181261.37471999999</v>
      </c>
    </row>
    <row r="123" spans="1:19" ht="15" x14ac:dyDescent="0.25">
      <c r="A123" s="49">
        <v>112</v>
      </c>
      <c r="B123" s="37" t="s">
        <v>271</v>
      </c>
      <c r="C123" s="33" t="s">
        <v>153</v>
      </c>
      <c r="D123" s="111">
        <v>280000</v>
      </c>
      <c r="E123" s="112">
        <v>82880</v>
      </c>
      <c r="F123" s="112">
        <v>331520</v>
      </c>
      <c r="G123" s="112">
        <v>414400</v>
      </c>
      <c r="H123" s="257">
        <f t="shared" si="9"/>
        <v>51000</v>
      </c>
      <c r="I123" s="257">
        <v>255000</v>
      </c>
      <c r="J123" s="232">
        <f t="shared" si="10"/>
        <v>306000</v>
      </c>
      <c r="K123" s="248">
        <v>164500</v>
      </c>
      <c r="L123" s="249">
        <v>248700</v>
      </c>
      <c r="M123" s="250">
        <v>413200</v>
      </c>
      <c r="N123" s="99">
        <f t="shared" si="11"/>
        <v>51000</v>
      </c>
      <c r="O123" s="73">
        <f t="shared" si="12"/>
        <v>248700</v>
      </c>
      <c r="P123" s="73">
        <f t="shared" si="13"/>
        <v>299700</v>
      </c>
      <c r="Q123" s="301">
        <f t="shared" si="14"/>
        <v>47430</v>
      </c>
      <c r="R123" s="301">
        <f t="shared" si="15"/>
        <v>231291</v>
      </c>
      <c r="S123" s="300">
        <f t="shared" si="16"/>
        <v>278721</v>
      </c>
    </row>
    <row r="124" spans="1:19" ht="15" x14ac:dyDescent="0.25">
      <c r="A124" s="49">
        <v>113</v>
      </c>
      <c r="B124" s="37" t="s">
        <v>203</v>
      </c>
      <c r="C124" s="33" t="s">
        <v>153</v>
      </c>
      <c r="D124" s="111">
        <v>213267.6</v>
      </c>
      <c r="E124" s="112">
        <v>63127.209600000002</v>
      </c>
      <c r="F124" s="112">
        <v>252508.83840000001</v>
      </c>
      <c r="G124" s="112">
        <v>315636.04800000001</v>
      </c>
      <c r="H124" s="257">
        <f t="shared" si="9"/>
        <v>51000</v>
      </c>
      <c r="I124" s="257">
        <v>255000</v>
      </c>
      <c r="J124" s="232">
        <f t="shared" si="10"/>
        <v>306000</v>
      </c>
      <c r="K124" s="248">
        <v>144500</v>
      </c>
      <c r="L124" s="249">
        <v>192700.6236855193</v>
      </c>
      <c r="M124" s="250">
        <v>337200.62368551933</v>
      </c>
      <c r="N124" s="99">
        <f t="shared" si="11"/>
        <v>51000</v>
      </c>
      <c r="O124" s="73">
        <f t="shared" si="12"/>
        <v>192700.6236855193</v>
      </c>
      <c r="P124" s="73">
        <f t="shared" si="13"/>
        <v>243700.6236855193</v>
      </c>
      <c r="Q124" s="301">
        <f t="shared" si="14"/>
        <v>47430</v>
      </c>
      <c r="R124" s="301">
        <f t="shared" si="15"/>
        <v>179211.58002753294</v>
      </c>
      <c r="S124" s="300">
        <f t="shared" si="16"/>
        <v>226641.58002753294</v>
      </c>
    </row>
    <row r="125" spans="1:19" ht="15" x14ac:dyDescent="0.25">
      <c r="A125" s="49">
        <v>114</v>
      </c>
      <c r="B125" s="35" t="s">
        <v>204</v>
      </c>
      <c r="C125" s="33" t="s">
        <v>153</v>
      </c>
      <c r="D125" s="111">
        <v>213267.6</v>
      </c>
      <c r="E125" s="112">
        <v>63127.209600000002</v>
      </c>
      <c r="F125" s="112">
        <v>252508.83840000001</v>
      </c>
      <c r="G125" s="112">
        <v>315636.04800000001</v>
      </c>
      <c r="H125" s="257">
        <f t="shared" si="9"/>
        <v>54000</v>
      </c>
      <c r="I125" s="257">
        <v>270000</v>
      </c>
      <c r="J125" s="232">
        <f t="shared" si="10"/>
        <v>324000</v>
      </c>
      <c r="K125" s="248">
        <v>144500</v>
      </c>
      <c r="L125" s="249">
        <v>222000</v>
      </c>
      <c r="M125" s="250">
        <v>366500</v>
      </c>
      <c r="N125" s="99">
        <f t="shared" si="11"/>
        <v>54000</v>
      </c>
      <c r="O125" s="73">
        <f t="shared" si="12"/>
        <v>222000</v>
      </c>
      <c r="P125" s="73">
        <f t="shared" si="13"/>
        <v>276000</v>
      </c>
      <c r="Q125" s="301">
        <f t="shared" si="14"/>
        <v>50220</v>
      </c>
      <c r="R125" s="301">
        <f t="shared" si="15"/>
        <v>206460</v>
      </c>
      <c r="S125" s="300">
        <f t="shared" si="16"/>
        <v>256680</v>
      </c>
    </row>
    <row r="126" spans="1:19" ht="15" x14ac:dyDescent="0.25">
      <c r="A126" s="49">
        <v>115</v>
      </c>
      <c r="B126" s="35" t="s">
        <v>206</v>
      </c>
      <c r="C126" s="33" t="s">
        <v>153</v>
      </c>
      <c r="D126" s="111">
        <v>187959.77748023527</v>
      </c>
      <c r="E126" s="112">
        <v>55636.094134149636</v>
      </c>
      <c r="F126" s="112">
        <v>222544.37653659857</v>
      </c>
      <c r="G126" s="112">
        <v>278180.47067074821</v>
      </c>
      <c r="H126" s="257">
        <f t="shared" si="9"/>
        <v>40000</v>
      </c>
      <c r="I126" s="257">
        <v>200000</v>
      </c>
      <c r="J126" s="232">
        <f t="shared" si="10"/>
        <v>240000</v>
      </c>
      <c r="K126" s="248">
        <v>134500</v>
      </c>
      <c r="L126" s="249">
        <v>166784.20195740939</v>
      </c>
      <c r="M126" s="250">
        <v>301284.20195740939</v>
      </c>
      <c r="N126" s="99">
        <f t="shared" si="11"/>
        <v>40000</v>
      </c>
      <c r="O126" s="73">
        <f t="shared" si="12"/>
        <v>166784.20195740939</v>
      </c>
      <c r="P126" s="73">
        <f t="shared" si="13"/>
        <v>206784.20195740939</v>
      </c>
      <c r="Q126" s="301">
        <f t="shared" si="14"/>
        <v>37200</v>
      </c>
      <c r="R126" s="301">
        <f t="shared" si="15"/>
        <v>155109.30782039074</v>
      </c>
      <c r="S126" s="300">
        <f t="shared" si="16"/>
        <v>192309.30782039074</v>
      </c>
    </row>
    <row r="127" spans="1:19" ht="15" x14ac:dyDescent="0.25">
      <c r="A127" s="49">
        <v>116</v>
      </c>
      <c r="B127" s="35" t="s">
        <v>205</v>
      </c>
      <c r="C127" s="33" t="s">
        <v>153</v>
      </c>
      <c r="D127" s="111">
        <v>170000</v>
      </c>
      <c r="E127" s="112">
        <v>36320</v>
      </c>
      <c r="F127" s="112">
        <v>145280</v>
      </c>
      <c r="G127" s="112">
        <v>181600</v>
      </c>
      <c r="H127" s="257">
        <f t="shared" si="9"/>
        <v>36000</v>
      </c>
      <c r="I127" s="257">
        <v>180000</v>
      </c>
      <c r="J127" s="232">
        <f t="shared" si="10"/>
        <v>216000</v>
      </c>
      <c r="K127" s="248">
        <v>164500</v>
      </c>
      <c r="L127" s="249">
        <v>150800</v>
      </c>
      <c r="M127" s="250">
        <v>315300</v>
      </c>
      <c r="N127" s="99">
        <f t="shared" si="11"/>
        <v>36000</v>
      </c>
      <c r="O127" s="73">
        <f t="shared" si="12"/>
        <v>145280</v>
      </c>
      <c r="P127" s="73">
        <f t="shared" si="13"/>
        <v>181280</v>
      </c>
      <c r="Q127" s="301">
        <f t="shared" si="14"/>
        <v>33480</v>
      </c>
      <c r="R127" s="301">
        <f t="shared" si="15"/>
        <v>135110.39999999999</v>
      </c>
      <c r="S127" s="300">
        <f t="shared" si="16"/>
        <v>168590.4</v>
      </c>
    </row>
    <row r="128" spans="1:19" ht="15" x14ac:dyDescent="0.25">
      <c r="A128" s="49">
        <v>117</v>
      </c>
      <c r="B128" s="46" t="s">
        <v>37</v>
      </c>
      <c r="C128" s="33" t="s">
        <v>153</v>
      </c>
      <c r="D128" s="111">
        <v>110710.91259602658</v>
      </c>
      <c r="E128" s="112">
        <v>32770.430128423875</v>
      </c>
      <c r="F128" s="112">
        <v>131081.72051369547</v>
      </c>
      <c r="G128" s="112">
        <v>163852.15064211935</v>
      </c>
      <c r="H128" s="257">
        <f t="shared" si="9"/>
        <v>26000</v>
      </c>
      <c r="I128" s="257">
        <v>130000</v>
      </c>
      <c r="J128" s="232">
        <f t="shared" si="10"/>
        <v>156000</v>
      </c>
      <c r="K128" s="248">
        <v>134500</v>
      </c>
      <c r="L128" s="249">
        <v>98032.712210463651</v>
      </c>
      <c r="M128" s="250">
        <v>232532.71221046365</v>
      </c>
      <c r="N128" s="99">
        <f t="shared" si="11"/>
        <v>26000</v>
      </c>
      <c r="O128" s="73">
        <f t="shared" si="12"/>
        <v>98032.712210463651</v>
      </c>
      <c r="P128" s="73">
        <f t="shared" si="13"/>
        <v>124032.71221046365</v>
      </c>
      <c r="Q128" s="301">
        <f t="shared" si="14"/>
        <v>24180</v>
      </c>
      <c r="R128" s="301">
        <f t="shared" si="15"/>
        <v>91170.422355731193</v>
      </c>
      <c r="S128" s="300">
        <f t="shared" si="16"/>
        <v>115350.42235573119</v>
      </c>
    </row>
    <row r="129" spans="1:19" ht="15" x14ac:dyDescent="0.25">
      <c r="A129" s="49">
        <v>118</v>
      </c>
      <c r="B129" s="46" t="s">
        <v>337</v>
      </c>
      <c r="C129" s="33" t="s">
        <v>153</v>
      </c>
      <c r="D129" s="111">
        <v>345858.28598733776</v>
      </c>
      <c r="E129" s="112">
        <v>82374.052652251965</v>
      </c>
      <c r="F129" s="112">
        <v>329496.21060900803</v>
      </c>
      <c r="G129" s="112">
        <v>411870.26326126</v>
      </c>
      <c r="H129" s="257">
        <f t="shared" si="9"/>
        <v>77800</v>
      </c>
      <c r="I129" s="257">
        <v>389000</v>
      </c>
      <c r="J129" s="232">
        <f t="shared" si="10"/>
        <v>466800</v>
      </c>
      <c r="K129" s="248">
        <v>144500</v>
      </c>
      <c r="L129" s="249">
        <v>307313.87452873064</v>
      </c>
      <c r="M129" s="250">
        <v>451813.87452873064</v>
      </c>
      <c r="N129" s="99">
        <f t="shared" si="11"/>
        <v>77800</v>
      </c>
      <c r="O129" s="73">
        <f t="shared" si="12"/>
        <v>307313.87452873064</v>
      </c>
      <c r="P129" s="73">
        <f t="shared" si="13"/>
        <v>385113.87452873064</v>
      </c>
      <c r="Q129" s="301">
        <f t="shared" si="14"/>
        <v>72354</v>
      </c>
      <c r="R129" s="301">
        <f t="shared" si="15"/>
        <v>285801.90331171948</v>
      </c>
      <c r="S129" s="300">
        <f t="shared" si="16"/>
        <v>358155.90331171948</v>
      </c>
    </row>
    <row r="130" spans="1:19" ht="15" x14ac:dyDescent="0.25">
      <c r="A130" s="49">
        <v>119</v>
      </c>
      <c r="B130" s="38" t="s">
        <v>207</v>
      </c>
      <c r="C130" s="33" t="s">
        <v>153</v>
      </c>
      <c r="D130" s="111">
        <v>82643.990002398525</v>
      </c>
      <c r="E130" s="112">
        <v>24793.197000719549</v>
      </c>
      <c r="F130" s="112">
        <v>99172.788002878238</v>
      </c>
      <c r="G130" s="112">
        <v>123965.98500359779</v>
      </c>
      <c r="H130" s="257">
        <f t="shared" si="9"/>
        <v>13200</v>
      </c>
      <c r="I130" s="257">
        <v>66000</v>
      </c>
      <c r="J130" s="232">
        <f t="shared" si="10"/>
        <v>79200</v>
      </c>
      <c r="K130" s="248">
        <v>184500</v>
      </c>
      <c r="L130" s="249">
        <v>73053.151102134681</v>
      </c>
      <c r="M130" s="250">
        <v>257553.15110213467</v>
      </c>
      <c r="N130" s="99">
        <f t="shared" si="11"/>
        <v>13200</v>
      </c>
      <c r="O130" s="73">
        <f t="shared" si="12"/>
        <v>66000</v>
      </c>
      <c r="P130" s="73">
        <f t="shared" si="13"/>
        <v>79200</v>
      </c>
      <c r="Q130" s="301">
        <f t="shared" si="14"/>
        <v>12276</v>
      </c>
      <c r="R130" s="301">
        <f t="shared" si="15"/>
        <v>61380</v>
      </c>
      <c r="S130" s="300">
        <f t="shared" si="16"/>
        <v>73656</v>
      </c>
    </row>
    <row r="131" spans="1:19" ht="15" x14ac:dyDescent="0.25">
      <c r="A131" s="49">
        <v>120</v>
      </c>
      <c r="B131" s="38" t="s">
        <v>317</v>
      </c>
      <c r="C131" s="33" t="s">
        <v>153</v>
      </c>
      <c r="D131" s="111">
        <v>1142166.48</v>
      </c>
      <c r="E131" s="112">
        <v>258081.27807999996</v>
      </c>
      <c r="F131" s="112">
        <v>1032325.11232</v>
      </c>
      <c r="G131" s="112">
        <v>1290406.3903999999</v>
      </c>
      <c r="H131" s="257">
        <f t="shared" si="9"/>
        <v>239000</v>
      </c>
      <c r="I131" s="257">
        <v>1195000</v>
      </c>
      <c r="J131" s="232">
        <f t="shared" si="10"/>
        <v>1434000</v>
      </c>
      <c r="K131" s="248">
        <v>164500</v>
      </c>
      <c r="L131" s="249">
        <v>1423500</v>
      </c>
      <c r="M131" s="250">
        <v>1588000</v>
      </c>
      <c r="N131" s="99">
        <f t="shared" si="11"/>
        <v>164500</v>
      </c>
      <c r="O131" s="73">
        <f t="shared" si="12"/>
        <v>1032325.11232</v>
      </c>
      <c r="P131" s="73">
        <f t="shared" si="13"/>
        <v>1196825.1123199998</v>
      </c>
      <c r="Q131" s="301">
        <f t="shared" si="14"/>
        <v>152985</v>
      </c>
      <c r="R131" s="301">
        <f t="shared" si="15"/>
        <v>960062.35445759993</v>
      </c>
      <c r="S131" s="300">
        <f t="shared" si="16"/>
        <v>1113047.3544576</v>
      </c>
    </row>
    <row r="132" spans="1:19" ht="15" x14ac:dyDescent="0.25">
      <c r="A132" s="49">
        <v>121</v>
      </c>
      <c r="B132" s="38" t="s">
        <v>318</v>
      </c>
      <c r="C132" s="33" t="s">
        <v>153</v>
      </c>
      <c r="D132" s="111">
        <v>309238.02</v>
      </c>
      <c r="E132" s="112">
        <v>71534.45392</v>
      </c>
      <c r="F132" s="112">
        <v>286137.81568</v>
      </c>
      <c r="G132" s="112">
        <v>357672.2696</v>
      </c>
      <c r="H132" s="257">
        <f t="shared" si="9"/>
        <v>72000</v>
      </c>
      <c r="I132" s="257">
        <v>360000</v>
      </c>
      <c r="J132" s="232">
        <f t="shared" si="10"/>
        <v>432000</v>
      </c>
      <c r="K132" s="248">
        <v>164500</v>
      </c>
      <c r="L132" s="249">
        <v>533500</v>
      </c>
      <c r="M132" s="250">
        <v>698000</v>
      </c>
      <c r="N132" s="99">
        <f t="shared" si="11"/>
        <v>71534.45392</v>
      </c>
      <c r="O132" s="73">
        <f t="shared" si="12"/>
        <v>286137.81568</v>
      </c>
      <c r="P132" s="73">
        <f t="shared" si="13"/>
        <v>357672.2696</v>
      </c>
      <c r="Q132" s="301">
        <f t="shared" si="14"/>
        <v>66527.042145600004</v>
      </c>
      <c r="R132" s="301">
        <f t="shared" si="15"/>
        <v>266108.16858240002</v>
      </c>
      <c r="S132" s="300">
        <f t="shared" si="16"/>
        <v>332635.21072800003</v>
      </c>
    </row>
    <row r="133" spans="1:19" ht="15" x14ac:dyDescent="0.25">
      <c r="A133" s="49">
        <v>122</v>
      </c>
      <c r="B133" s="38" t="s">
        <v>329</v>
      </c>
      <c r="C133" s="33" t="s">
        <v>153</v>
      </c>
      <c r="D133" s="111">
        <v>1900000</v>
      </c>
      <c r="E133" s="112">
        <v>551000</v>
      </c>
      <c r="F133" s="112">
        <v>2204000</v>
      </c>
      <c r="G133" s="112">
        <v>2755000</v>
      </c>
      <c r="H133" s="257">
        <f t="shared" si="9"/>
        <v>414000</v>
      </c>
      <c r="I133" s="257">
        <v>2070000</v>
      </c>
      <c r="J133" s="232">
        <f t="shared" si="10"/>
        <v>2484000</v>
      </c>
      <c r="K133" s="248">
        <v>379500</v>
      </c>
      <c r="L133" s="249">
        <v>1690500</v>
      </c>
      <c r="M133" s="250">
        <v>2070000</v>
      </c>
      <c r="N133" s="99">
        <f t="shared" si="11"/>
        <v>379500</v>
      </c>
      <c r="O133" s="73">
        <f t="shared" si="12"/>
        <v>1690500</v>
      </c>
      <c r="P133" s="73">
        <f t="shared" si="13"/>
        <v>2070000</v>
      </c>
      <c r="Q133" s="301">
        <f t="shared" si="14"/>
        <v>352935</v>
      </c>
      <c r="R133" s="301">
        <f t="shared" si="15"/>
        <v>1572165</v>
      </c>
      <c r="S133" s="300">
        <f t="shared" si="16"/>
        <v>1925100</v>
      </c>
    </row>
    <row r="134" spans="1:19" ht="22.5" x14ac:dyDescent="0.25">
      <c r="A134" s="49"/>
      <c r="B134" s="30" t="s">
        <v>39</v>
      </c>
      <c r="C134" s="33" t="s">
        <v>153</v>
      </c>
      <c r="D134" s="111"/>
      <c r="E134" s="112"/>
      <c r="F134" s="112"/>
      <c r="G134" s="112"/>
      <c r="H134" s="257">
        <f t="shared" ref="H134:H197" si="17">+I134*20%</f>
        <v>0</v>
      </c>
      <c r="I134" s="257"/>
      <c r="J134" s="232">
        <f t="shared" ref="J134:J197" si="18">+I134+H134</f>
        <v>0</v>
      </c>
      <c r="K134" s="248"/>
      <c r="L134" s="249"/>
      <c r="M134" s="250">
        <v>0</v>
      </c>
      <c r="N134" s="99">
        <f t="shared" ref="N134:N197" si="19">MIN(E134,H134,K134)</f>
        <v>0</v>
      </c>
      <c r="O134" s="73">
        <f t="shared" ref="O134:O197" si="20">MIN(F134,I134,L134)</f>
        <v>0</v>
      </c>
      <c r="P134" s="73">
        <f t="shared" ref="P134:P197" si="21">O134+N134</f>
        <v>0</v>
      </c>
      <c r="Q134" s="301">
        <f t="shared" ref="Q134:Q197" si="22">N134-(N134*7%)</f>
        <v>0</v>
      </c>
      <c r="R134" s="301">
        <f t="shared" ref="R134:R197" si="23">O134-(O134*7%)</f>
        <v>0</v>
      </c>
      <c r="S134" s="300">
        <f t="shared" ref="S134:S197" si="24">R134+Q134</f>
        <v>0</v>
      </c>
    </row>
    <row r="135" spans="1:19" ht="15" x14ac:dyDescent="0.25">
      <c r="A135" s="49">
        <v>123</v>
      </c>
      <c r="B135" s="46" t="s">
        <v>40</v>
      </c>
      <c r="C135" s="33" t="s">
        <v>153</v>
      </c>
      <c r="D135" s="111">
        <v>1794395.9589497752</v>
      </c>
      <c r="E135" s="112">
        <v>400374.828095434</v>
      </c>
      <c r="F135" s="112">
        <v>1601499.312381736</v>
      </c>
      <c r="G135" s="112">
        <v>2001874.14047717</v>
      </c>
      <c r="H135" s="257">
        <f t="shared" si="17"/>
        <v>368000</v>
      </c>
      <c r="I135" s="257">
        <v>1840000</v>
      </c>
      <c r="J135" s="232">
        <f t="shared" si="18"/>
        <v>2208000</v>
      </c>
      <c r="K135" s="248">
        <v>249500</v>
      </c>
      <c r="L135" s="249">
        <v>1596512.4034652999</v>
      </c>
      <c r="M135" s="250">
        <v>1846012.4034652999</v>
      </c>
      <c r="N135" s="99">
        <f t="shared" si="19"/>
        <v>249500</v>
      </c>
      <c r="O135" s="73">
        <f t="shared" si="20"/>
        <v>1596512.4034652999</v>
      </c>
      <c r="P135" s="73">
        <f t="shared" si="21"/>
        <v>1846012.4034652999</v>
      </c>
      <c r="Q135" s="301">
        <f t="shared" si="22"/>
        <v>232035</v>
      </c>
      <c r="R135" s="301">
        <f t="shared" si="23"/>
        <v>1484756.535222729</v>
      </c>
      <c r="S135" s="300">
        <f t="shared" si="24"/>
        <v>1716791.535222729</v>
      </c>
    </row>
    <row r="136" spans="1:19" ht="22.5" x14ac:dyDescent="0.25">
      <c r="A136" s="49">
        <v>124</v>
      </c>
      <c r="B136" s="46" t="s">
        <v>209</v>
      </c>
      <c r="C136" s="33" t="s">
        <v>153</v>
      </c>
      <c r="D136" s="111">
        <v>651651</v>
      </c>
      <c r="E136" s="112">
        <v>140880.696</v>
      </c>
      <c r="F136" s="112">
        <v>563522.78399999999</v>
      </c>
      <c r="G136" s="112">
        <v>704403.48</v>
      </c>
      <c r="H136" s="257">
        <f t="shared" si="17"/>
        <v>140000</v>
      </c>
      <c r="I136" s="257">
        <v>700000</v>
      </c>
      <c r="J136" s="232">
        <f t="shared" si="18"/>
        <v>840000</v>
      </c>
      <c r="K136" s="248">
        <v>249500</v>
      </c>
      <c r="L136" s="249">
        <v>675464.54518163321</v>
      </c>
      <c r="M136" s="250">
        <v>924964.54518163321</v>
      </c>
      <c r="N136" s="99">
        <f t="shared" si="19"/>
        <v>140000</v>
      </c>
      <c r="O136" s="73">
        <f t="shared" si="20"/>
        <v>563522.78399999999</v>
      </c>
      <c r="P136" s="73">
        <f t="shared" si="21"/>
        <v>703522.78399999999</v>
      </c>
      <c r="Q136" s="301">
        <f t="shared" si="22"/>
        <v>130200</v>
      </c>
      <c r="R136" s="301">
        <f t="shared" si="23"/>
        <v>524076.18912</v>
      </c>
      <c r="S136" s="300">
        <f t="shared" si="24"/>
        <v>654276.18912</v>
      </c>
    </row>
    <row r="137" spans="1:19" ht="12" customHeight="1" x14ac:dyDescent="0.25">
      <c r="A137" s="49">
        <v>125</v>
      </c>
      <c r="B137" s="32" t="s">
        <v>208</v>
      </c>
      <c r="C137" s="33" t="s">
        <v>153</v>
      </c>
      <c r="D137" s="111">
        <v>250000</v>
      </c>
      <c r="E137" s="112">
        <v>64000</v>
      </c>
      <c r="F137" s="112">
        <v>256000</v>
      </c>
      <c r="G137" s="112">
        <v>320000</v>
      </c>
      <c r="H137" s="257">
        <f t="shared" si="17"/>
        <v>57200</v>
      </c>
      <c r="I137" s="257">
        <v>286000</v>
      </c>
      <c r="J137" s="232">
        <f t="shared" si="18"/>
        <v>343200</v>
      </c>
      <c r="K137" s="248">
        <v>224500</v>
      </c>
      <c r="L137" s="249">
        <v>222000</v>
      </c>
      <c r="M137" s="250">
        <v>446500</v>
      </c>
      <c r="N137" s="99">
        <f t="shared" si="19"/>
        <v>57200</v>
      </c>
      <c r="O137" s="73">
        <f t="shared" si="20"/>
        <v>222000</v>
      </c>
      <c r="P137" s="73">
        <f t="shared" si="21"/>
        <v>279200</v>
      </c>
      <c r="Q137" s="301">
        <f t="shared" si="22"/>
        <v>53196</v>
      </c>
      <c r="R137" s="301">
        <f t="shared" si="23"/>
        <v>206460</v>
      </c>
      <c r="S137" s="300">
        <f t="shared" si="24"/>
        <v>259656</v>
      </c>
    </row>
    <row r="138" spans="1:19" ht="15" x14ac:dyDescent="0.25">
      <c r="A138" s="49">
        <v>126</v>
      </c>
      <c r="B138" s="46" t="s">
        <v>41</v>
      </c>
      <c r="C138" s="33" t="s">
        <v>153</v>
      </c>
      <c r="D138" s="111">
        <v>1796753.450147409</v>
      </c>
      <c r="E138" s="112">
        <v>401058.50054274802</v>
      </c>
      <c r="F138" s="112">
        <v>1604234.0021709921</v>
      </c>
      <c r="G138" s="112">
        <v>2005292.5027137401</v>
      </c>
      <c r="H138" s="257">
        <f t="shared" si="17"/>
        <v>370000</v>
      </c>
      <c r="I138" s="257">
        <v>1850000</v>
      </c>
      <c r="J138" s="232">
        <f t="shared" si="18"/>
        <v>2220000</v>
      </c>
      <c r="K138" s="248">
        <v>249500</v>
      </c>
      <c r="L138" s="249">
        <v>1598610.5706311939</v>
      </c>
      <c r="M138" s="250">
        <v>1848110.5706311939</v>
      </c>
      <c r="N138" s="99">
        <f t="shared" si="19"/>
        <v>249500</v>
      </c>
      <c r="O138" s="73">
        <f t="shared" si="20"/>
        <v>1598610.5706311939</v>
      </c>
      <c r="P138" s="73">
        <f t="shared" si="21"/>
        <v>1848110.5706311939</v>
      </c>
      <c r="Q138" s="301">
        <f t="shared" si="22"/>
        <v>232035</v>
      </c>
      <c r="R138" s="301">
        <f t="shared" si="23"/>
        <v>1486707.8306870104</v>
      </c>
      <c r="S138" s="300">
        <f t="shared" si="24"/>
        <v>1718742.8306870104</v>
      </c>
    </row>
    <row r="139" spans="1:19" ht="15" x14ac:dyDescent="0.25">
      <c r="A139" s="49">
        <v>127</v>
      </c>
      <c r="B139" s="46" t="s">
        <v>210</v>
      </c>
      <c r="C139" s="33" t="s">
        <v>153</v>
      </c>
      <c r="D139" s="111">
        <v>687195.6</v>
      </c>
      <c r="E139" s="112">
        <v>143409.89760000003</v>
      </c>
      <c r="F139" s="112">
        <v>573639.59039999999</v>
      </c>
      <c r="G139" s="112">
        <v>717049.48800000001</v>
      </c>
      <c r="H139" s="257">
        <f t="shared" si="17"/>
        <v>144000</v>
      </c>
      <c r="I139" s="257">
        <v>720000</v>
      </c>
      <c r="J139" s="232">
        <f t="shared" si="18"/>
        <v>864000</v>
      </c>
      <c r="K139" s="248">
        <v>249500</v>
      </c>
      <c r="L139" s="249">
        <v>675464.54518163321</v>
      </c>
      <c r="M139" s="250">
        <v>924964.54518163321</v>
      </c>
      <c r="N139" s="99">
        <f t="shared" si="19"/>
        <v>143409.89760000003</v>
      </c>
      <c r="O139" s="73">
        <f t="shared" si="20"/>
        <v>573639.59039999999</v>
      </c>
      <c r="P139" s="73">
        <f t="shared" si="21"/>
        <v>717049.48800000001</v>
      </c>
      <c r="Q139" s="301">
        <f t="shared" si="22"/>
        <v>133371.20476800003</v>
      </c>
      <c r="R139" s="301">
        <f t="shared" si="23"/>
        <v>533484.81907199998</v>
      </c>
      <c r="S139" s="300">
        <f t="shared" si="24"/>
        <v>666856.02384000004</v>
      </c>
    </row>
    <row r="140" spans="1:19" ht="15" x14ac:dyDescent="0.25">
      <c r="A140" s="49">
        <v>128</v>
      </c>
      <c r="B140" s="32" t="s">
        <v>212</v>
      </c>
      <c r="C140" s="33" t="s">
        <v>153</v>
      </c>
      <c r="D140" s="111">
        <v>279952.9087749804</v>
      </c>
      <c r="E140" s="112">
        <v>660866.06099793967</v>
      </c>
      <c r="F140" s="112">
        <v>2643464.2439917605</v>
      </c>
      <c r="G140" s="112">
        <v>3304330.3049897002</v>
      </c>
      <c r="H140" s="257">
        <f t="shared" si="17"/>
        <v>72000</v>
      </c>
      <c r="I140" s="257">
        <v>360000</v>
      </c>
      <c r="J140" s="232">
        <f t="shared" si="18"/>
        <v>432000</v>
      </c>
      <c r="K140" s="248">
        <v>264500</v>
      </c>
      <c r="L140" s="249">
        <v>248658.08880973255</v>
      </c>
      <c r="M140" s="250">
        <v>513158.08880973258</v>
      </c>
      <c r="N140" s="99">
        <f t="shared" si="19"/>
        <v>72000</v>
      </c>
      <c r="O140" s="73">
        <f t="shared" si="20"/>
        <v>248658.08880973255</v>
      </c>
      <c r="P140" s="73">
        <f t="shared" si="21"/>
        <v>320658.08880973258</v>
      </c>
      <c r="Q140" s="301">
        <f t="shared" si="22"/>
        <v>66960</v>
      </c>
      <c r="R140" s="301">
        <f t="shared" si="23"/>
        <v>231252.02259305128</v>
      </c>
      <c r="S140" s="300">
        <f t="shared" si="24"/>
        <v>298212.02259305131</v>
      </c>
    </row>
    <row r="141" spans="1:19" ht="11.25" customHeight="1" x14ac:dyDescent="0.25">
      <c r="A141" s="49">
        <v>129</v>
      </c>
      <c r="B141" s="32" t="s">
        <v>213</v>
      </c>
      <c r="C141" s="33" t="s">
        <v>153</v>
      </c>
      <c r="D141" s="111">
        <v>624745.7044466713</v>
      </c>
      <c r="E141" s="112">
        <v>369240.59999999986</v>
      </c>
      <c r="F141" s="112">
        <v>1476962.4000000001</v>
      </c>
      <c r="G141" s="112">
        <v>1846203</v>
      </c>
      <c r="H141" s="257">
        <f t="shared" si="17"/>
        <v>162000</v>
      </c>
      <c r="I141" s="257">
        <v>810000</v>
      </c>
      <c r="J141" s="232">
        <f t="shared" si="18"/>
        <v>972000</v>
      </c>
      <c r="K141" s="248">
        <v>649500</v>
      </c>
      <c r="L141" s="249">
        <v>555523.67695753742</v>
      </c>
      <c r="M141" s="250">
        <v>1205023.6769575374</v>
      </c>
      <c r="N141" s="99">
        <f t="shared" si="19"/>
        <v>162000</v>
      </c>
      <c r="O141" s="73">
        <f t="shared" si="20"/>
        <v>555523.67695753742</v>
      </c>
      <c r="P141" s="73">
        <f t="shared" si="21"/>
        <v>717523.67695753742</v>
      </c>
      <c r="Q141" s="301">
        <f t="shared" si="22"/>
        <v>150660</v>
      </c>
      <c r="R141" s="301">
        <f t="shared" si="23"/>
        <v>516637.01957050979</v>
      </c>
      <c r="S141" s="300">
        <f t="shared" si="24"/>
        <v>667297.01957050979</v>
      </c>
    </row>
    <row r="142" spans="1:19" ht="15" x14ac:dyDescent="0.25">
      <c r="A142" s="49">
        <v>130</v>
      </c>
      <c r="B142" s="46" t="s">
        <v>214</v>
      </c>
      <c r="C142" s="33" t="s">
        <v>153</v>
      </c>
      <c r="D142" s="111">
        <v>695057.94661973498</v>
      </c>
      <c r="E142" s="112">
        <v>170173.59999999998</v>
      </c>
      <c r="F142" s="112">
        <v>680694.4</v>
      </c>
      <c r="G142" s="112">
        <v>850868</v>
      </c>
      <c r="H142" s="257">
        <f t="shared" si="17"/>
        <v>156000</v>
      </c>
      <c r="I142" s="257">
        <v>780000</v>
      </c>
      <c r="J142" s="232">
        <f t="shared" si="18"/>
        <v>936000</v>
      </c>
      <c r="K142" s="248">
        <v>194500</v>
      </c>
      <c r="L142" s="249">
        <v>618101.57249156409</v>
      </c>
      <c r="M142" s="250">
        <v>812601.57249156409</v>
      </c>
      <c r="N142" s="99">
        <f t="shared" si="19"/>
        <v>156000</v>
      </c>
      <c r="O142" s="73">
        <f t="shared" si="20"/>
        <v>618101.57249156409</v>
      </c>
      <c r="P142" s="73">
        <f t="shared" si="21"/>
        <v>774101.57249156409</v>
      </c>
      <c r="Q142" s="301">
        <f t="shared" si="22"/>
        <v>145080</v>
      </c>
      <c r="R142" s="301">
        <f t="shared" si="23"/>
        <v>574834.46241715457</v>
      </c>
      <c r="S142" s="300">
        <f t="shared" si="24"/>
        <v>719914.46241715457</v>
      </c>
    </row>
    <row r="143" spans="1:19" ht="15" x14ac:dyDescent="0.25">
      <c r="A143" s="49">
        <v>131</v>
      </c>
      <c r="B143" s="46" t="s">
        <v>355</v>
      </c>
      <c r="C143" s="33" t="s">
        <v>153</v>
      </c>
      <c r="D143" s="111">
        <v>444953.67013005412</v>
      </c>
      <c r="E143" s="112">
        <v>131706.19999999995</v>
      </c>
      <c r="F143" s="112">
        <v>526824.80000000005</v>
      </c>
      <c r="G143" s="112">
        <v>658531</v>
      </c>
      <c r="H143" s="257">
        <f t="shared" si="17"/>
        <v>105400</v>
      </c>
      <c r="I143" s="257">
        <v>527000</v>
      </c>
      <c r="J143" s="232">
        <f t="shared" si="18"/>
        <v>632400</v>
      </c>
      <c r="K143" s="248">
        <v>164500</v>
      </c>
      <c r="L143" s="249">
        <v>395508.76641574816</v>
      </c>
      <c r="M143" s="250">
        <v>560008.76641574816</v>
      </c>
      <c r="N143" s="99">
        <f t="shared" si="19"/>
        <v>105400</v>
      </c>
      <c r="O143" s="73">
        <f t="shared" si="20"/>
        <v>395508.76641574816</v>
      </c>
      <c r="P143" s="73">
        <f t="shared" si="21"/>
        <v>500908.76641574816</v>
      </c>
      <c r="Q143" s="301">
        <f t="shared" si="22"/>
        <v>98022</v>
      </c>
      <c r="R143" s="301">
        <f t="shared" si="23"/>
        <v>367823.15276664577</v>
      </c>
      <c r="S143" s="300">
        <f t="shared" si="24"/>
        <v>465845.15276664577</v>
      </c>
    </row>
    <row r="144" spans="1:19" ht="15" x14ac:dyDescent="0.25">
      <c r="A144" s="49">
        <v>132</v>
      </c>
      <c r="B144" s="47" t="s">
        <v>242</v>
      </c>
      <c r="C144" s="33" t="s">
        <v>153</v>
      </c>
      <c r="D144" s="111">
        <v>135649.52251927508</v>
      </c>
      <c r="E144" s="112">
        <v>40152.25866570542</v>
      </c>
      <c r="F144" s="112">
        <v>160609.03466282171</v>
      </c>
      <c r="G144" s="112">
        <v>200761.29332852713</v>
      </c>
      <c r="H144" s="257">
        <f t="shared" si="17"/>
        <v>32000</v>
      </c>
      <c r="I144" s="257">
        <v>160000</v>
      </c>
      <c r="J144" s="232">
        <f t="shared" si="18"/>
        <v>192000</v>
      </c>
      <c r="K144" s="248">
        <v>124500</v>
      </c>
      <c r="L144" s="249">
        <v>120228.07504215481</v>
      </c>
      <c r="M144" s="250">
        <v>244728.07504215481</v>
      </c>
      <c r="N144" s="99">
        <f t="shared" si="19"/>
        <v>32000</v>
      </c>
      <c r="O144" s="73">
        <f t="shared" si="20"/>
        <v>120228.07504215481</v>
      </c>
      <c r="P144" s="73">
        <f t="shared" si="21"/>
        <v>152228.07504215481</v>
      </c>
      <c r="Q144" s="301">
        <f t="shared" si="22"/>
        <v>29760</v>
      </c>
      <c r="R144" s="301">
        <f t="shared" si="23"/>
        <v>111812.10978920397</v>
      </c>
      <c r="S144" s="300">
        <f t="shared" si="24"/>
        <v>141572.10978920397</v>
      </c>
    </row>
    <row r="145" spans="1:19" ht="15" x14ac:dyDescent="0.25">
      <c r="A145" s="49">
        <v>133</v>
      </c>
      <c r="B145" s="46" t="s">
        <v>215</v>
      </c>
      <c r="C145" s="33" t="s">
        <v>153</v>
      </c>
      <c r="D145" s="111">
        <v>31899</v>
      </c>
      <c r="E145" s="112">
        <v>21569.699999999997</v>
      </c>
      <c r="F145" s="112">
        <v>86278.8</v>
      </c>
      <c r="G145" s="112">
        <v>107848.5</v>
      </c>
      <c r="H145" s="257">
        <f t="shared" si="17"/>
        <v>9000</v>
      </c>
      <c r="I145" s="257">
        <v>45000</v>
      </c>
      <c r="J145" s="232">
        <f t="shared" si="18"/>
        <v>54000</v>
      </c>
      <c r="K145" s="248">
        <v>97500</v>
      </c>
      <c r="L145" s="249">
        <v>61463.77277642976</v>
      </c>
      <c r="M145" s="250">
        <v>158963.77277642977</v>
      </c>
      <c r="N145" s="99">
        <f t="shared" si="19"/>
        <v>9000</v>
      </c>
      <c r="O145" s="73">
        <f t="shared" si="20"/>
        <v>45000</v>
      </c>
      <c r="P145" s="73">
        <f t="shared" si="21"/>
        <v>54000</v>
      </c>
      <c r="Q145" s="301">
        <f t="shared" si="22"/>
        <v>8370</v>
      </c>
      <c r="R145" s="301">
        <f t="shared" si="23"/>
        <v>41850</v>
      </c>
      <c r="S145" s="300">
        <f t="shared" si="24"/>
        <v>50220</v>
      </c>
    </row>
    <row r="146" spans="1:19" ht="15" x14ac:dyDescent="0.25">
      <c r="A146" s="49">
        <v>134</v>
      </c>
      <c r="B146" s="32" t="s">
        <v>216</v>
      </c>
      <c r="C146" s="33" t="s">
        <v>153</v>
      </c>
      <c r="D146" s="111">
        <v>5175.576</v>
      </c>
      <c r="E146" s="112">
        <v>3980</v>
      </c>
      <c r="F146" s="112">
        <v>15920</v>
      </c>
      <c r="G146" s="112">
        <v>19900</v>
      </c>
      <c r="H146" s="257">
        <f t="shared" si="17"/>
        <v>1600</v>
      </c>
      <c r="I146" s="257">
        <v>8000</v>
      </c>
      <c r="J146" s="232">
        <f t="shared" si="18"/>
        <v>9600</v>
      </c>
      <c r="K146" s="248">
        <v>74500</v>
      </c>
      <c r="L146" s="249">
        <v>6937.1459053224462</v>
      </c>
      <c r="M146" s="250">
        <v>81437.145905322453</v>
      </c>
      <c r="N146" s="99">
        <f t="shared" si="19"/>
        <v>1600</v>
      </c>
      <c r="O146" s="73">
        <f t="shared" si="20"/>
        <v>6937.1459053224462</v>
      </c>
      <c r="P146" s="73">
        <f t="shared" si="21"/>
        <v>8537.1459053224462</v>
      </c>
      <c r="Q146" s="301">
        <f t="shared" si="22"/>
        <v>1488</v>
      </c>
      <c r="R146" s="301">
        <f t="shared" si="23"/>
        <v>6451.5456919498747</v>
      </c>
      <c r="S146" s="300">
        <f t="shared" si="24"/>
        <v>7939.5456919498747</v>
      </c>
    </row>
    <row r="147" spans="1:19" ht="15" x14ac:dyDescent="0.25">
      <c r="A147" s="49">
        <v>135</v>
      </c>
      <c r="B147" s="32" t="s">
        <v>217</v>
      </c>
      <c r="C147" s="33" t="s">
        <v>153</v>
      </c>
      <c r="D147" s="111">
        <v>5175.576</v>
      </c>
      <c r="E147" s="112">
        <v>3980</v>
      </c>
      <c r="F147" s="112">
        <v>15920</v>
      </c>
      <c r="G147" s="112">
        <v>19900</v>
      </c>
      <c r="H147" s="257">
        <f t="shared" si="17"/>
        <v>1600</v>
      </c>
      <c r="I147" s="257">
        <v>8000</v>
      </c>
      <c r="J147" s="232">
        <f t="shared" si="18"/>
        <v>9600</v>
      </c>
      <c r="K147" s="248">
        <v>74500</v>
      </c>
      <c r="L147" s="249">
        <v>6661.8239850843611</v>
      </c>
      <c r="M147" s="250">
        <v>81161.823985084367</v>
      </c>
      <c r="N147" s="99">
        <f t="shared" si="19"/>
        <v>1600</v>
      </c>
      <c r="O147" s="73">
        <f t="shared" si="20"/>
        <v>6661.8239850843611</v>
      </c>
      <c r="P147" s="73">
        <f t="shared" si="21"/>
        <v>8261.8239850843602</v>
      </c>
      <c r="Q147" s="301">
        <f t="shared" si="22"/>
        <v>1488</v>
      </c>
      <c r="R147" s="301">
        <f t="shared" si="23"/>
        <v>6195.4963061284561</v>
      </c>
      <c r="S147" s="300">
        <f t="shared" si="24"/>
        <v>7683.4963061284561</v>
      </c>
    </row>
    <row r="148" spans="1:19" ht="15" x14ac:dyDescent="0.25">
      <c r="A148" s="49">
        <v>136</v>
      </c>
      <c r="B148" s="32" t="s">
        <v>218</v>
      </c>
      <c r="C148" s="33" t="s">
        <v>153</v>
      </c>
      <c r="D148" s="111">
        <v>3528.49</v>
      </c>
      <c r="E148" s="112">
        <v>3980</v>
      </c>
      <c r="F148" s="112">
        <v>15920</v>
      </c>
      <c r="G148" s="112">
        <v>19900</v>
      </c>
      <c r="H148" s="257">
        <f t="shared" si="17"/>
        <v>1200</v>
      </c>
      <c r="I148" s="257">
        <v>6000</v>
      </c>
      <c r="J148" s="232">
        <f t="shared" si="18"/>
        <v>7200</v>
      </c>
      <c r="K148" s="248">
        <v>74500</v>
      </c>
      <c r="L148" s="249">
        <v>4424.8194554930815</v>
      </c>
      <c r="M148" s="250">
        <v>78924.819455493081</v>
      </c>
      <c r="N148" s="99">
        <f t="shared" si="19"/>
        <v>1200</v>
      </c>
      <c r="O148" s="73">
        <f t="shared" si="20"/>
        <v>4424.8194554930815</v>
      </c>
      <c r="P148" s="73">
        <f t="shared" si="21"/>
        <v>5624.8194554930815</v>
      </c>
      <c r="Q148" s="301">
        <f t="shared" si="22"/>
        <v>1116</v>
      </c>
      <c r="R148" s="301">
        <f t="shared" si="23"/>
        <v>4115.0820936085656</v>
      </c>
      <c r="S148" s="300">
        <f t="shared" si="24"/>
        <v>5231.0820936085656</v>
      </c>
    </row>
    <row r="149" spans="1:19" ht="15" x14ac:dyDescent="0.25">
      <c r="A149" s="49">
        <v>137</v>
      </c>
      <c r="B149" s="32" t="s">
        <v>219</v>
      </c>
      <c r="C149" s="33" t="s">
        <v>153</v>
      </c>
      <c r="D149" s="111">
        <v>31899</v>
      </c>
      <c r="E149" s="112">
        <v>9569.6999999999971</v>
      </c>
      <c r="F149" s="112">
        <v>38278.800000000003</v>
      </c>
      <c r="G149" s="112">
        <v>47848.5</v>
      </c>
      <c r="H149" s="257">
        <f t="shared" si="17"/>
        <v>8000</v>
      </c>
      <c r="I149" s="257">
        <v>40000</v>
      </c>
      <c r="J149" s="232">
        <f t="shared" si="18"/>
        <v>48000</v>
      </c>
      <c r="K149" s="248">
        <v>74500</v>
      </c>
      <c r="L149" s="249">
        <v>57350</v>
      </c>
      <c r="M149" s="250">
        <v>131850</v>
      </c>
      <c r="N149" s="99">
        <f t="shared" si="19"/>
        <v>8000</v>
      </c>
      <c r="O149" s="73">
        <f t="shared" si="20"/>
        <v>38278.800000000003</v>
      </c>
      <c r="P149" s="73">
        <f t="shared" si="21"/>
        <v>46278.8</v>
      </c>
      <c r="Q149" s="301">
        <f t="shared" si="22"/>
        <v>7440</v>
      </c>
      <c r="R149" s="301">
        <f t="shared" si="23"/>
        <v>35599.284</v>
      </c>
      <c r="S149" s="300">
        <f t="shared" si="24"/>
        <v>43039.284</v>
      </c>
    </row>
    <row r="150" spans="1:19" ht="15" x14ac:dyDescent="0.25">
      <c r="A150" s="49">
        <v>138</v>
      </c>
      <c r="B150" s="50" t="s">
        <v>223</v>
      </c>
      <c r="C150" s="33" t="s">
        <v>153</v>
      </c>
      <c r="D150" s="111">
        <v>678724.21321687114</v>
      </c>
      <c r="E150" s="112">
        <v>196902.36711219396</v>
      </c>
      <c r="F150" s="112">
        <v>787609.46844877605</v>
      </c>
      <c r="G150" s="112">
        <v>984511.83556097001</v>
      </c>
      <c r="H150" s="257">
        <f t="shared" si="17"/>
        <v>160000</v>
      </c>
      <c r="I150" s="257">
        <v>800000</v>
      </c>
      <c r="J150" s="232">
        <f t="shared" si="18"/>
        <v>960000</v>
      </c>
      <c r="K150" s="248">
        <v>679500</v>
      </c>
      <c r="L150" s="249">
        <v>603564.54976301535</v>
      </c>
      <c r="M150" s="250">
        <v>1283064.5497630155</v>
      </c>
      <c r="N150" s="99">
        <f t="shared" si="19"/>
        <v>160000</v>
      </c>
      <c r="O150" s="73">
        <f t="shared" si="20"/>
        <v>603564.54976301535</v>
      </c>
      <c r="P150" s="73">
        <f t="shared" si="21"/>
        <v>763564.54976301535</v>
      </c>
      <c r="Q150" s="301">
        <f t="shared" si="22"/>
        <v>148800</v>
      </c>
      <c r="R150" s="301">
        <f t="shared" si="23"/>
        <v>561315.0312796043</v>
      </c>
      <c r="S150" s="300">
        <f t="shared" si="24"/>
        <v>710115.0312796043</v>
      </c>
    </row>
    <row r="151" spans="1:19" ht="15" x14ac:dyDescent="0.25">
      <c r="A151" s="49">
        <v>139</v>
      </c>
      <c r="B151" s="38" t="s">
        <v>222</v>
      </c>
      <c r="C151" s="33" t="s">
        <v>153</v>
      </c>
      <c r="D151" s="111">
        <v>217058.51275444502</v>
      </c>
      <c r="E151" s="112">
        <v>64249.3197753157</v>
      </c>
      <c r="F151" s="112">
        <v>256997.27910126292</v>
      </c>
      <c r="G151" s="112">
        <v>321246.59887657862</v>
      </c>
      <c r="H151" s="257">
        <f t="shared" si="17"/>
        <v>51200</v>
      </c>
      <c r="I151" s="257">
        <v>256000</v>
      </c>
      <c r="J151" s="232">
        <f t="shared" si="18"/>
        <v>307200</v>
      </c>
      <c r="K151" s="248">
        <v>564500</v>
      </c>
      <c r="L151" s="249">
        <v>192682.07635145608</v>
      </c>
      <c r="M151" s="250">
        <v>757182.07635145611</v>
      </c>
      <c r="N151" s="99">
        <f t="shared" si="19"/>
        <v>51200</v>
      </c>
      <c r="O151" s="73">
        <f t="shared" si="20"/>
        <v>192682.07635145608</v>
      </c>
      <c r="P151" s="73">
        <f t="shared" si="21"/>
        <v>243882.07635145608</v>
      </c>
      <c r="Q151" s="301">
        <f t="shared" si="22"/>
        <v>47616</v>
      </c>
      <c r="R151" s="301">
        <f t="shared" si="23"/>
        <v>179194.33100685416</v>
      </c>
      <c r="S151" s="300">
        <f t="shared" si="24"/>
        <v>226810.33100685416</v>
      </c>
    </row>
    <row r="152" spans="1:19" ht="15" x14ac:dyDescent="0.25">
      <c r="A152" s="49">
        <v>140</v>
      </c>
      <c r="B152" s="38" t="s">
        <v>224</v>
      </c>
      <c r="C152" s="33" t="s">
        <v>153</v>
      </c>
      <c r="D152" s="111">
        <v>542124.57299831707</v>
      </c>
      <c r="E152" s="112">
        <v>160468.87360750185</v>
      </c>
      <c r="F152" s="112">
        <v>641875.49443000741</v>
      </c>
      <c r="G152" s="112">
        <v>802344.36803750927</v>
      </c>
      <c r="H152" s="257">
        <f t="shared" si="17"/>
        <v>128000</v>
      </c>
      <c r="I152" s="257">
        <v>640000</v>
      </c>
      <c r="J152" s="232">
        <f t="shared" si="18"/>
        <v>768000</v>
      </c>
      <c r="K152" s="248">
        <v>414500</v>
      </c>
      <c r="L152" s="249">
        <v>481990.8699685022</v>
      </c>
      <c r="M152" s="250">
        <v>896490.8699685022</v>
      </c>
      <c r="N152" s="99">
        <f t="shared" si="19"/>
        <v>128000</v>
      </c>
      <c r="O152" s="73">
        <f t="shared" si="20"/>
        <v>481990.8699685022</v>
      </c>
      <c r="P152" s="73">
        <f t="shared" si="21"/>
        <v>609990.8699685022</v>
      </c>
      <c r="Q152" s="301">
        <f t="shared" si="22"/>
        <v>119040</v>
      </c>
      <c r="R152" s="301">
        <f t="shared" si="23"/>
        <v>448251.50907070702</v>
      </c>
      <c r="S152" s="300">
        <f t="shared" si="24"/>
        <v>567291.50907070702</v>
      </c>
    </row>
    <row r="153" spans="1:19" ht="22.5" x14ac:dyDescent="0.25">
      <c r="A153" s="49">
        <v>141</v>
      </c>
      <c r="B153" s="32" t="s">
        <v>226</v>
      </c>
      <c r="C153" s="33" t="s">
        <v>153</v>
      </c>
      <c r="D153" s="111">
        <v>631405.5259096903</v>
      </c>
      <c r="E153" s="112">
        <v>146896.03566926834</v>
      </c>
      <c r="F153" s="112">
        <v>587584.14267707372</v>
      </c>
      <c r="G153" s="112">
        <v>734480.17834634206</v>
      </c>
      <c r="H153" s="257">
        <f t="shared" si="17"/>
        <v>141600</v>
      </c>
      <c r="I153" s="257">
        <v>708000</v>
      </c>
      <c r="J153" s="232">
        <f t="shared" si="18"/>
        <v>849600</v>
      </c>
      <c r="K153" s="248">
        <v>464500</v>
      </c>
      <c r="L153" s="249">
        <v>561450.91805962438</v>
      </c>
      <c r="M153" s="250">
        <v>1025950.9180596244</v>
      </c>
      <c r="N153" s="99">
        <f t="shared" si="19"/>
        <v>141600</v>
      </c>
      <c r="O153" s="73">
        <f t="shared" si="20"/>
        <v>561450.91805962438</v>
      </c>
      <c r="P153" s="73">
        <f t="shared" si="21"/>
        <v>703050.91805962438</v>
      </c>
      <c r="Q153" s="301">
        <f t="shared" si="22"/>
        <v>131688</v>
      </c>
      <c r="R153" s="301">
        <f t="shared" si="23"/>
        <v>522149.35379545065</v>
      </c>
      <c r="S153" s="300">
        <f t="shared" si="24"/>
        <v>653837.35379545065</v>
      </c>
    </row>
    <row r="154" spans="1:19" ht="15" x14ac:dyDescent="0.25">
      <c r="A154" s="49">
        <v>142</v>
      </c>
      <c r="B154" s="46" t="s">
        <v>42</v>
      </c>
      <c r="C154" s="33" t="s">
        <v>153</v>
      </c>
      <c r="D154" s="111">
        <v>118211.24559999999</v>
      </c>
      <c r="E154" s="112">
        <v>34990.528697600006</v>
      </c>
      <c r="F154" s="112">
        <v>139962.1147904</v>
      </c>
      <c r="G154" s="112">
        <v>174952.643488</v>
      </c>
      <c r="H154" s="257">
        <f t="shared" si="17"/>
        <v>30000</v>
      </c>
      <c r="I154" s="257">
        <v>150000</v>
      </c>
      <c r="J154" s="232">
        <f t="shared" si="18"/>
        <v>180000</v>
      </c>
      <c r="K154" s="248">
        <v>84500</v>
      </c>
      <c r="L154" s="249">
        <v>117885.08306473751</v>
      </c>
      <c r="M154" s="250">
        <v>202385.0830647375</v>
      </c>
      <c r="N154" s="99">
        <f t="shared" si="19"/>
        <v>30000</v>
      </c>
      <c r="O154" s="73">
        <f t="shared" si="20"/>
        <v>117885.08306473751</v>
      </c>
      <c r="P154" s="73">
        <f t="shared" si="21"/>
        <v>147885.0830647375</v>
      </c>
      <c r="Q154" s="301">
        <f t="shared" si="22"/>
        <v>27900</v>
      </c>
      <c r="R154" s="301">
        <f t="shared" si="23"/>
        <v>109633.12725020589</v>
      </c>
      <c r="S154" s="300">
        <f t="shared" si="24"/>
        <v>137533.1272502059</v>
      </c>
    </row>
    <row r="155" spans="1:19" ht="15" x14ac:dyDescent="0.25">
      <c r="A155" s="49">
        <v>143</v>
      </c>
      <c r="B155" s="53" t="s">
        <v>95</v>
      </c>
      <c r="C155" s="33" t="s">
        <v>153</v>
      </c>
      <c r="D155" s="111">
        <v>1039380.0970779908</v>
      </c>
      <c r="E155" s="112">
        <v>227656.50873508595</v>
      </c>
      <c r="F155" s="112">
        <v>910626.03494034393</v>
      </c>
      <c r="G155" s="112">
        <v>1138282.5436754299</v>
      </c>
      <c r="H155" s="257">
        <f t="shared" si="17"/>
        <v>226000</v>
      </c>
      <c r="I155" s="257">
        <v>1130000</v>
      </c>
      <c r="J155" s="232">
        <f t="shared" si="18"/>
        <v>1356000</v>
      </c>
      <c r="K155" s="248">
        <v>349500</v>
      </c>
      <c r="L155" s="249">
        <v>924548.28639941174</v>
      </c>
      <c r="M155" s="250">
        <v>1274048.2863994117</v>
      </c>
      <c r="N155" s="99">
        <f t="shared" si="19"/>
        <v>226000</v>
      </c>
      <c r="O155" s="73">
        <f t="shared" si="20"/>
        <v>910626.03494034393</v>
      </c>
      <c r="P155" s="73">
        <f t="shared" si="21"/>
        <v>1136626.0349403438</v>
      </c>
      <c r="Q155" s="301">
        <f t="shared" si="22"/>
        <v>210180</v>
      </c>
      <c r="R155" s="301">
        <f t="shared" si="23"/>
        <v>846882.21249451989</v>
      </c>
      <c r="S155" s="300">
        <f t="shared" si="24"/>
        <v>1057062.21249452</v>
      </c>
    </row>
    <row r="156" spans="1:19" ht="15" x14ac:dyDescent="0.25">
      <c r="A156" s="49">
        <v>144</v>
      </c>
      <c r="B156" s="53" t="s">
        <v>228</v>
      </c>
      <c r="C156" s="33" t="s">
        <v>153</v>
      </c>
      <c r="D156" s="111">
        <v>2439.3670000000002</v>
      </c>
      <c r="E156" s="112">
        <v>731.81009999999969</v>
      </c>
      <c r="F156" s="112">
        <v>2927.2404000000001</v>
      </c>
      <c r="G156" s="112">
        <v>3659.0504999999998</v>
      </c>
      <c r="H156" s="257">
        <f t="shared" si="17"/>
        <v>600</v>
      </c>
      <c r="I156" s="257">
        <v>3000</v>
      </c>
      <c r="J156" s="232">
        <f t="shared" si="18"/>
        <v>3600</v>
      </c>
      <c r="K156" s="248">
        <v>219500</v>
      </c>
      <c r="L156" s="249">
        <v>1867.70166129475</v>
      </c>
      <c r="M156" s="250">
        <v>221367.70166129476</v>
      </c>
      <c r="N156" s="99">
        <f t="shared" si="19"/>
        <v>600</v>
      </c>
      <c r="O156" s="73">
        <f t="shared" si="20"/>
        <v>1867.70166129475</v>
      </c>
      <c r="P156" s="73">
        <f t="shared" si="21"/>
        <v>2467.70166129475</v>
      </c>
      <c r="Q156" s="301">
        <f t="shared" si="22"/>
        <v>558</v>
      </c>
      <c r="R156" s="301">
        <f t="shared" si="23"/>
        <v>1736.9625450041176</v>
      </c>
      <c r="S156" s="300">
        <f t="shared" si="24"/>
        <v>2294.9625450041176</v>
      </c>
    </row>
    <row r="157" spans="1:19" ht="15" x14ac:dyDescent="0.25">
      <c r="A157" s="49">
        <v>145</v>
      </c>
      <c r="B157" s="53" t="s">
        <v>229</v>
      </c>
      <c r="C157" s="33" t="s">
        <v>153</v>
      </c>
      <c r="D157" s="111">
        <v>119183.18474832001</v>
      </c>
      <c r="E157" s="112">
        <v>27278.222685502798</v>
      </c>
      <c r="F157" s="112">
        <v>109112.89074201121</v>
      </c>
      <c r="G157" s="112">
        <v>136391.11342751401</v>
      </c>
      <c r="H157" s="257">
        <f t="shared" si="17"/>
        <v>26000</v>
      </c>
      <c r="I157" s="257">
        <v>130000</v>
      </c>
      <c r="J157" s="232">
        <f t="shared" si="18"/>
        <v>156000</v>
      </c>
      <c r="K157" s="248">
        <v>74500</v>
      </c>
      <c r="L157" s="249">
        <v>105573.03442600482</v>
      </c>
      <c r="M157" s="250">
        <v>180073.0344260048</v>
      </c>
      <c r="N157" s="99">
        <f t="shared" si="19"/>
        <v>26000</v>
      </c>
      <c r="O157" s="73">
        <f t="shared" si="20"/>
        <v>105573.03442600482</v>
      </c>
      <c r="P157" s="73">
        <f t="shared" si="21"/>
        <v>131573.0344260048</v>
      </c>
      <c r="Q157" s="301">
        <f t="shared" si="22"/>
        <v>24180</v>
      </c>
      <c r="R157" s="301">
        <f t="shared" si="23"/>
        <v>98182.922016184471</v>
      </c>
      <c r="S157" s="300">
        <f t="shared" si="24"/>
        <v>122362.92201618447</v>
      </c>
    </row>
    <row r="158" spans="1:19" ht="15" x14ac:dyDescent="0.25">
      <c r="A158" s="49">
        <v>146</v>
      </c>
      <c r="B158" s="53" t="s">
        <v>241</v>
      </c>
      <c r="C158" s="33" t="s">
        <v>153</v>
      </c>
      <c r="D158" s="111">
        <v>180000</v>
      </c>
      <c r="E158" s="112">
        <v>40080</v>
      </c>
      <c r="F158" s="112">
        <v>160320</v>
      </c>
      <c r="G158" s="112">
        <v>200400</v>
      </c>
      <c r="H158" s="257">
        <f t="shared" si="17"/>
        <v>38000</v>
      </c>
      <c r="I158" s="257">
        <v>190000</v>
      </c>
      <c r="J158" s="232">
        <f t="shared" si="18"/>
        <v>228000</v>
      </c>
      <c r="K158" s="248">
        <v>74500</v>
      </c>
      <c r="L158" s="249">
        <v>159700</v>
      </c>
      <c r="M158" s="250">
        <v>234200</v>
      </c>
      <c r="N158" s="99">
        <f t="shared" si="19"/>
        <v>38000</v>
      </c>
      <c r="O158" s="73">
        <f t="shared" si="20"/>
        <v>159700</v>
      </c>
      <c r="P158" s="73">
        <f t="shared" si="21"/>
        <v>197700</v>
      </c>
      <c r="Q158" s="301">
        <f t="shared" si="22"/>
        <v>35340</v>
      </c>
      <c r="R158" s="301">
        <f t="shared" si="23"/>
        <v>148521</v>
      </c>
      <c r="S158" s="300">
        <f t="shared" si="24"/>
        <v>183861</v>
      </c>
    </row>
    <row r="159" spans="1:19" ht="15" x14ac:dyDescent="0.25">
      <c r="A159" s="49">
        <v>147</v>
      </c>
      <c r="B159" s="47" t="s">
        <v>85</v>
      </c>
      <c r="C159" s="33" t="s">
        <v>153</v>
      </c>
      <c r="D159" s="111">
        <v>104869.28385493037</v>
      </c>
      <c r="E159" s="112">
        <v>27041.308021059391</v>
      </c>
      <c r="F159" s="112">
        <v>108165.23208423761</v>
      </c>
      <c r="G159" s="112">
        <v>135206.540105297</v>
      </c>
      <c r="H159" s="257">
        <f t="shared" si="17"/>
        <v>23800</v>
      </c>
      <c r="I159" s="257">
        <v>119000</v>
      </c>
      <c r="J159" s="232">
        <f t="shared" si="18"/>
        <v>142800</v>
      </c>
      <c r="K159" s="248">
        <v>74500</v>
      </c>
      <c r="L159" s="249">
        <v>92833.662630888022</v>
      </c>
      <c r="M159" s="250">
        <v>167333.66263088802</v>
      </c>
      <c r="N159" s="99">
        <f t="shared" si="19"/>
        <v>23800</v>
      </c>
      <c r="O159" s="73">
        <f t="shared" si="20"/>
        <v>92833.662630888022</v>
      </c>
      <c r="P159" s="73">
        <f t="shared" si="21"/>
        <v>116633.66263088802</v>
      </c>
      <c r="Q159" s="301">
        <f t="shared" si="22"/>
        <v>22134</v>
      </c>
      <c r="R159" s="301">
        <f t="shared" si="23"/>
        <v>86335.306246725857</v>
      </c>
      <c r="S159" s="300">
        <f t="shared" si="24"/>
        <v>108469.30624672586</v>
      </c>
    </row>
    <row r="160" spans="1:19" ht="15" x14ac:dyDescent="0.25">
      <c r="A160" s="49">
        <v>148</v>
      </c>
      <c r="B160" s="47" t="s">
        <v>67</v>
      </c>
      <c r="C160" s="33" t="s">
        <v>153</v>
      </c>
      <c r="D160" s="111">
        <v>958601.16127222718</v>
      </c>
      <c r="E160" s="112">
        <v>203745.94373657997</v>
      </c>
      <c r="F160" s="112">
        <v>814983.77494631999</v>
      </c>
      <c r="G160" s="112">
        <v>1018729.7186829</v>
      </c>
      <c r="H160" s="257">
        <f t="shared" si="17"/>
        <v>66000</v>
      </c>
      <c r="I160" s="257">
        <v>330000</v>
      </c>
      <c r="J160" s="232">
        <f t="shared" si="18"/>
        <v>396000</v>
      </c>
      <c r="K160" s="248">
        <v>164500</v>
      </c>
      <c r="L160" s="249">
        <v>852655.03353228222</v>
      </c>
      <c r="M160" s="250">
        <v>1017155.0335322822</v>
      </c>
      <c r="N160" s="99">
        <f t="shared" si="19"/>
        <v>66000</v>
      </c>
      <c r="O160" s="73">
        <f t="shared" si="20"/>
        <v>330000</v>
      </c>
      <c r="P160" s="73">
        <f t="shared" si="21"/>
        <v>396000</v>
      </c>
      <c r="Q160" s="301">
        <f t="shared" si="22"/>
        <v>61380</v>
      </c>
      <c r="R160" s="301">
        <f t="shared" si="23"/>
        <v>306900</v>
      </c>
      <c r="S160" s="300">
        <f t="shared" si="24"/>
        <v>368280</v>
      </c>
    </row>
    <row r="161" spans="1:19" ht="15" x14ac:dyDescent="0.25">
      <c r="A161" s="49">
        <v>149</v>
      </c>
      <c r="B161" s="38" t="s">
        <v>237</v>
      </c>
      <c r="C161" s="33" t="s">
        <v>153</v>
      </c>
      <c r="D161" s="111">
        <v>553251.25936398481</v>
      </c>
      <c r="E161" s="112">
        <v>163762.37277173949</v>
      </c>
      <c r="F161" s="112">
        <v>655049.49108695798</v>
      </c>
      <c r="G161" s="112">
        <v>818811.86385869747</v>
      </c>
      <c r="H161" s="257">
        <f t="shared" si="17"/>
        <v>131000</v>
      </c>
      <c r="I161" s="257">
        <v>655000</v>
      </c>
      <c r="J161" s="232">
        <f t="shared" si="18"/>
        <v>786000</v>
      </c>
      <c r="K161" s="248">
        <v>449500</v>
      </c>
      <c r="L161" s="249">
        <v>491893.62083394651</v>
      </c>
      <c r="M161" s="250">
        <v>941393.62083394651</v>
      </c>
      <c r="N161" s="99">
        <f t="shared" si="19"/>
        <v>131000</v>
      </c>
      <c r="O161" s="73">
        <f t="shared" si="20"/>
        <v>491893.62083394651</v>
      </c>
      <c r="P161" s="73">
        <f t="shared" si="21"/>
        <v>622893.62083394651</v>
      </c>
      <c r="Q161" s="301">
        <f t="shared" si="22"/>
        <v>121830</v>
      </c>
      <c r="R161" s="301">
        <f t="shared" si="23"/>
        <v>457461.06737557024</v>
      </c>
      <c r="S161" s="300">
        <f t="shared" si="24"/>
        <v>579291.0673755703</v>
      </c>
    </row>
    <row r="162" spans="1:19" ht="15" x14ac:dyDescent="0.25">
      <c r="A162" s="49">
        <v>150</v>
      </c>
      <c r="B162" s="38" t="s">
        <v>238</v>
      </c>
      <c r="C162" s="33" t="s">
        <v>153</v>
      </c>
      <c r="D162" s="111">
        <v>759586.90966082527</v>
      </c>
      <c r="E162" s="112">
        <v>164837.72525960393</v>
      </c>
      <c r="F162" s="112">
        <v>659350.90103841608</v>
      </c>
      <c r="G162" s="112">
        <v>824188.62629802001</v>
      </c>
      <c r="H162" s="257">
        <f t="shared" si="17"/>
        <v>112000</v>
      </c>
      <c r="I162" s="257">
        <v>560000</v>
      </c>
      <c r="J162" s="232">
        <f t="shared" si="18"/>
        <v>672000</v>
      </c>
      <c r="K162" s="248">
        <v>124500</v>
      </c>
      <c r="L162" s="249">
        <v>675532.34959813452</v>
      </c>
      <c r="M162" s="250">
        <v>800032.34959813452</v>
      </c>
      <c r="N162" s="99">
        <f t="shared" si="19"/>
        <v>112000</v>
      </c>
      <c r="O162" s="73">
        <f t="shared" si="20"/>
        <v>560000</v>
      </c>
      <c r="P162" s="73">
        <f t="shared" si="21"/>
        <v>672000</v>
      </c>
      <c r="Q162" s="301">
        <f t="shared" si="22"/>
        <v>104160</v>
      </c>
      <c r="R162" s="301">
        <f t="shared" si="23"/>
        <v>520800</v>
      </c>
      <c r="S162" s="300">
        <f t="shared" si="24"/>
        <v>624960</v>
      </c>
    </row>
    <row r="163" spans="1:19" ht="15" x14ac:dyDescent="0.25">
      <c r="A163" s="49">
        <v>151</v>
      </c>
      <c r="B163" s="47" t="s">
        <v>83</v>
      </c>
      <c r="C163" s="33" t="s">
        <v>153</v>
      </c>
      <c r="D163" s="111">
        <v>732666.58482195879</v>
      </c>
      <c r="E163" s="112">
        <v>165686.90910729999</v>
      </c>
      <c r="F163" s="112">
        <v>662747.63642920007</v>
      </c>
      <c r="G163" s="112">
        <v>828434.54553650005</v>
      </c>
      <c r="H163" s="257">
        <f t="shared" si="17"/>
        <v>163400</v>
      </c>
      <c r="I163" s="257">
        <v>817000</v>
      </c>
      <c r="J163" s="232">
        <f t="shared" si="18"/>
        <v>980400</v>
      </c>
      <c r="K163" s="248">
        <v>224500</v>
      </c>
      <c r="L163" s="249">
        <v>651573.26049154333</v>
      </c>
      <c r="M163" s="250">
        <v>876073.26049154333</v>
      </c>
      <c r="N163" s="99">
        <f t="shared" si="19"/>
        <v>163400</v>
      </c>
      <c r="O163" s="73">
        <f t="shared" si="20"/>
        <v>651573.26049154333</v>
      </c>
      <c r="P163" s="73">
        <f t="shared" si="21"/>
        <v>814973.26049154333</v>
      </c>
      <c r="Q163" s="301">
        <f t="shared" si="22"/>
        <v>151962</v>
      </c>
      <c r="R163" s="301">
        <f t="shared" si="23"/>
        <v>605963.13225713535</v>
      </c>
      <c r="S163" s="300">
        <f t="shared" si="24"/>
        <v>757925.13225713535</v>
      </c>
    </row>
    <row r="164" spans="1:19" ht="15" x14ac:dyDescent="0.25">
      <c r="A164" s="49">
        <v>152</v>
      </c>
      <c r="B164" s="38" t="s">
        <v>234</v>
      </c>
      <c r="C164" s="33" t="s">
        <v>153</v>
      </c>
      <c r="D164" s="111">
        <v>722810.70863826317</v>
      </c>
      <c r="E164" s="112">
        <v>165395.96975692594</v>
      </c>
      <c r="F164" s="112">
        <v>661583.87902770401</v>
      </c>
      <c r="G164" s="112">
        <v>826979.84878462995</v>
      </c>
      <c r="H164" s="257">
        <f t="shared" si="17"/>
        <v>152000</v>
      </c>
      <c r="I164" s="257">
        <v>760000</v>
      </c>
      <c r="J164" s="232">
        <f t="shared" si="18"/>
        <v>912000</v>
      </c>
      <c r="K164" s="248">
        <v>124500</v>
      </c>
      <c r="L164" s="249">
        <v>642801.53068805416</v>
      </c>
      <c r="M164" s="250">
        <v>767301.53068805416</v>
      </c>
      <c r="N164" s="99">
        <f t="shared" si="19"/>
        <v>124500</v>
      </c>
      <c r="O164" s="73">
        <f t="shared" si="20"/>
        <v>642801.53068805416</v>
      </c>
      <c r="P164" s="73">
        <f t="shared" si="21"/>
        <v>767301.53068805416</v>
      </c>
      <c r="Q164" s="301">
        <f t="shared" si="22"/>
        <v>115785</v>
      </c>
      <c r="R164" s="301">
        <f t="shared" si="23"/>
        <v>597805.42353989033</v>
      </c>
      <c r="S164" s="300">
        <f t="shared" si="24"/>
        <v>713590.42353989033</v>
      </c>
    </row>
    <row r="165" spans="1:19" ht="15" x14ac:dyDescent="0.25">
      <c r="A165" s="49">
        <v>153</v>
      </c>
      <c r="B165" s="38" t="s">
        <v>392</v>
      </c>
      <c r="C165" s="33" t="s">
        <v>153</v>
      </c>
      <c r="D165" s="111">
        <v>1718936.8559999999</v>
      </c>
      <c r="E165" s="112">
        <v>418491.68823999981</v>
      </c>
      <c r="F165" s="112">
        <v>1673966.7529600002</v>
      </c>
      <c r="G165" s="112">
        <v>2092458.4412</v>
      </c>
      <c r="H165" s="257">
        <f t="shared" si="17"/>
        <v>218000</v>
      </c>
      <c r="I165" s="257">
        <v>1090000</v>
      </c>
      <c r="J165" s="232">
        <f t="shared" si="18"/>
        <v>1308000</v>
      </c>
      <c r="K165" s="248">
        <v>184500</v>
      </c>
      <c r="L165" s="249">
        <v>1601709.134628118</v>
      </c>
      <c r="M165" s="250">
        <v>1786209.134628118</v>
      </c>
      <c r="N165" s="99">
        <f t="shared" si="19"/>
        <v>184500</v>
      </c>
      <c r="O165" s="73">
        <f t="shared" si="20"/>
        <v>1090000</v>
      </c>
      <c r="P165" s="73">
        <f t="shared" si="21"/>
        <v>1274500</v>
      </c>
      <c r="Q165" s="301">
        <f t="shared" si="22"/>
        <v>171585</v>
      </c>
      <c r="R165" s="301">
        <f t="shared" si="23"/>
        <v>1013700</v>
      </c>
      <c r="S165" s="300">
        <f t="shared" si="24"/>
        <v>1185285</v>
      </c>
    </row>
    <row r="166" spans="1:19" ht="15" x14ac:dyDescent="0.25">
      <c r="A166" s="49">
        <v>154</v>
      </c>
      <c r="B166" s="47" t="s">
        <v>84</v>
      </c>
      <c r="C166" s="33" t="s">
        <v>153</v>
      </c>
      <c r="D166" s="111">
        <v>1215847.9045181749</v>
      </c>
      <c r="E166" s="112">
        <v>279890.97973738005</v>
      </c>
      <c r="F166" s="112">
        <v>1119563.91894952</v>
      </c>
      <c r="G166" s="112">
        <v>1399454.8986869</v>
      </c>
      <c r="H166" s="257">
        <f t="shared" si="17"/>
        <v>240000</v>
      </c>
      <c r="I166" s="257">
        <v>1200000</v>
      </c>
      <c r="J166" s="232">
        <f t="shared" si="18"/>
        <v>1440000</v>
      </c>
      <c r="K166" s="248">
        <v>184500</v>
      </c>
      <c r="L166" s="249">
        <v>1081604.6350211757</v>
      </c>
      <c r="M166" s="250">
        <v>1266104.6350211757</v>
      </c>
      <c r="N166" s="99">
        <f t="shared" si="19"/>
        <v>184500</v>
      </c>
      <c r="O166" s="73">
        <f t="shared" si="20"/>
        <v>1081604.6350211757</v>
      </c>
      <c r="P166" s="73">
        <f t="shared" si="21"/>
        <v>1266104.6350211757</v>
      </c>
      <c r="Q166" s="301">
        <f t="shared" si="22"/>
        <v>171585</v>
      </c>
      <c r="R166" s="301">
        <f t="shared" si="23"/>
        <v>1005892.3105696935</v>
      </c>
      <c r="S166" s="300">
        <f t="shared" si="24"/>
        <v>1177477.3105696933</v>
      </c>
    </row>
    <row r="167" spans="1:19" ht="15" x14ac:dyDescent="0.25">
      <c r="A167" s="49">
        <v>155</v>
      </c>
      <c r="B167" s="47" t="s">
        <v>236</v>
      </c>
      <c r="C167" s="33" t="s">
        <v>153</v>
      </c>
      <c r="D167" s="111">
        <v>319107.92454148835</v>
      </c>
      <c r="E167" s="112">
        <v>94455.945664280502</v>
      </c>
      <c r="F167" s="112">
        <v>377823.78265712224</v>
      </c>
      <c r="G167" s="112">
        <v>472279.72832140274</v>
      </c>
      <c r="H167" s="257">
        <f t="shared" si="17"/>
        <v>74000</v>
      </c>
      <c r="I167" s="257">
        <v>370000</v>
      </c>
      <c r="J167" s="232">
        <f t="shared" si="18"/>
        <v>444000</v>
      </c>
      <c r="K167" s="248">
        <v>184500</v>
      </c>
      <c r="L167" s="249">
        <v>283506.05284192465</v>
      </c>
      <c r="M167" s="250">
        <v>468006.05284192465</v>
      </c>
      <c r="N167" s="99">
        <f t="shared" si="19"/>
        <v>74000</v>
      </c>
      <c r="O167" s="73">
        <f t="shared" si="20"/>
        <v>283506.05284192465</v>
      </c>
      <c r="P167" s="73">
        <f t="shared" si="21"/>
        <v>357506.05284192465</v>
      </c>
      <c r="Q167" s="301">
        <f t="shared" si="22"/>
        <v>68820</v>
      </c>
      <c r="R167" s="301">
        <f t="shared" si="23"/>
        <v>263660.62914298993</v>
      </c>
      <c r="S167" s="300">
        <f t="shared" si="24"/>
        <v>332480.62914298993</v>
      </c>
    </row>
    <row r="168" spans="1:19" ht="15" x14ac:dyDescent="0.25">
      <c r="A168" s="49">
        <v>156</v>
      </c>
      <c r="B168" s="53" t="s">
        <v>239</v>
      </c>
      <c r="C168" s="33" t="s">
        <v>153</v>
      </c>
      <c r="D168" s="111">
        <v>345157.55103467114</v>
      </c>
      <c r="E168" s="112">
        <v>96166.635106262576</v>
      </c>
      <c r="F168" s="112">
        <v>384666.54042505042</v>
      </c>
      <c r="G168" s="112">
        <v>480833.175531313</v>
      </c>
      <c r="H168" s="257">
        <f t="shared" si="17"/>
        <v>80000</v>
      </c>
      <c r="I168" s="257">
        <v>400000</v>
      </c>
      <c r="J168" s="232">
        <f t="shared" si="18"/>
        <v>480000</v>
      </c>
      <c r="K168" s="248">
        <v>184500</v>
      </c>
      <c r="L168" s="249">
        <v>306690.22042085731</v>
      </c>
      <c r="M168" s="250">
        <v>491190.22042085731</v>
      </c>
      <c r="N168" s="99">
        <f t="shared" si="19"/>
        <v>80000</v>
      </c>
      <c r="O168" s="73">
        <f t="shared" si="20"/>
        <v>306690.22042085731</v>
      </c>
      <c r="P168" s="73">
        <f t="shared" si="21"/>
        <v>386690.22042085731</v>
      </c>
      <c r="Q168" s="301">
        <f t="shared" si="22"/>
        <v>74400</v>
      </c>
      <c r="R168" s="301">
        <f t="shared" si="23"/>
        <v>285221.90499139728</v>
      </c>
      <c r="S168" s="300">
        <f t="shared" si="24"/>
        <v>359621.90499139728</v>
      </c>
    </row>
    <row r="169" spans="1:19" ht="15" x14ac:dyDescent="0.25">
      <c r="A169" s="49">
        <v>157</v>
      </c>
      <c r="B169" s="53" t="s">
        <v>338</v>
      </c>
      <c r="C169" s="33" t="s">
        <v>153</v>
      </c>
      <c r="D169" s="111">
        <v>388139.43474842265</v>
      </c>
      <c r="E169" s="112">
        <v>114889.2726855331</v>
      </c>
      <c r="F169" s="112">
        <v>459557.09074213245</v>
      </c>
      <c r="G169" s="112">
        <v>574446.36342766555</v>
      </c>
      <c r="H169" s="257">
        <f t="shared" si="17"/>
        <v>92000</v>
      </c>
      <c r="I169" s="257">
        <v>460000</v>
      </c>
      <c r="J169" s="232">
        <f t="shared" si="18"/>
        <v>552000</v>
      </c>
      <c r="K169" s="248">
        <v>184500</v>
      </c>
      <c r="L169" s="249">
        <v>344944.09692609613</v>
      </c>
      <c r="M169" s="250">
        <v>529444.09692609613</v>
      </c>
      <c r="N169" s="99">
        <f t="shared" si="19"/>
        <v>92000</v>
      </c>
      <c r="O169" s="73">
        <f t="shared" si="20"/>
        <v>344944.09692609613</v>
      </c>
      <c r="P169" s="73">
        <f t="shared" si="21"/>
        <v>436944.09692609613</v>
      </c>
      <c r="Q169" s="301">
        <f t="shared" si="22"/>
        <v>85560</v>
      </c>
      <c r="R169" s="301">
        <f t="shared" si="23"/>
        <v>320798.01014126942</v>
      </c>
      <c r="S169" s="300">
        <f t="shared" si="24"/>
        <v>406358.01014126942</v>
      </c>
    </row>
    <row r="170" spans="1:19" ht="15" x14ac:dyDescent="0.25">
      <c r="A170" s="49">
        <v>158</v>
      </c>
      <c r="B170" s="53" t="s">
        <v>94</v>
      </c>
      <c r="C170" s="33" t="s">
        <v>153</v>
      </c>
      <c r="D170" s="111">
        <v>400251.67748140404</v>
      </c>
      <c r="E170" s="112">
        <v>118474.49653449556</v>
      </c>
      <c r="F170" s="112">
        <v>473897.9861379824</v>
      </c>
      <c r="G170" s="112">
        <v>592372.48267247796</v>
      </c>
      <c r="H170" s="257">
        <f t="shared" si="17"/>
        <v>94000</v>
      </c>
      <c r="I170" s="257">
        <v>470000</v>
      </c>
      <c r="J170" s="232">
        <f t="shared" si="18"/>
        <v>564000</v>
      </c>
      <c r="K170" s="248">
        <v>264500</v>
      </c>
      <c r="L170" s="249">
        <v>355723.99295844958</v>
      </c>
      <c r="M170" s="250">
        <v>620223.99295844953</v>
      </c>
      <c r="N170" s="99">
        <f t="shared" si="19"/>
        <v>94000</v>
      </c>
      <c r="O170" s="73">
        <f t="shared" si="20"/>
        <v>355723.99295844958</v>
      </c>
      <c r="P170" s="73">
        <f t="shared" si="21"/>
        <v>449723.99295844958</v>
      </c>
      <c r="Q170" s="301">
        <f t="shared" si="22"/>
        <v>87420</v>
      </c>
      <c r="R170" s="301">
        <f t="shared" si="23"/>
        <v>330823.31345135812</v>
      </c>
      <c r="S170" s="300">
        <f t="shared" si="24"/>
        <v>418243.31345135812</v>
      </c>
    </row>
    <row r="171" spans="1:19" ht="15" x14ac:dyDescent="0.25">
      <c r="A171" s="49">
        <v>159</v>
      </c>
      <c r="B171" s="47" t="s">
        <v>120</v>
      </c>
      <c r="C171" s="33" t="s">
        <v>153</v>
      </c>
      <c r="D171" s="111">
        <v>8391664.2371344212</v>
      </c>
      <c r="E171" s="112">
        <v>1735820.6287689796</v>
      </c>
      <c r="F171" s="112">
        <v>6943282.5150759211</v>
      </c>
      <c r="G171" s="112">
        <v>8679103.1438449007</v>
      </c>
      <c r="H171" s="257">
        <f t="shared" si="17"/>
        <v>824000</v>
      </c>
      <c r="I171" s="257">
        <v>4120000</v>
      </c>
      <c r="J171" s="232">
        <f t="shared" si="18"/>
        <v>4944000</v>
      </c>
      <c r="K171" s="248">
        <v>649500</v>
      </c>
      <c r="L171" s="249">
        <v>3468081.1710496298</v>
      </c>
      <c r="M171" s="250">
        <v>4117581.1710496298</v>
      </c>
      <c r="N171" s="99">
        <f t="shared" si="19"/>
        <v>649500</v>
      </c>
      <c r="O171" s="73">
        <f t="shared" si="20"/>
        <v>3468081.1710496298</v>
      </c>
      <c r="P171" s="73">
        <f t="shared" si="21"/>
        <v>4117581.1710496298</v>
      </c>
      <c r="Q171" s="301">
        <f t="shared" si="22"/>
        <v>604035</v>
      </c>
      <c r="R171" s="301">
        <f t="shared" si="23"/>
        <v>3225315.4890761557</v>
      </c>
      <c r="S171" s="300">
        <f t="shared" si="24"/>
        <v>3829350.4890761557</v>
      </c>
    </row>
    <row r="172" spans="1:19" ht="15" x14ac:dyDescent="0.25">
      <c r="A172" s="49">
        <v>160</v>
      </c>
      <c r="B172" s="50" t="s">
        <v>230</v>
      </c>
      <c r="C172" s="33" t="s">
        <v>153</v>
      </c>
      <c r="D172" s="111">
        <v>605843.94713333342</v>
      </c>
      <c r="E172" s="112">
        <v>179329.80835146667</v>
      </c>
      <c r="F172" s="112">
        <v>717319.23340586678</v>
      </c>
      <c r="G172" s="112">
        <v>896649.04175733344</v>
      </c>
      <c r="H172" s="257">
        <f t="shared" si="17"/>
        <v>122000</v>
      </c>
      <c r="I172" s="257">
        <v>610000</v>
      </c>
      <c r="J172" s="232">
        <f t="shared" si="18"/>
        <v>732000</v>
      </c>
      <c r="K172" s="248">
        <v>74500</v>
      </c>
      <c r="L172" s="249">
        <v>538701.11294866679</v>
      </c>
      <c r="M172" s="250">
        <v>613201.11294866679</v>
      </c>
      <c r="N172" s="99">
        <f t="shared" si="19"/>
        <v>74500</v>
      </c>
      <c r="O172" s="73">
        <f t="shared" si="20"/>
        <v>538701.11294866679</v>
      </c>
      <c r="P172" s="73">
        <f t="shared" si="21"/>
        <v>613201.11294866679</v>
      </c>
      <c r="Q172" s="301">
        <f t="shared" si="22"/>
        <v>69285</v>
      </c>
      <c r="R172" s="301">
        <f t="shared" si="23"/>
        <v>500992.03504226013</v>
      </c>
      <c r="S172" s="300">
        <f t="shared" si="24"/>
        <v>570277.03504226007</v>
      </c>
    </row>
    <row r="173" spans="1:19" ht="15" x14ac:dyDescent="0.25">
      <c r="A173" s="49">
        <v>161</v>
      </c>
      <c r="B173" s="50" t="s">
        <v>231</v>
      </c>
      <c r="C173" s="33" t="s">
        <v>153</v>
      </c>
      <c r="D173" s="111">
        <v>19905.221000000001</v>
      </c>
      <c r="E173" s="112">
        <v>9971.5662999999986</v>
      </c>
      <c r="F173" s="112">
        <v>39886.265200000002</v>
      </c>
      <c r="G173" s="112">
        <v>49857.8315</v>
      </c>
      <c r="H173" s="257">
        <f t="shared" si="17"/>
        <v>5400</v>
      </c>
      <c r="I173" s="257">
        <v>27000</v>
      </c>
      <c r="J173" s="232">
        <f t="shared" si="18"/>
        <v>32400</v>
      </c>
      <c r="K173" s="248">
        <v>64500</v>
      </c>
      <c r="L173" s="249">
        <v>18820.445556165163</v>
      </c>
      <c r="M173" s="250">
        <v>83320.445556165156</v>
      </c>
      <c r="N173" s="99">
        <f t="shared" si="19"/>
        <v>5400</v>
      </c>
      <c r="O173" s="73">
        <f t="shared" si="20"/>
        <v>18820.445556165163</v>
      </c>
      <c r="P173" s="73">
        <f t="shared" si="21"/>
        <v>24220.445556165163</v>
      </c>
      <c r="Q173" s="301">
        <f t="shared" si="22"/>
        <v>5022</v>
      </c>
      <c r="R173" s="301">
        <f t="shared" si="23"/>
        <v>17503.014367233602</v>
      </c>
      <c r="S173" s="300">
        <f t="shared" si="24"/>
        <v>22525.014367233602</v>
      </c>
    </row>
    <row r="174" spans="1:19" ht="15" x14ac:dyDescent="0.25">
      <c r="A174" s="49">
        <v>162</v>
      </c>
      <c r="B174" s="46" t="s">
        <v>339</v>
      </c>
      <c r="C174" s="33" t="s">
        <v>153</v>
      </c>
      <c r="D174" s="111">
        <v>69168.81257715002</v>
      </c>
      <c r="E174" s="112">
        <v>36750.643773144984</v>
      </c>
      <c r="F174" s="112">
        <v>147002.57509258002</v>
      </c>
      <c r="G174" s="112">
        <v>183753.21886572501</v>
      </c>
      <c r="H174" s="257">
        <f t="shared" si="17"/>
        <v>18000</v>
      </c>
      <c r="I174" s="257">
        <v>90000</v>
      </c>
      <c r="J174" s="232">
        <f t="shared" si="18"/>
        <v>108000</v>
      </c>
      <c r="K174" s="248">
        <v>134500</v>
      </c>
      <c r="L174" s="249">
        <v>61060.243193663518</v>
      </c>
      <c r="M174" s="250">
        <v>195560.24319366351</v>
      </c>
      <c r="N174" s="99">
        <f t="shared" si="19"/>
        <v>18000</v>
      </c>
      <c r="O174" s="73">
        <f t="shared" si="20"/>
        <v>61060.243193663518</v>
      </c>
      <c r="P174" s="73">
        <f t="shared" si="21"/>
        <v>79060.243193663511</v>
      </c>
      <c r="Q174" s="301">
        <f t="shared" si="22"/>
        <v>16740</v>
      </c>
      <c r="R174" s="301">
        <f t="shared" si="23"/>
        <v>56786.02617010707</v>
      </c>
      <c r="S174" s="300">
        <f t="shared" si="24"/>
        <v>73526.02617010707</v>
      </c>
    </row>
    <row r="175" spans="1:19" ht="15" x14ac:dyDescent="0.25">
      <c r="A175" s="49">
        <v>163</v>
      </c>
      <c r="B175" s="32" t="s">
        <v>390</v>
      </c>
      <c r="C175" s="33" t="s">
        <v>153</v>
      </c>
      <c r="D175" s="111">
        <v>724085.67789918184</v>
      </c>
      <c r="E175" s="112">
        <v>180329.36065815797</v>
      </c>
      <c r="F175" s="112">
        <v>721317.44263263198</v>
      </c>
      <c r="G175" s="112">
        <v>901646.80329078995</v>
      </c>
      <c r="H175" s="257">
        <f t="shared" si="17"/>
        <v>155600</v>
      </c>
      <c r="I175" s="257">
        <v>778000</v>
      </c>
      <c r="J175" s="232">
        <f t="shared" si="18"/>
        <v>933600</v>
      </c>
      <c r="K175" s="248">
        <v>134500</v>
      </c>
      <c r="L175" s="249">
        <v>643936.25333027181</v>
      </c>
      <c r="M175" s="250">
        <v>778436.25333027181</v>
      </c>
      <c r="N175" s="99">
        <f t="shared" si="19"/>
        <v>134500</v>
      </c>
      <c r="O175" s="73">
        <f t="shared" si="20"/>
        <v>643936.25333027181</v>
      </c>
      <c r="P175" s="73">
        <f t="shared" si="21"/>
        <v>778436.25333027181</v>
      </c>
      <c r="Q175" s="301">
        <f t="shared" si="22"/>
        <v>125085</v>
      </c>
      <c r="R175" s="301">
        <f t="shared" si="23"/>
        <v>598860.71559715283</v>
      </c>
      <c r="S175" s="300">
        <f t="shared" si="24"/>
        <v>723945.71559715283</v>
      </c>
    </row>
    <row r="176" spans="1:19" ht="15" x14ac:dyDescent="0.25">
      <c r="A176" s="49">
        <v>164</v>
      </c>
      <c r="B176" s="32" t="s">
        <v>391</v>
      </c>
      <c r="C176" s="33" t="s">
        <v>153</v>
      </c>
      <c r="D176" s="111">
        <v>1999383.75</v>
      </c>
      <c r="E176" s="112">
        <v>419821.28749999986</v>
      </c>
      <c r="F176" s="112">
        <v>1679285.1500000001</v>
      </c>
      <c r="G176" s="112">
        <v>2099106.4375</v>
      </c>
      <c r="H176" s="257">
        <f t="shared" si="17"/>
        <v>296000</v>
      </c>
      <c r="I176" s="257">
        <v>1480000</v>
      </c>
      <c r="J176" s="232">
        <f t="shared" si="18"/>
        <v>1776000</v>
      </c>
      <c r="K176" s="248">
        <v>199500</v>
      </c>
      <c r="L176" s="249">
        <v>2135500</v>
      </c>
      <c r="M176" s="250">
        <v>2335000</v>
      </c>
      <c r="N176" s="99">
        <f t="shared" si="19"/>
        <v>199500</v>
      </c>
      <c r="O176" s="73">
        <f t="shared" si="20"/>
        <v>1480000</v>
      </c>
      <c r="P176" s="73">
        <f t="shared" si="21"/>
        <v>1679500</v>
      </c>
      <c r="Q176" s="301">
        <f t="shared" si="22"/>
        <v>185535</v>
      </c>
      <c r="R176" s="301">
        <f t="shared" si="23"/>
        <v>1376400</v>
      </c>
      <c r="S176" s="300">
        <f t="shared" si="24"/>
        <v>1561935</v>
      </c>
    </row>
    <row r="177" spans="1:19" ht="15" x14ac:dyDescent="0.25">
      <c r="A177" s="49">
        <v>165</v>
      </c>
      <c r="B177" s="32" t="s">
        <v>394</v>
      </c>
      <c r="C177" s="33" t="s">
        <v>153</v>
      </c>
      <c r="D177" s="111">
        <v>159950.70000000001</v>
      </c>
      <c r="E177" s="112">
        <v>47345.407199999987</v>
      </c>
      <c r="F177" s="112">
        <v>189381.62880000003</v>
      </c>
      <c r="G177" s="112">
        <v>236727.03600000002</v>
      </c>
      <c r="H177" s="257">
        <f t="shared" si="17"/>
        <v>40000</v>
      </c>
      <c r="I177" s="257">
        <v>200000</v>
      </c>
      <c r="J177" s="232">
        <f t="shared" si="18"/>
        <v>240000</v>
      </c>
      <c r="K177" s="248">
        <v>164500</v>
      </c>
      <c r="L177" s="249">
        <v>222000</v>
      </c>
      <c r="M177" s="250">
        <v>386500</v>
      </c>
      <c r="N177" s="99">
        <f t="shared" si="19"/>
        <v>40000</v>
      </c>
      <c r="O177" s="73">
        <f t="shared" si="20"/>
        <v>189381.62880000003</v>
      </c>
      <c r="P177" s="73">
        <f t="shared" si="21"/>
        <v>229381.62880000003</v>
      </c>
      <c r="Q177" s="301">
        <f t="shared" si="22"/>
        <v>37200</v>
      </c>
      <c r="R177" s="301">
        <f t="shared" si="23"/>
        <v>176124.91478400002</v>
      </c>
      <c r="S177" s="300">
        <f t="shared" si="24"/>
        <v>213324.91478400002</v>
      </c>
    </row>
    <row r="178" spans="1:19" ht="15" x14ac:dyDescent="0.25">
      <c r="A178" s="49">
        <v>166</v>
      </c>
      <c r="B178" s="46" t="s">
        <v>135</v>
      </c>
      <c r="C178" s="33" t="s">
        <v>153</v>
      </c>
      <c r="D178" s="111">
        <v>1200000</v>
      </c>
      <c r="E178" s="112">
        <v>275200</v>
      </c>
      <c r="F178" s="112">
        <v>1100800</v>
      </c>
      <c r="G178" s="112">
        <v>1376000</v>
      </c>
      <c r="H178" s="257">
        <f t="shared" si="17"/>
        <v>252000</v>
      </c>
      <c r="I178" s="257">
        <v>1260000</v>
      </c>
      <c r="J178" s="232">
        <f t="shared" si="18"/>
        <v>1512000</v>
      </c>
      <c r="K178" s="248">
        <v>194500</v>
      </c>
      <c r="L178" s="249">
        <v>1067500</v>
      </c>
      <c r="M178" s="250">
        <v>1262000</v>
      </c>
      <c r="N178" s="99">
        <f t="shared" si="19"/>
        <v>194500</v>
      </c>
      <c r="O178" s="73">
        <f t="shared" si="20"/>
        <v>1067500</v>
      </c>
      <c r="P178" s="73">
        <f t="shared" si="21"/>
        <v>1262000</v>
      </c>
      <c r="Q178" s="301">
        <f t="shared" si="22"/>
        <v>180885</v>
      </c>
      <c r="R178" s="301">
        <f t="shared" si="23"/>
        <v>992775</v>
      </c>
      <c r="S178" s="300">
        <f t="shared" si="24"/>
        <v>1173660</v>
      </c>
    </row>
    <row r="179" spans="1:19" ht="22.5" x14ac:dyDescent="0.25">
      <c r="A179" s="49"/>
      <c r="B179" s="29" t="s">
        <v>44</v>
      </c>
      <c r="C179" s="33" t="s">
        <v>153</v>
      </c>
      <c r="D179" s="111"/>
      <c r="E179" s="112"/>
      <c r="F179" s="112"/>
      <c r="G179" s="112"/>
      <c r="H179" s="257">
        <f t="shared" si="17"/>
        <v>0</v>
      </c>
      <c r="I179" s="257"/>
      <c r="J179" s="232">
        <f t="shared" si="18"/>
        <v>0</v>
      </c>
      <c r="K179" s="248"/>
      <c r="L179" s="249"/>
      <c r="M179" s="250">
        <v>0</v>
      </c>
      <c r="N179" s="99">
        <f t="shared" si="19"/>
        <v>0</v>
      </c>
      <c r="O179" s="73">
        <f t="shared" si="20"/>
        <v>0</v>
      </c>
      <c r="P179" s="73">
        <f t="shared" si="21"/>
        <v>0</v>
      </c>
      <c r="Q179" s="301">
        <f t="shared" si="22"/>
        <v>0</v>
      </c>
      <c r="R179" s="301">
        <f t="shared" si="23"/>
        <v>0</v>
      </c>
      <c r="S179" s="300">
        <f t="shared" si="24"/>
        <v>0</v>
      </c>
    </row>
    <row r="180" spans="1:19" ht="15" x14ac:dyDescent="0.25">
      <c r="A180" s="49">
        <v>167</v>
      </c>
      <c r="B180" s="47" t="s">
        <v>86</v>
      </c>
      <c r="C180" s="33" t="s">
        <v>153</v>
      </c>
      <c r="D180" s="111">
        <v>101515.0052</v>
      </c>
      <c r="E180" s="112">
        <v>30048.441539199994</v>
      </c>
      <c r="F180" s="112">
        <v>120193.7661568</v>
      </c>
      <c r="G180" s="112">
        <v>150242.207696</v>
      </c>
      <c r="H180" s="257">
        <f t="shared" si="17"/>
        <v>25000</v>
      </c>
      <c r="I180" s="257">
        <v>125000</v>
      </c>
      <c r="J180" s="232">
        <f t="shared" si="18"/>
        <v>150000</v>
      </c>
      <c r="K180" s="248">
        <v>164500</v>
      </c>
      <c r="L180" s="249">
        <v>98032.712210463651</v>
      </c>
      <c r="M180" s="250">
        <v>262532.71221046365</v>
      </c>
      <c r="N180" s="99">
        <f t="shared" si="19"/>
        <v>25000</v>
      </c>
      <c r="O180" s="73">
        <f t="shared" si="20"/>
        <v>98032.712210463651</v>
      </c>
      <c r="P180" s="73">
        <f t="shared" si="21"/>
        <v>123032.71221046365</v>
      </c>
      <c r="Q180" s="301">
        <f t="shared" si="22"/>
        <v>23250</v>
      </c>
      <c r="R180" s="301">
        <f t="shared" si="23"/>
        <v>91170.422355731193</v>
      </c>
      <c r="S180" s="300">
        <f t="shared" si="24"/>
        <v>114420.42235573119</v>
      </c>
    </row>
    <row r="181" spans="1:19" ht="15" x14ac:dyDescent="0.25">
      <c r="A181" s="49">
        <v>168</v>
      </c>
      <c r="B181" s="50" t="s">
        <v>45</v>
      </c>
      <c r="C181" s="33" t="s">
        <v>153</v>
      </c>
      <c r="D181" s="111">
        <v>739005.7614290748</v>
      </c>
      <c r="E181" s="112">
        <v>218745.70538300613</v>
      </c>
      <c r="F181" s="112">
        <v>874982.82153202465</v>
      </c>
      <c r="G181" s="112">
        <v>1093728.5269150308</v>
      </c>
      <c r="H181" s="257">
        <f t="shared" si="17"/>
        <v>174000</v>
      </c>
      <c r="I181" s="257">
        <v>870000</v>
      </c>
      <c r="J181" s="232">
        <f t="shared" si="18"/>
        <v>1044000</v>
      </c>
      <c r="K181" s="248">
        <v>224500</v>
      </c>
      <c r="L181" s="249">
        <v>657215.12767187657</v>
      </c>
      <c r="M181" s="250">
        <v>881715.12767187657</v>
      </c>
      <c r="N181" s="99">
        <f t="shared" si="19"/>
        <v>174000</v>
      </c>
      <c r="O181" s="73">
        <f t="shared" si="20"/>
        <v>657215.12767187657</v>
      </c>
      <c r="P181" s="73">
        <f t="shared" si="21"/>
        <v>831215.12767187657</v>
      </c>
      <c r="Q181" s="301">
        <f t="shared" si="22"/>
        <v>161820</v>
      </c>
      <c r="R181" s="301">
        <f t="shared" si="23"/>
        <v>611210.06873484526</v>
      </c>
      <c r="S181" s="300">
        <f t="shared" si="24"/>
        <v>773030.06873484526</v>
      </c>
    </row>
    <row r="182" spans="1:19" ht="15" x14ac:dyDescent="0.25">
      <c r="A182" s="49">
        <v>169</v>
      </c>
      <c r="B182" s="40" t="s">
        <v>243</v>
      </c>
      <c r="C182" s="33" t="s">
        <v>153</v>
      </c>
      <c r="D182" s="111">
        <v>296205</v>
      </c>
      <c r="E182" s="112">
        <v>87676.68</v>
      </c>
      <c r="F182" s="112">
        <v>350706.72000000003</v>
      </c>
      <c r="G182" s="112">
        <v>438383.4</v>
      </c>
      <c r="H182" s="257">
        <f t="shared" si="17"/>
        <v>74000</v>
      </c>
      <c r="I182" s="257">
        <v>370000</v>
      </c>
      <c r="J182" s="232">
        <f t="shared" si="18"/>
        <v>444000</v>
      </c>
      <c r="K182" s="248">
        <v>297500</v>
      </c>
      <c r="L182" s="249">
        <v>455515.18815192056</v>
      </c>
      <c r="M182" s="250">
        <v>753015.18815192056</v>
      </c>
      <c r="N182" s="99">
        <f t="shared" si="19"/>
        <v>74000</v>
      </c>
      <c r="O182" s="73">
        <f t="shared" si="20"/>
        <v>350706.72000000003</v>
      </c>
      <c r="P182" s="73">
        <f t="shared" si="21"/>
        <v>424706.72000000003</v>
      </c>
      <c r="Q182" s="301">
        <f t="shared" si="22"/>
        <v>68820</v>
      </c>
      <c r="R182" s="301">
        <f t="shared" si="23"/>
        <v>326157.24960000004</v>
      </c>
      <c r="S182" s="300">
        <f t="shared" si="24"/>
        <v>394977.24960000004</v>
      </c>
    </row>
    <row r="183" spans="1:19" ht="15" x14ac:dyDescent="0.25">
      <c r="A183" s="49">
        <v>170</v>
      </c>
      <c r="B183" s="50" t="s">
        <v>46</v>
      </c>
      <c r="C183" s="33" t="s">
        <v>153</v>
      </c>
      <c r="D183" s="111">
        <v>97686.099349435244</v>
      </c>
      <c r="E183" s="112">
        <v>29305.829804830573</v>
      </c>
      <c r="F183" s="112">
        <v>117223.31921932229</v>
      </c>
      <c r="G183" s="112">
        <v>146529.14902415287</v>
      </c>
      <c r="H183" s="257">
        <f t="shared" si="17"/>
        <v>23000</v>
      </c>
      <c r="I183" s="257">
        <v>115000</v>
      </c>
      <c r="J183" s="232">
        <f t="shared" si="18"/>
        <v>138000</v>
      </c>
      <c r="K183" s="248">
        <v>199500</v>
      </c>
      <c r="L183" s="249">
        <v>86440.628420997367</v>
      </c>
      <c r="M183" s="250">
        <v>285940.62842099735</v>
      </c>
      <c r="N183" s="99">
        <f t="shared" si="19"/>
        <v>23000</v>
      </c>
      <c r="O183" s="73">
        <f t="shared" si="20"/>
        <v>86440.628420997367</v>
      </c>
      <c r="P183" s="73">
        <f t="shared" si="21"/>
        <v>109440.62842099737</v>
      </c>
      <c r="Q183" s="301">
        <f t="shared" si="22"/>
        <v>21390</v>
      </c>
      <c r="R183" s="301">
        <f t="shared" si="23"/>
        <v>80389.784431527543</v>
      </c>
      <c r="S183" s="300">
        <f t="shared" si="24"/>
        <v>101779.78443152754</v>
      </c>
    </row>
    <row r="184" spans="1:19" ht="15" x14ac:dyDescent="0.25">
      <c r="A184" s="49">
        <v>171</v>
      </c>
      <c r="B184" s="47" t="s">
        <v>87</v>
      </c>
      <c r="C184" s="33" t="s">
        <v>153</v>
      </c>
      <c r="D184" s="111">
        <v>104198.50597273088</v>
      </c>
      <c r="E184" s="112">
        <v>30842.757767928328</v>
      </c>
      <c r="F184" s="112">
        <v>123371.03107171337</v>
      </c>
      <c r="G184" s="112">
        <v>154213.7888396417</v>
      </c>
      <c r="H184" s="257">
        <f t="shared" si="17"/>
        <v>24000</v>
      </c>
      <c r="I184" s="257">
        <v>120000</v>
      </c>
      <c r="J184" s="232">
        <f t="shared" si="18"/>
        <v>144000</v>
      </c>
      <c r="K184" s="248">
        <v>124500</v>
      </c>
      <c r="L184" s="249">
        <v>92236.670315730487</v>
      </c>
      <c r="M184" s="250">
        <v>216736.6703157305</v>
      </c>
      <c r="N184" s="99">
        <f t="shared" si="19"/>
        <v>24000</v>
      </c>
      <c r="O184" s="73">
        <f t="shared" si="20"/>
        <v>92236.670315730487</v>
      </c>
      <c r="P184" s="73">
        <f t="shared" si="21"/>
        <v>116236.67031573049</v>
      </c>
      <c r="Q184" s="301">
        <f t="shared" si="22"/>
        <v>22320</v>
      </c>
      <c r="R184" s="301">
        <f t="shared" si="23"/>
        <v>85780.103393629353</v>
      </c>
      <c r="S184" s="300">
        <f t="shared" si="24"/>
        <v>108100.10339362935</v>
      </c>
    </row>
    <row r="185" spans="1:19" ht="15" x14ac:dyDescent="0.25">
      <c r="A185" s="49">
        <v>172</v>
      </c>
      <c r="B185" s="46" t="s">
        <v>129</v>
      </c>
      <c r="C185" s="33" t="s">
        <v>153</v>
      </c>
      <c r="D185" s="111">
        <v>237911.856</v>
      </c>
      <c r="E185" s="112">
        <v>70421.909375999996</v>
      </c>
      <c r="F185" s="112">
        <v>281687.63750399998</v>
      </c>
      <c r="G185" s="112">
        <v>352109.54687999998</v>
      </c>
      <c r="H185" s="257">
        <f t="shared" si="17"/>
        <v>58000</v>
      </c>
      <c r="I185" s="257">
        <v>290000</v>
      </c>
      <c r="J185" s="232">
        <f t="shared" si="18"/>
        <v>348000</v>
      </c>
      <c r="K185" s="248">
        <v>219500</v>
      </c>
      <c r="L185" s="249">
        <v>226747.15337937127</v>
      </c>
      <c r="M185" s="250">
        <v>446247.15337937127</v>
      </c>
      <c r="N185" s="99">
        <f t="shared" si="19"/>
        <v>58000</v>
      </c>
      <c r="O185" s="73">
        <f t="shared" si="20"/>
        <v>226747.15337937127</v>
      </c>
      <c r="P185" s="73">
        <f t="shared" si="21"/>
        <v>284747.15337937127</v>
      </c>
      <c r="Q185" s="301">
        <f t="shared" si="22"/>
        <v>53940</v>
      </c>
      <c r="R185" s="301">
        <f t="shared" si="23"/>
        <v>210874.85264281527</v>
      </c>
      <c r="S185" s="300">
        <f t="shared" si="24"/>
        <v>264814.85264281527</v>
      </c>
    </row>
    <row r="186" spans="1:19" ht="22.5" x14ac:dyDescent="0.25">
      <c r="A186" s="49"/>
      <c r="B186" s="29" t="s">
        <v>59</v>
      </c>
      <c r="C186" s="33" t="s">
        <v>153</v>
      </c>
      <c r="D186" s="111"/>
      <c r="E186" s="112"/>
      <c r="F186" s="112"/>
      <c r="G186" s="112"/>
      <c r="H186" s="257">
        <f t="shared" si="17"/>
        <v>0</v>
      </c>
      <c r="I186" s="257"/>
      <c r="J186" s="232">
        <f t="shared" si="18"/>
        <v>0</v>
      </c>
      <c r="K186" s="248"/>
      <c r="L186" s="249"/>
      <c r="M186" s="250">
        <v>0</v>
      </c>
      <c r="N186" s="99">
        <f t="shared" si="19"/>
        <v>0</v>
      </c>
      <c r="O186" s="73">
        <f t="shared" si="20"/>
        <v>0</v>
      </c>
      <c r="P186" s="73">
        <f t="shared" si="21"/>
        <v>0</v>
      </c>
      <c r="Q186" s="301">
        <f t="shared" si="22"/>
        <v>0</v>
      </c>
      <c r="R186" s="301">
        <f t="shared" si="23"/>
        <v>0</v>
      </c>
      <c r="S186" s="300">
        <f t="shared" si="24"/>
        <v>0</v>
      </c>
    </row>
    <row r="187" spans="1:19" ht="15" x14ac:dyDescent="0.25">
      <c r="A187" s="49">
        <v>173</v>
      </c>
      <c r="B187" s="50" t="s">
        <v>60</v>
      </c>
      <c r="C187" s="33" t="s">
        <v>153</v>
      </c>
      <c r="D187" s="111">
        <v>207580.46400000001</v>
      </c>
      <c r="E187" s="112">
        <v>67443.817343999981</v>
      </c>
      <c r="F187" s="112">
        <v>269775.26937600004</v>
      </c>
      <c r="G187" s="112">
        <v>337219.08672000002</v>
      </c>
      <c r="H187" s="257">
        <f t="shared" si="17"/>
        <v>40000</v>
      </c>
      <c r="I187" s="257">
        <v>200000</v>
      </c>
      <c r="J187" s="232">
        <f t="shared" si="18"/>
        <v>240000</v>
      </c>
      <c r="K187" s="248">
        <v>74500</v>
      </c>
      <c r="L187" s="249">
        <v>186264.3070429299</v>
      </c>
      <c r="M187" s="250">
        <v>260764.3070429299</v>
      </c>
      <c r="N187" s="99">
        <f t="shared" si="19"/>
        <v>40000</v>
      </c>
      <c r="O187" s="73">
        <f t="shared" si="20"/>
        <v>186264.3070429299</v>
      </c>
      <c r="P187" s="73">
        <f t="shared" si="21"/>
        <v>226264.3070429299</v>
      </c>
      <c r="Q187" s="301">
        <f t="shared" si="22"/>
        <v>37200</v>
      </c>
      <c r="R187" s="301">
        <f t="shared" si="23"/>
        <v>173225.80554992481</v>
      </c>
      <c r="S187" s="300">
        <f t="shared" si="24"/>
        <v>210425.80554992481</v>
      </c>
    </row>
    <row r="188" spans="1:19" ht="15" x14ac:dyDescent="0.25">
      <c r="A188" s="49">
        <v>174</v>
      </c>
      <c r="B188" s="50" t="s">
        <v>131</v>
      </c>
      <c r="C188" s="33" t="s">
        <v>153</v>
      </c>
      <c r="D188" s="111">
        <v>37854.999000000003</v>
      </c>
      <c r="E188" s="112">
        <v>9356.4997000000003</v>
      </c>
      <c r="F188" s="112">
        <v>37425.998800000001</v>
      </c>
      <c r="G188" s="112">
        <v>46782.498500000002</v>
      </c>
      <c r="H188" s="257">
        <f t="shared" si="17"/>
        <v>9000</v>
      </c>
      <c r="I188" s="257">
        <v>45000</v>
      </c>
      <c r="J188" s="232">
        <f t="shared" si="18"/>
        <v>54000</v>
      </c>
      <c r="K188" s="248">
        <v>74500</v>
      </c>
      <c r="L188" s="249">
        <v>36722.287397368898</v>
      </c>
      <c r="M188" s="250">
        <v>111222.2873973689</v>
      </c>
      <c r="N188" s="99">
        <f t="shared" si="19"/>
        <v>9000</v>
      </c>
      <c r="O188" s="73">
        <f t="shared" si="20"/>
        <v>36722.287397368898</v>
      </c>
      <c r="P188" s="73">
        <f t="shared" si="21"/>
        <v>45722.287397368898</v>
      </c>
      <c r="Q188" s="301">
        <f t="shared" si="22"/>
        <v>8370</v>
      </c>
      <c r="R188" s="301">
        <f t="shared" si="23"/>
        <v>34151.727279553073</v>
      </c>
      <c r="S188" s="300">
        <f t="shared" si="24"/>
        <v>42521.727279553073</v>
      </c>
    </row>
    <row r="189" spans="1:19" ht="15" x14ac:dyDescent="0.25">
      <c r="A189" s="49">
        <v>175</v>
      </c>
      <c r="B189" s="50" t="s">
        <v>244</v>
      </c>
      <c r="C189" s="33" t="s">
        <v>153</v>
      </c>
      <c r="D189" s="111">
        <v>92260.554622137002</v>
      </c>
      <c r="E189" s="112">
        <v>21678.166386641198</v>
      </c>
      <c r="F189" s="112">
        <v>86712.665546564807</v>
      </c>
      <c r="G189" s="112">
        <v>108390.83193320601</v>
      </c>
      <c r="H189" s="257">
        <f t="shared" si="17"/>
        <v>14000</v>
      </c>
      <c r="I189" s="257">
        <v>70000</v>
      </c>
      <c r="J189" s="232">
        <f t="shared" si="18"/>
        <v>84000</v>
      </c>
      <c r="K189" s="248">
        <v>74500</v>
      </c>
      <c r="L189" s="249">
        <v>101711.8936137</v>
      </c>
      <c r="M189" s="250">
        <v>176211.8936137</v>
      </c>
      <c r="N189" s="99">
        <f t="shared" si="19"/>
        <v>14000</v>
      </c>
      <c r="O189" s="73">
        <f t="shared" si="20"/>
        <v>70000</v>
      </c>
      <c r="P189" s="73">
        <f t="shared" si="21"/>
        <v>84000</v>
      </c>
      <c r="Q189" s="301">
        <f t="shared" si="22"/>
        <v>13020</v>
      </c>
      <c r="R189" s="301">
        <f t="shared" si="23"/>
        <v>65100</v>
      </c>
      <c r="S189" s="300">
        <f t="shared" si="24"/>
        <v>78120</v>
      </c>
    </row>
    <row r="190" spans="1:19" ht="15" x14ac:dyDescent="0.25">
      <c r="A190" s="49">
        <v>176</v>
      </c>
      <c r="B190" s="50" t="s">
        <v>61</v>
      </c>
      <c r="C190" s="33" t="s">
        <v>153</v>
      </c>
      <c r="D190" s="111">
        <v>60783.424221643196</v>
      </c>
      <c r="E190" s="112">
        <v>14035.027266492958</v>
      </c>
      <c r="F190" s="112">
        <v>56140.109065971839</v>
      </c>
      <c r="G190" s="112">
        <v>70175.136332464797</v>
      </c>
      <c r="H190" s="257">
        <f t="shared" si="17"/>
        <v>14000</v>
      </c>
      <c r="I190" s="257">
        <v>70000</v>
      </c>
      <c r="J190" s="232">
        <f t="shared" si="18"/>
        <v>84000</v>
      </c>
      <c r="K190" s="248">
        <v>74500</v>
      </c>
      <c r="L190" s="249">
        <v>93597.247557262395</v>
      </c>
      <c r="M190" s="250">
        <v>168097.2475572624</v>
      </c>
      <c r="N190" s="99">
        <f t="shared" si="19"/>
        <v>14000</v>
      </c>
      <c r="O190" s="73">
        <f t="shared" si="20"/>
        <v>56140.109065971839</v>
      </c>
      <c r="P190" s="73">
        <f t="shared" si="21"/>
        <v>70140.109065971832</v>
      </c>
      <c r="Q190" s="301">
        <f t="shared" si="22"/>
        <v>13020</v>
      </c>
      <c r="R190" s="301">
        <f t="shared" si="23"/>
        <v>52210.301431353808</v>
      </c>
      <c r="S190" s="300">
        <f t="shared" si="24"/>
        <v>65230.301431353808</v>
      </c>
    </row>
    <row r="191" spans="1:19" ht="15" x14ac:dyDescent="0.25">
      <c r="A191" s="49">
        <v>177</v>
      </c>
      <c r="B191" s="50" t="s">
        <v>118</v>
      </c>
      <c r="C191" s="33" t="s">
        <v>153</v>
      </c>
      <c r="D191" s="111">
        <v>172746.75600000002</v>
      </c>
      <c r="E191" s="112">
        <v>51133.039775999991</v>
      </c>
      <c r="F191" s="112">
        <v>204532.15910400005</v>
      </c>
      <c r="G191" s="112">
        <v>255665.19888000004</v>
      </c>
      <c r="H191" s="257">
        <f t="shared" si="17"/>
        <v>40000</v>
      </c>
      <c r="I191" s="257">
        <v>200000</v>
      </c>
      <c r="J191" s="232">
        <f t="shared" si="18"/>
        <v>240000</v>
      </c>
      <c r="K191" s="248">
        <v>74500</v>
      </c>
      <c r="L191" s="249">
        <v>192700.6236855193</v>
      </c>
      <c r="M191" s="250">
        <v>267200.62368551933</v>
      </c>
      <c r="N191" s="99">
        <f t="shared" si="19"/>
        <v>40000</v>
      </c>
      <c r="O191" s="73">
        <f t="shared" si="20"/>
        <v>192700.6236855193</v>
      </c>
      <c r="P191" s="73">
        <f t="shared" si="21"/>
        <v>232700.6236855193</v>
      </c>
      <c r="Q191" s="301">
        <f t="shared" si="22"/>
        <v>37200</v>
      </c>
      <c r="R191" s="301">
        <f t="shared" si="23"/>
        <v>179211.58002753294</v>
      </c>
      <c r="S191" s="300">
        <f t="shared" si="24"/>
        <v>216411.58002753294</v>
      </c>
    </row>
    <row r="192" spans="1:19" ht="15" x14ac:dyDescent="0.25">
      <c r="A192" s="49">
        <v>178</v>
      </c>
      <c r="B192" s="50" t="s">
        <v>321</v>
      </c>
      <c r="C192" s="33" t="s">
        <v>153</v>
      </c>
      <c r="D192" s="111">
        <v>172746.75600000002</v>
      </c>
      <c r="E192" s="112">
        <v>37321.039775999991</v>
      </c>
      <c r="F192" s="112">
        <v>149284.15910400002</v>
      </c>
      <c r="G192" s="112">
        <v>186605.19888000001</v>
      </c>
      <c r="H192" s="257">
        <f t="shared" si="17"/>
        <v>37200</v>
      </c>
      <c r="I192" s="257">
        <v>186000</v>
      </c>
      <c r="J192" s="232">
        <f t="shared" si="18"/>
        <v>223200</v>
      </c>
      <c r="K192" s="248">
        <v>74500</v>
      </c>
      <c r="L192" s="249">
        <v>241155.53392548845</v>
      </c>
      <c r="M192" s="250">
        <v>315655.53392548847</v>
      </c>
      <c r="N192" s="99">
        <f t="shared" si="19"/>
        <v>37200</v>
      </c>
      <c r="O192" s="73">
        <f t="shared" si="20"/>
        <v>149284.15910400002</v>
      </c>
      <c r="P192" s="73">
        <f t="shared" si="21"/>
        <v>186484.15910400002</v>
      </c>
      <c r="Q192" s="301">
        <f t="shared" si="22"/>
        <v>34596</v>
      </c>
      <c r="R192" s="301">
        <f t="shared" si="23"/>
        <v>138834.26796672001</v>
      </c>
      <c r="S192" s="300">
        <f t="shared" si="24"/>
        <v>173430.26796672001</v>
      </c>
    </row>
    <row r="193" spans="1:19" ht="15" x14ac:dyDescent="0.25">
      <c r="A193" s="49">
        <v>179</v>
      </c>
      <c r="B193" s="50" t="s">
        <v>104</v>
      </c>
      <c r="C193" s="33" t="s">
        <v>153</v>
      </c>
      <c r="D193" s="111">
        <v>159950.70000000001</v>
      </c>
      <c r="E193" s="112">
        <v>37345.407199999987</v>
      </c>
      <c r="F193" s="112">
        <v>149381.62880000001</v>
      </c>
      <c r="G193" s="112">
        <v>186727.03599999999</v>
      </c>
      <c r="H193" s="257">
        <f t="shared" si="17"/>
        <v>37200</v>
      </c>
      <c r="I193" s="257">
        <v>186000</v>
      </c>
      <c r="J193" s="232">
        <f t="shared" si="18"/>
        <v>223200</v>
      </c>
      <c r="K193" s="248">
        <v>74500</v>
      </c>
      <c r="L193" s="249">
        <v>241155.53392548845</v>
      </c>
      <c r="M193" s="250">
        <v>315655.53392548847</v>
      </c>
      <c r="N193" s="99">
        <f t="shared" si="19"/>
        <v>37200</v>
      </c>
      <c r="O193" s="73">
        <f t="shared" si="20"/>
        <v>149381.62880000001</v>
      </c>
      <c r="P193" s="73">
        <f t="shared" si="21"/>
        <v>186581.62880000001</v>
      </c>
      <c r="Q193" s="301">
        <f t="shared" si="22"/>
        <v>34596</v>
      </c>
      <c r="R193" s="301">
        <f t="shared" si="23"/>
        <v>138924.91478399999</v>
      </c>
      <c r="S193" s="300">
        <f t="shared" si="24"/>
        <v>173520.91478399999</v>
      </c>
    </row>
    <row r="194" spans="1:19" ht="15" x14ac:dyDescent="0.25">
      <c r="A194" s="49">
        <v>180</v>
      </c>
      <c r="B194" s="50" t="s">
        <v>247</v>
      </c>
      <c r="C194" s="33" t="s">
        <v>153</v>
      </c>
      <c r="D194" s="111">
        <v>15000</v>
      </c>
      <c r="E194" s="112">
        <v>4500</v>
      </c>
      <c r="F194" s="112">
        <v>18000</v>
      </c>
      <c r="G194" s="112">
        <v>22500</v>
      </c>
      <c r="H194" s="257">
        <f t="shared" si="17"/>
        <v>3400</v>
      </c>
      <c r="I194" s="257">
        <v>17000</v>
      </c>
      <c r="J194" s="232">
        <f t="shared" si="18"/>
        <v>20400</v>
      </c>
      <c r="K194" s="248">
        <v>74500</v>
      </c>
      <c r="L194" s="249">
        <v>12850</v>
      </c>
      <c r="M194" s="250">
        <v>87350</v>
      </c>
      <c r="N194" s="99">
        <f t="shared" si="19"/>
        <v>3400</v>
      </c>
      <c r="O194" s="73">
        <f t="shared" si="20"/>
        <v>12850</v>
      </c>
      <c r="P194" s="73">
        <f t="shared" si="21"/>
        <v>16250</v>
      </c>
      <c r="Q194" s="301">
        <f t="shared" si="22"/>
        <v>3162</v>
      </c>
      <c r="R194" s="301">
        <f t="shared" si="23"/>
        <v>11950.5</v>
      </c>
      <c r="S194" s="300">
        <f t="shared" si="24"/>
        <v>15112.5</v>
      </c>
    </row>
    <row r="195" spans="1:19" ht="15" x14ac:dyDescent="0.25">
      <c r="A195" s="49">
        <v>181</v>
      </c>
      <c r="B195" s="50" t="s">
        <v>248</v>
      </c>
      <c r="C195" s="33" t="s">
        <v>153</v>
      </c>
      <c r="D195" s="111">
        <v>29494.789702487076</v>
      </c>
      <c r="E195" s="112">
        <v>7648.4369107461171</v>
      </c>
      <c r="F195" s="112">
        <v>30593.747642984483</v>
      </c>
      <c r="G195" s="112">
        <v>38242.1845537306</v>
      </c>
      <c r="H195" s="257">
        <f t="shared" si="17"/>
        <v>6600</v>
      </c>
      <c r="I195" s="257">
        <v>33000</v>
      </c>
      <c r="J195" s="232">
        <f t="shared" si="18"/>
        <v>39600</v>
      </c>
      <c r="K195" s="248">
        <v>74500</v>
      </c>
      <c r="L195" s="249">
        <v>25750.362835213498</v>
      </c>
      <c r="M195" s="250">
        <v>100250.3628352135</v>
      </c>
      <c r="N195" s="99">
        <f t="shared" si="19"/>
        <v>6600</v>
      </c>
      <c r="O195" s="73">
        <f t="shared" si="20"/>
        <v>25750.362835213498</v>
      </c>
      <c r="P195" s="73">
        <f t="shared" si="21"/>
        <v>32350.362835213498</v>
      </c>
      <c r="Q195" s="301">
        <f t="shared" si="22"/>
        <v>6138</v>
      </c>
      <c r="R195" s="301">
        <f t="shared" si="23"/>
        <v>23947.837436748552</v>
      </c>
      <c r="S195" s="300">
        <f t="shared" si="24"/>
        <v>30085.837436748552</v>
      </c>
    </row>
    <row r="196" spans="1:19" ht="15" x14ac:dyDescent="0.25">
      <c r="A196" s="49">
        <v>182</v>
      </c>
      <c r="B196" s="50" t="s">
        <v>249</v>
      </c>
      <c r="C196" s="33" t="s">
        <v>153</v>
      </c>
      <c r="D196" s="111">
        <v>24445.600200000001</v>
      </c>
      <c r="E196" s="112">
        <v>6533.6800599999988</v>
      </c>
      <c r="F196" s="112">
        <v>26134.720240000002</v>
      </c>
      <c r="G196" s="112">
        <v>32668.400300000001</v>
      </c>
      <c r="H196" s="257">
        <f t="shared" si="17"/>
        <v>5800</v>
      </c>
      <c r="I196" s="257">
        <v>29000</v>
      </c>
      <c r="J196" s="232">
        <f t="shared" si="18"/>
        <v>34800</v>
      </c>
      <c r="K196" s="248">
        <v>74500</v>
      </c>
      <c r="L196" s="249">
        <v>23371.611791096668</v>
      </c>
      <c r="M196" s="250">
        <v>97871.611791096671</v>
      </c>
      <c r="N196" s="99">
        <f t="shared" si="19"/>
        <v>5800</v>
      </c>
      <c r="O196" s="73">
        <f t="shared" si="20"/>
        <v>23371.611791096668</v>
      </c>
      <c r="P196" s="73">
        <f t="shared" si="21"/>
        <v>29171.611791096668</v>
      </c>
      <c r="Q196" s="301">
        <f t="shared" si="22"/>
        <v>5394</v>
      </c>
      <c r="R196" s="301">
        <f t="shared" si="23"/>
        <v>21735.598965719902</v>
      </c>
      <c r="S196" s="300">
        <f t="shared" si="24"/>
        <v>27129.598965719902</v>
      </c>
    </row>
    <row r="197" spans="1:19" ht="22.5" x14ac:dyDescent="0.25">
      <c r="A197" s="49"/>
      <c r="B197" s="41" t="s">
        <v>47</v>
      </c>
      <c r="C197" s="33" t="s">
        <v>153</v>
      </c>
      <c r="D197" s="111"/>
      <c r="E197" s="112"/>
      <c r="F197" s="112"/>
      <c r="G197" s="112"/>
      <c r="H197" s="257">
        <f t="shared" si="17"/>
        <v>0</v>
      </c>
      <c r="I197" s="257"/>
      <c r="J197" s="232">
        <f t="shared" si="18"/>
        <v>0</v>
      </c>
      <c r="K197" s="248"/>
      <c r="L197" s="249"/>
      <c r="M197" s="250">
        <v>0</v>
      </c>
      <c r="N197" s="99">
        <f t="shared" si="19"/>
        <v>0</v>
      </c>
      <c r="O197" s="73">
        <f t="shared" si="20"/>
        <v>0</v>
      </c>
      <c r="P197" s="73">
        <f t="shared" si="21"/>
        <v>0</v>
      </c>
      <c r="Q197" s="301">
        <f t="shared" si="22"/>
        <v>0</v>
      </c>
      <c r="R197" s="301">
        <f t="shared" si="23"/>
        <v>0</v>
      </c>
      <c r="S197" s="300">
        <f t="shared" si="24"/>
        <v>0</v>
      </c>
    </row>
    <row r="198" spans="1:19" ht="15" x14ac:dyDescent="0.25">
      <c r="A198" s="49">
        <v>183</v>
      </c>
      <c r="B198" s="50" t="s">
        <v>48</v>
      </c>
      <c r="C198" s="33" t="s">
        <v>153</v>
      </c>
      <c r="D198" s="111">
        <v>760880.76492650679</v>
      </c>
      <c r="E198" s="112">
        <v>170420.70618245995</v>
      </c>
      <c r="F198" s="112">
        <v>681682.82472984004</v>
      </c>
      <c r="G198" s="112">
        <v>852103.53091229999</v>
      </c>
      <c r="H198" s="257">
        <f t="shared" ref="H198:H233" si="25">+I198*20%</f>
        <v>168000</v>
      </c>
      <c r="I198" s="257">
        <v>840000</v>
      </c>
      <c r="J198" s="232">
        <f t="shared" ref="J198:J233" si="26">+I198+H198</f>
        <v>1008000</v>
      </c>
      <c r="K198" s="248">
        <v>219500</v>
      </c>
      <c r="L198" s="249">
        <v>676683.88078459108</v>
      </c>
      <c r="M198" s="250">
        <v>896183.88078459108</v>
      </c>
      <c r="N198" s="99">
        <f t="shared" ref="N198:N233" si="27">MIN(E198,H198,K198)</f>
        <v>168000</v>
      </c>
      <c r="O198" s="73">
        <f t="shared" ref="O198:O233" si="28">MIN(F198,I198,L198)</f>
        <v>676683.88078459108</v>
      </c>
      <c r="P198" s="73">
        <f t="shared" ref="P198:P233" si="29">O198+N198</f>
        <v>844683.88078459108</v>
      </c>
      <c r="Q198" s="301">
        <f t="shared" ref="Q198:Q235" si="30">N198-(N198*7%)</f>
        <v>156240</v>
      </c>
      <c r="R198" s="301">
        <f t="shared" ref="R198:R235" si="31">O198-(O198*7%)</f>
        <v>629316.00912966975</v>
      </c>
      <c r="S198" s="300">
        <f t="shared" ref="S198:S235" si="32">R198+Q198</f>
        <v>785556.00912966975</v>
      </c>
    </row>
    <row r="199" spans="1:19" ht="15" x14ac:dyDescent="0.25">
      <c r="A199" s="49">
        <v>184</v>
      </c>
      <c r="B199" s="50" t="s">
        <v>49</v>
      </c>
      <c r="C199" s="33" t="s">
        <v>153</v>
      </c>
      <c r="D199" s="134">
        <v>543797.10699206695</v>
      </c>
      <c r="E199" s="112">
        <v>140963.94366965175</v>
      </c>
      <c r="F199" s="112">
        <v>563855.77467860724</v>
      </c>
      <c r="G199" s="112">
        <v>704819.71834825899</v>
      </c>
      <c r="H199" s="257">
        <f t="shared" si="25"/>
        <v>124000</v>
      </c>
      <c r="I199" s="257">
        <v>620000</v>
      </c>
      <c r="J199" s="232">
        <f t="shared" si="26"/>
        <v>744000</v>
      </c>
      <c r="K199" s="248">
        <v>219500</v>
      </c>
      <c r="L199" s="249">
        <v>483479.42522293958</v>
      </c>
      <c r="M199" s="250">
        <v>702979.42522293958</v>
      </c>
      <c r="N199" s="99">
        <f t="shared" si="27"/>
        <v>124000</v>
      </c>
      <c r="O199" s="73">
        <f t="shared" si="28"/>
        <v>483479.42522293958</v>
      </c>
      <c r="P199" s="73">
        <f t="shared" si="29"/>
        <v>607479.42522293958</v>
      </c>
      <c r="Q199" s="301">
        <f t="shared" si="30"/>
        <v>115320</v>
      </c>
      <c r="R199" s="301">
        <f t="shared" si="31"/>
        <v>449635.8654573338</v>
      </c>
      <c r="S199" s="300">
        <f t="shared" si="32"/>
        <v>564955.86545733386</v>
      </c>
    </row>
    <row r="200" spans="1:19" ht="15" x14ac:dyDescent="0.25">
      <c r="A200" s="49">
        <v>185</v>
      </c>
      <c r="B200" s="50" t="s">
        <v>50</v>
      </c>
      <c r="C200" s="33" t="s">
        <v>153</v>
      </c>
      <c r="D200" s="111">
        <v>153188.42969522136</v>
      </c>
      <c r="E200" s="112">
        <v>25343.775189785592</v>
      </c>
      <c r="F200" s="112">
        <v>101375.10075914241</v>
      </c>
      <c r="G200" s="112">
        <v>126718.87594892801</v>
      </c>
      <c r="H200" s="257">
        <f t="shared" si="25"/>
        <v>25200</v>
      </c>
      <c r="I200" s="257">
        <v>126000</v>
      </c>
      <c r="J200" s="232">
        <f t="shared" si="26"/>
        <v>151200</v>
      </c>
      <c r="K200" s="248">
        <v>124500</v>
      </c>
      <c r="L200" s="249">
        <v>135837.70242874703</v>
      </c>
      <c r="M200" s="250">
        <v>260337.70242874703</v>
      </c>
      <c r="N200" s="99">
        <f t="shared" si="27"/>
        <v>25200</v>
      </c>
      <c r="O200" s="73">
        <f t="shared" si="28"/>
        <v>101375.10075914241</v>
      </c>
      <c r="P200" s="73">
        <f t="shared" si="29"/>
        <v>126575.10075914241</v>
      </c>
      <c r="Q200" s="301">
        <f t="shared" si="30"/>
        <v>23436</v>
      </c>
      <c r="R200" s="301">
        <f t="shared" si="31"/>
        <v>94278.843706002444</v>
      </c>
      <c r="S200" s="300">
        <f t="shared" si="32"/>
        <v>117714.84370600244</v>
      </c>
    </row>
    <row r="201" spans="1:19" ht="15" x14ac:dyDescent="0.25">
      <c r="A201" s="49">
        <v>186</v>
      </c>
      <c r="B201" s="50" t="s">
        <v>51</v>
      </c>
      <c r="C201" s="33" t="s">
        <v>153</v>
      </c>
      <c r="D201" s="111">
        <v>259601.98750622672</v>
      </c>
      <c r="E201" s="112">
        <v>28042.188301843198</v>
      </c>
      <c r="F201" s="112">
        <v>112168.75320737281</v>
      </c>
      <c r="G201" s="112">
        <v>140210.94150921601</v>
      </c>
      <c r="H201" s="257">
        <f t="shared" si="25"/>
        <v>28000</v>
      </c>
      <c r="I201" s="257">
        <v>140000</v>
      </c>
      <c r="J201" s="232">
        <f t="shared" si="26"/>
        <v>168000</v>
      </c>
      <c r="K201" s="248">
        <v>124500</v>
      </c>
      <c r="L201" s="249">
        <v>230545.76888054179</v>
      </c>
      <c r="M201" s="250">
        <v>355045.76888054179</v>
      </c>
      <c r="N201" s="99">
        <f t="shared" si="27"/>
        <v>28000</v>
      </c>
      <c r="O201" s="73">
        <f t="shared" si="28"/>
        <v>112168.75320737281</v>
      </c>
      <c r="P201" s="73">
        <f t="shared" si="29"/>
        <v>140168.75320737279</v>
      </c>
      <c r="Q201" s="301">
        <f t="shared" si="30"/>
        <v>26040</v>
      </c>
      <c r="R201" s="301">
        <f t="shared" si="31"/>
        <v>104316.94048285671</v>
      </c>
      <c r="S201" s="300">
        <f t="shared" si="32"/>
        <v>130356.94048285671</v>
      </c>
    </row>
    <row r="202" spans="1:19" ht="15" x14ac:dyDescent="0.25">
      <c r="A202" s="49">
        <v>187</v>
      </c>
      <c r="B202" s="50" t="s">
        <v>52</v>
      </c>
      <c r="C202" s="33" t="s">
        <v>153</v>
      </c>
      <c r="D202" s="111">
        <v>452595.57032335579</v>
      </c>
      <c r="E202" s="112">
        <v>65968.200000000012</v>
      </c>
      <c r="F202" s="112">
        <v>263872.8</v>
      </c>
      <c r="G202" s="112">
        <v>329841</v>
      </c>
      <c r="H202" s="257">
        <f t="shared" si="25"/>
        <v>65800</v>
      </c>
      <c r="I202" s="257">
        <v>329000</v>
      </c>
      <c r="J202" s="232">
        <f t="shared" si="26"/>
        <v>394800</v>
      </c>
      <c r="K202" s="248">
        <v>219500</v>
      </c>
      <c r="L202" s="249">
        <v>402310.05758778664</v>
      </c>
      <c r="M202" s="250">
        <v>621810.05758778658</v>
      </c>
      <c r="N202" s="99">
        <f t="shared" si="27"/>
        <v>65800</v>
      </c>
      <c r="O202" s="73">
        <f t="shared" si="28"/>
        <v>263872.8</v>
      </c>
      <c r="P202" s="73">
        <f t="shared" si="29"/>
        <v>329672.8</v>
      </c>
      <c r="Q202" s="301">
        <f t="shared" si="30"/>
        <v>61194</v>
      </c>
      <c r="R202" s="301">
        <f t="shared" si="31"/>
        <v>245401.704</v>
      </c>
      <c r="S202" s="300">
        <f t="shared" si="32"/>
        <v>306595.70400000003</v>
      </c>
    </row>
    <row r="203" spans="1:19" ht="15" x14ac:dyDescent="0.25">
      <c r="A203" s="49">
        <v>188</v>
      </c>
      <c r="B203" s="50" t="s">
        <v>53</v>
      </c>
      <c r="C203" s="33" t="s">
        <v>153</v>
      </c>
      <c r="D203" s="111">
        <v>486753.72657417512</v>
      </c>
      <c r="E203" s="112">
        <v>124079.1030659558</v>
      </c>
      <c r="F203" s="112">
        <v>496316.41226382321</v>
      </c>
      <c r="G203" s="112">
        <v>620395.51532977901</v>
      </c>
      <c r="H203" s="257">
        <f t="shared" si="25"/>
        <v>111200</v>
      </c>
      <c r="I203" s="257">
        <v>556000</v>
      </c>
      <c r="J203" s="232">
        <f t="shared" si="26"/>
        <v>667200</v>
      </c>
      <c r="K203" s="248">
        <v>124500</v>
      </c>
      <c r="L203" s="249">
        <v>432710.81665101583</v>
      </c>
      <c r="M203" s="250">
        <v>557210.81665101578</v>
      </c>
      <c r="N203" s="99">
        <f t="shared" si="27"/>
        <v>111200</v>
      </c>
      <c r="O203" s="73">
        <f t="shared" si="28"/>
        <v>432710.81665101583</v>
      </c>
      <c r="P203" s="73">
        <f t="shared" si="29"/>
        <v>543910.81665101578</v>
      </c>
      <c r="Q203" s="301">
        <f t="shared" si="30"/>
        <v>103416</v>
      </c>
      <c r="R203" s="301">
        <f t="shared" si="31"/>
        <v>402421.05948544474</v>
      </c>
      <c r="S203" s="300">
        <f t="shared" si="32"/>
        <v>505837.05948544474</v>
      </c>
    </row>
    <row r="204" spans="1:19" ht="15" x14ac:dyDescent="0.25">
      <c r="A204" s="49">
        <v>189</v>
      </c>
      <c r="B204" s="50" t="s">
        <v>54</v>
      </c>
      <c r="C204" s="33" t="s">
        <v>153</v>
      </c>
      <c r="D204" s="111">
        <v>623386.35157745215</v>
      </c>
      <c r="E204" s="112">
        <v>84122.360066923953</v>
      </c>
      <c r="F204" s="112">
        <v>336489.44026769605</v>
      </c>
      <c r="G204" s="112">
        <v>420611.80033462</v>
      </c>
      <c r="H204" s="257">
        <f t="shared" si="25"/>
        <v>84000</v>
      </c>
      <c r="I204" s="257">
        <v>420000</v>
      </c>
      <c r="J204" s="232">
        <f t="shared" si="26"/>
        <v>504000</v>
      </c>
      <c r="K204" s="248">
        <v>124500</v>
      </c>
      <c r="L204" s="249">
        <v>554313.85290393245</v>
      </c>
      <c r="M204" s="250">
        <v>678813.85290393245</v>
      </c>
      <c r="N204" s="99">
        <f t="shared" si="27"/>
        <v>84000</v>
      </c>
      <c r="O204" s="73">
        <f t="shared" si="28"/>
        <v>336489.44026769605</v>
      </c>
      <c r="P204" s="73">
        <f t="shared" si="29"/>
        <v>420489.44026769605</v>
      </c>
      <c r="Q204" s="301">
        <f t="shared" si="30"/>
        <v>78120</v>
      </c>
      <c r="R204" s="301">
        <f t="shared" si="31"/>
        <v>312935.17944895732</v>
      </c>
      <c r="S204" s="300">
        <f t="shared" si="32"/>
        <v>391055.17944895732</v>
      </c>
    </row>
    <row r="205" spans="1:19" ht="15" x14ac:dyDescent="0.25">
      <c r="A205" s="49">
        <v>190</v>
      </c>
      <c r="B205" s="50" t="s">
        <v>251</v>
      </c>
      <c r="C205" s="33" t="s">
        <v>153</v>
      </c>
      <c r="D205" s="111">
        <v>800067.4534337878</v>
      </c>
      <c r="E205" s="112">
        <v>236819.9662164012</v>
      </c>
      <c r="F205" s="112">
        <v>947279.86486560479</v>
      </c>
      <c r="G205" s="112">
        <v>1184099.831082006</v>
      </c>
      <c r="H205" s="257">
        <f t="shared" si="25"/>
        <v>189600</v>
      </c>
      <c r="I205" s="257">
        <v>948000</v>
      </c>
      <c r="J205" s="232">
        <f t="shared" si="26"/>
        <v>1137600</v>
      </c>
      <c r="K205" s="248">
        <v>374500</v>
      </c>
      <c r="L205" s="249">
        <v>711560.03355607111</v>
      </c>
      <c r="M205" s="250">
        <v>1086060.0335560711</v>
      </c>
      <c r="N205" s="99">
        <f t="shared" si="27"/>
        <v>189600</v>
      </c>
      <c r="O205" s="73">
        <f t="shared" si="28"/>
        <v>711560.03355607111</v>
      </c>
      <c r="P205" s="73">
        <f t="shared" si="29"/>
        <v>901160.03355607111</v>
      </c>
      <c r="Q205" s="301">
        <f t="shared" si="30"/>
        <v>176328</v>
      </c>
      <c r="R205" s="301">
        <f t="shared" si="31"/>
        <v>661750.83120714617</v>
      </c>
      <c r="S205" s="300">
        <f t="shared" si="32"/>
        <v>838078.83120714617</v>
      </c>
    </row>
    <row r="206" spans="1:19" ht="15" x14ac:dyDescent="0.25">
      <c r="A206" s="49">
        <v>191</v>
      </c>
      <c r="B206" s="50" t="s">
        <v>252</v>
      </c>
      <c r="C206" s="33" t="s">
        <v>153</v>
      </c>
      <c r="D206" s="111">
        <v>850000</v>
      </c>
      <c r="E206" s="112">
        <v>251600</v>
      </c>
      <c r="F206" s="112">
        <v>1006400</v>
      </c>
      <c r="G206" s="112">
        <v>1258000</v>
      </c>
      <c r="H206" s="257">
        <f t="shared" si="25"/>
        <v>200000</v>
      </c>
      <c r="I206" s="257">
        <v>1000000</v>
      </c>
      <c r="J206" s="232">
        <f t="shared" si="26"/>
        <v>1200000</v>
      </c>
      <c r="K206" s="248">
        <v>374500</v>
      </c>
      <c r="L206" s="249">
        <v>756000</v>
      </c>
      <c r="M206" s="250">
        <v>1130500</v>
      </c>
      <c r="N206" s="99">
        <f t="shared" si="27"/>
        <v>200000</v>
      </c>
      <c r="O206" s="73">
        <f t="shared" si="28"/>
        <v>756000</v>
      </c>
      <c r="P206" s="73">
        <f t="shared" si="29"/>
        <v>956000</v>
      </c>
      <c r="Q206" s="301">
        <f t="shared" si="30"/>
        <v>186000</v>
      </c>
      <c r="R206" s="301">
        <f t="shared" si="31"/>
        <v>703080</v>
      </c>
      <c r="S206" s="300">
        <f t="shared" si="32"/>
        <v>889080</v>
      </c>
    </row>
    <row r="207" spans="1:19" ht="15" x14ac:dyDescent="0.25">
      <c r="A207" s="49">
        <v>192</v>
      </c>
      <c r="B207" s="48" t="s">
        <v>58</v>
      </c>
      <c r="C207" s="33" t="s">
        <v>153</v>
      </c>
      <c r="D207" s="111">
        <v>355446</v>
      </c>
      <c r="E207" s="112">
        <v>125212.01599999995</v>
      </c>
      <c r="F207" s="112">
        <v>500848.06400000001</v>
      </c>
      <c r="G207" s="112">
        <v>626060.07999999996</v>
      </c>
      <c r="H207" s="257">
        <f t="shared" si="25"/>
        <v>94000</v>
      </c>
      <c r="I207" s="257">
        <v>470000</v>
      </c>
      <c r="J207" s="232">
        <f t="shared" si="26"/>
        <v>564000</v>
      </c>
      <c r="K207" s="248">
        <v>422325</v>
      </c>
      <c r="L207" s="249">
        <v>354820.4787811056</v>
      </c>
      <c r="M207" s="250">
        <v>777145.4787811056</v>
      </c>
      <c r="N207" s="99">
        <f t="shared" si="27"/>
        <v>94000</v>
      </c>
      <c r="O207" s="73">
        <f t="shared" si="28"/>
        <v>354820.4787811056</v>
      </c>
      <c r="P207" s="73">
        <f t="shared" si="29"/>
        <v>448820.4787811056</v>
      </c>
      <c r="Q207" s="301">
        <f t="shared" si="30"/>
        <v>87420</v>
      </c>
      <c r="R207" s="301">
        <f t="shared" si="31"/>
        <v>329983.04526642821</v>
      </c>
      <c r="S207" s="300">
        <f t="shared" si="32"/>
        <v>417403.04526642821</v>
      </c>
    </row>
    <row r="208" spans="1:19" ht="15" x14ac:dyDescent="0.25">
      <c r="A208" s="49">
        <v>193</v>
      </c>
      <c r="B208" s="48" t="s">
        <v>136</v>
      </c>
      <c r="C208" s="33" t="s">
        <v>153</v>
      </c>
      <c r="D208" s="111">
        <v>4620798</v>
      </c>
      <c r="E208" s="112">
        <v>1340031.42</v>
      </c>
      <c r="F208" s="112">
        <v>5360125.68</v>
      </c>
      <c r="G208" s="112">
        <v>6700157.0999999996</v>
      </c>
      <c r="H208" s="257">
        <f t="shared" si="25"/>
        <v>1170000</v>
      </c>
      <c r="I208" s="257">
        <v>5850000</v>
      </c>
      <c r="J208" s="232">
        <f t="shared" si="26"/>
        <v>7020000</v>
      </c>
      <c r="K208" s="248">
        <v>3608065</v>
      </c>
      <c r="L208" s="249">
        <v>5552578.2365868008</v>
      </c>
      <c r="M208" s="250">
        <v>9160643.2365868017</v>
      </c>
      <c r="N208" s="99">
        <f t="shared" si="27"/>
        <v>1170000</v>
      </c>
      <c r="O208" s="73">
        <f t="shared" si="28"/>
        <v>5360125.68</v>
      </c>
      <c r="P208" s="73">
        <f t="shared" si="29"/>
        <v>6530125.6799999997</v>
      </c>
      <c r="Q208" s="301">
        <f t="shared" si="30"/>
        <v>1088100</v>
      </c>
      <c r="R208" s="301">
        <f t="shared" si="31"/>
        <v>4984916.8823999995</v>
      </c>
      <c r="S208" s="300">
        <f t="shared" si="32"/>
        <v>6073016.8823999995</v>
      </c>
    </row>
    <row r="209" spans="1:19" ht="15" x14ac:dyDescent="0.25">
      <c r="A209" s="49">
        <v>194</v>
      </c>
      <c r="B209" s="48" t="s">
        <v>396</v>
      </c>
      <c r="C209" s="33" t="s">
        <v>153</v>
      </c>
      <c r="D209" s="111">
        <v>300944.28000000003</v>
      </c>
      <c r="E209" s="112">
        <v>89079.506880000001</v>
      </c>
      <c r="F209" s="112">
        <v>356318.02752000006</v>
      </c>
      <c r="G209" s="112">
        <v>445397.53440000006</v>
      </c>
      <c r="H209" s="257">
        <f t="shared" si="25"/>
        <v>76000</v>
      </c>
      <c r="I209" s="257">
        <v>380000</v>
      </c>
      <c r="J209" s="232">
        <f t="shared" si="26"/>
        <v>456000</v>
      </c>
      <c r="K209" s="248">
        <v>155500</v>
      </c>
      <c r="L209" s="249">
        <v>578000</v>
      </c>
      <c r="M209" s="250">
        <v>733500</v>
      </c>
      <c r="N209" s="99">
        <f t="shared" si="27"/>
        <v>76000</v>
      </c>
      <c r="O209" s="73">
        <f t="shared" si="28"/>
        <v>356318.02752000006</v>
      </c>
      <c r="P209" s="73">
        <f t="shared" si="29"/>
        <v>432318.02752000006</v>
      </c>
      <c r="Q209" s="301">
        <f t="shared" si="30"/>
        <v>70680</v>
      </c>
      <c r="R209" s="301">
        <f t="shared" si="31"/>
        <v>331375.76559360005</v>
      </c>
      <c r="S209" s="300">
        <f t="shared" si="32"/>
        <v>402055.76559360005</v>
      </c>
    </row>
    <row r="210" spans="1:19" ht="15" x14ac:dyDescent="0.25">
      <c r="A210" s="49">
        <v>195</v>
      </c>
      <c r="B210" s="48" t="s">
        <v>395</v>
      </c>
      <c r="C210" s="33" t="s">
        <v>153</v>
      </c>
      <c r="D210" s="111">
        <v>132699.84</v>
      </c>
      <c r="E210" s="112">
        <v>39279.152639999986</v>
      </c>
      <c r="F210" s="112">
        <v>157116.61056</v>
      </c>
      <c r="G210" s="112">
        <v>196395.76319999999</v>
      </c>
      <c r="H210" s="257">
        <f t="shared" si="25"/>
        <v>32000</v>
      </c>
      <c r="I210" s="257">
        <v>160000</v>
      </c>
      <c r="J210" s="232">
        <f t="shared" si="26"/>
        <v>192000</v>
      </c>
      <c r="K210" s="248">
        <v>235100</v>
      </c>
      <c r="L210" s="249">
        <v>337700</v>
      </c>
      <c r="M210" s="250">
        <v>572800</v>
      </c>
      <c r="N210" s="99">
        <f t="shared" si="27"/>
        <v>32000</v>
      </c>
      <c r="O210" s="73">
        <f t="shared" si="28"/>
        <v>157116.61056</v>
      </c>
      <c r="P210" s="73">
        <f t="shared" si="29"/>
        <v>189116.61056</v>
      </c>
      <c r="Q210" s="301">
        <f t="shared" si="30"/>
        <v>29760</v>
      </c>
      <c r="R210" s="301">
        <f t="shared" si="31"/>
        <v>146118.44782080001</v>
      </c>
      <c r="S210" s="300">
        <f t="shared" si="32"/>
        <v>175878.44782080001</v>
      </c>
    </row>
    <row r="211" spans="1:19" ht="22.5" x14ac:dyDescent="0.25">
      <c r="A211" s="49"/>
      <c r="B211" s="29" t="s">
        <v>98</v>
      </c>
      <c r="C211" s="33" t="s">
        <v>153</v>
      </c>
      <c r="D211" s="111"/>
      <c r="E211" s="112"/>
      <c r="F211" s="112"/>
      <c r="G211" s="112"/>
      <c r="H211" s="257">
        <f t="shared" si="25"/>
        <v>0</v>
      </c>
      <c r="I211" s="257"/>
      <c r="J211" s="232">
        <f t="shared" si="26"/>
        <v>0</v>
      </c>
      <c r="K211" s="248">
        <v>-500</v>
      </c>
      <c r="L211" s="249"/>
      <c r="M211" s="250">
        <v>-500</v>
      </c>
      <c r="N211" s="99">
        <f t="shared" si="27"/>
        <v>-500</v>
      </c>
      <c r="O211" s="73">
        <f t="shared" si="28"/>
        <v>0</v>
      </c>
      <c r="P211" s="73">
        <f t="shared" si="29"/>
        <v>-500</v>
      </c>
      <c r="Q211" s="301">
        <f t="shared" si="30"/>
        <v>-465</v>
      </c>
      <c r="R211" s="301">
        <f t="shared" si="31"/>
        <v>0</v>
      </c>
      <c r="S211" s="300">
        <f t="shared" si="32"/>
        <v>-465</v>
      </c>
    </row>
    <row r="212" spans="1:19" ht="15" x14ac:dyDescent="0.25">
      <c r="A212" s="49">
        <v>196</v>
      </c>
      <c r="B212" s="50" t="s">
        <v>253</v>
      </c>
      <c r="C212" s="33" t="s">
        <v>153</v>
      </c>
      <c r="D212" s="111">
        <v>314436.92</v>
      </c>
      <c r="E212" s="112">
        <v>93073.328319999971</v>
      </c>
      <c r="F212" s="112">
        <v>372293.31328</v>
      </c>
      <c r="G212" s="112">
        <v>465366.64159999997</v>
      </c>
      <c r="H212" s="257">
        <f t="shared" si="25"/>
        <v>60000</v>
      </c>
      <c r="I212" s="257">
        <v>300000</v>
      </c>
      <c r="J212" s="232">
        <f t="shared" si="26"/>
        <v>360000</v>
      </c>
      <c r="K212" s="248">
        <v>224500</v>
      </c>
      <c r="L212" s="249">
        <v>356104.53788206569</v>
      </c>
      <c r="M212" s="250">
        <v>580604.53788206563</v>
      </c>
      <c r="N212" s="99">
        <f t="shared" si="27"/>
        <v>60000</v>
      </c>
      <c r="O212" s="73">
        <f t="shared" si="28"/>
        <v>300000</v>
      </c>
      <c r="P212" s="73">
        <f t="shared" si="29"/>
        <v>360000</v>
      </c>
      <c r="Q212" s="301">
        <f t="shared" si="30"/>
        <v>55800</v>
      </c>
      <c r="R212" s="301">
        <f t="shared" si="31"/>
        <v>279000</v>
      </c>
      <c r="S212" s="300">
        <f t="shared" si="32"/>
        <v>334800</v>
      </c>
    </row>
    <row r="213" spans="1:19" ht="15" x14ac:dyDescent="0.25">
      <c r="A213" s="49">
        <v>197</v>
      </c>
      <c r="B213" s="50" t="s">
        <v>254</v>
      </c>
      <c r="C213" s="33" t="s">
        <v>153</v>
      </c>
      <c r="D213" s="111">
        <v>93108.618354195321</v>
      </c>
      <c r="E213" s="112">
        <v>27932.585506258591</v>
      </c>
      <c r="F213" s="112">
        <v>111730.34202503439</v>
      </c>
      <c r="G213" s="112">
        <v>139662.92753129298</v>
      </c>
      <c r="H213" s="257">
        <f t="shared" si="25"/>
        <v>22000</v>
      </c>
      <c r="I213" s="257">
        <v>110000</v>
      </c>
      <c r="J213" s="232">
        <f t="shared" si="26"/>
        <v>132000</v>
      </c>
      <c r="K213" s="248">
        <v>44500</v>
      </c>
      <c r="L213" s="249">
        <v>82366.670335233837</v>
      </c>
      <c r="M213" s="250">
        <v>126866.67033523384</v>
      </c>
      <c r="N213" s="99">
        <f t="shared" si="27"/>
        <v>22000</v>
      </c>
      <c r="O213" s="73">
        <f t="shared" si="28"/>
        <v>82366.670335233837</v>
      </c>
      <c r="P213" s="73">
        <f t="shared" si="29"/>
        <v>104366.67033523384</v>
      </c>
      <c r="Q213" s="301">
        <f t="shared" si="30"/>
        <v>20460</v>
      </c>
      <c r="R213" s="301">
        <f t="shared" si="31"/>
        <v>76601.003411767466</v>
      </c>
      <c r="S213" s="300">
        <f t="shared" si="32"/>
        <v>97061.003411767466</v>
      </c>
    </row>
    <row r="214" spans="1:19" ht="15" x14ac:dyDescent="0.25">
      <c r="A214" s="49">
        <v>198</v>
      </c>
      <c r="B214" s="39" t="s">
        <v>454</v>
      </c>
      <c r="C214" s="33" t="s">
        <v>153</v>
      </c>
      <c r="D214" s="111">
        <v>888851.96400000004</v>
      </c>
      <c r="E214" s="112">
        <v>188310.18134399992</v>
      </c>
      <c r="F214" s="112">
        <v>753240.72537600005</v>
      </c>
      <c r="G214" s="112">
        <v>941550.90671999997</v>
      </c>
      <c r="H214" s="257">
        <f t="shared" si="25"/>
        <v>142000</v>
      </c>
      <c r="I214" s="257">
        <v>710000</v>
      </c>
      <c r="J214" s="232">
        <f t="shared" si="26"/>
        <v>852000</v>
      </c>
      <c r="K214" s="248">
        <v>815000</v>
      </c>
      <c r="L214" s="249">
        <v>1512500</v>
      </c>
      <c r="M214" s="250">
        <v>2327500</v>
      </c>
      <c r="N214" s="99">
        <f t="shared" si="27"/>
        <v>142000</v>
      </c>
      <c r="O214" s="73">
        <f t="shared" si="28"/>
        <v>710000</v>
      </c>
      <c r="P214" s="73">
        <f t="shared" si="29"/>
        <v>852000</v>
      </c>
      <c r="Q214" s="301">
        <f t="shared" si="30"/>
        <v>132060</v>
      </c>
      <c r="R214" s="301">
        <f t="shared" si="31"/>
        <v>660300</v>
      </c>
      <c r="S214" s="300">
        <f t="shared" si="32"/>
        <v>792360</v>
      </c>
    </row>
    <row r="215" spans="1:19" ht="15" x14ac:dyDescent="0.25">
      <c r="A215" s="49">
        <v>199</v>
      </c>
      <c r="B215" s="39" t="s">
        <v>458</v>
      </c>
      <c r="C215" s="33" t="s">
        <v>153</v>
      </c>
      <c r="D215" s="111">
        <v>420000</v>
      </c>
      <c r="E215" s="112">
        <v>104320</v>
      </c>
      <c r="F215" s="112">
        <v>417280</v>
      </c>
      <c r="G215" s="112">
        <v>521600</v>
      </c>
      <c r="H215" s="257">
        <f t="shared" si="25"/>
        <v>94000</v>
      </c>
      <c r="I215" s="257">
        <v>470000</v>
      </c>
      <c r="J215" s="232">
        <f t="shared" si="26"/>
        <v>564000</v>
      </c>
      <c r="K215" s="248">
        <v>473300</v>
      </c>
      <c r="L215" s="249">
        <v>373300</v>
      </c>
      <c r="M215" s="250">
        <v>846600</v>
      </c>
      <c r="N215" s="99">
        <f t="shared" si="27"/>
        <v>94000</v>
      </c>
      <c r="O215" s="73">
        <f t="shared" si="28"/>
        <v>373300</v>
      </c>
      <c r="P215" s="73">
        <f t="shared" si="29"/>
        <v>467300</v>
      </c>
      <c r="Q215" s="301">
        <f t="shared" si="30"/>
        <v>87420</v>
      </c>
      <c r="R215" s="301">
        <f t="shared" si="31"/>
        <v>347169</v>
      </c>
      <c r="S215" s="300">
        <f t="shared" si="32"/>
        <v>434589</v>
      </c>
    </row>
    <row r="216" spans="1:19" ht="15" x14ac:dyDescent="0.25">
      <c r="A216" s="49">
        <v>200</v>
      </c>
      <c r="B216" s="47" t="s">
        <v>69</v>
      </c>
      <c r="C216" s="33" t="s">
        <v>153</v>
      </c>
      <c r="D216" s="111">
        <v>106349.39256391113</v>
      </c>
      <c r="E216" s="112">
        <v>23479.420198917593</v>
      </c>
      <c r="F216" s="112">
        <v>93917.680795670414</v>
      </c>
      <c r="G216" s="112">
        <v>117397.10099458801</v>
      </c>
      <c r="H216" s="257">
        <f t="shared" si="25"/>
        <v>23400</v>
      </c>
      <c r="I216" s="257">
        <v>117000</v>
      </c>
      <c r="J216" s="232">
        <f t="shared" si="26"/>
        <v>140400</v>
      </c>
      <c r="K216" s="248">
        <v>112133</v>
      </c>
      <c r="L216" s="249">
        <v>94150.959381880908</v>
      </c>
      <c r="M216" s="250">
        <v>206283.95938188091</v>
      </c>
      <c r="N216" s="99">
        <f t="shared" si="27"/>
        <v>23400</v>
      </c>
      <c r="O216" s="73">
        <f t="shared" si="28"/>
        <v>93917.680795670414</v>
      </c>
      <c r="P216" s="73">
        <f t="shared" si="29"/>
        <v>117317.68079567041</v>
      </c>
      <c r="Q216" s="301">
        <f t="shared" si="30"/>
        <v>21762</v>
      </c>
      <c r="R216" s="301">
        <f t="shared" si="31"/>
        <v>87343.443139973489</v>
      </c>
      <c r="S216" s="300">
        <f t="shared" si="32"/>
        <v>109105.44313997349</v>
      </c>
    </row>
    <row r="217" spans="1:19" ht="15" x14ac:dyDescent="0.25">
      <c r="A217" s="49">
        <v>201</v>
      </c>
      <c r="B217" s="47" t="s">
        <v>70</v>
      </c>
      <c r="C217" s="33" t="s">
        <v>153</v>
      </c>
      <c r="D217" s="111">
        <v>776709.04681508115</v>
      </c>
      <c r="E217" s="112">
        <v>178905.8778572639</v>
      </c>
      <c r="F217" s="112">
        <v>715623.51142905606</v>
      </c>
      <c r="G217" s="112">
        <v>894529.38928631996</v>
      </c>
      <c r="H217" s="257">
        <f t="shared" si="25"/>
        <v>172000</v>
      </c>
      <c r="I217" s="257">
        <v>860000</v>
      </c>
      <c r="J217" s="232">
        <f t="shared" si="26"/>
        <v>1032000</v>
      </c>
      <c r="K217" s="248">
        <v>264500</v>
      </c>
      <c r="L217" s="249">
        <v>690771.05166542227</v>
      </c>
      <c r="M217" s="250">
        <v>955271.05166542227</v>
      </c>
      <c r="N217" s="99">
        <f t="shared" si="27"/>
        <v>172000</v>
      </c>
      <c r="O217" s="73">
        <f t="shared" si="28"/>
        <v>690771.05166542227</v>
      </c>
      <c r="P217" s="73">
        <f t="shared" si="29"/>
        <v>862771.05166542227</v>
      </c>
      <c r="Q217" s="301">
        <f t="shared" si="30"/>
        <v>159960</v>
      </c>
      <c r="R217" s="301">
        <f t="shared" si="31"/>
        <v>642417.07804884273</v>
      </c>
      <c r="S217" s="300">
        <f t="shared" si="32"/>
        <v>802377.07804884273</v>
      </c>
    </row>
    <row r="218" spans="1:19" ht="15" x14ac:dyDescent="0.25">
      <c r="A218" s="49">
        <v>202</v>
      </c>
      <c r="B218" s="47" t="s">
        <v>1</v>
      </c>
      <c r="C218" s="33" t="s">
        <v>153</v>
      </c>
      <c r="D218" s="111">
        <v>161316.49433851687</v>
      </c>
      <c r="E218" s="112">
        <v>41749.682324200985</v>
      </c>
      <c r="F218" s="112">
        <v>166998.72929680403</v>
      </c>
      <c r="G218" s="112">
        <v>208748.41162100501</v>
      </c>
      <c r="H218" s="257">
        <f t="shared" si="25"/>
        <v>34000</v>
      </c>
      <c r="I218" s="257">
        <v>170000</v>
      </c>
      <c r="J218" s="232">
        <f t="shared" si="26"/>
        <v>204000</v>
      </c>
      <c r="K218" s="248">
        <v>44500</v>
      </c>
      <c r="L218" s="249">
        <v>143071.67996128002</v>
      </c>
      <c r="M218" s="250">
        <v>187571.67996128002</v>
      </c>
      <c r="N218" s="99">
        <f t="shared" si="27"/>
        <v>34000</v>
      </c>
      <c r="O218" s="73">
        <f t="shared" si="28"/>
        <v>143071.67996128002</v>
      </c>
      <c r="P218" s="73">
        <f t="shared" si="29"/>
        <v>177071.67996128002</v>
      </c>
      <c r="Q218" s="301">
        <f t="shared" si="30"/>
        <v>31620</v>
      </c>
      <c r="R218" s="301">
        <f t="shared" si="31"/>
        <v>133056.66236399041</v>
      </c>
      <c r="S218" s="300">
        <f t="shared" si="32"/>
        <v>164676.66236399041</v>
      </c>
    </row>
    <row r="219" spans="1:19" ht="15" x14ac:dyDescent="0.25">
      <c r="A219" s="49">
        <v>203</v>
      </c>
      <c r="B219" s="50" t="s">
        <v>56</v>
      </c>
      <c r="C219" s="33" t="s">
        <v>153</v>
      </c>
      <c r="D219" s="111">
        <v>74825.94</v>
      </c>
      <c r="E219" s="112">
        <v>22447.781999999992</v>
      </c>
      <c r="F219" s="112">
        <v>89791.128000000012</v>
      </c>
      <c r="G219" s="112">
        <v>112238.91</v>
      </c>
      <c r="H219" s="257">
        <f t="shared" si="25"/>
        <v>19000</v>
      </c>
      <c r="I219" s="257">
        <v>95000</v>
      </c>
      <c r="J219" s="232">
        <f t="shared" si="26"/>
        <v>114000</v>
      </c>
      <c r="K219" s="248">
        <v>99500</v>
      </c>
      <c r="L219" s="249">
        <v>120252.78472603229</v>
      </c>
      <c r="M219" s="250">
        <v>219752.78472603229</v>
      </c>
      <c r="N219" s="99">
        <f t="shared" si="27"/>
        <v>19000</v>
      </c>
      <c r="O219" s="73">
        <f t="shared" si="28"/>
        <v>89791.128000000012</v>
      </c>
      <c r="P219" s="73">
        <f t="shared" si="29"/>
        <v>108791.12800000001</v>
      </c>
      <c r="Q219" s="301">
        <f t="shared" si="30"/>
        <v>17670</v>
      </c>
      <c r="R219" s="301">
        <f t="shared" si="31"/>
        <v>83505.74904000001</v>
      </c>
      <c r="S219" s="300">
        <f t="shared" si="32"/>
        <v>101175.74904000001</v>
      </c>
    </row>
    <row r="220" spans="1:19" ht="15" x14ac:dyDescent="0.25">
      <c r="A220" s="49">
        <v>204</v>
      </c>
      <c r="B220" s="50" t="s">
        <v>459</v>
      </c>
      <c r="C220" s="33" t="s">
        <v>153</v>
      </c>
      <c r="D220" s="111">
        <v>28891.38</v>
      </c>
      <c r="E220" s="112">
        <v>8667.413999999997</v>
      </c>
      <c r="F220" s="112">
        <v>34669.656000000003</v>
      </c>
      <c r="G220" s="112">
        <v>43337.07</v>
      </c>
      <c r="H220" s="257">
        <f t="shared" si="25"/>
        <v>7200</v>
      </c>
      <c r="I220" s="257">
        <v>36000</v>
      </c>
      <c r="J220" s="232">
        <f t="shared" si="26"/>
        <v>43200</v>
      </c>
      <c r="K220" s="248">
        <v>34500</v>
      </c>
      <c r="L220" s="249">
        <v>62291.448057536778</v>
      </c>
      <c r="M220" s="250">
        <v>96791.448057536778</v>
      </c>
      <c r="N220" s="99">
        <f t="shared" si="27"/>
        <v>7200</v>
      </c>
      <c r="O220" s="73">
        <f t="shared" si="28"/>
        <v>34669.656000000003</v>
      </c>
      <c r="P220" s="73">
        <f t="shared" si="29"/>
        <v>41869.656000000003</v>
      </c>
      <c r="Q220" s="301">
        <f t="shared" si="30"/>
        <v>6696</v>
      </c>
      <c r="R220" s="301">
        <f t="shared" si="31"/>
        <v>32242.780080000004</v>
      </c>
      <c r="S220" s="300">
        <f t="shared" si="32"/>
        <v>38938.780080000004</v>
      </c>
    </row>
    <row r="221" spans="1:19" ht="15" x14ac:dyDescent="0.25">
      <c r="A221" s="49">
        <v>205</v>
      </c>
      <c r="B221" s="39" t="s">
        <v>257</v>
      </c>
      <c r="C221" s="33" t="s">
        <v>153</v>
      </c>
      <c r="D221" s="111">
        <v>118531.38219999999</v>
      </c>
      <c r="E221" s="112">
        <v>35085.289131199999</v>
      </c>
      <c r="F221" s="112">
        <v>140341.1565248</v>
      </c>
      <c r="G221" s="112">
        <v>175426.445656</v>
      </c>
      <c r="H221" s="257">
        <f t="shared" si="25"/>
        <v>30000</v>
      </c>
      <c r="I221" s="257">
        <v>150000</v>
      </c>
      <c r="J221" s="232">
        <f t="shared" si="26"/>
        <v>180000</v>
      </c>
      <c r="K221" s="248">
        <v>119500</v>
      </c>
      <c r="L221" s="249">
        <v>173384.01000548646</v>
      </c>
      <c r="M221" s="250">
        <v>292884.01000548643</v>
      </c>
      <c r="N221" s="99">
        <f t="shared" si="27"/>
        <v>30000</v>
      </c>
      <c r="O221" s="73">
        <f t="shared" si="28"/>
        <v>140341.1565248</v>
      </c>
      <c r="P221" s="73">
        <f t="shared" si="29"/>
        <v>170341.1565248</v>
      </c>
      <c r="Q221" s="301">
        <f t="shared" si="30"/>
        <v>27900</v>
      </c>
      <c r="R221" s="301">
        <f t="shared" si="31"/>
        <v>130517.275568064</v>
      </c>
      <c r="S221" s="300">
        <f t="shared" si="32"/>
        <v>158417.27556806401</v>
      </c>
    </row>
    <row r="222" spans="1:19" ht="15" x14ac:dyDescent="0.25">
      <c r="A222" s="49">
        <v>206</v>
      </c>
      <c r="B222" s="50" t="s">
        <v>258</v>
      </c>
      <c r="C222" s="33" t="s">
        <v>153</v>
      </c>
      <c r="D222" s="111">
        <v>130330.2</v>
      </c>
      <c r="E222" s="112">
        <v>38577.739199999982</v>
      </c>
      <c r="F222" s="112">
        <v>154310.95680000001</v>
      </c>
      <c r="G222" s="112">
        <v>192888.696</v>
      </c>
      <c r="H222" s="257">
        <f t="shared" si="25"/>
        <v>33000</v>
      </c>
      <c r="I222" s="257">
        <v>165000</v>
      </c>
      <c r="J222" s="232">
        <f t="shared" si="26"/>
        <v>198000</v>
      </c>
      <c r="K222" s="248">
        <v>125500</v>
      </c>
      <c r="L222" s="249">
        <v>134743.11889315615</v>
      </c>
      <c r="M222" s="250">
        <v>260243.11889315615</v>
      </c>
      <c r="N222" s="99">
        <f t="shared" si="27"/>
        <v>33000</v>
      </c>
      <c r="O222" s="73">
        <f t="shared" si="28"/>
        <v>134743.11889315615</v>
      </c>
      <c r="P222" s="73">
        <f t="shared" si="29"/>
        <v>167743.11889315615</v>
      </c>
      <c r="Q222" s="301">
        <f t="shared" si="30"/>
        <v>30690</v>
      </c>
      <c r="R222" s="301">
        <f t="shared" si="31"/>
        <v>125311.10057063522</v>
      </c>
      <c r="S222" s="300">
        <f t="shared" si="32"/>
        <v>156001.10057063523</v>
      </c>
    </row>
    <row r="223" spans="1:19" ht="15" x14ac:dyDescent="0.25">
      <c r="A223" s="49">
        <v>207</v>
      </c>
      <c r="B223" s="50" t="s">
        <v>259</v>
      </c>
      <c r="C223" s="33" t="s">
        <v>153</v>
      </c>
      <c r="D223" s="111">
        <v>23696.400000000001</v>
      </c>
      <c r="E223" s="112">
        <v>9108.9199999999983</v>
      </c>
      <c r="F223" s="112">
        <v>36435.68</v>
      </c>
      <c r="G223" s="112">
        <v>45544.6</v>
      </c>
      <c r="H223" s="257">
        <f t="shared" si="25"/>
        <v>6400</v>
      </c>
      <c r="I223" s="257">
        <v>32000</v>
      </c>
      <c r="J223" s="232">
        <f t="shared" si="26"/>
        <v>38400</v>
      </c>
      <c r="K223" s="248">
        <v>67500</v>
      </c>
      <c r="L223" s="249">
        <v>66250</v>
      </c>
      <c r="M223" s="250">
        <v>133750</v>
      </c>
      <c r="N223" s="99">
        <f t="shared" si="27"/>
        <v>6400</v>
      </c>
      <c r="O223" s="73">
        <f t="shared" si="28"/>
        <v>32000</v>
      </c>
      <c r="P223" s="73">
        <f t="shared" si="29"/>
        <v>38400</v>
      </c>
      <c r="Q223" s="301">
        <f t="shared" si="30"/>
        <v>5952</v>
      </c>
      <c r="R223" s="301">
        <f t="shared" si="31"/>
        <v>29760</v>
      </c>
      <c r="S223" s="300">
        <f t="shared" si="32"/>
        <v>35712</v>
      </c>
    </row>
    <row r="224" spans="1:19" ht="15" x14ac:dyDescent="0.25">
      <c r="A224" s="49">
        <v>208</v>
      </c>
      <c r="B224" s="46" t="s">
        <v>260</v>
      </c>
      <c r="C224" s="33" t="s">
        <v>153</v>
      </c>
      <c r="D224" s="111">
        <v>29415.944599999999</v>
      </c>
      <c r="E224" s="112">
        <v>8824.7833800000008</v>
      </c>
      <c r="F224" s="112">
        <v>35299.133519999996</v>
      </c>
      <c r="G224" s="112">
        <v>44123.916899999997</v>
      </c>
      <c r="H224" s="257">
        <f t="shared" si="25"/>
        <v>7000</v>
      </c>
      <c r="I224" s="257">
        <v>35000</v>
      </c>
      <c r="J224" s="232">
        <f t="shared" si="26"/>
        <v>42000</v>
      </c>
      <c r="K224" s="248">
        <v>64500</v>
      </c>
      <c r="L224" s="249">
        <v>47361.573754010147</v>
      </c>
      <c r="M224" s="250">
        <v>111861.57375401014</v>
      </c>
      <c r="N224" s="99">
        <f t="shared" si="27"/>
        <v>7000</v>
      </c>
      <c r="O224" s="73">
        <f t="shared" si="28"/>
        <v>35000</v>
      </c>
      <c r="P224" s="73">
        <f t="shared" si="29"/>
        <v>42000</v>
      </c>
      <c r="Q224" s="301">
        <f t="shared" si="30"/>
        <v>6510</v>
      </c>
      <c r="R224" s="301">
        <f t="shared" si="31"/>
        <v>32550</v>
      </c>
      <c r="S224" s="300">
        <f t="shared" si="32"/>
        <v>39060</v>
      </c>
    </row>
    <row r="225" spans="1:19" ht="15" x14ac:dyDescent="0.25">
      <c r="A225" s="49">
        <v>209</v>
      </c>
      <c r="B225" s="42" t="s">
        <v>261</v>
      </c>
      <c r="C225" s="33" t="s">
        <v>153</v>
      </c>
      <c r="D225" s="111">
        <v>205800</v>
      </c>
      <c r="E225" s="112">
        <v>76091.599999999977</v>
      </c>
      <c r="F225" s="112">
        <v>304366.40000000002</v>
      </c>
      <c r="G225" s="112">
        <v>380458</v>
      </c>
      <c r="H225" s="257">
        <f t="shared" si="25"/>
        <v>54000</v>
      </c>
      <c r="I225" s="257">
        <v>270000</v>
      </c>
      <c r="J225" s="232">
        <f t="shared" si="26"/>
        <v>324000</v>
      </c>
      <c r="K225" s="248">
        <v>299365</v>
      </c>
      <c r="L225" s="249">
        <v>258664.40590113337</v>
      </c>
      <c r="M225" s="250">
        <v>558029.40590113332</v>
      </c>
      <c r="N225" s="99">
        <f t="shared" si="27"/>
        <v>54000</v>
      </c>
      <c r="O225" s="73">
        <f t="shared" si="28"/>
        <v>258664.40590113337</v>
      </c>
      <c r="P225" s="73">
        <f t="shared" si="29"/>
        <v>312664.40590113337</v>
      </c>
      <c r="Q225" s="301">
        <f t="shared" si="30"/>
        <v>50220</v>
      </c>
      <c r="R225" s="301">
        <f t="shared" si="31"/>
        <v>240557.89748805403</v>
      </c>
      <c r="S225" s="300">
        <f t="shared" si="32"/>
        <v>290777.897488054</v>
      </c>
    </row>
    <row r="226" spans="1:19" ht="15" x14ac:dyDescent="0.25">
      <c r="A226" s="49">
        <v>210</v>
      </c>
      <c r="B226" s="46" t="s">
        <v>397</v>
      </c>
      <c r="C226" s="33" t="s">
        <v>153</v>
      </c>
      <c r="D226" s="111">
        <v>540000</v>
      </c>
      <c r="E226" s="112">
        <v>141840</v>
      </c>
      <c r="F226" s="112">
        <v>567360</v>
      </c>
      <c r="G226" s="112">
        <v>709200</v>
      </c>
      <c r="H226" s="257">
        <f t="shared" si="25"/>
        <v>104000</v>
      </c>
      <c r="I226" s="257">
        <v>520000</v>
      </c>
      <c r="J226" s="232">
        <f t="shared" si="26"/>
        <v>624000</v>
      </c>
      <c r="K226" s="248">
        <v>47500</v>
      </c>
      <c r="L226" s="249">
        <v>480100</v>
      </c>
      <c r="M226" s="250">
        <v>527600</v>
      </c>
      <c r="N226" s="99">
        <f t="shared" si="27"/>
        <v>47500</v>
      </c>
      <c r="O226" s="73">
        <f t="shared" si="28"/>
        <v>480100</v>
      </c>
      <c r="P226" s="73">
        <f t="shared" si="29"/>
        <v>527600</v>
      </c>
      <c r="Q226" s="301">
        <f t="shared" si="30"/>
        <v>44175</v>
      </c>
      <c r="R226" s="301">
        <f t="shared" si="31"/>
        <v>446493</v>
      </c>
      <c r="S226" s="300">
        <f t="shared" si="32"/>
        <v>490668</v>
      </c>
    </row>
    <row r="227" spans="1:19" ht="22.5" x14ac:dyDescent="0.25">
      <c r="A227" s="56"/>
      <c r="B227" s="29" t="s">
        <v>62</v>
      </c>
      <c r="C227" s="33" t="s">
        <v>153</v>
      </c>
      <c r="D227" s="111"/>
      <c r="E227" s="112"/>
      <c r="F227" s="112"/>
      <c r="G227" s="112"/>
      <c r="H227" s="257">
        <f t="shared" si="25"/>
        <v>0</v>
      </c>
      <c r="I227" s="257"/>
      <c r="J227" s="232">
        <f t="shared" si="26"/>
        <v>0</v>
      </c>
      <c r="K227" s="248"/>
      <c r="L227" s="249"/>
      <c r="M227" s="250">
        <v>0</v>
      </c>
      <c r="N227" s="99">
        <f t="shared" si="27"/>
        <v>0</v>
      </c>
      <c r="O227" s="73">
        <f t="shared" si="28"/>
        <v>0</v>
      </c>
      <c r="P227" s="73">
        <f t="shared" si="29"/>
        <v>0</v>
      </c>
      <c r="Q227" s="301">
        <f t="shared" si="30"/>
        <v>0</v>
      </c>
      <c r="R227" s="301">
        <f t="shared" si="31"/>
        <v>0</v>
      </c>
      <c r="S227" s="300">
        <f t="shared" si="32"/>
        <v>0</v>
      </c>
    </row>
    <row r="228" spans="1:19" ht="22.5" x14ac:dyDescent="0.25">
      <c r="A228" s="56">
        <v>211</v>
      </c>
      <c r="B228" s="50" t="s">
        <v>382</v>
      </c>
      <c r="C228" s="33" t="s">
        <v>153</v>
      </c>
      <c r="D228" s="111">
        <v>345157.55103467114</v>
      </c>
      <c r="E228" s="112">
        <v>102166.63510626263</v>
      </c>
      <c r="F228" s="112">
        <v>408666.54042505065</v>
      </c>
      <c r="G228" s="112">
        <v>510833.17553131329</v>
      </c>
      <c r="H228" s="257">
        <f t="shared" si="25"/>
        <v>81600</v>
      </c>
      <c r="I228" s="257">
        <v>408000</v>
      </c>
      <c r="J228" s="232">
        <f t="shared" si="26"/>
        <v>489600</v>
      </c>
      <c r="K228" s="248">
        <v>424500</v>
      </c>
      <c r="L228" s="249">
        <v>306690.22042085731</v>
      </c>
      <c r="M228" s="250">
        <v>731190.22042085731</v>
      </c>
      <c r="N228" s="99">
        <f t="shared" si="27"/>
        <v>81600</v>
      </c>
      <c r="O228" s="73">
        <f t="shared" si="28"/>
        <v>306690.22042085731</v>
      </c>
      <c r="P228" s="73">
        <f t="shared" si="29"/>
        <v>388290.22042085731</v>
      </c>
      <c r="Q228" s="301">
        <f t="shared" si="30"/>
        <v>75888</v>
      </c>
      <c r="R228" s="301">
        <f t="shared" si="31"/>
        <v>285221.90499139728</v>
      </c>
      <c r="S228" s="300">
        <f t="shared" si="32"/>
        <v>361109.90499139728</v>
      </c>
    </row>
    <row r="229" spans="1:19" ht="15" x14ac:dyDescent="0.25">
      <c r="A229" s="56">
        <v>212</v>
      </c>
      <c r="B229" s="50" t="s">
        <v>63</v>
      </c>
      <c r="C229" s="33" t="s">
        <v>153</v>
      </c>
      <c r="D229" s="111">
        <v>1847330.8022529411</v>
      </c>
      <c r="E229" s="112">
        <v>415725.93265335192</v>
      </c>
      <c r="F229" s="112">
        <v>1662903.7306134081</v>
      </c>
      <c r="G229" s="112">
        <v>2078629.6632667601</v>
      </c>
      <c r="H229" s="257">
        <f t="shared" si="25"/>
        <v>396000</v>
      </c>
      <c r="I229" s="257">
        <v>1980000</v>
      </c>
      <c r="J229" s="232">
        <f t="shared" si="26"/>
        <v>2376000</v>
      </c>
      <c r="K229" s="248">
        <v>324500</v>
      </c>
      <c r="L229" s="249">
        <v>2068686.9564197371</v>
      </c>
      <c r="M229" s="250">
        <v>2393186.9564197371</v>
      </c>
      <c r="N229" s="99">
        <f t="shared" si="27"/>
        <v>324500</v>
      </c>
      <c r="O229" s="73">
        <f t="shared" si="28"/>
        <v>1662903.7306134081</v>
      </c>
      <c r="P229" s="73">
        <f t="shared" si="29"/>
        <v>1987403.7306134081</v>
      </c>
      <c r="Q229" s="301">
        <f t="shared" si="30"/>
        <v>301785</v>
      </c>
      <c r="R229" s="301">
        <f t="shared" si="31"/>
        <v>1546500.4694704695</v>
      </c>
      <c r="S229" s="300">
        <f t="shared" si="32"/>
        <v>1848285.4694704695</v>
      </c>
    </row>
    <row r="230" spans="1:19" ht="15" x14ac:dyDescent="0.25">
      <c r="A230" s="56">
        <v>213</v>
      </c>
      <c r="B230" s="50" t="s">
        <v>134</v>
      </c>
      <c r="C230" s="33" t="s">
        <v>153</v>
      </c>
      <c r="D230" s="111">
        <v>182280</v>
      </c>
      <c r="E230" s="112">
        <v>41954.879999999976</v>
      </c>
      <c r="F230" s="112">
        <v>167819.52000000002</v>
      </c>
      <c r="G230" s="112">
        <v>209774.4</v>
      </c>
      <c r="H230" s="257">
        <f t="shared" si="25"/>
        <v>40000</v>
      </c>
      <c r="I230" s="257">
        <v>200000</v>
      </c>
      <c r="J230" s="232">
        <f t="shared" si="26"/>
        <v>240000</v>
      </c>
      <c r="K230" s="248">
        <v>319500</v>
      </c>
      <c r="L230" s="249">
        <v>190769.38252619415</v>
      </c>
      <c r="M230" s="250">
        <v>510269.38252619415</v>
      </c>
      <c r="N230" s="99">
        <f t="shared" si="27"/>
        <v>40000</v>
      </c>
      <c r="O230" s="73">
        <f t="shared" si="28"/>
        <v>167819.52000000002</v>
      </c>
      <c r="P230" s="73">
        <f t="shared" si="29"/>
        <v>207819.52000000002</v>
      </c>
      <c r="Q230" s="301">
        <f t="shared" si="30"/>
        <v>37200</v>
      </c>
      <c r="R230" s="301">
        <f t="shared" si="31"/>
        <v>156072.15360000002</v>
      </c>
      <c r="S230" s="300">
        <f t="shared" si="32"/>
        <v>193272.15360000002</v>
      </c>
    </row>
    <row r="231" spans="1:19" ht="15" x14ac:dyDescent="0.25">
      <c r="A231" s="56">
        <v>214</v>
      </c>
      <c r="B231" s="57" t="s">
        <v>264</v>
      </c>
      <c r="C231" s="33" t="s">
        <v>153</v>
      </c>
      <c r="D231" s="111">
        <v>188859.79207557478</v>
      </c>
      <c r="E231" s="112">
        <v>135902.49845437019</v>
      </c>
      <c r="F231" s="112">
        <v>543609.99381748086</v>
      </c>
      <c r="G231" s="112">
        <v>679512.49227185105</v>
      </c>
      <c r="H231" s="257">
        <f t="shared" si="25"/>
        <v>49200</v>
      </c>
      <c r="I231" s="257">
        <v>246000</v>
      </c>
      <c r="J231" s="232">
        <f t="shared" si="26"/>
        <v>295200</v>
      </c>
      <c r="K231" s="248">
        <v>384500</v>
      </c>
      <c r="L231" s="249">
        <v>167585.21494726156</v>
      </c>
      <c r="M231" s="250">
        <v>552085.21494726161</v>
      </c>
      <c r="N231" s="99">
        <f t="shared" si="27"/>
        <v>49200</v>
      </c>
      <c r="O231" s="73">
        <f t="shared" si="28"/>
        <v>167585.21494726156</v>
      </c>
      <c r="P231" s="73">
        <f t="shared" si="29"/>
        <v>216785.21494726156</v>
      </c>
      <c r="Q231" s="301">
        <f t="shared" si="30"/>
        <v>45756</v>
      </c>
      <c r="R231" s="301">
        <f t="shared" si="31"/>
        <v>155854.24990095323</v>
      </c>
      <c r="S231" s="300">
        <f t="shared" si="32"/>
        <v>201610.24990095323</v>
      </c>
    </row>
    <row r="232" spans="1:19" ht="15" x14ac:dyDescent="0.25">
      <c r="A232" s="56">
        <v>215</v>
      </c>
      <c r="B232" s="47" t="s">
        <v>73</v>
      </c>
      <c r="C232" s="33" t="s">
        <v>153</v>
      </c>
      <c r="D232" s="111">
        <v>63798</v>
      </c>
      <c r="E232" s="112">
        <v>19139.399999999994</v>
      </c>
      <c r="F232" s="112">
        <v>76557.600000000006</v>
      </c>
      <c r="G232" s="112">
        <v>95697</v>
      </c>
      <c r="H232" s="257">
        <f t="shared" si="25"/>
        <v>16000</v>
      </c>
      <c r="I232" s="257">
        <v>80000</v>
      </c>
      <c r="J232" s="232">
        <f t="shared" si="26"/>
        <v>96000</v>
      </c>
      <c r="K232" s="248">
        <v>64500</v>
      </c>
      <c r="L232" s="249">
        <v>155993.13115779523</v>
      </c>
      <c r="M232" s="250">
        <v>220493.13115779523</v>
      </c>
      <c r="N232" s="99">
        <f t="shared" si="27"/>
        <v>16000</v>
      </c>
      <c r="O232" s="73">
        <f t="shared" si="28"/>
        <v>76557.600000000006</v>
      </c>
      <c r="P232" s="73">
        <f t="shared" si="29"/>
        <v>92557.6</v>
      </c>
      <c r="Q232" s="301">
        <f t="shared" si="30"/>
        <v>14880</v>
      </c>
      <c r="R232" s="301">
        <f t="shared" si="31"/>
        <v>71198.567999999999</v>
      </c>
      <c r="S232" s="300">
        <f t="shared" si="32"/>
        <v>86078.567999999999</v>
      </c>
    </row>
    <row r="233" spans="1:19" ht="15" x14ac:dyDescent="0.25">
      <c r="A233" s="56">
        <v>216</v>
      </c>
      <c r="B233" s="47" t="s">
        <v>72</v>
      </c>
      <c r="C233" s="33" t="s">
        <v>153</v>
      </c>
      <c r="D233" s="111">
        <v>1127462.8062485154</v>
      </c>
      <c r="E233" s="112">
        <v>333728.99064956047</v>
      </c>
      <c r="F233" s="112">
        <v>1334915.9625982423</v>
      </c>
      <c r="G233" s="112">
        <v>1668644.9532478028</v>
      </c>
      <c r="H233" s="257">
        <f t="shared" si="25"/>
        <v>253000</v>
      </c>
      <c r="I233" s="257">
        <v>1265000</v>
      </c>
      <c r="J233" s="232">
        <f t="shared" si="26"/>
        <v>1518000</v>
      </c>
      <c r="K233" s="248">
        <v>264500</v>
      </c>
      <c r="L233" s="249">
        <v>1002941.8975611787</v>
      </c>
      <c r="M233" s="250">
        <v>1267441.8975611785</v>
      </c>
      <c r="N233" s="99">
        <f t="shared" si="27"/>
        <v>253000</v>
      </c>
      <c r="O233" s="73">
        <f t="shared" si="28"/>
        <v>1002941.8975611787</v>
      </c>
      <c r="P233" s="73">
        <f t="shared" si="29"/>
        <v>1255941.8975611785</v>
      </c>
      <c r="Q233" s="301">
        <f t="shared" si="30"/>
        <v>235290</v>
      </c>
      <c r="R233" s="301">
        <f t="shared" si="31"/>
        <v>932735.96473189618</v>
      </c>
      <c r="S233" s="300">
        <f t="shared" si="32"/>
        <v>1168025.9647318963</v>
      </c>
    </row>
    <row r="234" spans="1:19" x14ac:dyDescent="0.25">
      <c r="A234" s="273" t="s">
        <v>491</v>
      </c>
      <c r="B234" s="273"/>
      <c r="C234" s="273"/>
      <c r="D234" s="26">
        <f t="shared" ref="D234:P234" si="33">SUM(D5:D233)</f>
        <v>152711410.14157441</v>
      </c>
      <c r="E234" s="66">
        <f t="shared" si="33"/>
        <v>44568130.809123084</v>
      </c>
      <c r="F234" s="66">
        <f t="shared" si="33"/>
        <v>178272523.23649237</v>
      </c>
      <c r="G234" s="66">
        <f t="shared" si="33"/>
        <v>222840654.04561526</v>
      </c>
      <c r="H234" s="66">
        <f t="shared" ref="H234:J234" si="34">SUM(H5:H233)</f>
        <v>38734800</v>
      </c>
      <c r="I234" s="66">
        <f t="shared" si="34"/>
        <v>193674000</v>
      </c>
      <c r="J234" s="66">
        <f t="shared" si="34"/>
        <v>232408800</v>
      </c>
      <c r="K234" s="206">
        <f>SUM(K5:K233)</f>
        <v>74358288</v>
      </c>
      <c r="L234" s="206">
        <f t="shared" si="33"/>
        <v>148403546.21924242</v>
      </c>
      <c r="M234" s="206">
        <f t="shared" si="33"/>
        <v>222761834.21924233</v>
      </c>
      <c r="N234" s="44">
        <f t="shared" si="33"/>
        <v>31283716.844487883</v>
      </c>
      <c r="O234" s="44">
        <f t="shared" si="33"/>
        <v>137173286.23097506</v>
      </c>
      <c r="P234" s="44">
        <f t="shared" si="33"/>
        <v>168457003.07546297</v>
      </c>
      <c r="Q234" s="301">
        <f t="shared" si="30"/>
        <v>29093856.665373731</v>
      </c>
      <c r="R234" s="301">
        <f t="shared" si="31"/>
        <v>127571156.19480681</v>
      </c>
      <c r="S234" s="300">
        <f t="shared" si="32"/>
        <v>156665012.86018056</v>
      </c>
    </row>
    <row r="235" spans="1:19" x14ac:dyDescent="0.25">
      <c r="A235" s="273" t="s">
        <v>492</v>
      </c>
      <c r="B235" s="273"/>
      <c r="C235" s="273"/>
      <c r="D235" s="237">
        <v>1</v>
      </c>
      <c r="E235" s="122">
        <f>+E234/G234</f>
        <v>0.20000000000000015</v>
      </c>
      <c r="F235" s="122">
        <f>+F234/G234</f>
        <v>0.80000000000000071</v>
      </c>
      <c r="G235" s="122">
        <f>+E235+F235</f>
        <v>1.0000000000000009</v>
      </c>
      <c r="H235" s="122">
        <f>+H234/J234</f>
        <v>0.16666666666666666</v>
      </c>
      <c r="I235" s="122">
        <f>+I234/J234</f>
        <v>0.83333333333333337</v>
      </c>
      <c r="J235" s="122">
        <f>+H235+I235</f>
        <v>1</v>
      </c>
      <c r="K235" s="122">
        <f t="shared" ref="K235" si="35">+K234/M234</f>
        <v>0.33380174059267498</v>
      </c>
      <c r="L235" s="122">
        <f t="shared" ref="L235" si="36">+L234/M234</f>
        <v>0.66619825940732547</v>
      </c>
      <c r="M235" s="122">
        <f t="shared" ref="M235" si="37">+K235+L235</f>
        <v>1.0000000000000004</v>
      </c>
      <c r="N235" s="122">
        <f t="shared" ref="N235" si="38">+N234/P234</f>
        <v>0.18570742844376645</v>
      </c>
      <c r="O235" s="122">
        <f t="shared" ref="O235" si="39">+O234/P234</f>
        <v>0.81429257155623347</v>
      </c>
      <c r="P235" s="122">
        <f t="shared" ref="P235" si="40">+N235+O235</f>
        <v>0.99999999999999989</v>
      </c>
      <c r="Q235" s="301"/>
      <c r="R235" s="301"/>
      <c r="S235" s="300"/>
    </row>
  </sheetData>
  <mergeCells count="8">
    <mergeCell ref="Q3:S3"/>
    <mergeCell ref="N3:P3"/>
    <mergeCell ref="K3:M3"/>
    <mergeCell ref="A234:C234"/>
    <mergeCell ref="A235:C235"/>
    <mergeCell ref="A2:C2"/>
    <mergeCell ref="E3:G3"/>
    <mergeCell ref="H3:J3"/>
  </mergeCells>
  <pageMargins left="0.7" right="0.7" top="0.75" bottom="0.75" header="0.3" footer="0.3"/>
  <pageSetup paperSize="9" orientation="portrait" horizontalDpi="360" verticalDpi="36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19">
    <tabColor rgb="FF00B0F0"/>
  </sheetPr>
  <dimension ref="A2:S252"/>
  <sheetViews>
    <sheetView topLeftCell="I231" zoomScaleNormal="100" zoomScaleSheetLayoutView="115" workbookViewId="0">
      <selection activeCell="Q3" sqref="Q3:S5"/>
    </sheetView>
  </sheetViews>
  <sheetFormatPr baseColWidth="10" defaultColWidth="9.140625" defaultRowHeight="11.25" x14ac:dyDescent="0.25"/>
  <cols>
    <col min="1" max="1" width="4.7109375" style="28" customWidth="1"/>
    <col min="2" max="2" width="56.7109375" style="27" customWidth="1"/>
    <col min="3" max="3" width="8.7109375" style="27" customWidth="1"/>
    <col min="4" max="4" width="13.7109375" style="26" customWidth="1"/>
    <col min="5" max="9" width="13.7109375" style="44" customWidth="1"/>
    <col min="10" max="10" width="15.7109375" style="44" customWidth="1"/>
    <col min="11" max="16" width="13.7109375" style="44" customWidth="1"/>
    <col min="17" max="17" width="12.7109375" style="27" customWidth="1"/>
    <col min="18" max="18" width="14.42578125" style="27" customWidth="1"/>
    <col min="19" max="19" width="14" style="27" customWidth="1"/>
    <col min="20" max="16384" width="9.140625" style="27"/>
  </cols>
  <sheetData>
    <row r="2" spans="1:19" x14ac:dyDescent="0.25">
      <c r="A2" s="279" t="s">
        <v>398</v>
      </c>
      <c r="B2" s="279"/>
      <c r="C2" s="279"/>
    </row>
    <row r="3" spans="1:19" x14ac:dyDescent="0.25">
      <c r="E3" s="269" t="s">
        <v>473</v>
      </c>
      <c r="F3" s="269"/>
      <c r="G3" s="269"/>
      <c r="H3" s="278" t="s">
        <v>571</v>
      </c>
      <c r="I3" s="278"/>
      <c r="J3" s="278"/>
      <c r="K3" s="277" t="s">
        <v>490</v>
      </c>
      <c r="L3" s="277"/>
      <c r="M3" s="277"/>
      <c r="N3" s="266" t="s">
        <v>480</v>
      </c>
      <c r="O3" s="266"/>
      <c r="P3" s="266"/>
      <c r="Q3" s="295" t="s">
        <v>576</v>
      </c>
      <c r="R3" s="296"/>
      <c r="S3" s="297"/>
    </row>
    <row r="4" spans="1:19" ht="45" x14ac:dyDescent="0.25">
      <c r="A4" s="29" t="s">
        <v>0</v>
      </c>
      <c r="B4" s="30" t="s">
        <v>91</v>
      </c>
      <c r="C4" s="45" t="s">
        <v>152</v>
      </c>
      <c r="D4" s="110" t="s">
        <v>472</v>
      </c>
      <c r="E4" s="89" t="s">
        <v>469</v>
      </c>
      <c r="F4" s="89" t="s">
        <v>470</v>
      </c>
      <c r="G4" s="90" t="s">
        <v>471</v>
      </c>
      <c r="H4" s="233" t="s">
        <v>469</v>
      </c>
      <c r="I4" s="233" t="s">
        <v>470</v>
      </c>
      <c r="J4" s="231" t="s">
        <v>471</v>
      </c>
      <c r="K4" s="115" t="s">
        <v>469</v>
      </c>
      <c r="L4" s="115" t="s">
        <v>470</v>
      </c>
      <c r="M4" s="116" t="s">
        <v>471</v>
      </c>
      <c r="N4" s="97" t="s">
        <v>469</v>
      </c>
      <c r="O4" s="97" t="s">
        <v>470</v>
      </c>
      <c r="P4" s="98" t="s">
        <v>471</v>
      </c>
      <c r="Q4" s="298" t="s">
        <v>574</v>
      </c>
      <c r="R4" s="298" t="s">
        <v>575</v>
      </c>
      <c r="S4" s="299" t="s">
        <v>471</v>
      </c>
    </row>
    <row r="5" spans="1:19" ht="33.75" x14ac:dyDescent="0.25">
      <c r="A5" s="31">
        <v>1</v>
      </c>
      <c r="B5" s="32" t="s">
        <v>399</v>
      </c>
      <c r="C5" s="33" t="s">
        <v>153</v>
      </c>
      <c r="D5" s="111">
        <v>7109613.3567404393</v>
      </c>
      <c r="E5" s="114">
        <v>2190691.7398873195</v>
      </c>
      <c r="F5" s="114">
        <v>8762766.9595492799</v>
      </c>
      <c r="G5" s="114">
        <f>F5+E5</f>
        <v>10953458.699436599</v>
      </c>
      <c r="H5" s="254">
        <f>+I5*20%</f>
        <v>1700000</v>
      </c>
      <c r="I5" s="254">
        <v>8500000</v>
      </c>
      <c r="J5" s="258">
        <f>+I5+H5</f>
        <v>10200000</v>
      </c>
      <c r="K5" s="145">
        <f>2190691.73988732-1000</f>
        <v>2189691.73988732</v>
      </c>
      <c r="L5" s="145">
        <v>8762766.9595492799</v>
      </c>
      <c r="M5" s="142">
        <f>K5+L5</f>
        <v>10952458.699436599</v>
      </c>
      <c r="N5" s="99">
        <f>MIN(E5,H5,K5)</f>
        <v>1700000</v>
      </c>
      <c r="O5" s="73">
        <f>MIN(F5,I5,L5)</f>
        <v>8500000</v>
      </c>
      <c r="P5" s="73">
        <f>O5+N5</f>
        <v>10200000</v>
      </c>
      <c r="Q5" s="301">
        <f>N5-(N5*7%)</f>
        <v>1581000</v>
      </c>
      <c r="R5" s="301">
        <f>O5-(O5*7%)</f>
        <v>7905000</v>
      </c>
      <c r="S5" s="300">
        <f>R5+Q5</f>
        <v>9486000</v>
      </c>
    </row>
    <row r="6" spans="1:19" ht="22.5" x14ac:dyDescent="0.25">
      <c r="A6" s="31">
        <v>2</v>
      </c>
      <c r="B6" s="32" t="s">
        <v>400</v>
      </c>
      <c r="C6" s="33" t="s">
        <v>153</v>
      </c>
      <c r="D6" s="111">
        <v>4035609.4926135</v>
      </c>
      <c r="E6" s="114">
        <v>1129970.6579317795</v>
      </c>
      <c r="F6" s="114">
        <v>4519882.6317271199</v>
      </c>
      <c r="G6" s="114">
        <f t="shared" ref="G6:G42" si="0">F6+E6</f>
        <v>5649853.2896588994</v>
      </c>
      <c r="H6" s="254">
        <f t="shared" ref="H6:H69" si="1">+I6*20%</f>
        <v>1014000</v>
      </c>
      <c r="I6" s="254">
        <v>5070000</v>
      </c>
      <c r="J6" s="258">
        <f t="shared" ref="J6:J69" si="2">+I6+H6</f>
        <v>6084000</v>
      </c>
      <c r="K6" s="145">
        <f>1129970.65793178-1000</f>
        <v>1128970.65793178</v>
      </c>
      <c r="L6" s="145">
        <v>4519882.6317271199</v>
      </c>
      <c r="M6" s="142">
        <f t="shared" ref="M6:M69" si="3">K6+L6</f>
        <v>5648853.2896589004</v>
      </c>
      <c r="N6" s="99">
        <f t="shared" ref="N6:N69" si="4">MIN(E6,H6,K6)</f>
        <v>1014000</v>
      </c>
      <c r="O6" s="73">
        <f t="shared" ref="O6:O69" si="5">MIN(F6,I6,L6)</f>
        <v>4519882.6317271199</v>
      </c>
      <c r="P6" s="73">
        <f t="shared" ref="P6:P69" si="6">O6+N6</f>
        <v>5533882.6317271199</v>
      </c>
      <c r="Q6" s="301">
        <f t="shared" ref="Q6:Q69" si="7">N6-(N6*7%)</f>
        <v>943020</v>
      </c>
      <c r="R6" s="301">
        <f t="shared" ref="R6:R69" si="8">O6-(O6*7%)</f>
        <v>4203490.8475062214</v>
      </c>
      <c r="S6" s="300">
        <f t="shared" ref="S6:S69" si="9">R6+Q6</f>
        <v>5146510.8475062214</v>
      </c>
    </row>
    <row r="7" spans="1:19" ht="15" x14ac:dyDescent="0.25">
      <c r="A7" s="31">
        <v>3</v>
      </c>
      <c r="B7" s="46" t="s">
        <v>277</v>
      </c>
      <c r="C7" s="33" t="s">
        <v>153</v>
      </c>
      <c r="D7" s="111">
        <v>1222498.3581715068</v>
      </c>
      <c r="E7" s="114">
        <v>354524.52386973682</v>
      </c>
      <c r="F7" s="114">
        <v>1418098.095478948</v>
      </c>
      <c r="G7" s="114">
        <f t="shared" si="0"/>
        <v>1772622.6193486848</v>
      </c>
      <c r="H7" s="254">
        <f t="shared" si="1"/>
        <v>288400</v>
      </c>
      <c r="I7" s="254">
        <v>1442000</v>
      </c>
      <c r="J7" s="258">
        <f t="shared" si="2"/>
        <v>1730400</v>
      </c>
      <c r="K7" s="145">
        <f>354524.523869737-1000</f>
        <v>353524.52386973699</v>
      </c>
      <c r="L7" s="145">
        <v>1418098.095478948</v>
      </c>
      <c r="M7" s="142">
        <f t="shared" si="3"/>
        <v>1771622.619348685</v>
      </c>
      <c r="N7" s="99">
        <f t="shared" si="4"/>
        <v>288400</v>
      </c>
      <c r="O7" s="73">
        <f t="shared" si="5"/>
        <v>1418098.095478948</v>
      </c>
      <c r="P7" s="73">
        <f t="shared" si="6"/>
        <v>1706498.095478948</v>
      </c>
      <c r="Q7" s="301">
        <f t="shared" si="7"/>
        <v>268212</v>
      </c>
      <c r="R7" s="301">
        <f t="shared" si="8"/>
        <v>1318831.2287954215</v>
      </c>
      <c r="S7" s="300">
        <f t="shared" si="9"/>
        <v>1587043.2287954215</v>
      </c>
    </row>
    <row r="8" spans="1:19" ht="15" x14ac:dyDescent="0.25">
      <c r="A8" s="31">
        <v>4</v>
      </c>
      <c r="B8" s="46" t="s">
        <v>156</v>
      </c>
      <c r="C8" s="33" t="s">
        <v>153</v>
      </c>
      <c r="D8" s="111">
        <v>320991.18901709944</v>
      </c>
      <c r="E8" s="114">
        <v>93087.444814958784</v>
      </c>
      <c r="F8" s="114">
        <v>372349.77925983537</v>
      </c>
      <c r="G8" s="114">
        <f t="shared" si="0"/>
        <v>465437.22407479415</v>
      </c>
      <c r="H8" s="254">
        <f t="shared" si="1"/>
        <v>74000</v>
      </c>
      <c r="I8" s="254">
        <v>370000</v>
      </c>
      <c r="J8" s="258">
        <f t="shared" si="2"/>
        <v>444000</v>
      </c>
      <c r="K8" s="145">
        <f>93087.4448149588-1000</f>
        <v>92087.444814958799</v>
      </c>
      <c r="L8" s="145">
        <v>372349.77925983537</v>
      </c>
      <c r="M8" s="142">
        <f t="shared" si="3"/>
        <v>464437.22407479415</v>
      </c>
      <c r="N8" s="99">
        <f t="shared" si="4"/>
        <v>74000</v>
      </c>
      <c r="O8" s="73">
        <f t="shared" si="5"/>
        <v>370000</v>
      </c>
      <c r="P8" s="73">
        <f t="shared" si="6"/>
        <v>444000</v>
      </c>
      <c r="Q8" s="301">
        <f t="shared" si="7"/>
        <v>68820</v>
      </c>
      <c r="R8" s="301">
        <f t="shared" si="8"/>
        <v>344100</v>
      </c>
      <c r="S8" s="300">
        <f t="shared" si="9"/>
        <v>412920</v>
      </c>
    </row>
    <row r="9" spans="1:19" ht="15" x14ac:dyDescent="0.25">
      <c r="A9" s="31">
        <v>5</v>
      </c>
      <c r="B9" s="46" t="s">
        <v>133</v>
      </c>
      <c r="C9" s="33" t="s">
        <v>153</v>
      </c>
      <c r="D9" s="111">
        <v>3739345.2711999998</v>
      </c>
      <c r="E9" s="114">
        <v>1047016.6759359995</v>
      </c>
      <c r="F9" s="114">
        <v>4188066.7037439998</v>
      </c>
      <c r="G9" s="114">
        <f t="shared" si="0"/>
        <v>5235083.3796799993</v>
      </c>
      <c r="H9" s="254">
        <f t="shared" si="1"/>
        <v>900000</v>
      </c>
      <c r="I9" s="254">
        <v>4500000</v>
      </c>
      <c r="J9" s="258">
        <f t="shared" si="2"/>
        <v>5400000</v>
      </c>
      <c r="K9" s="145">
        <f>1047016.675936-1000</f>
        <v>1046016.675936</v>
      </c>
      <c r="L9" s="145">
        <v>4188066.7037439998</v>
      </c>
      <c r="M9" s="142">
        <f t="shared" si="3"/>
        <v>5234083.3796800002</v>
      </c>
      <c r="N9" s="99">
        <f t="shared" si="4"/>
        <v>900000</v>
      </c>
      <c r="O9" s="73">
        <f t="shared" si="5"/>
        <v>4188066.7037439998</v>
      </c>
      <c r="P9" s="73">
        <f t="shared" si="6"/>
        <v>5088066.7037439998</v>
      </c>
      <c r="Q9" s="301">
        <f t="shared" si="7"/>
        <v>837000</v>
      </c>
      <c r="R9" s="301">
        <f t="shared" si="8"/>
        <v>3894902.0344819198</v>
      </c>
      <c r="S9" s="300">
        <f t="shared" si="9"/>
        <v>4731902.0344819203</v>
      </c>
    </row>
    <row r="10" spans="1:19" ht="15" x14ac:dyDescent="0.25">
      <c r="A10" s="31">
        <v>6</v>
      </c>
      <c r="B10" s="46" t="s">
        <v>4</v>
      </c>
      <c r="C10" s="33" t="s">
        <v>153</v>
      </c>
      <c r="D10" s="111">
        <v>1147829.6560490278</v>
      </c>
      <c r="E10" s="114">
        <v>332870.60025421786</v>
      </c>
      <c r="F10" s="114">
        <v>1331482.4010168724</v>
      </c>
      <c r="G10" s="114">
        <f t="shared" si="0"/>
        <v>1664353.0012710902</v>
      </c>
      <c r="H10" s="254">
        <f t="shared" si="1"/>
        <v>29000</v>
      </c>
      <c r="I10" s="254">
        <v>145000</v>
      </c>
      <c r="J10" s="258">
        <f t="shared" si="2"/>
        <v>174000</v>
      </c>
      <c r="K10" s="145">
        <f>332870.600254218-1000</f>
        <v>331870.60025421798</v>
      </c>
      <c r="L10" s="145">
        <v>1331482.4010168724</v>
      </c>
      <c r="M10" s="142">
        <f t="shared" si="3"/>
        <v>1663353.0012710905</v>
      </c>
      <c r="N10" s="99">
        <f t="shared" si="4"/>
        <v>29000</v>
      </c>
      <c r="O10" s="73">
        <f t="shared" si="5"/>
        <v>145000</v>
      </c>
      <c r="P10" s="73">
        <f t="shared" si="6"/>
        <v>174000</v>
      </c>
      <c r="Q10" s="301">
        <f t="shared" si="7"/>
        <v>26970</v>
      </c>
      <c r="R10" s="301">
        <f t="shared" si="8"/>
        <v>134850</v>
      </c>
      <c r="S10" s="300">
        <f t="shared" si="9"/>
        <v>161820</v>
      </c>
    </row>
    <row r="11" spans="1:19" ht="15" x14ac:dyDescent="0.25">
      <c r="A11" s="31">
        <v>7</v>
      </c>
      <c r="B11" s="46" t="s">
        <v>96</v>
      </c>
      <c r="C11" s="33" t="s">
        <v>153</v>
      </c>
      <c r="D11" s="111">
        <v>940405.85494704079</v>
      </c>
      <c r="E11" s="114">
        <v>272717.69793464174</v>
      </c>
      <c r="F11" s="114">
        <v>1090870.7917385674</v>
      </c>
      <c r="G11" s="114">
        <f t="shared" si="0"/>
        <v>1363588.4896732091</v>
      </c>
      <c r="H11" s="254">
        <f t="shared" si="1"/>
        <v>198000</v>
      </c>
      <c r="I11" s="254">
        <v>990000</v>
      </c>
      <c r="J11" s="258">
        <f t="shared" si="2"/>
        <v>1188000</v>
      </c>
      <c r="K11" s="145">
        <f>272717.697934642-1000</f>
        <v>271717.69793464203</v>
      </c>
      <c r="L11" s="145">
        <v>1090870.7917385674</v>
      </c>
      <c r="M11" s="142">
        <f t="shared" si="3"/>
        <v>1362588.4896732094</v>
      </c>
      <c r="N11" s="99">
        <f t="shared" si="4"/>
        <v>198000</v>
      </c>
      <c r="O11" s="73">
        <f t="shared" si="5"/>
        <v>990000</v>
      </c>
      <c r="P11" s="73">
        <f t="shared" si="6"/>
        <v>1188000</v>
      </c>
      <c r="Q11" s="301">
        <f t="shared" si="7"/>
        <v>184140</v>
      </c>
      <c r="R11" s="301">
        <f t="shared" si="8"/>
        <v>920700</v>
      </c>
      <c r="S11" s="300">
        <f t="shared" si="9"/>
        <v>1104840</v>
      </c>
    </row>
    <row r="12" spans="1:19" ht="15" x14ac:dyDescent="0.25">
      <c r="A12" s="31">
        <v>8</v>
      </c>
      <c r="B12" s="46" t="s">
        <v>8</v>
      </c>
      <c r="C12" s="33" t="s">
        <v>153</v>
      </c>
      <c r="D12" s="111">
        <v>164374.99801799998</v>
      </c>
      <c r="E12" s="114">
        <v>47668.749425219983</v>
      </c>
      <c r="F12" s="114">
        <v>190674.99770087999</v>
      </c>
      <c r="G12" s="114">
        <f t="shared" si="0"/>
        <v>238343.74712609997</v>
      </c>
      <c r="H12" s="254">
        <f t="shared" si="1"/>
        <v>38600</v>
      </c>
      <c r="I12" s="254">
        <v>193000</v>
      </c>
      <c r="J12" s="258">
        <f t="shared" si="2"/>
        <v>231600</v>
      </c>
      <c r="K12" s="145">
        <f>47668.74942522-1000</f>
        <v>46668.749425219998</v>
      </c>
      <c r="L12" s="145">
        <v>190674.99770087999</v>
      </c>
      <c r="M12" s="142">
        <f t="shared" si="3"/>
        <v>237343.7471261</v>
      </c>
      <c r="N12" s="99">
        <f t="shared" si="4"/>
        <v>38600</v>
      </c>
      <c r="O12" s="73">
        <f t="shared" si="5"/>
        <v>190674.99770087999</v>
      </c>
      <c r="P12" s="73">
        <f t="shared" si="6"/>
        <v>229274.99770087999</v>
      </c>
      <c r="Q12" s="301">
        <f t="shared" si="7"/>
        <v>35898</v>
      </c>
      <c r="R12" s="301">
        <f t="shared" si="8"/>
        <v>177327.74786181838</v>
      </c>
      <c r="S12" s="300">
        <f t="shared" si="9"/>
        <v>213225.74786181838</v>
      </c>
    </row>
    <row r="13" spans="1:19" ht="15" x14ac:dyDescent="0.25">
      <c r="A13" s="31">
        <v>9</v>
      </c>
      <c r="B13" s="46" t="s">
        <v>157</v>
      </c>
      <c r="C13" s="33" t="s">
        <v>153</v>
      </c>
      <c r="D13" s="111">
        <v>211339.28316600001</v>
      </c>
      <c r="E13" s="114">
        <v>61288.392118139978</v>
      </c>
      <c r="F13" s="114">
        <v>245153.56847256</v>
      </c>
      <c r="G13" s="114">
        <f t="shared" si="0"/>
        <v>306441.96059069998</v>
      </c>
      <c r="H13" s="254">
        <f t="shared" si="1"/>
        <v>50000</v>
      </c>
      <c r="I13" s="254">
        <v>250000</v>
      </c>
      <c r="J13" s="258">
        <f t="shared" si="2"/>
        <v>300000</v>
      </c>
      <c r="K13" s="145">
        <f>61288.39211814-1000</f>
        <v>60288.39211814</v>
      </c>
      <c r="L13" s="145">
        <v>245153.56847256</v>
      </c>
      <c r="M13" s="142">
        <f t="shared" si="3"/>
        <v>305441.96059069998</v>
      </c>
      <c r="N13" s="99">
        <f t="shared" si="4"/>
        <v>50000</v>
      </c>
      <c r="O13" s="73">
        <f t="shared" si="5"/>
        <v>245153.56847256</v>
      </c>
      <c r="P13" s="73">
        <f t="shared" si="6"/>
        <v>295153.56847256003</v>
      </c>
      <c r="Q13" s="301">
        <f t="shared" si="7"/>
        <v>46500</v>
      </c>
      <c r="R13" s="301">
        <f t="shared" si="8"/>
        <v>227992.81867948081</v>
      </c>
      <c r="S13" s="300">
        <f t="shared" si="9"/>
        <v>274492.81867948081</v>
      </c>
    </row>
    <row r="14" spans="1:19" ht="15" x14ac:dyDescent="0.25">
      <c r="A14" s="31">
        <v>10</v>
      </c>
      <c r="B14" s="46" t="s">
        <v>10</v>
      </c>
      <c r="C14" s="33" t="s">
        <v>153</v>
      </c>
      <c r="D14" s="111">
        <v>165683.35849104737</v>
      </c>
      <c r="E14" s="114">
        <v>48048.173962403729</v>
      </c>
      <c r="F14" s="114">
        <v>192192.69584961495</v>
      </c>
      <c r="G14" s="114">
        <f t="shared" si="0"/>
        <v>240240.86981201867</v>
      </c>
      <c r="H14" s="254">
        <f t="shared" si="1"/>
        <v>39000</v>
      </c>
      <c r="I14" s="254">
        <v>195000</v>
      </c>
      <c r="J14" s="258">
        <f t="shared" si="2"/>
        <v>234000</v>
      </c>
      <c r="K14" s="145">
        <f>48048.1739624037-1000</f>
        <v>47048.1739624037</v>
      </c>
      <c r="L14" s="145">
        <v>192192.69584961495</v>
      </c>
      <c r="M14" s="142">
        <f t="shared" si="3"/>
        <v>239240.86981201865</v>
      </c>
      <c r="N14" s="99">
        <f t="shared" si="4"/>
        <v>39000</v>
      </c>
      <c r="O14" s="73">
        <f t="shared" si="5"/>
        <v>192192.69584961495</v>
      </c>
      <c r="P14" s="73">
        <f t="shared" si="6"/>
        <v>231192.69584961495</v>
      </c>
      <c r="Q14" s="301">
        <f t="shared" si="7"/>
        <v>36270</v>
      </c>
      <c r="R14" s="301">
        <f t="shared" si="8"/>
        <v>178739.20714014189</v>
      </c>
      <c r="S14" s="300">
        <f t="shared" si="9"/>
        <v>215009.20714014189</v>
      </c>
    </row>
    <row r="15" spans="1:19" ht="15" x14ac:dyDescent="0.25">
      <c r="A15" s="31">
        <v>11</v>
      </c>
      <c r="B15" s="46" t="s">
        <v>65</v>
      </c>
      <c r="C15" s="33" t="s">
        <v>153</v>
      </c>
      <c r="D15" s="111">
        <v>711169.55651171948</v>
      </c>
      <c r="E15" s="114">
        <v>206239.17138839862</v>
      </c>
      <c r="F15" s="114">
        <v>824956.68555359461</v>
      </c>
      <c r="G15" s="114">
        <f t="shared" si="0"/>
        <v>1031195.8569419932</v>
      </c>
      <c r="H15" s="254">
        <f t="shared" si="1"/>
        <v>166000</v>
      </c>
      <c r="I15" s="254">
        <v>830000</v>
      </c>
      <c r="J15" s="258">
        <f t="shared" si="2"/>
        <v>996000</v>
      </c>
      <c r="K15" s="145">
        <f>206239.171388399-1000</f>
        <v>205239.171388399</v>
      </c>
      <c r="L15" s="145">
        <v>824956.68555359461</v>
      </c>
      <c r="M15" s="142">
        <f t="shared" si="3"/>
        <v>1030195.8569419936</v>
      </c>
      <c r="N15" s="99">
        <f t="shared" si="4"/>
        <v>166000</v>
      </c>
      <c r="O15" s="73">
        <f t="shared" si="5"/>
        <v>824956.68555359461</v>
      </c>
      <c r="P15" s="73">
        <f t="shared" si="6"/>
        <v>990956.68555359461</v>
      </c>
      <c r="Q15" s="301">
        <f t="shared" si="7"/>
        <v>154380</v>
      </c>
      <c r="R15" s="301">
        <f t="shared" si="8"/>
        <v>767209.71756484301</v>
      </c>
      <c r="S15" s="300">
        <f t="shared" si="9"/>
        <v>921589.71756484301</v>
      </c>
    </row>
    <row r="16" spans="1:19" ht="15" x14ac:dyDescent="0.25">
      <c r="A16" s="31">
        <v>12</v>
      </c>
      <c r="B16" s="46" t="s">
        <v>9</v>
      </c>
      <c r="C16" s="33" t="s">
        <v>153</v>
      </c>
      <c r="D16" s="111">
        <v>243133.7516810371</v>
      </c>
      <c r="E16" s="114">
        <v>70508.78798750072</v>
      </c>
      <c r="F16" s="114">
        <v>282035.15195000306</v>
      </c>
      <c r="G16" s="114">
        <f t="shared" si="0"/>
        <v>352543.93993750378</v>
      </c>
      <c r="H16" s="254">
        <f t="shared" si="1"/>
        <v>57200</v>
      </c>
      <c r="I16" s="254">
        <v>286000</v>
      </c>
      <c r="J16" s="258">
        <f t="shared" si="2"/>
        <v>343200</v>
      </c>
      <c r="K16" s="145">
        <f>70508.7879875007-1000</f>
        <v>69508.787987500706</v>
      </c>
      <c r="L16" s="145">
        <v>282035.15195000306</v>
      </c>
      <c r="M16" s="142">
        <f t="shared" si="3"/>
        <v>351543.93993750378</v>
      </c>
      <c r="N16" s="99">
        <f t="shared" si="4"/>
        <v>57200</v>
      </c>
      <c r="O16" s="73">
        <f t="shared" si="5"/>
        <v>282035.15195000306</v>
      </c>
      <c r="P16" s="73">
        <f t="shared" si="6"/>
        <v>339235.15195000306</v>
      </c>
      <c r="Q16" s="301">
        <f t="shared" si="7"/>
        <v>53196</v>
      </c>
      <c r="R16" s="301">
        <f t="shared" si="8"/>
        <v>262292.69131350284</v>
      </c>
      <c r="S16" s="300">
        <f t="shared" si="9"/>
        <v>315488.69131350284</v>
      </c>
    </row>
    <row r="17" spans="1:19" ht="15" x14ac:dyDescent="0.2">
      <c r="A17" s="31">
        <v>13</v>
      </c>
      <c r="B17" s="47" t="s">
        <v>401</v>
      </c>
      <c r="C17" s="33" t="s">
        <v>153</v>
      </c>
      <c r="D17" s="111">
        <v>3151705.4592245002</v>
      </c>
      <c r="E17" s="114">
        <v>882477.52858285978</v>
      </c>
      <c r="F17" s="114">
        <v>3529910.1143314401</v>
      </c>
      <c r="G17" s="114">
        <f t="shared" si="0"/>
        <v>4412387.6429142999</v>
      </c>
      <c r="H17" s="254">
        <f t="shared" si="1"/>
        <v>780000</v>
      </c>
      <c r="I17" s="254">
        <v>3900000</v>
      </c>
      <c r="J17" s="258">
        <f t="shared" si="2"/>
        <v>4680000</v>
      </c>
      <c r="K17" s="145">
        <f>882477.52858286-1000</f>
        <v>881477.52858286002</v>
      </c>
      <c r="L17" s="145">
        <v>3529910.1143314401</v>
      </c>
      <c r="M17" s="142">
        <f t="shared" si="3"/>
        <v>4411387.6429142999</v>
      </c>
      <c r="N17" s="99">
        <f t="shared" si="4"/>
        <v>780000</v>
      </c>
      <c r="O17" s="73">
        <f t="shared" si="5"/>
        <v>3529910.1143314401</v>
      </c>
      <c r="P17" s="73">
        <f t="shared" si="6"/>
        <v>4309910.1143314401</v>
      </c>
      <c r="Q17" s="301">
        <f t="shared" si="7"/>
        <v>725400</v>
      </c>
      <c r="R17" s="301">
        <f t="shared" si="8"/>
        <v>3282816.4063282395</v>
      </c>
      <c r="S17" s="300">
        <f t="shared" si="9"/>
        <v>4008216.4063282395</v>
      </c>
    </row>
    <row r="18" spans="1:19" ht="15" x14ac:dyDescent="0.25">
      <c r="A18" s="31">
        <v>14</v>
      </c>
      <c r="B18" s="46" t="s">
        <v>2</v>
      </c>
      <c r="C18" s="33" t="s">
        <v>153</v>
      </c>
      <c r="D18" s="111">
        <v>505947.67804870562</v>
      </c>
      <c r="E18" s="114">
        <v>146724.82663412462</v>
      </c>
      <c r="F18" s="114">
        <v>586899.30653649848</v>
      </c>
      <c r="G18" s="114">
        <f t="shared" si="0"/>
        <v>733624.1331706231</v>
      </c>
      <c r="H18" s="254">
        <f t="shared" si="1"/>
        <v>118000</v>
      </c>
      <c r="I18" s="254">
        <v>590000</v>
      </c>
      <c r="J18" s="258">
        <f t="shared" si="2"/>
        <v>708000</v>
      </c>
      <c r="K18" s="145">
        <f>146724.826634125-1000</f>
        <v>145724.826634125</v>
      </c>
      <c r="L18" s="145">
        <v>586899.30653649848</v>
      </c>
      <c r="M18" s="142">
        <f t="shared" si="3"/>
        <v>732624.13317062345</v>
      </c>
      <c r="N18" s="99">
        <f t="shared" si="4"/>
        <v>118000</v>
      </c>
      <c r="O18" s="73">
        <f t="shared" si="5"/>
        <v>586899.30653649848</v>
      </c>
      <c r="P18" s="73">
        <f t="shared" si="6"/>
        <v>704899.30653649848</v>
      </c>
      <c r="Q18" s="301">
        <f t="shared" si="7"/>
        <v>109740</v>
      </c>
      <c r="R18" s="301">
        <f t="shared" si="8"/>
        <v>545816.35507894354</v>
      </c>
      <c r="S18" s="300">
        <f t="shared" si="9"/>
        <v>655556.35507894354</v>
      </c>
    </row>
    <row r="19" spans="1:19" ht="15" x14ac:dyDescent="0.25">
      <c r="A19" s="31">
        <v>15</v>
      </c>
      <c r="B19" s="46" t="s">
        <v>3</v>
      </c>
      <c r="C19" s="33" t="s">
        <v>153</v>
      </c>
      <c r="D19" s="111">
        <v>505947.67804870562</v>
      </c>
      <c r="E19" s="114">
        <v>146724.82663412462</v>
      </c>
      <c r="F19" s="114">
        <v>586899.30653649848</v>
      </c>
      <c r="G19" s="114">
        <f t="shared" si="0"/>
        <v>733624.1331706231</v>
      </c>
      <c r="H19" s="254">
        <f t="shared" si="1"/>
        <v>11800</v>
      </c>
      <c r="I19" s="254">
        <v>59000</v>
      </c>
      <c r="J19" s="258">
        <f t="shared" si="2"/>
        <v>70800</v>
      </c>
      <c r="K19" s="145">
        <f>146724.826634125-1000</f>
        <v>145724.826634125</v>
      </c>
      <c r="L19" s="145">
        <v>586899.30653649848</v>
      </c>
      <c r="M19" s="142">
        <f t="shared" si="3"/>
        <v>732624.13317062345</v>
      </c>
      <c r="N19" s="99">
        <f t="shared" si="4"/>
        <v>11800</v>
      </c>
      <c r="O19" s="73">
        <f t="shared" si="5"/>
        <v>59000</v>
      </c>
      <c r="P19" s="73">
        <f t="shared" si="6"/>
        <v>70800</v>
      </c>
      <c r="Q19" s="301">
        <f t="shared" si="7"/>
        <v>10974</v>
      </c>
      <c r="R19" s="301">
        <f t="shared" si="8"/>
        <v>54870</v>
      </c>
      <c r="S19" s="300">
        <f t="shared" si="9"/>
        <v>65844</v>
      </c>
    </row>
    <row r="20" spans="1:19" ht="15" x14ac:dyDescent="0.25">
      <c r="A20" s="31">
        <v>16</v>
      </c>
      <c r="B20" s="46" t="s">
        <v>15</v>
      </c>
      <c r="C20" s="33" t="s">
        <v>153</v>
      </c>
      <c r="D20" s="111">
        <v>716665.97791718191</v>
      </c>
      <c r="E20" s="114">
        <v>207833.13359598268</v>
      </c>
      <c r="F20" s="114">
        <v>831332.53438393108</v>
      </c>
      <c r="G20" s="114">
        <f t="shared" si="0"/>
        <v>1039165.6679799138</v>
      </c>
      <c r="H20" s="254">
        <f t="shared" si="1"/>
        <v>180000</v>
      </c>
      <c r="I20" s="254">
        <v>900000</v>
      </c>
      <c r="J20" s="258">
        <f t="shared" si="2"/>
        <v>1080000</v>
      </c>
      <c r="K20" s="145">
        <f>207833.133595983-1000</f>
        <v>206833.133595983</v>
      </c>
      <c r="L20" s="145">
        <v>831332.53438393108</v>
      </c>
      <c r="M20" s="142">
        <f t="shared" si="3"/>
        <v>1038165.6679799141</v>
      </c>
      <c r="N20" s="99">
        <f t="shared" si="4"/>
        <v>180000</v>
      </c>
      <c r="O20" s="73">
        <f t="shared" si="5"/>
        <v>831332.53438393108</v>
      </c>
      <c r="P20" s="73">
        <f t="shared" si="6"/>
        <v>1011332.5343839311</v>
      </c>
      <c r="Q20" s="301">
        <f t="shared" si="7"/>
        <v>167400</v>
      </c>
      <c r="R20" s="301">
        <f t="shared" si="8"/>
        <v>773139.25697705592</v>
      </c>
      <c r="S20" s="300">
        <f t="shared" si="9"/>
        <v>940539.25697705592</v>
      </c>
    </row>
    <row r="21" spans="1:19" ht="15" x14ac:dyDescent="0.25">
      <c r="A21" s="31">
        <v>17</v>
      </c>
      <c r="B21" s="46" t="s">
        <v>105</v>
      </c>
      <c r="C21" s="33" t="s">
        <v>153</v>
      </c>
      <c r="D21" s="111">
        <v>474162.72073624627</v>
      </c>
      <c r="E21" s="114">
        <v>137507.18901351141</v>
      </c>
      <c r="F21" s="114">
        <v>550028.75605404563</v>
      </c>
      <c r="G21" s="114">
        <f t="shared" si="0"/>
        <v>687535.94506755704</v>
      </c>
      <c r="H21" s="254">
        <f t="shared" si="1"/>
        <v>112000</v>
      </c>
      <c r="I21" s="254">
        <v>560000</v>
      </c>
      <c r="J21" s="258">
        <f t="shared" si="2"/>
        <v>672000</v>
      </c>
      <c r="K21" s="145">
        <f>137507.189013511-1000</f>
        <v>136507.189013511</v>
      </c>
      <c r="L21" s="145">
        <v>550028.75605404563</v>
      </c>
      <c r="M21" s="142">
        <f t="shared" si="3"/>
        <v>686535.94506755657</v>
      </c>
      <c r="N21" s="99">
        <f t="shared" si="4"/>
        <v>112000</v>
      </c>
      <c r="O21" s="73">
        <f t="shared" si="5"/>
        <v>550028.75605404563</v>
      </c>
      <c r="P21" s="73">
        <f t="shared" si="6"/>
        <v>662028.75605404563</v>
      </c>
      <c r="Q21" s="301">
        <f t="shared" si="7"/>
        <v>104160</v>
      </c>
      <c r="R21" s="301">
        <f t="shared" si="8"/>
        <v>511526.74313026242</v>
      </c>
      <c r="S21" s="300">
        <f t="shared" si="9"/>
        <v>615686.74313026248</v>
      </c>
    </row>
    <row r="22" spans="1:19" ht="15" x14ac:dyDescent="0.25">
      <c r="A22" s="31">
        <v>18</v>
      </c>
      <c r="B22" s="46" t="s">
        <v>106</v>
      </c>
      <c r="C22" s="33" t="s">
        <v>153</v>
      </c>
      <c r="D22" s="111">
        <v>639250.53812767065</v>
      </c>
      <c r="E22" s="114">
        <v>185382.65605702449</v>
      </c>
      <c r="F22" s="114">
        <v>741530.62422809796</v>
      </c>
      <c r="G22" s="114">
        <f t="shared" si="0"/>
        <v>926913.28028512246</v>
      </c>
      <c r="H22" s="254">
        <f t="shared" si="1"/>
        <v>15100</v>
      </c>
      <c r="I22" s="254">
        <v>75500</v>
      </c>
      <c r="J22" s="258">
        <f t="shared" si="2"/>
        <v>90600</v>
      </c>
      <c r="K22" s="145">
        <f>185382.656057024-1000</f>
        <v>184382.656057024</v>
      </c>
      <c r="L22" s="145">
        <v>741530.62422809796</v>
      </c>
      <c r="M22" s="142">
        <f t="shared" si="3"/>
        <v>925913.28028512199</v>
      </c>
      <c r="N22" s="99">
        <f t="shared" si="4"/>
        <v>15100</v>
      </c>
      <c r="O22" s="73">
        <f t="shared" si="5"/>
        <v>75500</v>
      </c>
      <c r="P22" s="73">
        <f t="shared" si="6"/>
        <v>90600</v>
      </c>
      <c r="Q22" s="301">
        <f t="shared" si="7"/>
        <v>14043</v>
      </c>
      <c r="R22" s="301">
        <f t="shared" si="8"/>
        <v>70215</v>
      </c>
      <c r="S22" s="300">
        <f t="shared" si="9"/>
        <v>84258</v>
      </c>
    </row>
    <row r="23" spans="1:19" ht="15" x14ac:dyDescent="0.25">
      <c r="A23" s="31">
        <v>19</v>
      </c>
      <c r="B23" s="46" t="s">
        <v>6</v>
      </c>
      <c r="C23" s="33" t="s">
        <v>153</v>
      </c>
      <c r="D23" s="111">
        <v>751255.97429533931</v>
      </c>
      <c r="E23" s="114">
        <v>217864.23254564835</v>
      </c>
      <c r="F23" s="114">
        <v>871456.93018259353</v>
      </c>
      <c r="G23" s="114">
        <f t="shared" si="0"/>
        <v>1089321.1627282419</v>
      </c>
      <c r="H23" s="254">
        <f t="shared" si="1"/>
        <v>177400</v>
      </c>
      <c r="I23" s="254">
        <v>887000</v>
      </c>
      <c r="J23" s="258">
        <f t="shared" si="2"/>
        <v>1064400</v>
      </c>
      <c r="K23" s="145">
        <f>217864.232545648-1000</f>
        <v>216864.232545648</v>
      </c>
      <c r="L23" s="145">
        <v>871456.93018259353</v>
      </c>
      <c r="M23" s="142">
        <f t="shared" si="3"/>
        <v>1088321.1627282416</v>
      </c>
      <c r="N23" s="99">
        <f t="shared" si="4"/>
        <v>177400</v>
      </c>
      <c r="O23" s="73">
        <f t="shared" si="5"/>
        <v>871456.93018259353</v>
      </c>
      <c r="P23" s="73">
        <f t="shared" si="6"/>
        <v>1048856.9301825934</v>
      </c>
      <c r="Q23" s="301">
        <f t="shared" si="7"/>
        <v>164982</v>
      </c>
      <c r="R23" s="301">
        <f t="shared" si="8"/>
        <v>810454.94506981201</v>
      </c>
      <c r="S23" s="300">
        <f t="shared" si="9"/>
        <v>975436.94506981201</v>
      </c>
    </row>
    <row r="24" spans="1:19" ht="15" x14ac:dyDescent="0.25">
      <c r="A24" s="31">
        <v>20</v>
      </c>
      <c r="B24" s="46" t="s">
        <v>159</v>
      </c>
      <c r="C24" s="33" t="s">
        <v>153</v>
      </c>
      <c r="D24" s="111">
        <v>1940060.4691999999</v>
      </c>
      <c r="E24" s="114">
        <v>543216.93137599993</v>
      </c>
      <c r="F24" s="114">
        <v>2172867.7255039997</v>
      </c>
      <c r="G24" s="114">
        <f t="shared" si="0"/>
        <v>2716084.6568799997</v>
      </c>
      <c r="H24" s="254">
        <f t="shared" si="1"/>
        <v>478000</v>
      </c>
      <c r="I24" s="254">
        <v>2390000</v>
      </c>
      <c r="J24" s="258">
        <f t="shared" si="2"/>
        <v>2868000</v>
      </c>
      <c r="K24" s="145">
        <f>543216.931376-1000</f>
        <v>542216.93137600005</v>
      </c>
      <c r="L24" s="145">
        <v>2172867.7255039997</v>
      </c>
      <c r="M24" s="142">
        <f t="shared" si="3"/>
        <v>2715084.6568799997</v>
      </c>
      <c r="N24" s="99">
        <f t="shared" si="4"/>
        <v>478000</v>
      </c>
      <c r="O24" s="73">
        <f t="shared" si="5"/>
        <v>2172867.7255039997</v>
      </c>
      <c r="P24" s="73">
        <f t="shared" si="6"/>
        <v>2650867.7255039997</v>
      </c>
      <c r="Q24" s="301">
        <f t="shared" si="7"/>
        <v>444540</v>
      </c>
      <c r="R24" s="301">
        <f t="shared" si="8"/>
        <v>2020766.9847187197</v>
      </c>
      <c r="S24" s="300">
        <f t="shared" si="9"/>
        <v>2465306.9847187195</v>
      </c>
    </row>
    <row r="25" spans="1:19" ht="12" customHeight="1" x14ac:dyDescent="0.25">
      <c r="A25" s="31">
        <v>21</v>
      </c>
      <c r="B25" s="46" t="s">
        <v>402</v>
      </c>
      <c r="C25" s="33" t="s">
        <v>153</v>
      </c>
      <c r="D25" s="111">
        <v>240000</v>
      </c>
      <c r="E25" s="114">
        <v>69600</v>
      </c>
      <c r="F25" s="114">
        <v>278400</v>
      </c>
      <c r="G25" s="114">
        <f t="shared" si="0"/>
        <v>348000</v>
      </c>
      <c r="H25" s="254">
        <f t="shared" si="1"/>
        <v>57000</v>
      </c>
      <c r="I25" s="254">
        <v>285000</v>
      </c>
      <c r="J25" s="258">
        <f t="shared" si="2"/>
        <v>342000</v>
      </c>
      <c r="K25" s="145">
        <f>69600-1000</f>
        <v>68600</v>
      </c>
      <c r="L25" s="145">
        <v>278400</v>
      </c>
      <c r="M25" s="142">
        <f t="shared" si="3"/>
        <v>347000</v>
      </c>
      <c r="N25" s="99">
        <f t="shared" si="4"/>
        <v>57000</v>
      </c>
      <c r="O25" s="73">
        <f t="shared" si="5"/>
        <v>278400</v>
      </c>
      <c r="P25" s="73">
        <f t="shared" si="6"/>
        <v>335400</v>
      </c>
      <c r="Q25" s="301">
        <f t="shared" si="7"/>
        <v>53010</v>
      </c>
      <c r="R25" s="301">
        <f t="shared" si="8"/>
        <v>258912</v>
      </c>
      <c r="S25" s="300">
        <f t="shared" si="9"/>
        <v>311922</v>
      </c>
    </row>
    <row r="26" spans="1:19" ht="15" x14ac:dyDescent="0.25">
      <c r="A26" s="31">
        <v>22</v>
      </c>
      <c r="B26" s="46" t="s">
        <v>278</v>
      </c>
      <c r="C26" s="33" t="s">
        <v>153</v>
      </c>
      <c r="D26" s="111">
        <v>388530.46702620375</v>
      </c>
      <c r="E26" s="114">
        <v>112673.83543759905</v>
      </c>
      <c r="F26" s="114">
        <v>450695.34175039636</v>
      </c>
      <c r="G26" s="114">
        <f t="shared" si="0"/>
        <v>563369.1771879954</v>
      </c>
      <c r="H26" s="254">
        <f t="shared" si="1"/>
        <v>90000</v>
      </c>
      <c r="I26" s="254">
        <v>450000</v>
      </c>
      <c r="J26" s="258">
        <f t="shared" si="2"/>
        <v>540000</v>
      </c>
      <c r="K26" s="145">
        <f>112673.835437599-1000</f>
        <v>111673.835437599</v>
      </c>
      <c r="L26" s="145">
        <v>450695.34175039636</v>
      </c>
      <c r="M26" s="142">
        <f t="shared" si="3"/>
        <v>562369.1771879954</v>
      </c>
      <c r="N26" s="99">
        <f t="shared" si="4"/>
        <v>90000</v>
      </c>
      <c r="O26" s="73">
        <f t="shared" si="5"/>
        <v>450000</v>
      </c>
      <c r="P26" s="73">
        <f t="shared" si="6"/>
        <v>540000</v>
      </c>
      <c r="Q26" s="301">
        <f t="shared" si="7"/>
        <v>83700</v>
      </c>
      <c r="R26" s="301">
        <f t="shared" si="8"/>
        <v>418500</v>
      </c>
      <c r="S26" s="300">
        <f t="shared" si="9"/>
        <v>502200</v>
      </c>
    </row>
    <row r="27" spans="1:19" ht="15" x14ac:dyDescent="0.2">
      <c r="A27" s="31">
        <v>23</v>
      </c>
      <c r="B27" s="47" t="s">
        <v>132</v>
      </c>
      <c r="C27" s="33" t="s">
        <v>153</v>
      </c>
      <c r="D27" s="111">
        <v>862853.00039698184</v>
      </c>
      <c r="E27" s="114">
        <v>250227.37011512462</v>
      </c>
      <c r="F27" s="114">
        <v>1000909.4804604989</v>
      </c>
      <c r="G27" s="114">
        <f t="shared" si="0"/>
        <v>1251136.8505756236</v>
      </c>
      <c r="H27" s="254">
        <f t="shared" si="1"/>
        <v>202400</v>
      </c>
      <c r="I27" s="254">
        <v>1012000</v>
      </c>
      <c r="J27" s="258">
        <f t="shared" si="2"/>
        <v>1214400</v>
      </c>
      <c r="K27" s="145">
        <f>250227.370115125-1000</f>
        <v>249227.370115125</v>
      </c>
      <c r="L27" s="145">
        <v>1000909.4804604989</v>
      </c>
      <c r="M27" s="142">
        <f t="shared" si="3"/>
        <v>1250136.850575624</v>
      </c>
      <c r="N27" s="99">
        <f t="shared" si="4"/>
        <v>202400</v>
      </c>
      <c r="O27" s="73">
        <f t="shared" si="5"/>
        <v>1000909.4804604989</v>
      </c>
      <c r="P27" s="73">
        <f t="shared" si="6"/>
        <v>1203309.4804604989</v>
      </c>
      <c r="Q27" s="301">
        <f t="shared" si="7"/>
        <v>188232</v>
      </c>
      <c r="R27" s="301">
        <f t="shared" si="8"/>
        <v>930845.81682826404</v>
      </c>
      <c r="S27" s="300">
        <f t="shared" si="9"/>
        <v>1119077.8168282639</v>
      </c>
    </row>
    <row r="28" spans="1:19" ht="15" x14ac:dyDescent="0.2">
      <c r="A28" s="31">
        <v>24</v>
      </c>
      <c r="B28" s="47" t="s">
        <v>149</v>
      </c>
      <c r="C28" s="33" t="s">
        <v>153</v>
      </c>
      <c r="D28" s="111">
        <v>405484.26548611972</v>
      </c>
      <c r="E28" s="114">
        <v>117590.4369909747</v>
      </c>
      <c r="F28" s="114">
        <v>470361.74796389893</v>
      </c>
      <c r="G28" s="114">
        <f t="shared" si="0"/>
        <v>587952.18495487364</v>
      </c>
      <c r="H28" s="254">
        <f t="shared" si="1"/>
        <v>94000</v>
      </c>
      <c r="I28" s="254">
        <v>470000</v>
      </c>
      <c r="J28" s="258">
        <f t="shared" si="2"/>
        <v>564000</v>
      </c>
      <c r="K28" s="145">
        <f>117590.436990975-1000</f>
        <v>116590.43699097499</v>
      </c>
      <c r="L28" s="145">
        <v>470361.74796389893</v>
      </c>
      <c r="M28" s="142">
        <f t="shared" si="3"/>
        <v>586952.18495487398</v>
      </c>
      <c r="N28" s="99">
        <f t="shared" si="4"/>
        <v>94000</v>
      </c>
      <c r="O28" s="73">
        <f t="shared" si="5"/>
        <v>470000</v>
      </c>
      <c r="P28" s="73">
        <f t="shared" si="6"/>
        <v>564000</v>
      </c>
      <c r="Q28" s="301">
        <f t="shared" si="7"/>
        <v>87420</v>
      </c>
      <c r="R28" s="301">
        <f t="shared" si="8"/>
        <v>437100</v>
      </c>
      <c r="S28" s="300">
        <f t="shared" si="9"/>
        <v>524520</v>
      </c>
    </row>
    <row r="29" spans="1:19" ht="15" x14ac:dyDescent="0.25">
      <c r="A29" s="31">
        <v>25</v>
      </c>
      <c r="B29" s="46" t="s">
        <v>11</v>
      </c>
      <c r="C29" s="33" t="s">
        <v>153</v>
      </c>
      <c r="D29" s="111">
        <v>255457.08149938713</v>
      </c>
      <c r="E29" s="114">
        <v>74082.553634822252</v>
      </c>
      <c r="F29" s="114">
        <v>296330.21453928907</v>
      </c>
      <c r="G29" s="114">
        <f t="shared" si="0"/>
        <v>370412.76817411132</v>
      </c>
      <c r="H29" s="254">
        <f t="shared" si="1"/>
        <v>60000</v>
      </c>
      <c r="I29" s="254">
        <v>300000</v>
      </c>
      <c r="J29" s="258">
        <f t="shared" si="2"/>
        <v>360000</v>
      </c>
      <c r="K29" s="145">
        <f>74082.5536348223-1000</f>
        <v>73082.553634822296</v>
      </c>
      <c r="L29" s="145">
        <v>296330.21453928907</v>
      </c>
      <c r="M29" s="142">
        <f t="shared" si="3"/>
        <v>369412.76817411138</v>
      </c>
      <c r="N29" s="99">
        <f t="shared" si="4"/>
        <v>60000</v>
      </c>
      <c r="O29" s="73">
        <f t="shared" si="5"/>
        <v>296330.21453928907</v>
      </c>
      <c r="P29" s="73">
        <f t="shared" si="6"/>
        <v>356330.21453928907</v>
      </c>
      <c r="Q29" s="301">
        <f t="shared" si="7"/>
        <v>55800</v>
      </c>
      <c r="R29" s="301">
        <f t="shared" si="8"/>
        <v>275587.09952153882</v>
      </c>
      <c r="S29" s="300">
        <f t="shared" si="9"/>
        <v>331387.09952153882</v>
      </c>
    </row>
    <row r="30" spans="1:19" ht="15" x14ac:dyDescent="0.2">
      <c r="A30" s="31">
        <v>26</v>
      </c>
      <c r="B30" s="47" t="s">
        <v>66</v>
      </c>
      <c r="C30" s="33" t="s">
        <v>153</v>
      </c>
      <c r="D30" s="111">
        <v>402946.38621295476</v>
      </c>
      <c r="E30" s="114">
        <v>116854.45200175687</v>
      </c>
      <c r="F30" s="114">
        <v>467417.80800702749</v>
      </c>
      <c r="G30" s="114">
        <f t="shared" si="0"/>
        <v>584272.26000878436</v>
      </c>
      <c r="H30" s="254">
        <f t="shared" si="1"/>
        <v>94000</v>
      </c>
      <c r="I30" s="254">
        <v>470000</v>
      </c>
      <c r="J30" s="258">
        <f t="shared" si="2"/>
        <v>564000</v>
      </c>
      <c r="K30" s="145">
        <f>116854.452001757-1000</f>
        <v>115854.452001757</v>
      </c>
      <c r="L30" s="145">
        <v>467417.80800702749</v>
      </c>
      <c r="M30" s="142">
        <f t="shared" si="3"/>
        <v>583272.26000878448</v>
      </c>
      <c r="N30" s="99">
        <f t="shared" si="4"/>
        <v>94000</v>
      </c>
      <c r="O30" s="73">
        <f t="shared" si="5"/>
        <v>467417.80800702749</v>
      </c>
      <c r="P30" s="73">
        <f t="shared" si="6"/>
        <v>561417.80800702749</v>
      </c>
      <c r="Q30" s="301">
        <f t="shared" si="7"/>
        <v>87420</v>
      </c>
      <c r="R30" s="301">
        <f t="shared" si="8"/>
        <v>434698.56144653558</v>
      </c>
      <c r="S30" s="300">
        <f t="shared" si="9"/>
        <v>522118.56144653558</v>
      </c>
    </row>
    <row r="31" spans="1:19" ht="15" x14ac:dyDescent="0.25">
      <c r="A31" s="31">
        <v>27</v>
      </c>
      <c r="B31" s="46" t="s">
        <v>13</v>
      </c>
      <c r="C31" s="33" t="s">
        <v>153</v>
      </c>
      <c r="D31" s="111">
        <v>1265759.2206808613</v>
      </c>
      <c r="E31" s="114">
        <v>367070.17399744969</v>
      </c>
      <c r="F31" s="114">
        <v>1468280.695989799</v>
      </c>
      <c r="G31" s="114">
        <f t="shared" si="0"/>
        <v>1835350.8699872487</v>
      </c>
      <c r="H31" s="254">
        <f t="shared" si="1"/>
        <v>293000</v>
      </c>
      <c r="I31" s="254">
        <v>1465000</v>
      </c>
      <c r="J31" s="258">
        <f t="shared" si="2"/>
        <v>1758000</v>
      </c>
      <c r="K31" s="145">
        <f>367070.17399745-1000</f>
        <v>366070.17399744998</v>
      </c>
      <c r="L31" s="145">
        <v>1468280.695989799</v>
      </c>
      <c r="M31" s="142">
        <f t="shared" si="3"/>
        <v>1834350.8699872489</v>
      </c>
      <c r="N31" s="99">
        <f t="shared" si="4"/>
        <v>293000</v>
      </c>
      <c r="O31" s="73">
        <f t="shared" si="5"/>
        <v>1465000</v>
      </c>
      <c r="P31" s="73">
        <f t="shared" si="6"/>
        <v>1758000</v>
      </c>
      <c r="Q31" s="301">
        <f t="shared" si="7"/>
        <v>272490</v>
      </c>
      <c r="R31" s="301">
        <f t="shared" si="8"/>
        <v>1362450</v>
      </c>
      <c r="S31" s="300">
        <f t="shared" si="9"/>
        <v>1634940</v>
      </c>
    </row>
    <row r="32" spans="1:19" ht="15" x14ac:dyDescent="0.25">
      <c r="A32" s="31">
        <v>28</v>
      </c>
      <c r="B32" s="46" t="s">
        <v>14</v>
      </c>
      <c r="C32" s="33" t="s">
        <v>153</v>
      </c>
      <c r="D32" s="111">
        <v>248910.71128440005</v>
      </c>
      <c r="E32" s="114">
        <v>72184.106272476027</v>
      </c>
      <c r="F32" s="114">
        <v>288736.42508990405</v>
      </c>
      <c r="G32" s="114">
        <f t="shared" si="0"/>
        <v>360920.53136238008</v>
      </c>
      <c r="H32" s="254">
        <f t="shared" si="1"/>
        <v>58600</v>
      </c>
      <c r="I32" s="254">
        <v>293000</v>
      </c>
      <c r="J32" s="258">
        <f t="shared" si="2"/>
        <v>351600</v>
      </c>
      <c r="K32" s="145">
        <f>72184.106272476-1000</f>
        <v>71184.106272475998</v>
      </c>
      <c r="L32" s="145">
        <v>288736.42508990405</v>
      </c>
      <c r="M32" s="142">
        <f t="shared" si="3"/>
        <v>359920.53136238002</v>
      </c>
      <c r="N32" s="99">
        <f t="shared" si="4"/>
        <v>58600</v>
      </c>
      <c r="O32" s="73">
        <f t="shared" si="5"/>
        <v>288736.42508990405</v>
      </c>
      <c r="P32" s="73">
        <f t="shared" si="6"/>
        <v>347336.42508990405</v>
      </c>
      <c r="Q32" s="301">
        <f t="shared" si="7"/>
        <v>54498</v>
      </c>
      <c r="R32" s="301">
        <f t="shared" si="8"/>
        <v>268524.87533361075</v>
      </c>
      <c r="S32" s="300">
        <f t="shared" si="9"/>
        <v>323022.87533361075</v>
      </c>
    </row>
    <row r="33" spans="1:19" ht="15" x14ac:dyDescent="0.25">
      <c r="A33" s="31">
        <v>29</v>
      </c>
      <c r="B33" s="46" t="s">
        <v>280</v>
      </c>
      <c r="C33" s="33" t="s">
        <v>153</v>
      </c>
      <c r="D33" s="111">
        <v>85000</v>
      </c>
      <c r="E33" s="114">
        <v>25500</v>
      </c>
      <c r="F33" s="114">
        <v>102000</v>
      </c>
      <c r="G33" s="114">
        <f t="shared" si="0"/>
        <v>127500</v>
      </c>
      <c r="H33" s="254">
        <f t="shared" si="1"/>
        <v>20000</v>
      </c>
      <c r="I33" s="254">
        <v>100000</v>
      </c>
      <c r="J33" s="258">
        <f t="shared" si="2"/>
        <v>120000</v>
      </c>
      <c r="K33" s="145">
        <f>25500-1000</f>
        <v>24500</v>
      </c>
      <c r="L33" s="145">
        <v>102000</v>
      </c>
      <c r="M33" s="142">
        <f t="shared" si="3"/>
        <v>126500</v>
      </c>
      <c r="N33" s="99">
        <f t="shared" si="4"/>
        <v>20000</v>
      </c>
      <c r="O33" s="73">
        <f t="shared" si="5"/>
        <v>100000</v>
      </c>
      <c r="P33" s="73">
        <f t="shared" si="6"/>
        <v>120000</v>
      </c>
      <c r="Q33" s="301">
        <f t="shared" si="7"/>
        <v>18600</v>
      </c>
      <c r="R33" s="301">
        <f t="shared" si="8"/>
        <v>93000</v>
      </c>
      <c r="S33" s="300">
        <f t="shared" si="9"/>
        <v>111600</v>
      </c>
    </row>
    <row r="34" spans="1:19" ht="15" x14ac:dyDescent="0.25">
      <c r="A34" s="31">
        <v>30</v>
      </c>
      <c r="B34" s="46" t="s">
        <v>163</v>
      </c>
      <c r="C34" s="33" t="s">
        <v>153</v>
      </c>
      <c r="D34" s="111">
        <v>120405.84388024393</v>
      </c>
      <c r="E34" s="114">
        <v>34917.694725270732</v>
      </c>
      <c r="F34" s="114">
        <v>139670.77890108296</v>
      </c>
      <c r="G34" s="114">
        <f t="shared" si="0"/>
        <v>174588.47362635369</v>
      </c>
      <c r="H34" s="254">
        <f t="shared" si="1"/>
        <v>28400</v>
      </c>
      <c r="I34" s="254">
        <v>142000</v>
      </c>
      <c r="J34" s="258">
        <f t="shared" si="2"/>
        <v>170400</v>
      </c>
      <c r="K34" s="145">
        <f>34917.6947252707-1000</f>
        <v>33917.694725270703</v>
      </c>
      <c r="L34" s="145">
        <v>139670.77890108296</v>
      </c>
      <c r="M34" s="142">
        <f t="shared" si="3"/>
        <v>173588.47362635366</v>
      </c>
      <c r="N34" s="99">
        <f t="shared" si="4"/>
        <v>28400</v>
      </c>
      <c r="O34" s="73">
        <f t="shared" si="5"/>
        <v>139670.77890108296</v>
      </c>
      <c r="P34" s="73">
        <f t="shared" si="6"/>
        <v>168070.77890108296</v>
      </c>
      <c r="Q34" s="301">
        <f t="shared" si="7"/>
        <v>26412</v>
      </c>
      <c r="R34" s="301">
        <f t="shared" si="8"/>
        <v>129893.82437800715</v>
      </c>
      <c r="S34" s="300">
        <f t="shared" si="9"/>
        <v>156305.82437800715</v>
      </c>
    </row>
    <row r="35" spans="1:19" ht="15" x14ac:dyDescent="0.25">
      <c r="A35" s="31">
        <v>31</v>
      </c>
      <c r="B35" s="46" t="s">
        <v>281</v>
      </c>
      <c r="C35" s="33" t="s">
        <v>153</v>
      </c>
      <c r="D35" s="111">
        <v>220732.14019560005</v>
      </c>
      <c r="E35" s="114">
        <v>64012.320656723983</v>
      </c>
      <c r="F35" s="114">
        <v>256049.28262689605</v>
      </c>
      <c r="G35" s="114">
        <f t="shared" si="0"/>
        <v>320061.60328362003</v>
      </c>
      <c r="H35" s="254">
        <f t="shared" si="1"/>
        <v>52000</v>
      </c>
      <c r="I35" s="254">
        <v>260000</v>
      </c>
      <c r="J35" s="258">
        <f t="shared" si="2"/>
        <v>312000</v>
      </c>
      <c r="K35" s="145">
        <f>64012.320656724-1000</f>
        <v>63012.320656723998</v>
      </c>
      <c r="L35" s="145">
        <v>256049.28262689605</v>
      </c>
      <c r="M35" s="142">
        <f t="shared" si="3"/>
        <v>319061.60328362003</v>
      </c>
      <c r="N35" s="99">
        <f t="shared" si="4"/>
        <v>52000</v>
      </c>
      <c r="O35" s="73">
        <f t="shared" si="5"/>
        <v>256049.28262689605</v>
      </c>
      <c r="P35" s="73">
        <f t="shared" si="6"/>
        <v>308049.28262689605</v>
      </c>
      <c r="Q35" s="301">
        <f t="shared" si="7"/>
        <v>48360</v>
      </c>
      <c r="R35" s="301">
        <f t="shared" si="8"/>
        <v>238125.83284301331</v>
      </c>
      <c r="S35" s="300">
        <f t="shared" si="9"/>
        <v>286485.83284301334</v>
      </c>
    </row>
    <row r="36" spans="1:19" ht="15" x14ac:dyDescent="0.25">
      <c r="A36" s="31">
        <v>32</v>
      </c>
      <c r="B36" s="46" t="s">
        <v>12</v>
      </c>
      <c r="C36" s="33" t="s">
        <v>153</v>
      </c>
      <c r="D36" s="111">
        <v>4163383.5305210003</v>
      </c>
      <c r="E36" s="114">
        <v>1165747.3885458801</v>
      </c>
      <c r="F36" s="114">
        <v>4662989.5541835204</v>
      </c>
      <c r="G36" s="114">
        <f t="shared" si="0"/>
        <v>5828736.9427294005</v>
      </c>
      <c r="H36" s="254">
        <f t="shared" si="1"/>
        <v>92200</v>
      </c>
      <c r="I36" s="254">
        <v>461000</v>
      </c>
      <c r="J36" s="258">
        <f t="shared" si="2"/>
        <v>553200</v>
      </c>
      <c r="K36" s="145">
        <f>1165747.38854588-1000</f>
        <v>1164747.3885458801</v>
      </c>
      <c r="L36" s="145">
        <v>4662989.5541835204</v>
      </c>
      <c r="M36" s="142">
        <f t="shared" si="3"/>
        <v>5827736.9427294005</v>
      </c>
      <c r="N36" s="99">
        <f t="shared" si="4"/>
        <v>92200</v>
      </c>
      <c r="O36" s="73">
        <f t="shared" si="5"/>
        <v>461000</v>
      </c>
      <c r="P36" s="73">
        <f t="shared" si="6"/>
        <v>553200</v>
      </c>
      <c r="Q36" s="301">
        <f t="shared" si="7"/>
        <v>85746</v>
      </c>
      <c r="R36" s="301">
        <f t="shared" si="8"/>
        <v>428730</v>
      </c>
      <c r="S36" s="300">
        <f t="shared" si="9"/>
        <v>514476</v>
      </c>
    </row>
    <row r="37" spans="1:19" ht="15" x14ac:dyDescent="0.25">
      <c r="A37" s="31">
        <v>33</v>
      </c>
      <c r="B37" s="46" t="s">
        <v>166</v>
      </c>
      <c r="C37" s="33" t="s">
        <v>153</v>
      </c>
      <c r="D37" s="111">
        <v>1540266</v>
      </c>
      <c r="E37" s="114">
        <v>431274.48</v>
      </c>
      <c r="F37" s="114">
        <v>1725097.92</v>
      </c>
      <c r="G37" s="114">
        <f t="shared" si="0"/>
        <v>2156372.4</v>
      </c>
      <c r="H37" s="254">
        <f t="shared" si="1"/>
        <v>387000</v>
      </c>
      <c r="I37" s="254">
        <v>1935000</v>
      </c>
      <c r="J37" s="258">
        <f t="shared" si="2"/>
        <v>2322000</v>
      </c>
      <c r="K37" s="145">
        <f>431274.48-1000</f>
        <v>430274.48</v>
      </c>
      <c r="L37" s="145">
        <v>1725097.92</v>
      </c>
      <c r="M37" s="142">
        <f t="shared" si="3"/>
        <v>2155372.4</v>
      </c>
      <c r="N37" s="99">
        <f t="shared" si="4"/>
        <v>387000</v>
      </c>
      <c r="O37" s="73">
        <f t="shared" si="5"/>
        <v>1725097.92</v>
      </c>
      <c r="P37" s="73">
        <f t="shared" si="6"/>
        <v>2112097.92</v>
      </c>
      <c r="Q37" s="301">
        <f t="shared" si="7"/>
        <v>359910</v>
      </c>
      <c r="R37" s="301">
        <f t="shared" si="8"/>
        <v>1604341.0655999999</v>
      </c>
      <c r="S37" s="300">
        <f t="shared" si="9"/>
        <v>1964251.0655999999</v>
      </c>
    </row>
    <row r="38" spans="1:19" ht="15" x14ac:dyDescent="0.25">
      <c r="A38" s="31">
        <v>34</v>
      </c>
      <c r="B38" s="46" t="s">
        <v>7</v>
      </c>
      <c r="C38" s="33" t="s">
        <v>153</v>
      </c>
      <c r="D38" s="111">
        <v>394430.96001413575</v>
      </c>
      <c r="E38" s="114">
        <v>114384.97840409935</v>
      </c>
      <c r="F38" s="114">
        <v>457539.91361639742</v>
      </c>
      <c r="G38" s="114">
        <f t="shared" si="0"/>
        <v>571924.89202049677</v>
      </c>
      <c r="H38" s="254">
        <f t="shared" si="1"/>
        <v>9300</v>
      </c>
      <c r="I38" s="254">
        <v>46500</v>
      </c>
      <c r="J38" s="258">
        <f t="shared" si="2"/>
        <v>55800</v>
      </c>
      <c r="K38" s="145">
        <f>114384.978404099-1000</f>
        <v>113384.97840409901</v>
      </c>
      <c r="L38" s="145">
        <v>457539.91361639742</v>
      </c>
      <c r="M38" s="142">
        <f t="shared" si="3"/>
        <v>570924.89202049642</v>
      </c>
      <c r="N38" s="99">
        <f t="shared" si="4"/>
        <v>9300</v>
      </c>
      <c r="O38" s="73">
        <f t="shared" si="5"/>
        <v>46500</v>
      </c>
      <c r="P38" s="73">
        <f t="shared" si="6"/>
        <v>55800</v>
      </c>
      <c r="Q38" s="301">
        <f t="shared" si="7"/>
        <v>8649</v>
      </c>
      <c r="R38" s="301">
        <f t="shared" si="8"/>
        <v>43245</v>
      </c>
      <c r="S38" s="300">
        <f t="shared" si="9"/>
        <v>51894</v>
      </c>
    </row>
    <row r="39" spans="1:19" ht="15" x14ac:dyDescent="0.2">
      <c r="A39" s="31">
        <v>35</v>
      </c>
      <c r="B39" s="47" t="s">
        <v>353</v>
      </c>
      <c r="C39" s="33" t="s">
        <v>153</v>
      </c>
      <c r="D39" s="111">
        <v>352232.13861000002</v>
      </c>
      <c r="E39" s="114">
        <v>102147.32019689999</v>
      </c>
      <c r="F39" s="114">
        <v>408589.28078760003</v>
      </c>
      <c r="G39" s="114">
        <f t="shared" si="0"/>
        <v>510736.60098450002</v>
      </c>
      <c r="H39" s="254">
        <f t="shared" si="1"/>
        <v>83000</v>
      </c>
      <c r="I39" s="254">
        <v>415000</v>
      </c>
      <c r="J39" s="258">
        <f t="shared" si="2"/>
        <v>498000</v>
      </c>
      <c r="K39" s="145">
        <f>102147.32019691-1000</f>
        <v>101147.32019691</v>
      </c>
      <c r="L39" s="145">
        <v>408589.28078760003</v>
      </c>
      <c r="M39" s="142">
        <f t="shared" si="3"/>
        <v>509736.60098451003</v>
      </c>
      <c r="N39" s="99">
        <f t="shared" si="4"/>
        <v>83000</v>
      </c>
      <c r="O39" s="73">
        <f t="shared" si="5"/>
        <v>408589.28078760003</v>
      </c>
      <c r="P39" s="73">
        <f t="shared" si="6"/>
        <v>491589.28078760003</v>
      </c>
      <c r="Q39" s="301">
        <f t="shared" si="7"/>
        <v>77190</v>
      </c>
      <c r="R39" s="301">
        <f t="shared" si="8"/>
        <v>379988.03113246802</v>
      </c>
      <c r="S39" s="300">
        <f t="shared" si="9"/>
        <v>457178.03113246802</v>
      </c>
    </row>
    <row r="40" spans="1:19" ht="15" x14ac:dyDescent="0.2">
      <c r="A40" s="31">
        <v>36</v>
      </c>
      <c r="B40" s="47" t="s">
        <v>109</v>
      </c>
      <c r="C40" s="33" t="s">
        <v>153</v>
      </c>
      <c r="D40" s="111">
        <v>610535.70692400006</v>
      </c>
      <c r="E40" s="114">
        <v>177055.35500796</v>
      </c>
      <c r="F40" s="114">
        <v>708221.4200318401</v>
      </c>
      <c r="G40" s="114">
        <f t="shared" si="0"/>
        <v>885276.77503980009</v>
      </c>
      <c r="H40" s="254">
        <f t="shared" si="1"/>
        <v>144000</v>
      </c>
      <c r="I40" s="254">
        <v>720000</v>
      </c>
      <c r="J40" s="258">
        <f t="shared" si="2"/>
        <v>864000</v>
      </c>
      <c r="K40" s="145">
        <f>177055.35500796-1000</f>
        <v>176055.35500796</v>
      </c>
      <c r="L40" s="145">
        <v>708221.4200318401</v>
      </c>
      <c r="M40" s="142">
        <f t="shared" si="3"/>
        <v>884276.77503980009</v>
      </c>
      <c r="N40" s="99">
        <f t="shared" si="4"/>
        <v>144000</v>
      </c>
      <c r="O40" s="73">
        <f t="shared" si="5"/>
        <v>708221.4200318401</v>
      </c>
      <c r="P40" s="73">
        <f t="shared" si="6"/>
        <v>852221.4200318401</v>
      </c>
      <c r="Q40" s="301">
        <f t="shared" si="7"/>
        <v>133920</v>
      </c>
      <c r="R40" s="301">
        <f t="shared" si="8"/>
        <v>658645.92062961124</v>
      </c>
      <c r="S40" s="300">
        <f t="shared" si="9"/>
        <v>792565.92062961124</v>
      </c>
    </row>
    <row r="41" spans="1:19" ht="15" x14ac:dyDescent="0.25">
      <c r="A41" s="31">
        <v>37</v>
      </c>
      <c r="B41" s="46" t="s">
        <v>137</v>
      </c>
      <c r="C41" s="33" t="s">
        <v>153</v>
      </c>
      <c r="D41" s="111">
        <v>163910.39439171043</v>
      </c>
      <c r="E41" s="114">
        <v>47534.014373596001</v>
      </c>
      <c r="F41" s="114">
        <v>190136.05749438412</v>
      </c>
      <c r="G41" s="114">
        <f t="shared" si="0"/>
        <v>237670.07186798012</v>
      </c>
      <c r="H41" s="254">
        <f t="shared" si="1"/>
        <v>38000</v>
      </c>
      <c r="I41" s="254">
        <v>190000</v>
      </c>
      <c r="J41" s="258">
        <f t="shared" si="2"/>
        <v>228000</v>
      </c>
      <c r="K41" s="145">
        <f>47534.014373596-1000</f>
        <v>46534.014373596001</v>
      </c>
      <c r="L41" s="145">
        <v>190136.05749438412</v>
      </c>
      <c r="M41" s="142">
        <f t="shared" si="3"/>
        <v>236670.07186798012</v>
      </c>
      <c r="N41" s="99">
        <f t="shared" si="4"/>
        <v>38000</v>
      </c>
      <c r="O41" s="73">
        <f t="shared" si="5"/>
        <v>190000</v>
      </c>
      <c r="P41" s="73">
        <f t="shared" si="6"/>
        <v>228000</v>
      </c>
      <c r="Q41" s="301">
        <f t="shared" si="7"/>
        <v>35340</v>
      </c>
      <c r="R41" s="301">
        <f t="shared" si="8"/>
        <v>176700</v>
      </c>
      <c r="S41" s="300">
        <f t="shared" si="9"/>
        <v>212040</v>
      </c>
    </row>
    <row r="42" spans="1:19" ht="15" x14ac:dyDescent="0.25">
      <c r="A42" s="31">
        <v>38</v>
      </c>
      <c r="B42" s="46" t="s">
        <v>138</v>
      </c>
      <c r="C42" s="33" t="s">
        <v>153</v>
      </c>
      <c r="D42" s="111">
        <v>252695.1913538868</v>
      </c>
      <c r="E42" s="114">
        <v>73281.605492627132</v>
      </c>
      <c r="F42" s="114">
        <v>293126.4219705087</v>
      </c>
      <c r="G42" s="114">
        <f t="shared" si="0"/>
        <v>366408.02746313583</v>
      </c>
      <c r="H42" s="254">
        <f t="shared" si="1"/>
        <v>59600</v>
      </c>
      <c r="I42" s="254">
        <v>298000</v>
      </c>
      <c r="J42" s="258">
        <f t="shared" si="2"/>
        <v>357600</v>
      </c>
      <c r="K42" s="145">
        <f>73281.6054926271-1000</f>
        <v>72281.605492627103</v>
      </c>
      <c r="L42" s="145">
        <v>293126.4219705087</v>
      </c>
      <c r="M42" s="142">
        <f t="shared" si="3"/>
        <v>365408.02746313578</v>
      </c>
      <c r="N42" s="99">
        <f t="shared" si="4"/>
        <v>59600</v>
      </c>
      <c r="O42" s="73">
        <f t="shared" si="5"/>
        <v>293126.4219705087</v>
      </c>
      <c r="P42" s="73">
        <f t="shared" si="6"/>
        <v>352726.4219705087</v>
      </c>
      <c r="Q42" s="301">
        <f t="shared" si="7"/>
        <v>55428</v>
      </c>
      <c r="R42" s="301">
        <f t="shared" si="8"/>
        <v>272607.57243257307</v>
      </c>
      <c r="S42" s="300">
        <f t="shared" si="9"/>
        <v>328035.57243257307</v>
      </c>
    </row>
    <row r="43" spans="1:19" ht="22.5" x14ac:dyDescent="0.25">
      <c r="A43" s="49"/>
      <c r="B43" s="30" t="s">
        <v>22</v>
      </c>
      <c r="C43" s="33" t="s">
        <v>153</v>
      </c>
      <c r="D43" s="111"/>
      <c r="E43" s="114"/>
      <c r="F43" s="114"/>
      <c r="G43" s="114"/>
      <c r="H43" s="254">
        <f t="shared" si="1"/>
        <v>0</v>
      </c>
      <c r="I43" s="254"/>
      <c r="J43" s="258">
        <f t="shared" si="2"/>
        <v>0</v>
      </c>
      <c r="K43" s="143"/>
      <c r="L43" s="144"/>
      <c r="M43" s="142">
        <f t="shared" si="3"/>
        <v>0</v>
      </c>
      <c r="N43" s="99">
        <f t="shared" si="4"/>
        <v>0</v>
      </c>
      <c r="O43" s="73">
        <f t="shared" si="5"/>
        <v>0</v>
      </c>
      <c r="P43" s="73">
        <f t="shared" si="6"/>
        <v>0</v>
      </c>
      <c r="Q43" s="301">
        <f t="shared" si="7"/>
        <v>0</v>
      </c>
      <c r="R43" s="301">
        <f t="shared" si="8"/>
        <v>0</v>
      </c>
      <c r="S43" s="300">
        <f t="shared" si="9"/>
        <v>0</v>
      </c>
    </row>
    <row r="44" spans="1:19" ht="15" x14ac:dyDescent="0.25">
      <c r="A44" s="49">
        <v>39</v>
      </c>
      <c r="B44" s="46" t="s">
        <v>403</v>
      </c>
      <c r="C44" s="33" t="s">
        <v>153</v>
      </c>
      <c r="D44" s="111">
        <v>748991.30006881687</v>
      </c>
      <c r="E44" s="114">
        <v>217207.4770199568</v>
      </c>
      <c r="F44" s="114">
        <v>868829.90807982767</v>
      </c>
      <c r="G44" s="114">
        <v>1086037.3850997845</v>
      </c>
      <c r="H44" s="254">
        <f t="shared" si="1"/>
        <v>176000</v>
      </c>
      <c r="I44" s="254">
        <v>880000</v>
      </c>
      <c r="J44" s="258">
        <f t="shared" si="2"/>
        <v>1056000</v>
      </c>
      <c r="K44" s="145">
        <f>217207.477019957-1000</f>
        <v>216207.477019957</v>
      </c>
      <c r="L44" s="145">
        <v>868829.90807982767</v>
      </c>
      <c r="M44" s="142">
        <f t="shared" si="3"/>
        <v>1085037.3850997847</v>
      </c>
      <c r="N44" s="99">
        <f t="shared" si="4"/>
        <v>176000</v>
      </c>
      <c r="O44" s="73">
        <f t="shared" si="5"/>
        <v>868829.90807982767</v>
      </c>
      <c r="P44" s="73">
        <f t="shared" si="6"/>
        <v>1044829.9080798277</v>
      </c>
      <c r="Q44" s="301">
        <f t="shared" si="7"/>
        <v>163680</v>
      </c>
      <c r="R44" s="301">
        <f t="shared" si="8"/>
        <v>808011.81451423978</v>
      </c>
      <c r="S44" s="300">
        <f t="shared" si="9"/>
        <v>971691.81451423978</v>
      </c>
    </row>
    <row r="45" spans="1:19" ht="15" x14ac:dyDescent="0.25">
      <c r="A45" s="49">
        <v>40</v>
      </c>
      <c r="B45" s="46" t="s">
        <v>404</v>
      </c>
      <c r="C45" s="33" t="s">
        <v>153</v>
      </c>
      <c r="D45" s="111">
        <v>160000</v>
      </c>
      <c r="E45" s="114">
        <v>46400</v>
      </c>
      <c r="F45" s="114">
        <v>185600</v>
      </c>
      <c r="G45" s="114">
        <v>232000</v>
      </c>
      <c r="H45" s="254">
        <f t="shared" si="1"/>
        <v>36000</v>
      </c>
      <c r="I45" s="254">
        <v>180000</v>
      </c>
      <c r="J45" s="258">
        <f t="shared" si="2"/>
        <v>216000</v>
      </c>
      <c r="K45" s="145">
        <f>46400-1000</f>
        <v>45400</v>
      </c>
      <c r="L45" s="145">
        <v>185600</v>
      </c>
      <c r="M45" s="142">
        <f t="shared" si="3"/>
        <v>231000</v>
      </c>
      <c r="N45" s="99">
        <f t="shared" si="4"/>
        <v>36000</v>
      </c>
      <c r="O45" s="73">
        <f t="shared" si="5"/>
        <v>180000</v>
      </c>
      <c r="P45" s="73">
        <f t="shared" si="6"/>
        <v>216000</v>
      </c>
      <c r="Q45" s="301">
        <f t="shared" si="7"/>
        <v>33480</v>
      </c>
      <c r="R45" s="301">
        <f t="shared" si="8"/>
        <v>167400</v>
      </c>
      <c r="S45" s="300">
        <f t="shared" si="9"/>
        <v>200880</v>
      </c>
    </row>
    <row r="46" spans="1:19" ht="15" x14ac:dyDescent="0.25">
      <c r="A46" s="49">
        <v>41</v>
      </c>
      <c r="B46" s="46" t="s">
        <v>405</v>
      </c>
      <c r="C46" s="33" t="s">
        <v>153</v>
      </c>
      <c r="D46" s="111">
        <v>142285.58132006394</v>
      </c>
      <c r="E46" s="114">
        <v>41262.818582818523</v>
      </c>
      <c r="F46" s="114">
        <v>165051.27433127418</v>
      </c>
      <c r="G46" s="114">
        <v>206314.0929140927</v>
      </c>
      <c r="H46" s="254">
        <f t="shared" si="1"/>
        <v>33400</v>
      </c>
      <c r="I46" s="254">
        <v>167000</v>
      </c>
      <c r="J46" s="258">
        <f t="shared" si="2"/>
        <v>200400</v>
      </c>
      <c r="K46" s="145">
        <f>41262.8185828185-1000</f>
        <v>40262.818582818501</v>
      </c>
      <c r="L46" s="145">
        <v>165051.27433127418</v>
      </c>
      <c r="M46" s="142">
        <f t="shared" si="3"/>
        <v>205314.09291409267</v>
      </c>
      <c r="N46" s="99">
        <f t="shared" si="4"/>
        <v>33400</v>
      </c>
      <c r="O46" s="73">
        <f t="shared" si="5"/>
        <v>165051.27433127418</v>
      </c>
      <c r="P46" s="73">
        <f t="shared" si="6"/>
        <v>198451.27433127418</v>
      </c>
      <c r="Q46" s="301">
        <f t="shared" si="7"/>
        <v>31062</v>
      </c>
      <c r="R46" s="301">
        <f t="shared" si="8"/>
        <v>153497.685128085</v>
      </c>
      <c r="S46" s="300">
        <f t="shared" si="9"/>
        <v>184559.685128085</v>
      </c>
    </row>
    <row r="47" spans="1:19" ht="15" x14ac:dyDescent="0.25">
      <c r="A47" s="49">
        <v>42</v>
      </c>
      <c r="B47" s="46" t="s">
        <v>25</v>
      </c>
      <c r="C47" s="33" t="s">
        <v>153</v>
      </c>
      <c r="D47" s="111">
        <v>290262.58589293045</v>
      </c>
      <c r="E47" s="114">
        <v>84176.149908949796</v>
      </c>
      <c r="F47" s="114">
        <v>336704.59963579936</v>
      </c>
      <c r="G47" s="114">
        <v>420880.74954474915</v>
      </c>
      <c r="H47" s="254">
        <f t="shared" si="1"/>
        <v>68000</v>
      </c>
      <c r="I47" s="254">
        <v>340000</v>
      </c>
      <c r="J47" s="258">
        <f t="shared" si="2"/>
        <v>408000</v>
      </c>
      <c r="K47" s="145">
        <f>84176.1499089498-1000</f>
        <v>83176.149908949796</v>
      </c>
      <c r="L47" s="145">
        <v>336704.59963579936</v>
      </c>
      <c r="M47" s="142">
        <f t="shared" si="3"/>
        <v>419880.74954474915</v>
      </c>
      <c r="N47" s="99">
        <f t="shared" si="4"/>
        <v>68000</v>
      </c>
      <c r="O47" s="73">
        <f t="shared" si="5"/>
        <v>336704.59963579936</v>
      </c>
      <c r="P47" s="73">
        <f t="shared" si="6"/>
        <v>404704.59963579936</v>
      </c>
      <c r="Q47" s="301">
        <f t="shared" si="7"/>
        <v>63240</v>
      </c>
      <c r="R47" s="301">
        <f t="shared" si="8"/>
        <v>313135.2776612934</v>
      </c>
      <c r="S47" s="300">
        <f t="shared" si="9"/>
        <v>376375.2776612934</v>
      </c>
    </row>
    <row r="48" spans="1:19" ht="15" x14ac:dyDescent="0.25">
      <c r="A48" s="49">
        <v>43</v>
      </c>
      <c r="B48" s="46" t="s">
        <v>283</v>
      </c>
      <c r="C48" s="33" t="s">
        <v>153</v>
      </c>
      <c r="D48" s="111">
        <v>2400000</v>
      </c>
      <c r="E48" s="114">
        <v>672000</v>
      </c>
      <c r="F48" s="114">
        <v>2688000</v>
      </c>
      <c r="G48" s="114">
        <v>3360000</v>
      </c>
      <c r="H48" s="254">
        <f t="shared" si="1"/>
        <v>560000</v>
      </c>
      <c r="I48" s="254">
        <v>2800000</v>
      </c>
      <c r="J48" s="258">
        <f t="shared" si="2"/>
        <v>3360000</v>
      </c>
      <c r="K48" s="145">
        <f>672000-1000</f>
        <v>671000</v>
      </c>
      <c r="L48" s="145">
        <v>4688000</v>
      </c>
      <c r="M48" s="142">
        <f t="shared" si="3"/>
        <v>5359000</v>
      </c>
      <c r="N48" s="99">
        <f t="shared" si="4"/>
        <v>560000</v>
      </c>
      <c r="O48" s="73">
        <f t="shared" si="5"/>
        <v>2688000</v>
      </c>
      <c r="P48" s="73">
        <f t="shared" si="6"/>
        <v>3248000</v>
      </c>
      <c r="Q48" s="301">
        <f t="shared" si="7"/>
        <v>520800</v>
      </c>
      <c r="R48" s="301">
        <f t="shared" si="8"/>
        <v>2499840</v>
      </c>
      <c r="S48" s="300">
        <f t="shared" si="9"/>
        <v>3020640</v>
      </c>
    </row>
    <row r="49" spans="1:19" ht="15" x14ac:dyDescent="0.25">
      <c r="A49" s="49">
        <v>44</v>
      </c>
      <c r="B49" s="46" t="s">
        <v>284</v>
      </c>
      <c r="C49" s="33" t="s">
        <v>153</v>
      </c>
      <c r="D49" s="111">
        <v>1007097</v>
      </c>
      <c r="E49" s="114">
        <v>292058.12999999989</v>
      </c>
      <c r="F49" s="114">
        <v>1168232.52</v>
      </c>
      <c r="G49" s="114">
        <v>1460290.65</v>
      </c>
      <c r="H49" s="254">
        <f t="shared" si="1"/>
        <v>254000</v>
      </c>
      <c r="I49" s="254">
        <v>1270000</v>
      </c>
      <c r="J49" s="258">
        <f t="shared" si="2"/>
        <v>1524000</v>
      </c>
      <c r="K49" s="145">
        <f>292058.13-1000</f>
        <v>291058.13</v>
      </c>
      <c r="L49" s="145">
        <v>1168232.52</v>
      </c>
      <c r="M49" s="142">
        <f t="shared" si="3"/>
        <v>1459290.65</v>
      </c>
      <c r="N49" s="99">
        <f t="shared" si="4"/>
        <v>254000</v>
      </c>
      <c r="O49" s="73">
        <f t="shared" si="5"/>
        <v>1168232.52</v>
      </c>
      <c r="P49" s="73">
        <f t="shared" si="6"/>
        <v>1422232.52</v>
      </c>
      <c r="Q49" s="301">
        <f t="shared" si="7"/>
        <v>236220</v>
      </c>
      <c r="R49" s="301">
        <f t="shared" si="8"/>
        <v>1086456.2435999999</v>
      </c>
      <c r="S49" s="300">
        <f t="shared" si="9"/>
        <v>1322676.2435999999</v>
      </c>
    </row>
    <row r="50" spans="1:19" ht="15" x14ac:dyDescent="0.25">
      <c r="A50" s="49">
        <v>45</v>
      </c>
      <c r="B50" s="46" t="s">
        <v>286</v>
      </c>
      <c r="C50" s="33" t="s">
        <v>153</v>
      </c>
      <c r="D50" s="111">
        <v>5907302.2173477188</v>
      </c>
      <c r="E50" s="114">
        <v>1654044.6208573608</v>
      </c>
      <c r="F50" s="114">
        <v>6616178.483429445</v>
      </c>
      <c r="G50" s="114">
        <v>8270223.1042868057</v>
      </c>
      <c r="H50" s="254">
        <f t="shared" si="1"/>
        <v>1382000</v>
      </c>
      <c r="I50" s="254">
        <v>6910000</v>
      </c>
      <c r="J50" s="258">
        <f t="shared" si="2"/>
        <v>8292000</v>
      </c>
      <c r="K50" s="145">
        <f>1654044.62085736-1000</f>
        <v>1653044.6208573601</v>
      </c>
      <c r="L50" s="145">
        <v>6616178.483429445</v>
      </c>
      <c r="M50" s="142">
        <f t="shared" si="3"/>
        <v>8269223.1042868048</v>
      </c>
      <c r="N50" s="99">
        <f t="shared" si="4"/>
        <v>1382000</v>
      </c>
      <c r="O50" s="73">
        <f t="shared" si="5"/>
        <v>6616178.483429445</v>
      </c>
      <c r="P50" s="73">
        <f t="shared" si="6"/>
        <v>7998178.483429445</v>
      </c>
      <c r="Q50" s="301">
        <f t="shared" si="7"/>
        <v>1285260</v>
      </c>
      <c r="R50" s="301">
        <f t="shared" si="8"/>
        <v>6153045.9895893838</v>
      </c>
      <c r="S50" s="300">
        <f t="shared" si="9"/>
        <v>7438305.9895893838</v>
      </c>
    </row>
    <row r="51" spans="1:19" ht="15" x14ac:dyDescent="0.25">
      <c r="A51" s="49">
        <v>46</v>
      </c>
      <c r="B51" s="46" t="s">
        <v>274</v>
      </c>
      <c r="C51" s="33" t="s">
        <v>153</v>
      </c>
      <c r="D51" s="111">
        <v>2213632.4045068822</v>
      </c>
      <c r="E51" s="114">
        <v>619817.07326192688</v>
      </c>
      <c r="F51" s="114">
        <v>2479268.293047708</v>
      </c>
      <c r="G51" s="114">
        <v>3099085.3663096349</v>
      </c>
      <c r="H51" s="254">
        <f t="shared" si="1"/>
        <v>430000</v>
      </c>
      <c r="I51" s="254">
        <v>2150000</v>
      </c>
      <c r="J51" s="258">
        <f t="shared" si="2"/>
        <v>2580000</v>
      </c>
      <c r="K51" s="145">
        <f>619817.073261927-1000</f>
        <v>618817.073261927</v>
      </c>
      <c r="L51" s="145">
        <v>2479268.293047708</v>
      </c>
      <c r="M51" s="142">
        <f t="shared" si="3"/>
        <v>3098085.3663096349</v>
      </c>
      <c r="N51" s="99">
        <f t="shared" si="4"/>
        <v>430000</v>
      </c>
      <c r="O51" s="73">
        <f t="shared" si="5"/>
        <v>2150000</v>
      </c>
      <c r="P51" s="73">
        <f t="shared" si="6"/>
        <v>2580000</v>
      </c>
      <c r="Q51" s="301">
        <f t="shared" si="7"/>
        <v>399900</v>
      </c>
      <c r="R51" s="301">
        <f t="shared" si="8"/>
        <v>1999500</v>
      </c>
      <c r="S51" s="300">
        <f t="shared" si="9"/>
        <v>2399400</v>
      </c>
    </row>
    <row r="52" spans="1:19" ht="15" x14ac:dyDescent="0.2">
      <c r="A52" s="49">
        <v>47</v>
      </c>
      <c r="B52" s="47" t="s">
        <v>357</v>
      </c>
      <c r="C52" s="33" t="s">
        <v>153</v>
      </c>
      <c r="D52" s="111">
        <v>476514.88536730869</v>
      </c>
      <c r="E52" s="114">
        <v>138189.31675651949</v>
      </c>
      <c r="F52" s="114">
        <v>552757.26702607807</v>
      </c>
      <c r="G52" s="114">
        <v>690946.58378259756</v>
      </c>
      <c r="H52" s="254">
        <f t="shared" si="1"/>
        <v>112000</v>
      </c>
      <c r="I52" s="254">
        <v>560000</v>
      </c>
      <c r="J52" s="258">
        <f t="shared" si="2"/>
        <v>672000</v>
      </c>
      <c r="K52" s="145">
        <f>138189.316756519-1000</f>
        <v>137189.31675651899</v>
      </c>
      <c r="L52" s="145">
        <v>552757.26702607807</v>
      </c>
      <c r="M52" s="142">
        <f t="shared" si="3"/>
        <v>689946.5837825971</v>
      </c>
      <c r="N52" s="99">
        <f t="shared" si="4"/>
        <v>112000</v>
      </c>
      <c r="O52" s="73">
        <f t="shared" si="5"/>
        <v>552757.26702607807</v>
      </c>
      <c r="P52" s="73">
        <f t="shared" si="6"/>
        <v>664757.26702607807</v>
      </c>
      <c r="Q52" s="301">
        <f t="shared" si="7"/>
        <v>104160</v>
      </c>
      <c r="R52" s="301">
        <f t="shared" si="8"/>
        <v>514064.25833425263</v>
      </c>
      <c r="S52" s="300">
        <f t="shared" si="9"/>
        <v>618224.25833425263</v>
      </c>
    </row>
    <row r="53" spans="1:19" ht="15" x14ac:dyDescent="0.2">
      <c r="A53" s="49">
        <v>48</v>
      </c>
      <c r="B53" s="47" t="s">
        <v>406</v>
      </c>
      <c r="C53" s="33" t="s">
        <v>153</v>
      </c>
      <c r="D53" s="111">
        <v>170000</v>
      </c>
      <c r="E53" s="114">
        <v>49300</v>
      </c>
      <c r="F53" s="114">
        <v>197200</v>
      </c>
      <c r="G53" s="114">
        <v>246500</v>
      </c>
      <c r="H53" s="254">
        <f t="shared" si="1"/>
        <v>40000</v>
      </c>
      <c r="I53" s="254">
        <v>200000</v>
      </c>
      <c r="J53" s="258">
        <f t="shared" si="2"/>
        <v>240000</v>
      </c>
      <c r="K53" s="145">
        <f>49300-1000</f>
        <v>48300</v>
      </c>
      <c r="L53" s="145">
        <v>197200</v>
      </c>
      <c r="M53" s="142">
        <f t="shared" si="3"/>
        <v>245500</v>
      </c>
      <c r="N53" s="99">
        <f t="shared" si="4"/>
        <v>40000</v>
      </c>
      <c r="O53" s="73">
        <f t="shared" si="5"/>
        <v>197200</v>
      </c>
      <c r="P53" s="73">
        <f t="shared" si="6"/>
        <v>237200</v>
      </c>
      <c r="Q53" s="301">
        <f t="shared" si="7"/>
        <v>37200</v>
      </c>
      <c r="R53" s="301">
        <f t="shared" si="8"/>
        <v>183396</v>
      </c>
      <c r="S53" s="300">
        <f t="shared" si="9"/>
        <v>220596</v>
      </c>
    </row>
    <row r="54" spans="1:19" ht="22.5" x14ac:dyDescent="0.25">
      <c r="A54" s="49"/>
      <c r="B54" s="30" t="s">
        <v>97</v>
      </c>
      <c r="C54" s="33" t="s">
        <v>153</v>
      </c>
      <c r="D54" s="111"/>
      <c r="E54" s="114"/>
      <c r="F54" s="114"/>
      <c r="G54" s="114"/>
      <c r="H54" s="254">
        <f t="shared" si="1"/>
        <v>0</v>
      </c>
      <c r="I54" s="254"/>
      <c r="J54" s="258">
        <f t="shared" si="2"/>
        <v>0</v>
      </c>
      <c r="K54" s="143"/>
      <c r="L54" s="144"/>
      <c r="M54" s="142">
        <f t="shared" si="3"/>
        <v>0</v>
      </c>
      <c r="N54" s="99">
        <f t="shared" si="4"/>
        <v>0</v>
      </c>
      <c r="O54" s="73">
        <f t="shared" si="5"/>
        <v>0</v>
      </c>
      <c r="P54" s="73">
        <f t="shared" si="6"/>
        <v>0</v>
      </c>
      <c r="Q54" s="301">
        <f t="shared" si="7"/>
        <v>0</v>
      </c>
      <c r="R54" s="301">
        <f t="shared" si="8"/>
        <v>0</v>
      </c>
      <c r="S54" s="300">
        <f t="shared" si="9"/>
        <v>0</v>
      </c>
    </row>
    <row r="55" spans="1:19" ht="15" x14ac:dyDescent="0.25">
      <c r="A55" s="49">
        <v>49</v>
      </c>
      <c r="B55" s="46" t="s">
        <v>169</v>
      </c>
      <c r="C55" s="33" t="s">
        <v>153</v>
      </c>
      <c r="D55" s="111">
        <v>1628698.9277868399</v>
      </c>
      <c r="E55" s="114">
        <v>456035.69978031516</v>
      </c>
      <c r="F55" s="114">
        <v>1824142.7991212606</v>
      </c>
      <c r="G55" s="114">
        <v>2280178.4989015758</v>
      </c>
      <c r="H55" s="254">
        <f t="shared" si="1"/>
        <v>380000</v>
      </c>
      <c r="I55" s="254">
        <v>1900000</v>
      </c>
      <c r="J55" s="258">
        <f t="shared" si="2"/>
        <v>2280000</v>
      </c>
      <c r="K55" s="145">
        <f>549941.31192-1000</f>
        <v>548941.31192000001</v>
      </c>
      <c r="L55" s="145">
        <v>2199765.24768</v>
      </c>
      <c r="M55" s="142">
        <f t="shared" si="3"/>
        <v>2748706.5596000003</v>
      </c>
      <c r="N55" s="99">
        <f t="shared" si="4"/>
        <v>380000</v>
      </c>
      <c r="O55" s="73">
        <f t="shared" si="5"/>
        <v>1824142.7991212606</v>
      </c>
      <c r="P55" s="73">
        <f t="shared" si="6"/>
        <v>2204142.7991212606</v>
      </c>
      <c r="Q55" s="301">
        <f t="shared" si="7"/>
        <v>353400</v>
      </c>
      <c r="R55" s="301">
        <f t="shared" si="8"/>
        <v>1696452.8031827724</v>
      </c>
      <c r="S55" s="300">
        <f t="shared" si="9"/>
        <v>2049852.8031827724</v>
      </c>
    </row>
    <row r="56" spans="1:19" ht="15" x14ac:dyDescent="0.25">
      <c r="A56" s="49">
        <v>50</v>
      </c>
      <c r="B56" s="46" t="s">
        <v>170</v>
      </c>
      <c r="C56" s="33" t="s">
        <v>153</v>
      </c>
      <c r="D56" s="111">
        <v>1964076.1140000001</v>
      </c>
      <c r="E56" s="114">
        <v>549941.31191999977</v>
      </c>
      <c r="F56" s="114">
        <v>2199765.24768</v>
      </c>
      <c r="G56" s="114">
        <v>2749706.5595999998</v>
      </c>
      <c r="H56" s="254">
        <f t="shared" si="1"/>
        <v>492000</v>
      </c>
      <c r="I56" s="254">
        <v>2460000</v>
      </c>
      <c r="J56" s="258">
        <f t="shared" si="2"/>
        <v>2952000</v>
      </c>
      <c r="K56" s="145">
        <f>246500-1000</f>
        <v>245500</v>
      </c>
      <c r="L56" s="145">
        <v>986000</v>
      </c>
      <c r="M56" s="142">
        <f t="shared" si="3"/>
        <v>1231500</v>
      </c>
      <c r="N56" s="99">
        <f t="shared" si="4"/>
        <v>245500</v>
      </c>
      <c r="O56" s="73">
        <f t="shared" si="5"/>
        <v>986000</v>
      </c>
      <c r="P56" s="73">
        <f t="shared" si="6"/>
        <v>1231500</v>
      </c>
      <c r="Q56" s="301">
        <f t="shared" si="7"/>
        <v>228315</v>
      </c>
      <c r="R56" s="301">
        <f t="shared" si="8"/>
        <v>916980</v>
      </c>
      <c r="S56" s="300">
        <f t="shared" si="9"/>
        <v>1145295</v>
      </c>
    </row>
    <row r="57" spans="1:19" ht="15" x14ac:dyDescent="0.25">
      <c r="A57" s="49">
        <v>51</v>
      </c>
      <c r="B57" s="46" t="s">
        <v>211</v>
      </c>
      <c r="C57" s="33" t="s">
        <v>153</v>
      </c>
      <c r="D57" s="111">
        <v>850000</v>
      </c>
      <c r="E57" s="114">
        <v>246500</v>
      </c>
      <c r="F57" s="114">
        <v>986000</v>
      </c>
      <c r="G57" s="114">
        <v>1232500</v>
      </c>
      <c r="H57" s="254">
        <f t="shared" si="1"/>
        <v>194800</v>
      </c>
      <c r="I57" s="254">
        <v>974000</v>
      </c>
      <c r="J57" s="258">
        <f t="shared" si="2"/>
        <v>1168800</v>
      </c>
      <c r="K57" s="145">
        <f>217500-1000</f>
        <v>216500</v>
      </c>
      <c r="L57" s="145">
        <v>870000</v>
      </c>
      <c r="M57" s="142">
        <f t="shared" si="3"/>
        <v>1086500</v>
      </c>
      <c r="N57" s="99">
        <f t="shared" si="4"/>
        <v>194800</v>
      </c>
      <c r="O57" s="73">
        <f t="shared" si="5"/>
        <v>870000</v>
      </c>
      <c r="P57" s="73">
        <f t="shared" si="6"/>
        <v>1064800</v>
      </c>
      <c r="Q57" s="301">
        <f t="shared" si="7"/>
        <v>181164</v>
      </c>
      <c r="R57" s="301">
        <f t="shared" si="8"/>
        <v>809100</v>
      </c>
      <c r="S57" s="300">
        <f t="shared" si="9"/>
        <v>990264</v>
      </c>
    </row>
    <row r="58" spans="1:19" ht="15" x14ac:dyDescent="0.25">
      <c r="A58" s="49">
        <v>52</v>
      </c>
      <c r="B58" s="46" t="s">
        <v>171</v>
      </c>
      <c r="C58" s="33" t="s">
        <v>153</v>
      </c>
      <c r="D58" s="111">
        <v>750000</v>
      </c>
      <c r="E58" s="114">
        <v>217500</v>
      </c>
      <c r="F58" s="114">
        <v>870000</v>
      </c>
      <c r="G58" s="114">
        <v>1087500</v>
      </c>
      <c r="H58" s="254">
        <f t="shared" si="1"/>
        <v>158400</v>
      </c>
      <c r="I58" s="254">
        <v>792000</v>
      </c>
      <c r="J58" s="258">
        <f t="shared" si="2"/>
        <v>950400</v>
      </c>
      <c r="K58" s="145">
        <f>128360.376047432-1000</f>
        <v>127360.376047432</v>
      </c>
      <c r="L58" s="145">
        <v>513441.50418972765</v>
      </c>
      <c r="M58" s="142">
        <f t="shared" si="3"/>
        <v>640801.88023715967</v>
      </c>
      <c r="N58" s="99">
        <f t="shared" si="4"/>
        <v>127360.376047432</v>
      </c>
      <c r="O58" s="73">
        <f t="shared" si="5"/>
        <v>513441.50418972765</v>
      </c>
      <c r="P58" s="73">
        <f t="shared" si="6"/>
        <v>640801.88023715967</v>
      </c>
      <c r="Q58" s="301">
        <f t="shared" si="7"/>
        <v>118445.14972411176</v>
      </c>
      <c r="R58" s="301">
        <f t="shared" si="8"/>
        <v>477500.5988964467</v>
      </c>
      <c r="S58" s="300">
        <f t="shared" si="9"/>
        <v>595945.74862055841</v>
      </c>
    </row>
    <row r="59" spans="1:19" ht="15" x14ac:dyDescent="0.25">
      <c r="A59" s="49">
        <v>53</v>
      </c>
      <c r="B59" s="46" t="s">
        <v>17</v>
      </c>
      <c r="C59" s="33" t="s">
        <v>153</v>
      </c>
      <c r="D59" s="111">
        <v>442621.98637045489</v>
      </c>
      <c r="E59" s="114">
        <v>128360.3760474319</v>
      </c>
      <c r="F59" s="114">
        <v>513441.50418972765</v>
      </c>
      <c r="G59" s="114">
        <v>641801.88023715955</v>
      </c>
      <c r="H59" s="254">
        <f t="shared" si="1"/>
        <v>104400</v>
      </c>
      <c r="I59" s="254">
        <v>522000</v>
      </c>
      <c r="J59" s="258">
        <f t="shared" si="2"/>
        <v>626400</v>
      </c>
      <c r="K59" s="145">
        <f>188373.019394283-1000</f>
        <v>187373.01939428301</v>
      </c>
      <c r="L59" s="145">
        <v>753492.0775771332</v>
      </c>
      <c r="M59" s="142">
        <f t="shared" si="3"/>
        <v>940865.09697141615</v>
      </c>
      <c r="N59" s="99">
        <f t="shared" si="4"/>
        <v>104400</v>
      </c>
      <c r="O59" s="73">
        <f t="shared" si="5"/>
        <v>513441.50418972765</v>
      </c>
      <c r="P59" s="73">
        <f t="shared" si="6"/>
        <v>617841.5041897276</v>
      </c>
      <c r="Q59" s="301">
        <f t="shared" si="7"/>
        <v>97092</v>
      </c>
      <c r="R59" s="301">
        <f t="shared" si="8"/>
        <v>477500.5988964467</v>
      </c>
      <c r="S59" s="300">
        <f t="shared" si="9"/>
        <v>574592.59889644664</v>
      </c>
    </row>
    <row r="60" spans="1:19" ht="15" x14ac:dyDescent="0.25">
      <c r="A60" s="49">
        <v>54</v>
      </c>
      <c r="B60" s="46" t="s">
        <v>16</v>
      </c>
      <c r="C60" s="33" t="s">
        <v>153</v>
      </c>
      <c r="D60" s="111">
        <v>649562.13584235613</v>
      </c>
      <c r="E60" s="114">
        <v>188373.01939428318</v>
      </c>
      <c r="F60" s="114">
        <v>753492.0775771332</v>
      </c>
      <c r="G60" s="114">
        <v>941865.09697141638</v>
      </c>
      <c r="H60" s="254">
        <f t="shared" si="1"/>
        <v>152000</v>
      </c>
      <c r="I60" s="254">
        <v>760000</v>
      </c>
      <c r="J60" s="258">
        <f t="shared" si="2"/>
        <v>912000</v>
      </c>
      <c r="K60" s="145">
        <f>108356.161598481-1000</f>
        <v>107356.16159848101</v>
      </c>
      <c r="L60" s="145">
        <v>433424.64639392612</v>
      </c>
      <c r="M60" s="142">
        <f t="shared" si="3"/>
        <v>540780.80799240712</v>
      </c>
      <c r="N60" s="99">
        <f t="shared" si="4"/>
        <v>107356.16159848101</v>
      </c>
      <c r="O60" s="73">
        <f t="shared" si="5"/>
        <v>433424.64639392612</v>
      </c>
      <c r="P60" s="73">
        <f t="shared" si="6"/>
        <v>540780.80799240712</v>
      </c>
      <c r="Q60" s="301">
        <f t="shared" si="7"/>
        <v>99841.230286587335</v>
      </c>
      <c r="R60" s="301">
        <f t="shared" si="8"/>
        <v>403084.92114635126</v>
      </c>
      <c r="S60" s="300">
        <f t="shared" si="9"/>
        <v>502926.15143293858</v>
      </c>
    </row>
    <row r="61" spans="1:19" ht="15" x14ac:dyDescent="0.2">
      <c r="A61" s="49">
        <v>55</v>
      </c>
      <c r="B61" s="47" t="s">
        <v>75</v>
      </c>
      <c r="C61" s="33" t="s">
        <v>153</v>
      </c>
      <c r="D61" s="111">
        <v>373641.93654648802</v>
      </c>
      <c r="E61" s="114">
        <v>108356.16159848147</v>
      </c>
      <c r="F61" s="114">
        <v>433424.64639392612</v>
      </c>
      <c r="G61" s="114">
        <v>541780.80799240759</v>
      </c>
      <c r="H61" s="254">
        <f t="shared" si="1"/>
        <v>84800</v>
      </c>
      <c r="I61" s="254">
        <v>424000</v>
      </c>
      <c r="J61" s="258">
        <f t="shared" si="2"/>
        <v>508800</v>
      </c>
      <c r="K61" s="145">
        <f>92354.8886481186-1000</f>
        <v>91354.888648118605</v>
      </c>
      <c r="L61" s="145">
        <v>369419.5545924746</v>
      </c>
      <c r="M61" s="142">
        <f t="shared" si="3"/>
        <v>460774.44324059319</v>
      </c>
      <c r="N61" s="99">
        <f t="shared" si="4"/>
        <v>84800</v>
      </c>
      <c r="O61" s="73">
        <f t="shared" si="5"/>
        <v>369419.5545924746</v>
      </c>
      <c r="P61" s="73">
        <f t="shared" si="6"/>
        <v>454219.5545924746</v>
      </c>
      <c r="Q61" s="301">
        <f t="shared" si="7"/>
        <v>78864</v>
      </c>
      <c r="R61" s="301">
        <f t="shared" si="8"/>
        <v>343560.18577100139</v>
      </c>
      <c r="S61" s="300">
        <f t="shared" si="9"/>
        <v>422424.18577100139</v>
      </c>
    </row>
    <row r="62" spans="1:19" ht="15" x14ac:dyDescent="0.2">
      <c r="A62" s="49">
        <v>56</v>
      </c>
      <c r="B62" s="47" t="s">
        <v>76</v>
      </c>
      <c r="C62" s="33" t="s">
        <v>153</v>
      </c>
      <c r="D62" s="111">
        <v>318465.13326937467</v>
      </c>
      <c r="E62" s="114">
        <v>92354.888648118649</v>
      </c>
      <c r="F62" s="114">
        <v>369419.5545924746</v>
      </c>
      <c r="G62" s="114">
        <v>461774.44324059325</v>
      </c>
      <c r="H62" s="254">
        <f t="shared" si="1"/>
        <v>74000</v>
      </c>
      <c r="I62" s="254">
        <v>370000</v>
      </c>
      <c r="J62" s="258">
        <f t="shared" si="2"/>
        <v>444000</v>
      </c>
      <c r="K62" s="145">
        <f>223338.57-1000</f>
        <v>222338.57</v>
      </c>
      <c r="L62" s="145">
        <v>893354.27999999991</v>
      </c>
      <c r="M62" s="142">
        <f t="shared" si="3"/>
        <v>1115692.8499999999</v>
      </c>
      <c r="N62" s="99">
        <f t="shared" si="4"/>
        <v>74000</v>
      </c>
      <c r="O62" s="73">
        <f t="shared" si="5"/>
        <v>369419.5545924746</v>
      </c>
      <c r="P62" s="73">
        <f t="shared" si="6"/>
        <v>443419.5545924746</v>
      </c>
      <c r="Q62" s="301">
        <f t="shared" si="7"/>
        <v>68820</v>
      </c>
      <c r="R62" s="301">
        <f t="shared" si="8"/>
        <v>343560.18577100139</v>
      </c>
      <c r="S62" s="300">
        <f t="shared" si="9"/>
        <v>412380.18577100139</v>
      </c>
    </row>
    <row r="63" spans="1:19" ht="15" x14ac:dyDescent="0.25">
      <c r="A63" s="49">
        <v>57</v>
      </c>
      <c r="B63" s="46" t="s">
        <v>18</v>
      </c>
      <c r="C63" s="33" t="s">
        <v>153</v>
      </c>
      <c r="D63" s="111">
        <v>770133</v>
      </c>
      <c r="E63" s="114">
        <v>223338.56999999995</v>
      </c>
      <c r="F63" s="114">
        <v>893354.27999999991</v>
      </c>
      <c r="G63" s="114">
        <v>1116692.8499999999</v>
      </c>
      <c r="H63" s="254">
        <f t="shared" si="1"/>
        <v>136000</v>
      </c>
      <c r="I63" s="254">
        <v>680000</v>
      </c>
      <c r="J63" s="258">
        <f t="shared" si="2"/>
        <v>816000</v>
      </c>
      <c r="K63" s="145">
        <f>141696.519013399-1000</f>
        <v>140696.519013399</v>
      </c>
      <c r="L63" s="145">
        <v>566786.07605359552</v>
      </c>
      <c r="M63" s="142">
        <f t="shared" si="3"/>
        <v>707482.59506699455</v>
      </c>
      <c r="N63" s="99">
        <f t="shared" si="4"/>
        <v>136000</v>
      </c>
      <c r="O63" s="73">
        <f t="shared" si="5"/>
        <v>566786.07605359552</v>
      </c>
      <c r="P63" s="73">
        <f t="shared" si="6"/>
        <v>702786.07605359552</v>
      </c>
      <c r="Q63" s="301">
        <f t="shared" si="7"/>
        <v>126480</v>
      </c>
      <c r="R63" s="301">
        <f t="shared" si="8"/>
        <v>527111.05072984379</v>
      </c>
      <c r="S63" s="300">
        <f t="shared" si="9"/>
        <v>653591.05072984379</v>
      </c>
    </row>
    <row r="64" spans="1:19" ht="15" x14ac:dyDescent="0.25">
      <c r="A64" s="49">
        <v>58</v>
      </c>
      <c r="B64" s="46" t="s">
        <v>21</v>
      </c>
      <c r="C64" s="33" t="s">
        <v>153</v>
      </c>
      <c r="D64" s="111">
        <v>488608.68625309959</v>
      </c>
      <c r="E64" s="114">
        <v>141696.51901339891</v>
      </c>
      <c r="F64" s="114">
        <v>566786.07605359552</v>
      </c>
      <c r="G64" s="114">
        <v>708482.59506699443</v>
      </c>
      <c r="H64" s="254">
        <f t="shared" si="1"/>
        <v>114000</v>
      </c>
      <c r="I64" s="254">
        <v>570000</v>
      </c>
      <c r="J64" s="258">
        <f t="shared" si="2"/>
        <v>684000</v>
      </c>
      <c r="K64" s="145">
        <f>65013.6969590889-1000</f>
        <v>64013.696959088898</v>
      </c>
      <c r="L64" s="145">
        <v>260054.78783635562</v>
      </c>
      <c r="M64" s="142">
        <f t="shared" si="3"/>
        <v>324068.48479544453</v>
      </c>
      <c r="N64" s="99">
        <f t="shared" si="4"/>
        <v>64013.696959088898</v>
      </c>
      <c r="O64" s="73">
        <f t="shared" si="5"/>
        <v>260054.78783635562</v>
      </c>
      <c r="P64" s="73">
        <f t="shared" si="6"/>
        <v>324068.48479544453</v>
      </c>
      <c r="Q64" s="301">
        <f t="shared" si="7"/>
        <v>59532.738171952675</v>
      </c>
      <c r="R64" s="301">
        <f t="shared" si="8"/>
        <v>241850.95268781073</v>
      </c>
      <c r="S64" s="300">
        <f t="shared" si="9"/>
        <v>301383.69085976342</v>
      </c>
    </row>
    <row r="65" spans="1:19" ht="15" x14ac:dyDescent="0.25">
      <c r="A65" s="49">
        <v>59</v>
      </c>
      <c r="B65" s="46" t="s">
        <v>20</v>
      </c>
      <c r="C65" s="33" t="s">
        <v>153</v>
      </c>
      <c r="D65" s="111">
        <v>224185.16192789277</v>
      </c>
      <c r="E65" s="114">
        <v>65013.696959088906</v>
      </c>
      <c r="F65" s="114">
        <v>260054.78783635562</v>
      </c>
      <c r="G65" s="114">
        <v>325068.48479544453</v>
      </c>
      <c r="H65" s="254">
        <f t="shared" si="1"/>
        <v>53000</v>
      </c>
      <c r="I65" s="254">
        <v>265000</v>
      </c>
      <c r="J65" s="258">
        <f t="shared" si="2"/>
        <v>318000</v>
      </c>
      <c r="K65" s="145">
        <f>113616.603191407-1000</f>
        <v>112616.603191407</v>
      </c>
      <c r="L65" s="145">
        <v>454466.41276562877</v>
      </c>
      <c r="M65" s="142">
        <f t="shared" si="3"/>
        <v>567083.01595703582</v>
      </c>
      <c r="N65" s="99">
        <f t="shared" si="4"/>
        <v>53000</v>
      </c>
      <c r="O65" s="73">
        <f t="shared" si="5"/>
        <v>260054.78783635562</v>
      </c>
      <c r="P65" s="73">
        <f t="shared" si="6"/>
        <v>313054.78783635562</v>
      </c>
      <c r="Q65" s="301">
        <f t="shared" si="7"/>
        <v>49290</v>
      </c>
      <c r="R65" s="301">
        <f t="shared" si="8"/>
        <v>241850.95268781073</v>
      </c>
      <c r="S65" s="300">
        <f t="shared" si="9"/>
        <v>291140.95268781076</v>
      </c>
    </row>
    <row r="66" spans="1:19" ht="15" x14ac:dyDescent="0.25">
      <c r="A66" s="49">
        <v>60</v>
      </c>
      <c r="B66" s="46" t="s">
        <v>19</v>
      </c>
      <c r="C66" s="33" t="s">
        <v>153</v>
      </c>
      <c r="D66" s="111">
        <v>391781.39031519718</v>
      </c>
      <c r="E66" s="114">
        <v>113616.60319140716</v>
      </c>
      <c r="F66" s="114">
        <v>454466.41276562877</v>
      </c>
      <c r="G66" s="114">
        <v>568083.01595703594</v>
      </c>
      <c r="H66" s="254">
        <f t="shared" si="1"/>
        <v>92400</v>
      </c>
      <c r="I66" s="254">
        <v>462000</v>
      </c>
      <c r="J66" s="258">
        <f t="shared" si="2"/>
        <v>554400</v>
      </c>
      <c r="K66" s="145">
        <f>810188.088021302-1000</f>
        <v>809188.08802130201</v>
      </c>
      <c r="L66" s="145">
        <v>3240752.3520852104</v>
      </c>
      <c r="M66" s="142">
        <f t="shared" si="3"/>
        <v>4049940.4401065125</v>
      </c>
      <c r="N66" s="99">
        <f t="shared" si="4"/>
        <v>92400</v>
      </c>
      <c r="O66" s="73">
        <f t="shared" si="5"/>
        <v>454466.41276562877</v>
      </c>
      <c r="P66" s="73">
        <f t="shared" si="6"/>
        <v>546866.41276562877</v>
      </c>
      <c r="Q66" s="301">
        <f t="shared" si="7"/>
        <v>85932</v>
      </c>
      <c r="R66" s="301">
        <f t="shared" si="8"/>
        <v>422653.76387203473</v>
      </c>
      <c r="S66" s="300">
        <f t="shared" si="9"/>
        <v>508585.76387203473</v>
      </c>
    </row>
    <row r="67" spans="1:19" ht="22.5" x14ac:dyDescent="0.25">
      <c r="A67" s="49">
        <v>61</v>
      </c>
      <c r="B67" s="32" t="s">
        <v>172</v>
      </c>
      <c r="C67" s="33" t="s">
        <v>153</v>
      </c>
      <c r="D67" s="111">
        <v>2893528.8857903662</v>
      </c>
      <c r="E67" s="114">
        <v>810188.08802130213</v>
      </c>
      <c r="F67" s="114">
        <v>3240752.3520852104</v>
      </c>
      <c r="G67" s="114">
        <v>4050940.4401065125</v>
      </c>
      <c r="H67" s="254">
        <f t="shared" si="1"/>
        <v>676000</v>
      </c>
      <c r="I67" s="254">
        <v>3380000</v>
      </c>
      <c r="J67" s="258">
        <f t="shared" si="2"/>
        <v>4056000</v>
      </c>
      <c r="K67" s="145">
        <f>336725.844-1000</f>
        <v>335725.84399999998</v>
      </c>
      <c r="L67" s="145">
        <v>1346903.3760000002</v>
      </c>
      <c r="M67" s="142">
        <f t="shared" si="3"/>
        <v>1682629.2200000002</v>
      </c>
      <c r="N67" s="99">
        <f t="shared" si="4"/>
        <v>335725.84399999998</v>
      </c>
      <c r="O67" s="73">
        <f t="shared" si="5"/>
        <v>1346903.3760000002</v>
      </c>
      <c r="P67" s="73">
        <f t="shared" si="6"/>
        <v>1682629.2200000002</v>
      </c>
      <c r="Q67" s="301">
        <f t="shared" si="7"/>
        <v>312225.03492000001</v>
      </c>
      <c r="R67" s="301">
        <f t="shared" si="8"/>
        <v>1252620.13968</v>
      </c>
      <c r="S67" s="300">
        <f t="shared" si="9"/>
        <v>1564845.1746</v>
      </c>
    </row>
    <row r="68" spans="1:19" ht="15" x14ac:dyDescent="0.25">
      <c r="A68" s="49">
        <v>62</v>
      </c>
      <c r="B68" s="46" t="s">
        <v>295</v>
      </c>
      <c r="C68" s="33" t="s">
        <v>153</v>
      </c>
      <c r="D68" s="111">
        <v>1161123.6000000001</v>
      </c>
      <c r="E68" s="114">
        <v>336725.84399999981</v>
      </c>
      <c r="F68" s="114">
        <v>1346903.3760000002</v>
      </c>
      <c r="G68" s="114">
        <v>1683629.22</v>
      </c>
      <c r="H68" s="254">
        <f t="shared" si="1"/>
        <v>294000</v>
      </c>
      <c r="I68" s="254">
        <v>1470000</v>
      </c>
      <c r="J68" s="258">
        <f t="shared" si="2"/>
        <v>1764000</v>
      </c>
      <c r="K68" s="145">
        <f>65896.8707022802-1000</f>
        <v>64896.870702280197</v>
      </c>
      <c r="L68" s="145">
        <v>263587.48280912073</v>
      </c>
      <c r="M68" s="142">
        <f t="shared" si="3"/>
        <v>328484.35351140093</v>
      </c>
      <c r="N68" s="99">
        <f t="shared" si="4"/>
        <v>64896.870702280197</v>
      </c>
      <c r="O68" s="73">
        <f t="shared" si="5"/>
        <v>263587.48280912073</v>
      </c>
      <c r="P68" s="73">
        <f t="shared" si="6"/>
        <v>328484.35351140093</v>
      </c>
      <c r="Q68" s="301">
        <f t="shared" si="7"/>
        <v>60354.089753120585</v>
      </c>
      <c r="R68" s="301">
        <f t="shared" si="8"/>
        <v>245136.35901248228</v>
      </c>
      <c r="S68" s="300">
        <f t="shared" si="9"/>
        <v>305490.44876560289</v>
      </c>
    </row>
    <row r="69" spans="1:19" ht="15" x14ac:dyDescent="0.25">
      <c r="A69" s="49">
        <v>63</v>
      </c>
      <c r="B69" s="46" t="s">
        <v>173</v>
      </c>
      <c r="C69" s="33" t="s">
        <v>153</v>
      </c>
      <c r="D69" s="111">
        <v>227230.58862855236</v>
      </c>
      <c r="E69" s="114">
        <v>65896.870702280197</v>
      </c>
      <c r="F69" s="114">
        <v>263587.48280912073</v>
      </c>
      <c r="G69" s="114">
        <v>329484.35351140093</v>
      </c>
      <c r="H69" s="254">
        <f t="shared" si="1"/>
        <v>53600</v>
      </c>
      <c r="I69" s="254">
        <v>268000</v>
      </c>
      <c r="J69" s="258">
        <f t="shared" si="2"/>
        <v>321600</v>
      </c>
      <c r="K69" s="145">
        <f>182341.703228337-1000</f>
        <v>181341.70322833699</v>
      </c>
      <c r="L69" s="145">
        <v>729366.81291334738</v>
      </c>
      <c r="M69" s="142">
        <f t="shared" si="3"/>
        <v>910708.51614168438</v>
      </c>
      <c r="N69" s="99">
        <f t="shared" si="4"/>
        <v>53600</v>
      </c>
      <c r="O69" s="73">
        <f t="shared" si="5"/>
        <v>263587.48280912073</v>
      </c>
      <c r="P69" s="73">
        <f t="shared" si="6"/>
        <v>317187.48280912073</v>
      </c>
      <c r="Q69" s="301">
        <f t="shared" si="7"/>
        <v>49848</v>
      </c>
      <c r="R69" s="301">
        <f t="shared" si="8"/>
        <v>245136.35901248228</v>
      </c>
      <c r="S69" s="300">
        <f t="shared" si="9"/>
        <v>294984.35901248228</v>
      </c>
    </row>
    <row r="70" spans="1:19" ht="15" x14ac:dyDescent="0.2">
      <c r="A70" s="49">
        <v>64</v>
      </c>
      <c r="B70" s="47" t="s">
        <v>145</v>
      </c>
      <c r="C70" s="33" t="s">
        <v>153</v>
      </c>
      <c r="D70" s="111">
        <v>628764.4938908167</v>
      </c>
      <c r="E70" s="114">
        <v>182341.70322833676</v>
      </c>
      <c r="F70" s="114">
        <v>729366.81291334738</v>
      </c>
      <c r="G70" s="114">
        <v>911708.51614168414</v>
      </c>
      <c r="H70" s="254">
        <f t="shared" ref="H70:H133" si="10">+I70*20%</f>
        <v>148200</v>
      </c>
      <c r="I70" s="254">
        <v>741000</v>
      </c>
      <c r="J70" s="258">
        <f t="shared" ref="J70:J133" si="11">+I70+H70</f>
        <v>889200</v>
      </c>
      <c r="K70" s="145">
        <f>545396.3424-1000</f>
        <v>544396.34239999996</v>
      </c>
      <c r="L70" s="145">
        <v>2181585.3695999999</v>
      </c>
      <c r="M70" s="142">
        <f t="shared" ref="M70:M133" si="12">K70+L70</f>
        <v>2725981.7119999998</v>
      </c>
      <c r="N70" s="99">
        <f t="shared" ref="N70:N133" si="13">MIN(E70,H70,K70)</f>
        <v>148200</v>
      </c>
      <c r="O70" s="73">
        <f t="shared" ref="O70:O133" si="14">MIN(F70,I70,L70)</f>
        <v>729366.81291334738</v>
      </c>
      <c r="P70" s="73">
        <f t="shared" ref="P70:P133" si="15">O70+N70</f>
        <v>877566.81291334738</v>
      </c>
      <c r="Q70" s="301">
        <f t="shared" ref="Q70:Q133" si="16">N70-(N70*7%)</f>
        <v>137826</v>
      </c>
      <c r="R70" s="301">
        <f t="shared" ref="R70:R133" si="17">O70-(O70*7%)</f>
        <v>678311.13600941305</v>
      </c>
      <c r="S70" s="300">
        <f t="shared" ref="S70:S133" si="18">R70+Q70</f>
        <v>816137.13600941305</v>
      </c>
    </row>
    <row r="71" spans="1:19" ht="15" x14ac:dyDescent="0.2">
      <c r="A71" s="49">
        <v>65</v>
      </c>
      <c r="B71" s="47" t="s">
        <v>407</v>
      </c>
      <c r="C71" s="33" t="s">
        <v>153</v>
      </c>
      <c r="D71" s="111">
        <v>1947844.08</v>
      </c>
      <c r="E71" s="114">
        <v>545396.34239999996</v>
      </c>
      <c r="F71" s="114">
        <v>2181585.3695999999</v>
      </c>
      <c r="G71" s="114">
        <v>2726981.7119999998</v>
      </c>
      <c r="H71" s="254">
        <f t="shared" si="10"/>
        <v>480000</v>
      </c>
      <c r="I71" s="254">
        <v>2400000</v>
      </c>
      <c r="J71" s="258">
        <f t="shared" si="11"/>
        <v>2880000</v>
      </c>
      <c r="K71" s="145">
        <f>545396.3424-1000</f>
        <v>544396.34239999996</v>
      </c>
      <c r="L71" s="145">
        <v>2181585.3695999999</v>
      </c>
      <c r="M71" s="142">
        <f t="shared" si="12"/>
        <v>2725981.7119999998</v>
      </c>
      <c r="N71" s="99">
        <f t="shared" si="13"/>
        <v>480000</v>
      </c>
      <c r="O71" s="73">
        <f t="shared" si="14"/>
        <v>2181585.3695999999</v>
      </c>
      <c r="P71" s="73">
        <f t="shared" si="15"/>
        <v>2661585.3695999999</v>
      </c>
      <c r="Q71" s="301">
        <f t="shared" si="16"/>
        <v>446400</v>
      </c>
      <c r="R71" s="301">
        <f t="shared" si="17"/>
        <v>2028874.3937279999</v>
      </c>
      <c r="S71" s="300">
        <f t="shared" si="18"/>
        <v>2475274.3937280001</v>
      </c>
    </row>
    <row r="72" spans="1:19" ht="22.5" x14ac:dyDescent="0.25">
      <c r="A72" s="49"/>
      <c r="B72" s="30" t="s">
        <v>124</v>
      </c>
      <c r="C72" s="33" t="s">
        <v>153</v>
      </c>
      <c r="D72" s="111"/>
      <c r="E72" s="114"/>
      <c r="F72" s="114"/>
      <c r="G72" s="114"/>
      <c r="H72" s="254">
        <f t="shared" si="10"/>
        <v>0</v>
      </c>
      <c r="I72" s="254"/>
      <c r="J72" s="258">
        <f t="shared" si="11"/>
        <v>0</v>
      </c>
      <c r="K72" s="145"/>
      <c r="L72" s="145"/>
      <c r="M72" s="142">
        <f t="shared" si="12"/>
        <v>0</v>
      </c>
      <c r="N72" s="99">
        <f t="shared" si="13"/>
        <v>0</v>
      </c>
      <c r="O72" s="73">
        <f t="shared" si="14"/>
        <v>0</v>
      </c>
      <c r="P72" s="73">
        <f t="shared" si="15"/>
        <v>0</v>
      </c>
      <c r="Q72" s="301">
        <f t="shared" si="16"/>
        <v>0</v>
      </c>
      <c r="R72" s="301">
        <f t="shared" si="17"/>
        <v>0</v>
      </c>
      <c r="S72" s="300">
        <f t="shared" si="18"/>
        <v>0</v>
      </c>
    </row>
    <row r="73" spans="1:19" ht="15" x14ac:dyDescent="0.25">
      <c r="A73" s="49">
        <v>66</v>
      </c>
      <c r="B73" s="46" t="s">
        <v>174</v>
      </c>
      <c r="C73" s="33" t="s">
        <v>153</v>
      </c>
      <c r="D73" s="111">
        <v>2546628.472751155</v>
      </c>
      <c r="E73" s="114">
        <v>713055.97237032326</v>
      </c>
      <c r="F73" s="114">
        <v>2852223.8894812935</v>
      </c>
      <c r="G73" s="114">
        <v>3565279.8618516168</v>
      </c>
      <c r="H73" s="254">
        <f t="shared" si="10"/>
        <v>552000</v>
      </c>
      <c r="I73" s="254">
        <v>2760000</v>
      </c>
      <c r="J73" s="258">
        <f t="shared" si="11"/>
        <v>3312000</v>
      </c>
      <c r="K73" s="145">
        <f>88351.947149531-1000</f>
        <v>87351.947149530999</v>
      </c>
      <c r="L73" s="145">
        <v>353407.78859812429</v>
      </c>
      <c r="M73" s="142">
        <f t="shared" si="12"/>
        <v>440759.73574765527</v>
      </c>
      <c r="N73" s="99">
        <f t="shared" si="13"/>
        <v>87351.947149530999</v>
      </c>
      <c r="O73" s="73">
        <f t="shared" si="14"/>
        <v>353407.78859812429</v>
      </c>
      <c r="P73" s="73">
        <f t="shared" si="15"/>
        <v>440759.73574765527</v>
      </c>
      <c r="Q73" s="301">
        <f t="shared" si="16"/>
        <v>81237.310849063826</v>
      </c>
      <c r="R73" s="301">
        <f t="shared" si="17"/>
        <v>328669.2433962556</v>
      </c>
      <c r="S73" s="300">
        <f t="shared" si="18"/>
        <v>409906.55424531945</v>
      </c>
    </row>
    <row r="74" spans="1:19" ht="15" x14ac:dyDescent="0.25">
      <c r="A74" s="49">
        <v>67</v>
      </c>
      <c r="B74" s="46" t="s">
        <v>125</v>
      </c>
      <c r="C74" s="33" t="s">
        <v>153</v>
      </c>
      <c r="D74" s="111">
        <v>2471785.1186921513</v>
      </c>
      <c r="E74" s="114">
        <v>692099.83323380211</v>
      </c>
      <c r="F74" s="114">
        <v>2768399.3329352094</v>
      </c>
      <c r="G74" s="114">
        <v>3460499.1661690115</v>
      </c>
      <c r="H74" s="254">
        <f t="shared" si="10"/>
        <v>552000</v>
      </c>
      <c r="I74" s="254">
        <v>2760000</v>
      </c>
      <c r="J74" s="258">
        <f t="shared" si="11"/>
        <v>3312000</v>
      </c>
      <c r="K74" s="145">
        <f>29672.9180992765-1000</f>
        <v>28672.9180992765</v>
      </c>
      <c r="L74" s="145">
        <v>118691.67239710591</v>
      </c>
      <c r="M74" s="142">
        <f t="shared" si="12"/>
        <v>147364.59049638241</v>
      </c>
      <c r="N74" s="99">
        <f t="shared" si="13"/>
        <v>28672.9180992765</v>
      </c>
      <c r="O74" s="73">
        <f t="shared" si="14"/>
        <v>118691.67239710591</v>
      </c>
      <c r="P74" s="73">
        <f t="shared" si="15"/>
        <v>147364.59049638241</v>
      </c>
      <c r="Q74" s="301">
        <f t="shared" si="16"/>
        <v>26665.813832327145</v>
      </c>
      <c r="R74" s="301">
        <f t="shared" si="17"/>
        <v>110383.25532930849</v>
      </c>
      <c r="S74" s="300">
        <f t="shared" si="18"/>
        <v>137049.06916163565</v>
      </c>
    </row>
    <row r="75" spans="1:19" ht="15" x14ac:dyDescent="0.2">
      <c r="A75" s="49">
        <v>68</v>
      </c>
      <c r="B75" s="47" t="s">
        <v>126</v>
      </c>
      <c r="C75" s="33" t="s">
        <v>153</v>
      </c>
      <c r="D75" s="111">
        <v>304661.88672252093</v>
      </c>
      <c r="E75" s="114">
        <v>88351.947149531043</v>
      </c>
      <c r="F75" s="114">
        <v>353407.78859812429</v>
      </c>
      <c r="G75" s="114">
        <v>441759.73574765533</v>
      </c>
      <c r="H75" s="254">
        <f t="shared" si="10"/>
        <v>71800</v>
      </c>
      <c r="I75" s="254">
        <v>359000</v>
      </c>
      <c r="J75" s="258">
        <f t="shared" si="11"/>
        <v>430800</v>
      </c>
      <c r="K75" s="145">
        <f>316733.395441715-1000</f>
        <v>315733.39544171502</v>
      </c>
      <c r="L75" s="145">
        <v>1266933.5817668606</v>
      </c>
      <c r="M75" s="142">
        <f t="shared" si="12"/>
        <v>1582666.9772085757</v>
      </c>
      <c r="N75" s="99">
        <f t="shared" si="13"/>
        <v>71800</v>
      </c>
      <c r="O75" s="73">
        <f t="shared" si="14"/>
        <v>353407.78859812429</v>
      </c>
      <c r="P75" s="73">
        <f t="shared" si="15"/>
        <v>425207.78859812429</v>
      </c>
      <c r="Q75" s="301">
        <f t="shared" si="16"/>
        <v>66774</v>
      </c>
      <c r="R75" s="301">
        <f t="shared" si="17"/>
        <v>328669.2433962556</v>
      </c>
      <c r="S75" s="300">
        <f t="shared" si="18"/>
        <v>395443.2433962556</v>
      </c>
    </row>
    <row r="76" spans="1:19" ht="15" x14ac:dyDescent="0.25">
      <c r="A76" s="49">
        <v>69</v>
      </c>
      <c r="B76" s="46" t="s">
        <v>127</v>
      </c>
      <c r="C76" s="33" t="s">
        <v>153</v>
      </c>
      <c r="D76" s="111">
        <v>102320.40723888441</v>
      </c>
      <c r="E76" s="114">
        <v>29672.918099276474</v>
      </c>
      <c r="F76" s="114">
        <v>118691.67239710591</v>
      </c>
      <c r="G76" s="114">
        <v>148364.59049638239</v>
      </c>
      <c r="H76" s="254">
        <f t="shared" si="10"/>
        <v>24000</v>
      </c>
      <c r="I76" s="254">
        <v>120000</v>
      </c>
      <c r="J76" s="258">
        <f t="shared" si="11"/>
        <v>144000</v>
      </c>
      <c r="K76" s="145">
        <f>175036.876428316-1000</f>
        <v>174036.876428316</v>
      </c>
      <c r="L76" s="145">
        <v>700147.50571326516</v>
      </c>
      <c r="M76" s="142">
        <f t="shared" si="12"/>
        <v>874184.38214158115</v>
      </c>
      <c r="N76" s="99">
        <f t="shared" si="13"/>
        <v>24000</v>
      </c>
      <c r="O76" s="73">
        <f t="shared" si="14"/>
        <v>118691.67239710591</v>
      </c>
      <c r="P76" s="73">
        <f t="shared" si="15"/>
        <v>142691.6723971059</v>
      </c>
      <c r="Q76" s="301">
        <f t="shared" si="16"/>
        <v>22320</v>
      </c>
      <c r="R76" s="301">
        <f t="shared" si="17"/>
        <v>110383.25532930849</v>
      </c>
      <c r="S76" s="300">
        <f t="shared" si="18"/>
        <v>132703.25532930851</v>
      </c>
    </row>
    <row r="77" spans="1:19" ht="15" x14ac:dyDescent="0.2">
      <c r="A77" s="49">
        <v>70</v>
      </c>
      <c r="B77" s="47" t="s">
        <v>128</v>
      </c>
      <c r="C77" s="33" t="s">
        <v>153</v>
      </c>
      <c r="D77" s="111">
        <v>1092184.1222128109</v>
      </c>
      <c r="E77" s="114">
        <v>316733.39544171514</v>
      </c>
      <c r="F77" s="114">
        <v>1266933.5817668606</v>
      </c>
      <c r="G77" s="114">
        <v>1583666.9772085757</v>
      </c>
      <c r="H77" s="254">
        <f t="shared" si="10"/>
        <v>252000</v>
      </c>
      <c r="I77" s="254">
        <v>1260000</v>
      </c>
      <c r="J77" s="258">
        <f t="shared" si="11"/>
        <v>1512000</v>
      </c>
      <c r="K77" s="145">
        <f>113126.800841138-1000</f>
        <v>112126.800841138</v>
      </c>
      <c r="L77" s="145">
        <v>452507.2033645513</v>
      </c>
      <c r="M77" s="142">
        <f t="shared" si="12"/>
        <v>564634.0042056893</v>
      </c>
      <c r="N77" s="99">
        <f t="shared" si="13"/>
        <v>112126.800841138</v>
      </c>
      <c r="O77" s="73">
        <f t="shared" si="14"/>
        <v>452507.2033645513</v>
      </c>
      <c r="P77" s="73">
        <f t="shared" si="15"/>
        <v>564634.0042056893</v>
      </c>
      <c r="Q77" s="301">
        <f t="shared" si="16"/>
        <v>104277.92478225834</v>
      </c>
      <c r="R77" s="301">
        <f t="shared" si="17"/>
        <v>420831.69912903273</v>
      </c>
      <c r="S77" s="300">
        <f t="shared" si="18"/>
        <v>525109.62391129113</v>
      </c>
    </row>
    <row r="78" spans="1:19" ht="15" x14ac:dyDescent="0.25">
      <c r="A78" s="49">
        <v>71</v>
      </c>
      <c r="B78" s="46" t="s">
        <v>326</v>
      </c>
      <c r="C78" s="33" t="s">
        <v>153</v>
      </c>
      <c r="D78" s="111">
        <v>603575.43595971132</v>
      </c>
      <c r="E78" s="114">
        <v>175036.87642831623</v>
      </c>
      <c r="F78" s="114">
        <v>700147.50571326516</v>
      </c>
      <c r="G78" s="114">
        <v>875184.38214158139</v>
      </c>
      <c r="H78" s="254">
        <f t="shared" si="10"/>
        <v>142000</v>
      </c>
      <c r="I78" s="254">
        <v>710000</v>
      </c>
      <c r="J78" s="258">
        <f t="shared" si="11"/>
        <v>852000</v>
      </c>
      <c r="K78" s="145">
        <f>59740.9037443397-1000</f>
        <v>58740.903744339703</v>
      </c>
      <c r="L78" s="145">
        <v>238963.61497735899</v>
      </c>
      <c r="M78" s="142">
        <f t="shared" si="12"/>
        <v>297704.51872169867</v>
      </c>
      <c r="N78" s="99">
        <f t="shared" si="13"/>
        <v>58740.903744339703</v>
      </c>
      <c r="O78" s="73">
        <f t="shared" si="14"/>
        <v>238963.61497735899</v>
      </c>
      <c r="P78" s="73">
        <f t="shared" si="15"/>
        <v>297704.51872169867</v>
      </c>
      <c r="Q78" s="301">
        <f t="shared" si="16"/>
        <v>54629.040482235927</v>
      </c>
      <c r="R78" s="301">
        <f t="shared" si="17"/>
        <v>222236.16192894385</v>
      </c>
      <c r="S78" s="300">
        <f t="shared" si="18"/>
        <v>276865.20241117978</v>
      </c>
    </row>
    <row r="79" spans="1:19" ht="15" x14ac:dyDescent="0.25">
      <c r="A79" s="49">
        <v>72</v>
      </c>
      <c r="B79" s="46" t="s">
        <v>123</v>
      </c>
      <c r="C79" s="33" t="s">
        <v>153</v>
      </c>
      <c r="D79" s="111">
        <v>390092.41669357865</v>
      </c>
      <c r="E79" s="114">
        <v>113126.80084113777</v>
      </c>
      <c r="F79" s="114">
        <v>452507.2033645513</v>
      </c>
      <c r="G79" s="114">
        <v>565634.00420568907</v>
      </c>
      <c r="H79" s="254">
        <f t="shared" si="10"/>
        <v>89600</v>
      </c>
      <c r="I79" s="254">
        <v>448000</v>
      </c>
      <c r="J79" s="258">
        <f t="shared" si="11"/>
        <v>537600</v>
      </c>
      <c r="K79" s="145">
        <f>101500-1000</f>
        <v>100500</v>
      </c>
      <c r="L79" s="145">
        <v>406000</v>
      </c>
      <c r="M79" s="142">
        <f t="shared" si="12"/>
        <v>506500</v>
      </c>
      <c r="N79" s="99">
        <f t="shared" si="13"/>
        <v>89600</v>
      </c>
      <c r="O79" s="73">
        <f t="shared" si="14"/>
        <v>406000</v>
      </c>
      <c r="P79" s="73">
        <f t="shared" si="15"/>
        <v>495600</v>
      </c>
      <c r="Q79" s="301">
        <f t="shared" si="16"/>
        <v>83328</v>
      </c>
      <c r="R79" s="301">
        <f t="shared" si="17"/>
        <v>377580</v>
      </c>
      <c r="S79" s="300">
        <f t="shared" si="18"/>
        <v>460908</v>
      </c>
    </row>
    <row r="80" spans="1:19" ht="15" x14ac:dyDescent="0.25">
      <c r="A80" s="49">
        <v>73</v>
      </c>
      <c r="B80" s="46" t="s">
        <v>176</v>
      </c>
      <c r="C80" s="33" t="s">
        <v>153</v>
      </c>
      <c r="D80" s="111">
        <v>206003.11635979224</v>
      </c>
      <c r="E80" s="114">
        <v>59740.903744339739</v>
      </c>
      <c r="F80" s="114">
        <v>238963.61497735899</v>
      </c>
      <c r="G80" s="114">
        <v>298704.51872169873</v>
      </c>
      <c r="H80" s="254">
        <f t="shared" si="10"/>
        <v>48000</v>
      </c>
      <c r="I80" s="254">
        <v>240000</v>
      </c>
      <c r="J80" s="258">
        <f t="shared" si="11"/>
        <v>288000</v>
      </c>
      <c r="K80" s="145">
        <f>73348.7863128182-1000</f>
        <v>72348.786312818207</v>
      </c>
      <c r="L80" s="145">
        <v>293395.14525127294</v>
      </c>
      <c r="M80" s="142">
        <f t="shared" si="12"/>
        <v>365743.93156409112</v>
      </c>
      <c r="N80" s="99">
        <f t="shared" si="13"/>
        <v>48000</v>
      </c>
      <c r="O80" s="73">
        <f t="shared" si="14"/>
        <v>238963.61497735899</v>
      </c>
      <c r="P80" s="73">
        <f t="shared" si="15"/>
        <v>286963.61497735896</v>
      </c>
      <c r="Q80" s="301">
        <f t="shared" si="16"/>
        <v>44640</v>
      </c>
      <c r="R80" s="301">
        <f t="shared" si="17"/>
        <v>222236.16192894385</v>
      </c>
      <c r="S80" s="300">
        <f t="shared" si="18"/>
        <v>266876.16192894382</v>
      </c>
    </row>
    <row r="81" spans="1:19" ht="15" x14ac:dyDescent="0.25">
      <c r="A81" s="49">
        <v>74</v>
      </c>
      <c r="B81" s="46" t="s">
        <v>177</v>
      </c>
      <c r="C81" s="33" t="s">
        <v>153</v>
      </c>
      <c r="D81" s="111">
        <v>350000</v>
      </c>
      <c r="E81" s="114">
        <v>101500</v>
      </c>
      <c r="F81" s="114">
        <v>406000</v>
      </c>
      <c r="G81" s="114">
        <v>507500</v>
      </c>
      <c r="H81" s="254">
        <f t="shared" si="10"/>
        <v>82600</v>
      </c>
      <c r="I81" s="254">
        <v>413000</v>
      </c>
      <c r="J81" s="258">
        <f t="shared" si="11"/>
        <v>495600</v>
      </c>
      <c r="K81" s="145">
        <f>121692.304564448-1000</f>
        <v>120692.304564448</v>
      </c>
      <c r="L81" s="145">
        <v>486769.21825779381</v>
      </c>
      <c r="M81" s="142">
        <f t="shared" si="12"/>
        <v>607461.52282224176</v>
      </c>
      <c r="N81" s="99">
        <f t="shared" si="13"/>
        <v>82600</v>
      </c>
      <c r="O81" s="73">
        <f t="shared" si="14"/>
        <v>406000</v>
      </c>
      <c r="P81" s="73">
        <f t="shared" si="15"/>
        <v>488600</v>
      </c>
      <c r="Q81" s="301">
        <f t="shared" si="16"/>
        <v>76818</v>
      </c>
      <c r="R81" s="301">
        <f t="shared" si="17"/>
        <v>377580</v>
      </c>
      <c r="S81" s="300">
        <f t="shared" si="18"/>
        <v>454398</v>
      </c>
    </row>
    <row r="82" spans="1:19" ht="15" x14ac:dyDescent="0.25">
      <c r="A82" s="49">
        <v>75</v>
      </c>
      <c r="B82" s="35" t="s">
        <v>102</v>
      </c>
      <c r="C82" s="33" t="s">
        <v>153</v>
      </c>
      <c r="D82" s="111">
        <v>252926.84935454564</v>
      </c>
      <c r="E82" s="114">
        <v>73348.786312818236</v>
      </c>
      <c r="F82" s="114">
        <v>293395.14525127294</v>
      </c>
      <c r="G82" s="114">
        <v>366743.93156409118</v>
      </c>
      <c r="H82" s="254">
        <f t="shared" si="10"/>
        <v>58000</v>
      </c>
      <c r="I82" s="254">
        <v>290000</v>
      </c>
      <c r="J82" s="258">
        <f t="shared" si="11"/>
        <v>348000</v>
      </c>
      <c r="K82" s="145">
        <f>108356.161598481-1000</f>
        <v>107356.16159848101</v>
      </c>
      <c r="L82" s="145">
        <v>433424.64639392612</v>
      </c>
      <c r="M82" s="142">
        <f t="shared" si="12"/>
        <v>540780.80799240712</v>
      </c>
      <c r="N82" s="99">
        <f t="shared" si="13"/>
        <v>58000</v>
      </c>
      <c r="O82" s="73">
        <f t="shared" si="14"/>
        <v>290000</v>
      </c>
      <c r="P82" s="73">
        <f t="shared" si="15"/>
        <v>348000</v>
      </c>
      <c r="Q82" s="301">
        <f t="shared" si="16"/>
        <v>53940</v>
      </c>
      <c r="R82" s="301">
        <f t="shared" si="17"/>
        <v>269700</v>
      </c>
      <c r="S82" s="300">
        <f t="shared" si="18"/>
        <v>323640</v>
      </c>
    </row>
    <row r="83" spans="1:19" ht="15" x14ac:dyDescent="0.2">
      <c r="A83" s="49">
        <v>76</v>
      </c>
      <c r="B83" s="47" t="s">
        <v>112</v>
      </c>
      <c r="C83" s="33" t="s">
        <v>153</v>
      </c>
      <c r="D83" s="111">
        <v>419628.6364291326</v>
      </c>
      <c r="E83" s="114">
        <v>121692.30456444842</v>
      </c>
      <c r="F83" s="114">
        <v>486769.21825779381</v>
      </c>
      <c r="G83" s="114">
        <v>608461.52282224223</v>
      </c>
      <c r="H83" s="254">
        <f t="shared" si="10"/>
        <v>99000</v>
      </c>
      <c r="I83" s="254">
        <v>495000</v>
      </c>
      <c r="J83" s="258">
        <f t="shared" si="11"/>
        <v>594000</v>
      </c>
      <c r="K83" s="145">
        <f>121692.304564448-1000</f>
        <v>120692.304564448</v>
      </c>
      <c r="L83" s="145">
        <v>486769.21825779381</v>
      </c>
      <c r="M83" s="142">
        <f t="shared" si="12"/>
        <v>607461.52282224176</v>
      </c>
      <c r="N83" s="99">
        <f t="shared" si="13"/>
        <v>99000</v>
      </c>
      <c r="O83" s="73">
        <f t="shared" si="14"/>
        <v>486769.21825779381</v>
      </c>
      <c r="P83" s="73">
        <f t="shared" si="15"/>
        <v>585769.21825779381</v>
      </c>
      <c r="Q83" s="301">
        <f t="shared" si="16"/>
        <v>92070</v>
      </c>
      <c r="R83" s="301">
        <f t="shared" si="17"/>
        <v>452695.37297974824</v>
      </c>
      <c r="S83" s="300">
        <f t="shared" si="18"/>
        <v>544765.3729797483</v>
      </c>
    </row>
    <row r="84" spans="1:19" ht="15" x14ac:dyDescent="0.2">
      <c r="A84" s="49">
        <v>77</v>
      </c>
      <c r="B84" s="47" t="s">
        <v>78</v>
      </c>
      <c r="C84" s="33" t="s">
        <v>153</v>
      </c>
      <c r="D84" s="111">
        <v>373641.93654648802</v>
      </c>
      <c r="E84" s="114">
        <v>108356.16159848147</v>
      </c>
      <c r="F84" s="114">
        <v>433424.64639392612</v>
      </c>
      <c r="G84" s="114">
        <v>541780.80799240759</v>
      </c>
      <c r="H84" s="254">
        <f t="shared" si="10"/>
        <v>88000</v>
      </c>
      <c r="I84" s="254">
        <v>440000</v>
      </c>
      <c r="J84" s="258">
        <f t="shared" si="11"/>
        <v>528000</v>
      </c>
      <c r="K84" s="145">
        <f>453131.040934484-1000</f>
        <v>452131.04093448399</v>
      </c>
      <c r="L84" s="145">
        <v>1812524.1637379376</v>
      </c>
      <c r="M84" s="142">
        <f t="shared" si="12"/>
        <v>2264655.2046724213</v>
      </c>
      <c r="N84" s="99">
        <f t="shared" si="13"/>
        <v>88000</v>
      </c>
      <c r="O84" s="73">
        <f t="shared" si="14"/>
        <v>433424.64639392612</v>
      </c>
      <c r="P84" s="73">
        <f t="shared" si="15"/>
        <v>521424.64639392612</v>
      </c>
      <c r="Q84" s="301">
        <f t="shared" si="16"/>
        <v>81840</v>
      </c>
      <c r="R84" s="301">
        <f t="shared" si="17"/>
        <v>403084.92114635126</v>
      </c>
      <c r="S84" s="300">
        <f t="shared" si="18"/>
        <v>484924.92114635126</v>
      </c>
    </row>
    <row r="85" spans="1:19" ht="22.5" x14ac:dyDescent="0.25">
      <c r="A85" s="49"/>
      <c r="B85" s="30" t="s">
        <v>31</v>
      </c>
      <c r="C85" s="33" t="s">
        <v>153</v>
      </c>
      <c r="D85" s="111"/>
      <c r="E85" s="114"/>
      <c r="F85" s="114"/>
      <c r="G85" s="114"/>
      <c r="H85" s="254">
        <f t="shared" si="10"/>
        <v>0</v>
      </c>
      <c r="I85" s="254"/>
      <c r="J85" s="258">
        <f t="shared" si="11"/>
        <v>0</v>
      </c>
      <c r="K85" s="145"/>
      <c r="L85" s="145"/>
      <c r="M85" s="142">
        <f t="shared" si="12"/>
        <v>0</v>
      </c>
      <c r="N85" s="99">
        <f t="shared" si="13"/>
        <v>0</v>
      </c>
      <c r="O85" s="73">
        <f t="shared" si="14"/>
        <v>0</v>
      </c>
      <c r="P85" s="73">
        <f t="shared" si="15"/>
        <v>0</v>
      </c>
      <c r="Q85" s="301">
        <f t="shared" si="16"/>
        <v>0</v>
      </c>
      <c r="R85" s="301">
        <f t="shared" si="17"/>
        <v>0</v>
      </c>
      <c r="S85" s="300">
        <f t="shared" si="18"/>
        <v>0</v>
      </c>
    </row>
    <row r="86" spans="1:19" ht="15" x14ac:dyDescent="0.25">
      <c r="A86" s="49">
        <v>78</v>
      </c>
      <c r="B86" s="46" t="s">
        <v>323</v>
      </c>
      <c r="C86" s="33" t="s">
        <v>153</v>
      </c>
      <c r="D86" s="111">
        <v>1618325.1461945872</v>
      </c>
      <c r="E86" s="114">
        <v>453131.04093448422</v>
      </c>
      <c r="F86" s="114">
        <v>1812524.1637379376</v>
      </c>
      <c r="G86" s="114">
        <v>2265655.2046724218</v>
      </c>
      <c r="H86" s="254">
        <f t="shared" si="10"/>
        <v>298000</v>
      </c>
      <c r="I86" s="254">
        <v>1490000</v>
      </c>
      <c r="J86" s="258">
        <f t="shared" si="11"/>
        <v>1788000</v>
      </c>
      <c r="K86" s="145">
        <f>354239.630515626-1000</f>
        <v>353239.63051562599</v>
      </c>
      <c r="L86" s="145">
        <v>1416958.5220625058</v>
      </c>
      <c r="M86" s="142">
        <f t="shared" si="12"/>
        <v>1770198.1525781318</v>
      </c>
      <c r="N86" s="99">
        <f t="shared" si="13"/>
        <v>298000</v>
      </c>
      <c r="O86" s="73">
        <f t="shared" si="14"/>
        <v>1416958.5220625058</v>
      </c>
      <c r="P86" s="73">
        <f t="shared" si="15"/>
        <v>1714958.5220625058</v>
      </c>
      <c r="Q86" s="301">
        <f t="shared" si="16"/>
        <v>277140</v>
      </c>
      <c r="R86" s="301">
        <f t="shared" si="17"/>
        <v>1317771.4255181304</v>
      </c>
      <c r="S86" s="300">
        <f t="shared" si="18"/>
        <v>1594911.4255181304</v>
      </c>
    </row>
    <row r="87" spans="1:19" ht="15" x14ac:dyDescent="0.25">
      <c r="A87" s="49">
        <v>79</v>
      </c>
      <c r="B87" s="46" t="s">
        <v>178</v>
      </c>
      <c r="C87" s="33" t="s">
        <v>153</v>
      </c>
      <c r="D87" s="111">
        <v>557531.06517495168</v>
      </c>
      <c r="E87" s="114">
        <v>161684.00890073599</v>
      </c>
      <c r="F87" s="114">
        <v>646736.03560294397</v>
      </c>
      <c r="G87" s="114">
        <v>808420.04450367996</v>
      </c>
      <c r="H87" s="254">
        <f t="shared" si="10"/>
        <v>130000</v>
      </c>
      <c r="I87" s="254">
        <v>650000</v>
      </c>
      <c r="J87" s="258">
        <f t="shared" si="11"/>
        <v>780000</v>
      </c>
      <c r="K87" s="145">
        <f>43500-1000</f>
        <v>42500</v>
      </c>
      <c r="L87" s="145">
        <v>174000</v>
      </c>
      <c r="M87" s="142">
        <f t="shared" si="12"/>
        <v>216500</v>
      </c>
      <c r="N87" s="99">
        <f t="shared" si="13"/>
        <v>42500</v>
      </c>
      <c r="O87" s="73">
        <f t="shared" si="14"/>
        <v>174000</v>
      </c>
      <c r="P87" s="73">
        <f t="shared" si="15"/>
        <v>216500</v>
      </c>
      <c r="Q87" s="301">
        <f t="shared" si="16"/>
        <v>39525</v>
      </c>
      <c r="R87" s="301">
        <f t="shared" si="17"/>
        <v>161820</v>
      </c>
      <c r="S87" s="300">
        <f t="shared" si="18"/>
        <v>201345</v>
      </c>
    </row>
    <row r="88" spans="1:19" ht="15" x14ac:dyDescent="0.25">
      <c r="A88" s="49">
        <v>80</v>
      </c>
      <c r="B88" s="46" t="s">
        <v>146</v>
      </c>
      <c r="C88" s="33" t="s">
        <v>153</v>
      </c>
      <c r="D88" s="111">
        <v>1221515.9672952637</v>
      </c>
      <c r="E88" s="114">
        <v>354239.6305156264</v>
      </c>
      <c r="F88" s="114">
        <v>1416958.5220625058</v>
      </c>
      <c r="G88" s="114">
        <v>1771198.1525781322</v>
      </c>
      <c r="H88" s="254">
        <f t="shared" si="10"/>
        <v>280000</v>
      </c>
      <c r="I88" s="254">
        <v>1400000</v>
      </c>
      <c r="J88" s="258">
        <f t="shared" si="11"/>
        <v>1680000</v>
      </c>
      <c r="K88" s="145">
        <f>47580.3578211017-1000</f>
        <v>46580.357821101701</v>
      </c>
      <c r="L88" s="145">
        <v>190321.43128440692</v>
      </c>
      <c r="M88" s="142">
        <f t="shared" si="12"/>
        <v>236901.78910550862</v>
      </c>
      <c r="N88" s="99">
        <f t="shared" si="13"/>
        <v>46580.357821101701</v>
      </c>
      <c r="O88" s="73">
        <f t="shared" si="14"/>
        <v>190321.43128440692</v>
      </c>
      <c r="P88" s="73">
        <f t="shared" si="15"/>
        <v>236901.78910550862</v>
      </c>
      <c r="Q88" s="301">
        <f t="shared" si="16"/>
        <v>43319.732773624579</v>
      </c>
      <c r="R88" s="301">
        <f t="shared" si="17"/>
        <v>176998.93109449843</v>
      </c>
      <c r="S88" s="300">
        <f t="shared" si="18"/>
        <v>220318.66386812303</v>
      </c>
    </row>
    <row r="89" spans="1:19" ht="15" x14ac:dyDescent="0.2">
      <c r="A89" s="49">
        <v>81</v>
      </c>
      <c r="B89" s="47" t="s">
        <v>79</v>
      </c>
      <c r="C89" s="33" t="s">
        <v>153</v>
      </c>
      <c r="D89" s="111">
        <v>150000</v>
      </c>
      <c r="E89" s="114">
        <v>43500</v>
      </c>
      <c r="F89" s="114">
        <v>174000</v>
      </c>
      <c r="G89" s="114">
        <v>217500</v>
      </c>
      <c r="H89" s="254">
        <f t="shared" si="10"/>
        <v>35400</v>
      </c>
      <c r="I89" s="254">
        <v>177000</v>
      </c>
      <c r="J89" s="258">
        <f t="shared" si="11"/>
        <v>212400</v>
      </c>
      <c r="K89" s="145">
        <f>127047.60880952-1000</f>
        <v>126047.60880952</v>
      </c>
      <c r="L89" s="145">
        <v>508190.43523807824</v>
      </c>
      <c r="M89" s="142">
        <f t="shared" si="12"/>
        <v>634238.04404759826</v>
      </c>
      <c r="N89" s="99">
        <f t="shared" si="13"/>
        <v>35400</v>
      </c>
      <c r="O89" s="73">
        <f t="shared" si="14"/>
        <v>174000</v>
      </c>
      <c r="P89" s="73">
        <f t="shared" si="15"/>
        <v>209400</v>
      </c>
      <c r="Q89" s="301">
        <f t="shared" si="16"/>
        <v>32922</v>
      </c>
      <c r="R89" s="301">
        <f t="shared" si="17"/>
        <v>161820</v>
      </c>
      <c r="S89" s="300">
        <f t="shared" si="18"/>
        <v>194742</v>
      </c>
    </row>
    <row r="90" spans="1:19" ht="15" x14ac:dyDescent="0.25">
      <c r="A90" s="49">
        <v>82</v>
      </c>
      <c r="B90" s="46" t="s">
        <v>179</v>
      </c>
      <c r="C90" s="33" t="s">
        <v>153</v>
      </c>
      <c r="D90" s="111">
        <v>164070.19938310943</v>
      </c>
      <c r="E90" s="114">
        <v>47580.35782110173</v>
      </c>
      <c r="F90" s="114">
        <v>190321.43128440692</v>
      </c>
      <c r="G90" s="114">
        <v>237901.78910550865</v>
      </c>
      <c r="H90" s="254">
        <f t="shared" si="10"/>
        <v>38000</v>
      </c>
      <c r="I90" s="254">
        <v>190000</v>
      </c>
      <c r="J90" s="258">
        <f t="shared" si="11"/>
        <v>228000</v>
      </c>
      <c r="K90" s="145">
        <f>58345.6254761054-1000</f>
        <v>57345.625476105401</v>
      </c>
      <c r="L90" s="145">
        <v>233382.50190442172</v>
      </c>
      <c r="M90" s="142">
        <f t="shared" si="12"/>
        <v>290728.12738052709</v>
      </c>
      <c r="N90" s="99">
        <f t="shared" si="13"/>
        <v>38000</v>
      </c>
      <c r="O90" s="73">
        <f t="shared" si="14"/>
        <v>190000</v>
      </c>
      <c r="P90" s="73">
        <f t="shared" si="15"/>
        <v>228000</v>
      </c>
      <c r="Q90" s="301">
        <f t="shared" si="16"/>
        <v>35340</v>
      </c>
      <c r="R90" s="301">
        <f t="shared" si="17"/>
        <v>176700</v>
      </c>
      <c r="S90" s="300">
        <f t="shared" si="18"/>
        <v>212040</v>
      </c>
    </row>
    <row r="91" spans="1:19" ht="15" x14ac:dyDescent="0.2">
      <c r="A91" s="49">
        <v>83</v>
      </c>
      <c r="B91" s="47" t="s">
        <v>77</v>
      </c>
      <c r="C91" s="33" t="s">
        <v>153</v>
      </c>
      <c r="D91" s="111">
        <v>438095.20279144676</v>
      </c>
      <c r="E91" s="114">
        <v>127047.60880951956</v>
      </c>
      <c r="F91" s="114">
        <v>508190.43523807824</v>
      </c>
      <c r="G91" s="114">
        <v>635238.0440475978</v>
      </c>
      <c r="H91" s="254">
        <f t="shared" si="10"/>
        <v>91000</v>
      </c>
      <c r="I91" s="254">
        <v>455000</v>
      </c>
      <c r="J91" s="258">
        <f t="shared" si="11"/>
        <v>546000</v>
      </c>
      <c r="K91" s="145">
        <f>127047.60880952-1000</f>
        <v>126047.60880952</v>
      </c>
      <c r="L91" s="145">
        <v>508190.43523807824</v>
      </c>
      <c r="M91" s="142">
        <f t="shared" si="12"/>
        <v>634238.04404759826</v>
      </c>
      <c r="N91" s="99">
        <f t="shared" si="13"/>
        <v>91000</v>
      </c>
      <c r="O91" s="73">
        <f t="shared" si="14"/>
        <v>455000</v>
      </c>
      <c r="P91" s="73">
        <f t="shared" si="15"/>
        <v>546000</v>
      </c>
      <c r="Q91" s="301">
        <f t="shared" si="16"/>
        <v>84630</v>
      </c>
      <c r="R91" s="301">
        <f t="shared" si="17"/>
        <v>423150</v>
      </c>
      <c r="S91" s="300">
        <f t="shared" si="18"/>
        <v>507780</v>
      </c>
    </row>
    <row r="92" spans="1:19" ht="15" x14ac:dyDescent="0.25">
      <c r="A92" s="49">
        <v>84</v>
      </c>
      <c r="B92" s="50" t="s">
        <v>33</v>
      </c>
      <c r="C92" s="33" t="s">
        <v>153</v>
      </c>
      <c r="D92" s="111">
        <v>201191.81198657045</v>
      </c>
      <c r="E92" s="114">
        <v>58345.62547610543</v>
      </c>
      <c r="F92" s="114">
        <v>233382.50190442172</v>
      </c>
      <c r="G92" s="114">
        <v>291728.12738052715</v>
      </c>
      <c r="H92" s="254">
        <f t="shared" si="10"/>
        <v>43600</v>
      </c>
      <c r="I92" s="254">
        <v>218000</v>
      </c>
      <c r="J92" s="258">
        <f t="shared" si="11"/>
        <v>261600</v>
      </c>
      <c r="K92" s="145">
        <f>34800-1000</f>
        <v>33800</v>
      </c>
      <c r="L92" s="145">
        <v>139200</v>
      </c>
      <c r="M92" s="142">
        <f t="shared" si="12"/>
        <v>173000</v>
      </c>
      <c r="N92" s="99">
        <f t="shared" si="13"/>
        <v>33800</v>
      </c>
      <c r="O92" s="73">
        <f t="shared" si="14"/>
        <v>139200</v>
      </c>
      <c r="P92" s="73">
        <f t="shared" si="15"/>
        <v>173000</v>
      </c>
      <c r="Q92" s="301">
        <f t="shared" si="16"/>
        <v>31434</v>
      </c>
      <c r="R92" s="301">
        <f t="shared" si="17"/>
        <v>129456</v>
      </c>
      <c r="S92" s="300">
        <f t="shared" si="18"/>
        <v>160890</v>
      </c>
    </row>
    <row r="93" spans="1:19" ht="22.5" x14ac:dyDescent="0.25">
      <c r="A93" s="49"/>
      <c r="B93" s="30" t="s">
        <v>90</v>
      </c>
      <c r="C93" s="33" t="s">
        <v>153</v>
      </c>
      <c r="D93" s="111"/>
      <c r="E93" s="114"/>
      <c r="F93" s="114"/>
      <c r="G93" s="114"/>
      <c r="H93" s="254">
        <f t="shared" si="10"/>
        <v>0</v>
      </c>
      <c r="I93" s="254"/>
      <c r="J93" s="258">
        <f t="shared" si="11"/>
        <v>0</v>
      </c>
      <c r="K93" s="145"/>
      <c r="L93" s="145"/>
      <c r="M93" s="142">
        <f t="shared" si="12"/>
        <v>0</v>
      </c>
      <c r="N93" s="99">
        <f t="shared" si="13"/>
        <v>0</v>
      </c>
      <c r="O93" s="73">
        <f t="shared" si="14"/>
        <v>0</v>
      </c>
      <c r="P93" s="73">
        <f t="shared" si="15"/>
        <v>0</v>
      </c>
      <c r="Q93" s="301">
        <f t="shared" si="16"/>
        <v>0</v>
      </c>
      <c r="R93" s="301">
        <f t="shared" si="17"/>
        <v>0</v>
      </c>
      <c r="S93" s="300">
        <f t="shared" si="18"/>
        <v>0</v>
      </c>
    </row>
    <row r="94" spans="1:19" ht="15" x14ac:dyDescent="0.25">
      <c r="A94" s="49">
        <v>85</v>
      </c>
      <c r="B94" s="46" t="s">
        <v>26</v>
      </c>
      <c r="C94" s="33" t="s">
        <v>153</v>
      </c>
      <c r="D94" s="111">
        <v>120000</v>
      </c>
      <c r="E94" s="114">
        <v>34800</v>
      </c>
      <c r="F94" s="114">
        <v>139200</v>
      </c>
      <c r="G94" s="114">
        <v>174000</v>
      </c>
      <c r="H94" s="254">
        <f t="shared" si="10"/>
        <v>28000</v>
      </c>
      <c r="I94" s="254">
        <v>140000</v>
      </c>
      <c r="J94" s="258">
        <f t="shared" si="11"/>
        <v>168000</v>
      </c>
      <c r="K94" s="145">
        <f>147747.054-1000</f>
        <v>146747.054</v>
      </c>
      <c r="L94" s="145">
        <v>590988.2159999999</v>
      </c>
      <c r="M94" s="142">
        <f t="shared" si="12"/>
        <v>737735.2699999999</v>
      </c>
      <c r="N94" s="99">
        <f t="shared" si="13"/>
        <v>28000</v>
      </c>
      <c r="O94" s="73">
        <f t="shared" si="14"/>
        <v>139200</v>
      </c>
      <c r="P94" s="73">
        <f t="shared" si="15"/>
        <v>167200</v>
      </c>
      <c r="Q94" s="301">
        <f t="shared" si="16"/>
        <v>26040</v>
      </c>
      <c r="R94" s="301">
        <f t="shared" si="17"/>
        <v>129456</v>
      </c>
      <c r="S94" s="300">
        <f t="shared" si="18"/>
        <v>155496</v>
      </c>
    </row>
    <row r="95" spans="1:19" ht="15" x14ac:dyDescent="0.25">
      <c r="A95" s="49">
        <v>86</v>
      </c>
      <c r="B95" s="46" t="s">
        <v>181</v>
      </c>
      <c r="C95" s="33" t="s">
        <v>153</v>
      </c>
      <c r="D95" s="111">
        <v>504180.72575393209</v>
      </c>
      <c r="E95" s="114">
        <v>146212.41046864027</v>
      </c>
      <c r="F95" s="114">
        <v>584849.6418745612</v>
      </c>
      <c r="G95" s="114">
        <v>731062.05234320147</v>
      </c>
      <c r="H95" s="254">
        <f t="shared" si="10"/>
        <v>118800</v>
      </c>
      <c r="I95" s="254">
        <v>594000</v>
      </c>
      <c r="J95" s="258">
        <f t="shared" si="11"/>
        <v>712800</v>
      </c>
      <c r="K95" s="145">
        <f>78349.8399250559-1000</f>
        <v>77349.839925055901</v>
      </c>
      <c r="L95" s="145">
        <v>313399.35970022343</v>
      </c>
      <c r="M95" s="142">
        <f t="shared" si="12"/>
        <v>390749.19962527935</v>
      </c>
      <c r="N95" s="99">
        <f t="shared" si="13"/>
        <v>77349.839925055901</v>
      </c>
      <c r="O95" s="73">
        <f t="shared" si="14"/>
        <v>313399.35970022343</v>
      </c>
      <c r="P95" s="73">
        <f t="shared" si="15"/>
        <v>390749.19962527935</v>
      </c>
      <c r="Q95" s="301">
        <f t="shared" si="16"/>
        <v>71935.351130301991</v>
      </c>
      <c r="R95" s="301">
        <f t="shared" si="17"/>
        <v>291461.40452120779</v>
      </c>
      <c r="S95" s="300">
        <f t="shared" si="18"/>
        <v>363396.7556515098</v>
      </c>
    </row>
    <row r="96" spans="1:19" ht="15" x14ac:dyDescent="0.25">
      <c r="A96" s="49">
        <v>87</v>
      </c>
      <c r="B96" s="50" t="s">
        <v>34</v>
      </c>
      <c r="C96" s="33" t="s">
        <v>153</v>
      </c>
      <c r="D96" s="111">
        <v>509472.6</v>
      </c>
      <c r="E96" s="114">
        <v>147747.054</v>
      </c>
      <c r="F96" s="114">
        <v>590988.2159999999</v>
      </c>
      <c r="G96" s="114">
        <v>738735.2699999999</v>
      </c>
      <c r="H96" s="254">
        <f t="shared" si="10"/>
        <v>82000</v>
      </c>
      <c r="I96" s="254">
        <v>410000</v>
      </c>
      <c r="J96" s="258">
        <f t="shared" si="11"/>
        <v>492000</v>
      </c>
      <c r="K96" s="145">
        <f>134220.843041122-1000</f>
        <v>133220.84304112199</v>
      </c>
      <c r="L96" s="145">
        <v>536883.37216448784</v>
      </c>
      <c r="M96" s="142">
        <f t="shared" si="12"/>
        <v>670104.2152056098</v>
      </c>
      <c r="N96" s="99">
        <f t="shared" si="13"/>
        <v>82000</v>
      </c>
      <c r="O96" s="73">
        <f t="shared" si="14"/>
        <v>410000</v>
      </c>
      <c r="P96" s="73">
        <f t="shared" si="15"/>
        <v>492000</v>
      </c>
      <c r="Q96" s="301">
        <f t="shared" si="16"/>
        <v>76260</v>
      </c>
      <c r="R96" s="301">
        <f t="shared" si="17"/>
        <v>381300</v>
      </c>
      <c r="S96" s="300">
        <f t="shared" si="18"/>
        <v>457560</v>
      </c>
    </row>
    <row r="97" spans="1:19" ht="15" x14ac:dyDescent="0.25">
      <c r="A97" s="49">
        <v>88</v>
      </c>
      <c r="B97" s="50" t="s">
        <v>408</v>
      </c>
      <c r="C97" s="33" t="s">
        <v>153</v>
      </c>
      <c r="D97" s="111">
        <v>270171.86181053746</v>
      </c>
      <c r="E97" s="114">
        <v>78349.839925055858</v>
      </c>
      <c r="F97" s="114">
        <v>313399.35970022343</v>
      </c>
      <c r="G97" s="114">
        <v>391749.19962527929</v>
      </c>
      <c r="H97" s="254">
        <f t="shared" si="10"/>
        <v>34000</v>
      </c>
      <c r="I97" s="254">
        <v>170000</v>
      </c>
      <c r="J97" s="258">
        <f t="shared" si="11"/>
        <v>204000</v>
      </c>
      <c r="K97" s="145">
        <f>34571.8808962707-1000</f>
        <v>33571.880896270697</v>
      </c>
      <c r="L97" s="145">
        <v>138287.5235850827</v>
      </c>
      <c r="M97" s="142">
        <f t="shared" si="12"/>
        <v>171859.40448135341</v>
      </c>
      <c r="N97" s="99">
        <f t="shared" si="13"/>
        <v>33571.880896270697</v>
      </c>
      <c r="O97" s="73">
        <f t="shared" si="14"/>
        <v>138287.5235850827</v>
      </c>
      <c r="P97" s="73">
        <f t="shared" si="15"/>
        <v>171859.40448135341</v>
      </c>
      <c r="Q97" s="301">
        <f t="shared" si="16"/>
        <v>31221.84923353175</v>
      </c>
      <c r="R97" s="301">
        <f t="shared" si="17"/>
        <v>128607.39693412691</v>
      </c>
      <c r="S97" s="300">
        <f t="shared" si="18"/>
        <v>159829.24616765865</v>
      </c>
    </row>
    <row r="98" spans="1:19" ht="15" x14ac:dyDescent="0.2">
      <c r="A98" s="49">
        <v>89</v>
      </c>
      <c r="B98" s="47" t="s">
        <v>80</v>
      </c>
      <c r="C98" s="33" t="s">
        <v>153</v>
      </c>
      <c r="D98" s="111">
        <v>462830.49324524816</v>
      </c>
      <c r="E98" s="114">
        <v>134220.84304112196</v>
      </c>
      <c r="F98" s="114">
        <v>536883.37216448784</v>
      </c>
      <c r="G98" s="114">
        <v>671104.2152056098</v>
      </c>
      <c r="H98" s="254">
        <f t="shared" si="10"/>
        <v>109200</v>
      </c>
      <c r="I98" s="254">
        <v>546000</v>
      </c>
      <c r="J98" s="258">
        <f t="shared" si="11"/>
        <v>655200</v>
      </c>
      <c r="K98" s="145">
        <f>55834.6425-1000</f>
        <v>54834.642500000002</v>
      </c>
      <c r="L98" s="145">
        <v>223338.56999999998</v>
      </c>
      <c r="M98" s="142">
        <f t="shared" si="12"/>
        <v>278173.21249999997</v>
      </c>
      <c r="N98" s="99">
        <f t="shared" si="13"/>
        <v>54834.642500000002</v>
      </c>
      <c r="O98" s="73">
        <f t="shared" si="14"/>
        <v>223338.56999999998</v>
      </c>
      <c r="P98" s="73">
        <f t="shared" si="15"/>
        <v>278173.21249999997</v>
      </c>
      <c r="Q98" s="301">
        <f t="shared" si="16"/>
        <v>50996.217525</v>
      </c>
      <c r="R98" s="301">
        <f t="shared" si="17"/>
        <v>207704.87009999997</v>
      </c>
      <c r="S98" s="300">
        <f t="shared" si="18"/>
        <v>258701.08762499999</v>
      </c>
    </row>
    <row r="99" spans="1:19" ht="15" x14ac:dyDescent="0.2">
      <c r="A99" s="49">
        <v>90</v>
      </c>
      <c r="B99" s="47" t="s">
        <v>409</v>
      </c>
      <c r="C99" s="33" t="s">
        <v>153</v>
      </c>
      <c r="D99" s="111">
        <v>119213.38240093335</v>
      </c>
      <c r="E99" s="114">
        <v>34571.880896270653</v>
      </c>
      <c r="F99" s="114">
        <v>138287.5235850827</v>
      </c>
      <c r="G99" s="114">
        <v>172859.40448135335</v>
      </c>
      <c r="H99" s="254">
        <f t="shared" si="10"/>
        <v>28000</v>
      </c>
      <c r="I99" s="254">
        <v>140000</v>
      </c>
      <c r="J99" s="258">
        <f t="shared" si="11"/>
        <v>168000</v>
      </c>
      <c r="K99" s="145">
        <f>233646.504-1000</f>
        <v>232646.50399999999</v>
      </c>
      <c r="L99" s="145">
        <v>934586.01600000006</v>
      </c>
      <c r="M99" s="142">
        <f t="shared" si="12"/>
        <v>1167232.52</v>
      </c>
      <c r="N99" s="99">
        <f t="shared" si="13"/>
        <v>28000</v>
      </c>
      <c r="O99" s="73">
        <f t="shared" si="14"/>
        <v>138287.5235850827</v>
      </c>
      <c r="P99" s="73">
        <f t="shared" si="15"/>
        <v>166287.5235850827</v>
      </c>
      <c r="Q99" s="301">
        <f t="shared" si="16"/>
        <v>26040</v>
      </c>
      <c r="R99" s="301">
        <f t="shared" si="17"/>
        <v>128607.39693412691</v>
      </c>
      <c r="S99" s="300">
        <f t="shared" si="18"/>
        <v>154647.39693412691</v>
      </c>
    </row>
    <row r="100" spans="1:19" ht="15" x14ac:dyDescent="0.2">
      <c r="A100" s="49">
        <v>91</v>
      </c>
      <c r="B100" s="47" t="s">
        <v>306</v>
      </c>
      <c r="C100" s="33" t="s">
        <v>153</v>
      </c>
      <c r="D100" s="111">
        <v>192533.25</v>
      </c>
      <c r="E100" s="114">
        <v>55834.642499999987</v>
      </c>
      <c r="F100" s="114">
        <v>223338.56999999998</v>
      </c>
      <c r="G100" s="114">
        <v>279173.21249999997</v>
      </c>
      <c r="H100" s="254">
        <f t="shared" si="10"/>
        <v>48600</v>
      </c>
      <c r="I100" s="254">
        <v>243000</v>
      </c>
      <c r="J100" s="258">
        <f t="shared" si="11"/>
        <v>291600</v>
      </c>
      <c r="K100" s="145">
        <f>62885.3819031502-1000</f>
        <v>61885.381903150199</v>
      </c>
      <c r="L100" s="145">
        <v>251541.527612601</v>
      </c>
      <c r="M100" s="142">
        <f t="shared" si="12"/>
        <v>313426.90951575118</v>
      </c>
      <c r="N100" s="99">
        <f t="shared" si="13"/>
        <v>48600</v>
      </c>
      <c r="O100" s="73">
        <f t="shared" si="14"/>
        <v>223338.56999999998</v>
      </c>
      <c r="P100" s="73">
        <f t="shared" si="15"/>
        <v>271938.56999999995</v>
      </c>
      <c r="Q100" s="301">
        <f t="shared" si="16"/>
        <v>45198</v>
      </c>
      <c r="R100" s="301">
        <f t="shared" si="17"/>
        <v>207704.87009999997</v>
      </c>
      <c r="S100" s="300">
        <f t="shared" si="18"/>
        <v>252902.87009999997</v>
      </c>
    </row>
    <row r="101" spans="1:19" ht="15" x14ac:dyDescent="0.25">
      <c r="A101" s="49">
        <v>92</v>
      </c>
      <c r="B101" s="46" t="s">
        <v>488</v>
      </c>
      <c r="C101" s="33" t="s">
        <v>153</v>
      </c>
      <c r="D101" s="111">
        <v>805677.6</v>
      </c>
      <c r="E101" s="114">
        <v>233646.50399999996</v>
      </c>
      <c r="F101" s="114">
        <v>934586.01600000006</v>
      </c>
      <c r="G101" s="114">
        <v>1168232.52</v>
      </c>
      <c r="H101" s="254">
        <f t="shared" si="10"/>
        <v>172000</v>
      </c>
      <c r="I101" s="254">
        <v>860000</v>
      </c>
      <c r="J101" s="258">
        <f t="shared" si="11"/>
        <v>1032000</v>
      </c>
      <c r="K101" s="145">
        <f>34800-1000</f>
        <v>33800</v>
      </c>
      <c r="L101" s="145">
        <v>139200</v>
      </c>
      <c r="M101" s="142">
        <f t="shared" si="12"/>
        <v>173000</v>
      </c>
      <c r="N101" s="99">
        <f t="shared" si="13"/>
        <v>33800</v>
      </c>
      <c r="O101" s="73">
        <f t="shared" si="14"/>
        <v>139200</v>
      </c>
      <c r="P101" s="73">
        <f t="shared" si="15"/>
        <v>173000</v>
      </c>
      <c r="Q101" s="301">
        <f t="shared" si="16"/>
        <v>31434</v>
      </c>
      <c r="R101" s="301">
        <f t="shared" si="17"/>
        <v>129456</v>
      </c>
      <c r="S101" s="300">
        <f t="shared" si="18"/>
        <v>160890</v>
      </c>
    </row>
    <row r="102" spans="1:19" ht="15" x14ac:dyDescent="0.25">
      <c r="A102" s="49">
        <v>93</v>
      </c>
      <c r="B102" s="46" t="s">
        <v>188</v>
      </c>
      <c r="C102" s="33" t="s">
        <v>153</v>
      </c>
      <c r="D102" s="111">
        <v>216846.14449362154</v>
      </c>
      <c r="E102" s="114">
        <v>62885.381903150235</v>
      </c>
      <c r="F102" s="114">
        <v>251541.527612601</v>
      </c>
      <c r="G102" s="114">
        <v>314426.90951575123</v>
      </c>
      <c r="H102" s="254">
        <f t="shared" si="10"/>
        <v>50000</v>
      </c>
      <c r="I102" s="254">
        <v>250000</v>
      </c>
      <c r="J102" s="258">
        <f t="shared" si="11"/>
        <v>300000</v>
      </c>
      <c r="K102" s="145">
        <f>165034.769203841-1000</f>
        <v>164034.76920384099</v>
      </c>
      <c r="L102" s="145">
        <v>660139.0768153643</v>
      </c>
      <c r="M102" s="142">
        <f t="shared" si="12"/>
        <v>824173.84601920529</v>
      </c>
      <c r="N102" s="99">
        <f t="shared" si="13"/>
        <v>50000</v>
      </c>
      <c r="O102" s="73">
        <f t="shared" si="14"/>
        <v>250000</v>
      </c>
      <c r="P102" s="73">
        <f t="shared" si="15"/>
        <v>300000</v>
      </c>
      <c r="Q102" s="301">
        <f t="shared" si="16"/>
        <v>46500</v>
      </c>
      <c r="R102" s="301">
        <f t="shared" si="17"/>
        <v>232500</v>
      </c>
      <c r="S102" s="300">
        <f t="shared" si="18"/>
        <v>279000</v>
      </c>
    </row>
    <row r="103" spans="1:19" ht="15" x14ac:dyDescent="0.25">
      <c r="A103" s="49">
        <v>94</v>
      </c>
      <c r="B103" s="35" t="s">
        <v>190</v>
      </c>
      <c r="C103" s="33" t="s">
        <v>153</v>
      </c>
      <c r="D103" s="111">
        <v>120000</v>
      </c>
      <c r="E103" s="114">
        <v>34800</v>
      </c>
      <c r="F103" s="114">
        <v>139200</v>
      </c>
      <c r="G103" s="114">
        <v>174000</v>
      </c>
      <c r="H103" s="254">
        <f t="shared" si="10"/>
        <v>28200</v>
      </c>
      <c r="I103" s="254">
        <v>141000</v>
      </c>
      <c r="J103" s="258">
        <f t="shared" si="11"/>
        <v>169200</v>
      </c>
      <c r="K103" s="145">
        <f>79571.2894860563-1000</f>
        <v>78571.289486056296</v>
      </c>
      <c r="L103" s="145">
        <v>318285.15794422518</v>
      </c>
      <c r="M103" s="142">
        <f t="shared" si="12"/>
        <v>396856.44743028149</v>
      </c>
      <c r="N103" s="99">
        <f t="shared" si="13"/>
        <v>28200</v>
      </c>
      <c r="O103" s="73">
        <f t="shared" si="14"/>
        <v>139200</v>
      </c>
      <c r="P103" s="73">
        <f t="shared" si="15"/>
        <v>167400</v>
      </c>
      <c r="Q103" s="301">
        <f t="shared" si="16"/>
        <v>26226</v>
      </c>
      <c r="R103" s="301">
        <f t="shared" si="17"/>
        <v>129456</v>
      </c>
      <c r="S103" s="300">
        <f t="shared" si="18"/>
        <v>155682</v>
      </c>
    </row>
    <row r="104" spans="1:19" ht="15" x14ac:dyDescent="0.25">
      <c r="A104" s="49">
        <v>95</v>
      </c>
      <c r="B104" s="35" t="s">
        <v>410</v>
      </c>
      <c r="C104" s="33" t="s">
        <v>153</v>
      </c>
      <c r="D104" s="111">
        <v>569085.4110477278</v>
      </c>
      <c r="E104" s="114">
        <v>165034.76920384099</v>
      </c>
      <c r="F104" s="114">
        <v>660139.0768153643</v>
      </c>
      <c r="G104" s="114">
        <v>825173.84601920529</v>
      </c>
      <c r="H104" s="254">
        <f t="shared" si="10"/>
        <v>134000</v>
      </c>
      <c r="I104" s="254">
        <v>670000</v>
      </c>
      <c r="J104" s="258">
        <f t="shared" si="11"/>
        <v>804000</v>
      </c>
      <c r="K104" s="145">
        <f>61803.1889278726-1000</f>
        <v>60803.188927872601</v>
      </c>
      <c r="L104" s="145">
        <v>247212.75571149052</v>
      </c>
      <c r="M104" s="142">
        <f t="shared" si="12"/>
        <v>308015.94463936309</v>
      </c>
      <c r="N104" s="99">
        <f t="shared" si="13"/>
        <v>60803.188927872601</v>
      </c>
      <c r="O104" s="73">
        <f t="shared" si="14"/>
        <v>247212.75571149052</v>
      </c>
      <c r="P104" s="73">
        <f t="shared" si="15"/>
        <v>308015.94463936309</v>
      </c>
      <c r="Q104" s="301">
        <f t="shared" si="16"/>
        <v>56546.965702921516</v>
      </c>
      <c r="R104" s="301">
        <f t="shared" si="17"/>
        <v>229907.86281168618</v>
      </c>
      <c r="S104" s="300">
        <f t="shared" si="18"/>
        <v>286454.82851460768</v>
      </c>
    </row>
    <row r="105" spans="1:19" ht="15" x14ac:dyDescent="0.25">
      <c r="A105" s="49">
        <v>96</v>
      </c>
      <c r="B105" s="35" t="s">
        <v>411</v>
      </c>
      <c r="C105" s="33" t="s">
        <v>153</v>
      </c>
      <c r="D105" s="111">
        <v>274383.75684846996</v>
      </c>
      <c r="E105" s="114">
        <v>79571.289486056252</v>
      </c>
      <c r="F105" s="114">
        <v>318285.15794422518</v>
      </c>
      <c r="G105" s="114">
        <v>397856.44743028143</v>
      </c>
      <c r="H105" s="254">
        <f t="shared" si="10"/>
        <v>63800</v>
      </c>
      <c r="I105" s="254">
        <v>319000</v>
      </c>
      <c r="J105" s="258">
        <f t="shared" si="11"/>
        <v>382800</v>
      </c>
      <c r="K105" s="145">
        <f>47923.9665133647-1000</f>
        <v>46923.966513364699</v>
      </c>
      <c r="L105" s="145">
        <v>191695.86605345886</v>
      </c>
      <c r="M105" s="142">
        <f t="shared" si="12"/>
        <v>238619.83256682355</v>
      </c>
      <c r="N105" s="99">
        <f t="shared" si="13"/>
        <v>46923.966513364699</v>
      </c>
      <c r="O105" s="73">
        <f t="shared" si="14"/>
        <v>191695.86605345886</v>
      </c>
      <c r="P105" s="73">
        <f t="shared" si="15"/>
        <v>238619.83256682355</v>
      </c>
      <c r="Q105" s="301">
        <f t="shared" si="16"/>
        <v>43639.288857429172</v>
      </c>
      <c r="R105" s="301">
        <f t="shared" si="17"/>
        <v>178277.15542971675</v>
      </c>
      <c r="S105" s="300">
        <f t="shared" si="18"/>
        <v>221916.44428714592</v>
      </c>
    </row>
    <row r="106" spans="1:19" ht="15" x14ac:dyDescent="0.25">
      <c r="A106" s="49">
        <v>97</v>
      </c>
      <c r="B106" s="35" t="s">
        <v>412</v>
      </c>
      <c r="C106" s="33" t="s">
        <v>153</v>
      </c>
      <c r="D106" s="111">
        <v>213114.44457887113</v>
      </c>
      <c r="E106" s="114">
        <v>61803.18892787263</v>
      </c>
      <c r="F106" s="114">
        <v>247212.75571149052</v>
      </c>
      <c r="G106" s="114">
        <v>309015.94463936315</v>
      </c>
      <c r="H106" s="254">
        <f t="shared" si="10"/>
        <v>50000</v>
      </c>
      <c r="I106" s="254">
        <v>250000</v>
      </c>
      <c r="J106" s="258">
        <f t="shared" si="11"/>
        <v>300000</v>
      </c>
      <c r="K106" s="145">
        <f>43500-1000</f>
        <v>42500</v>
      </c>
      <c r="L106" s="145">
        <v>174000</v>
      </c>
      <c r="M106" s="142">
        <f t="shared" si="12"/>
        <v>216500</v>
      </c>
      <c r="N106" s="99">
        <f t="shared" si="13"/>
        <v>42500</v>
      </c>
      <c r="O106" s="73">
        <f t="shared" si="14"/>
        <v>174000</v>
      </c>
      <c r="P106" s="73">
        <f t="shared" si="15"/>
        <v>216500</v>
      </c>
      <c r="Q106" s="301">
        <f t="shared" si="16"/>
        <v>39525</v>
      </c>
      <c r="R106" s="301">
        <f t="shared" si="17"/>
        <v>161820</v>
      </c>
      <c r="S106" s="300">
        <f t="shared" si="18"/>
        <v>201345</v>
      </c>
    </row>
    <row r="107" spans="1:19" ht="15" x14ac:dyDescent="0.25">
      <c r="A107" s="49">
        <v>98</v>
      </c>
      <c r="B107" s="35" t="s">
        <v>413</v>
      </c>
      <c r="C107" s="33" t="s">
        <v>153</v>
      </c>
      <c r="D107" s="111">
        <v>165255.05694263693</v>
      </c>
      <c r="E107" s="114">
        <v>47923.966513364692</v>
      </c>
      <c r="F107" s="114">
        <v>191695.86605345886</v>
      </c>
      <c r="G107" s="114">
        <v>239619.83256682355</v>
      </c>
      <c r="H107" s="254">
        <f t="shared" si="10"/>
        <v>24000</v>
      </c>
      <c r="I107" s="254">
        <v>120000</v>
      </c>
      <c r="J107" s="258">
        <f t="shared" si="11"/>
        <v>144000</v>
      </c>
      <c r="K107" s="145">
        <f>24000-1000</f>
        <v>23000</v>
      </c>
      <c r="L107" s="145">
        <v>96000</v>
      </c>
      <c r="M107" s="142">
        <f t="shared" si="12"/>
        <v>119000</v>
      </c>
      <c r="N107" s="99">
        <f t="shared" si="13"/>
        <v>23000</v>
      </c>
      <c r="O107" s="73">
        <f t="shared" si="14"/>
        <v>96000</v>
      </c>
      <c r="P107" s="73">
        <f t="shared" si="15"/>
        <v>119000</v>
      </c>
      <c r="Q107" s="301">
        <f t="shared" si="16"/>
        <v>21390</v>
      </c>
      <c r="R107" s="301">
        <f t="shared" si="17"/>
        <v>89280</v>
      </c>
      <c r="S107" s="300">
        <f t="shared" si="18"/>
        <v>110670</v>
      </c>
    </row>
    <row r="108" spans="1:19" ht="15" x14ac:dyDescent="0.25">
      <c r="A108" s="49">
        <v>99</v>
      </c>
      <c r="B108" s="35" t="s">
        <v>414</v>
      </c>
      <c r="C108" s="33" t="s">
        <v>153</v>
      </c>
      <c r="D108" s="111">
        <v>150000</v>
      </c>
      <c r="E108" s="114">
        <v>43500</v>
      </c>
      <c r="F108" s="114">
        <v>174000</v>
      </c>
      <c r="G108" s="114">
        <v>217500</v>
      </c>
      <c r="H108" s="254">
        <f t="shared" si="10"/>
        <v>35400</v>
      </c>
      <c r="I108" s="254">
        <v>177000</v>
      </c>
      <c r="J108" s="258">
        <f t="shared" si="11"/>
        <v>212400</v>
      </c>
      <c r="K108" s="145">
        <f>49066.1258605906-1000</f>
        <v>48066.125860590597</v>
      </c>
      <c r="L108" s="145">
        <v>196264.50344236259</v>
      </c>
      <c r="M108" s="142">
        <f t="shared" si="12"/>
        <v>244330.6293029532</v>
      </c>
      <c r="N108" s="99">
        <f t="shared" si="13"/>
        <v>35400</v>
      </c>
      <c r="O108" s="73">
        <f t="shared" si="14"/>
        <v>174000</v>
      </c>
      <c r="P108" s="73">
        <f t="shared" si="15"/>
        <v>209400</v>
      </c>
      <c r="Q108" s="301">
        <f t="shared" si="16"/>
        <v>32922</v>
      </c>
      <c r="R108" s="301">
        <f t="shared" si="17"/>
        <v>161820</v>
      </c>
      <c r="S108" s="300">
        <f t="shared" si="18"/>
        <v>194742</v>
      </c>
    </row>
    <row r="109" spans="1:19" ht="15" x14ac:dyDescent="0.25">
      <c r="A109" s="49">
        <v>100</v>
      </c>
      <c r="B109" s="35" t="s">
        <v>193</v>
      </c>
      <c r="C109" s="33" t="s">
        <v>153</v>
      </c>
      <c r="D109" s="111">
        <v>80000</v>
      </c>
      <c r="E109" s="114">
        <v>24000</v>
      </c>
      <c r="F109" s="114">
        <v>96000</v>
      </c>
      <c r="G109" s="114">
        <v>120000</v>
      </c>
      <c r="H109" s="254">
        <f t="shared" si="10"/>
        <v>19000</v>
      </c>
      <c r="I109" s="254">
        <v>95000</v>
      </c>
      <c r="J109" s="258">
        <f t="shared" si="11"/>
        <v>114000</v>
      </c>
      <c r="K109" s="145">
        <f>26658.45-1000</f>
        <v>25658.45</v>
      </c>
      <c r="L109" s="145">
        <v>106633.8</v>
      </c>
      <c r="M109" s="142">
        <f t="shared" si="12"/>
        <v>132292.25</v>
      </c>
      <c r="N109" s="99">
        <f t="shared" si="13"/>
        <v>19000</v>
      </c>
      <c r="O109" s="73">
        <f t="shared" si="14"/>
        <v>95000</v>
      </c>
      <c r="P109" s="73">
        <f t="shared" si="15"/>
        <v>114000</v>
      </c>
      <c r="Q109" s="301">
        <f t="shared" si="16"/>
        <v>17670</v>
      </c>
      <c r="R109" s="301">
        <f t="shared" si="17"/>
        <v>88350</v>
      </c>
      <c r="S109" s="300">
        <f t="shared" si="18"/>
        <v>106020</v>
      </c>
    </row>
    <row r="110" spans="1:19" ht="15" x14ac:dyDescent="0.25">
      <c r="A110" s="49">
        <v>101</v>
      </c>
      <c r="B110" s="35" t="s">
        <v>194</v>
      </c>
      <c r="C110" s="33" t="s">
        <v>153</v>
      </c>
      <c r="D110" s="111">
        <v>169193.53745031258</v>
      </c>
      <c r="E110" s="114">
        <v>49066.125860590633</v>
      </c>
      <c r="F110" s="114">
        <v>196264.50344236259</v>
      </c>
      <c r="G110" s="114">
        <v>245330.62930295322</v>
      </c>
      <c r="H110" s="254">
        <f t="shared" si="10"/>
        <v>39800</v>
      </c>
      <c r="I110" s="254">
        <v>199000</v>
      </c>
      <c r="J110" s="258">
        <f t="shared" si="11"/>
        <v>238800</v>
      </c>
      <c r="K110" s="145">
        <f>49066.1258605906-1000</f>
        <v>48066.125860590597</v>
      </c>
      <c r="L110" s="145">
        <v>196264.50344236259</v>
      </c>
      <c r="M110" s="142">
        <f t="shared" si="12"/>
        <v>244330.6293029532</v>
      </c>
      <c r="N110" s="99">
        <f t="shared" si="13"/>
        <v>39800</v>
      </c>
      <c r="O110" s="73">
        <f t="shared" si="14"/>
        <v>196264.50344236259</v>
      </c>
      <c r="P110" s="73">
        <f t="shared" si="15"/>
        <v>236064.50344236259</v>
      </c>
      <c r="Q110" s="301">
        <f t="shared" si="16"/>
        <v>37014</v>
      </c>
      <c r="R110" s="301">
        <f t="shared" si="17"/>
        <v>182525.98820139721</v>
      </c>
      <c r="S110" s="300">
        <f t="shared" si="18"/>
        <v>219539.98820139721</v>
      </c>
    </row>
    <row r="111" spans="1:19" ht="15" x14ac:dyDescent="0.25">
      <c r="A111" s="49">
        <v>102</v>
      </c>
      <c r="B111" s="32" t="s">
        <v>196</v>
      </c>
      <c r="C111" s="33" t="s">
        <v>153</v>
      </c>
      <c r="D111" s="111">
        <v>88861.5</v>
      </c>
      <c r="E111" s="114">
        <v>26658.449999999997</v>
      </c>
      <c r="F111" s="114">
        <v>106633.8</v>
      </c>
      <c r="G111" s="114">
        <v>133292.25</v>
      </c>
      <c r="H111" s="254">
        <f t="shared" si="10"/>
        <v>21200</v>
      </c>
      <c r="I111" s="254">
        <v>106000</v>
      </c>
      <c r="J111" s="258">
        <f t="shared" si="11"/>
        <v>127200</v>
      </c>
      <c r="K111" s="145">
        <f>142988.817416101-1000</f>
        <v>141988.817416101</v>
      </c>
      <c r="L111" s="145">
        <v>571955.2696644041</v>
      </c>
      <c r="M111" s="142">
        <f t="shared" si="12"/>
        <v>713944.08708050509</v>
      </c>
      <c r="N111" s="99">
        <f t="shared" si="13"/>
        <v>21200</v>
      </c>
      <c r="O111" s="73">
        <f t="shared" si="14"/>
        <v>106000</v>
      </c>
      <c r="P111" s="73">
        <f t="shared" si="15"/>
        <v>127200</v>
      </c>
      <c r="Q111" s="301">
        <f t="shared" si="16"/>
        <v>19716</v>
      </c>
      <c r="R111" s="301">
        <f t="shared" si="17"/>
        <v>98580</v>
      </c>
      <c r="S111" s="300">
        <f t="shared" si="18"/>
        <v>118296</v>
      </c>
    </row>
    <row r="112" spans="1:19" ht="22.5" x14ac:dyDescent="0.25">
      <c r="A112" s="49"/>
      <c r="B112" s="30" t="s">
        <v>28</v>
      </c>
      <c r="C112" s="33" t="s">
        <v>153</v>
      </c>
      <c r="D112" s="111"/>
      <c r="E112" s="114"/>
      <c r="F112" s="114"/>
      <c r="G112" s="114"/>
      <c r="H112" s="254">
        <f t="shared" si="10"/>
        <v>0</v>
      </c>
      <c r="I112" s="254"/>
      <c r="J112" s="258">
        <f t="shared" si="11"/>
        <v>0</v>
      </c>
      <c r="K112" s="145"/>
      <c r="L112" s="145"/>
      <c r="M112" s="142">
        <f t="shared" si="12"/>
        <v>0</v>
      </c>
      <c r="N112" s="99">
        <f t="shared" si="13"/>
        <v>0</v>
      </c>
      <c r="O112" s="73">
        <f t="shared" si="14"/>
        <v>0</v>
      </c>
      <c r="P112" s="73">
        <f t="shared" si="15"/>
        <v>0</v>
      </c>
      <c r="Q112" s="301">
        <f t="shared" si="16"/>
        <v>0</v>
      </c>
      <c r="R112" s="301">
        <f t="shared" si="17"/>
        <v>0</v>
      </c>
      <c r="S112" s="300">
        <f t="shared" si="18"/>
        <v>0</v>
      </c>
    </row>
    <row r="113" spans="1:19" ht="15" x14ac:dyDescent="0.25">
      <c r="A113" s="49">
        <v>103</v>
      </c>
      <c r="B113" s="46" t="s">
        <v>114</v>
      </c>
      <c r="C113" s="33" t="s">
        <v>153</v>
      </c>
      <c r="D113" s="111">
        <v>493064.88764172769</v>
      </c>
      <c r="E113" s="114">
        <v>142988.817416101</v>
      </c>
      <c r="F113" s="114">
        <v>571955.2696644041</v>
      </c>
      <c r="G113" s="114">
        <v>714944.08708050509</v>
      </c>
      <c r="H113" s="254">
        <f t="shared" si="10"/>
        <v>96000</v>
      </c>
      <c r="I113" s="254">
        <v>480000</v>
      </c>
      <c r="J113" s="258">
        <f t="shared" si="11"/>
        <v>576000</v>
      </c>
      <c r="K113" s="145">
        <f>81951.1650940321-1000</f>
        <v>80951.165094032098</v>
      </c>
      <c r="L113" s="145">
        <v>327804.66037612868</v>
      </c>
      <c r="M113" s="142">
        <f t="shared" si="12"/>
        <v>408755.82547016081</v>
      </c>
      <c r="N113" s="99">
        <f t="shared" si="13"/>
        <v>80951.165094032098</v>
      </c>
      <c r="O113" s="73">
        <f t="shared" si="14"/>
        <v>327804.66037612868</v>
      </c>
      <c r="P113" s="73">
        <f t="shared" si="15"/>
        <v>408755.82547016081</v>
      </c>
      <c r="Q113" s="301">
        <f t="shared" si="16"/>
        <v>75284.583537449857</v>
      </c>
      <c r="R113" s="301">
        <f t="shared" si="17"/>
        <v>304858.33414979966</v>
      </c>
      <c r="S113" s="300">
        <f t="shared" si="18"/>
        <v>380142.91768724949</v>
      </c>
    </row>
    <row r="114" spans="1:19" ht="15" x14ac:dyDescent="0.25">
      <c r="A114" s="49">
        <v>104</v>
      </c>
      <c r="B114" s="35" t="s">
        <v>191</v>
      </c>
      <c r="C114" s="33" t="s">
        <v>153</v>
      </c>
      <c r="D114" s="111">
        <v>120000</v>
      </c>
      <c r="E114" s="114">
        <v>34800</v>
      </c>
      <c r="F114" s="114">
        <v>139200</v>
      </c>
      <c r="G114" s="114">
        <v>174000</v>
      </c>
      <c r="H114" s="254">
        <f t="shared" si="10"/>
        <v>28200</v>
      </c>
      <c r="I114" s="254">
        <v>141000</v>
      </c>
      <c r="J114" s="258">
        <f t="shared" si="11"/>
        <v>169200</v>
      </c>
      <c r="K114" s="145">
        <f>71281.0055164999-1000</f>
        <v>70281.005516499907</v>
      </c>
      <c r="L114" s="145">
        <v>285124.02206599939</v>
      </c>
      <c r="M114" s="142">
        <f t="shared" si="12"/>
        <v>355405.02758249932</v>
      </c>
      <c r="N114" s="99">
        <f t="shared" si="13"/>
        <v>28200</v>
      </c>
      <c r="O114" s="73">
        <f t="shared" si="14"/>
        <v>139200</v>
      </c>
      <c r="P114" s="73">
        <f t="shared" si="15"/>
        <v>167400</v>
      </c>
      <c r="Q114" s="301">
        <f t="shared" si="16"/>
        <v>26226</v>
      </c>
      <c r="R114" s="301">
        <f t="shared" si="17"/>
        <v>129456</v>
      </c>
      <c r="S114" s="300">
        <f t="shared" si="18"/>
        <v>155682</v>
      </c>
    </row>
    <row r="115" spans="1:19" ht="15" x14ac:dyDescent="0.25">
      <c r="A115" s="49">
        <v>105</v>
      </c>
      <c r="B115" s="35" t="s">
        <v>115</v>
      </c>
      <c r="C115" s="33" t="s">
        <v>153</v>
      </c>
      <c r="D115" s="111">
        <v>282590.22446217987</v>
      </c>
      <c r="E115" s="114">
        <v>81951.165094032127</v>
      </c>
      <c r="F115" s="114">
        <v>327804.66037612868</v>
      </c>
      <c r="G115" s="114">
        <v>409755.82547016081</v>
      </c>
      <c r="H115" s="254">
        <f t="shared" si="10"/>
        <v>65400</v>
      </c>
      <c r="I115" s="254">
        <v>327000</v>
      </c>
      <c r="J115" s="258">
        <f t="shared" si="11"/>
        <v>392400</v>
      </c>
      <c r="K115" s="145">
        <f>76318.9545457385-1000</f>
        <v>75318.954545738496</v>
      </c>
      <c r="L115" s="145">
        <v>305275.81818295422</v>
      </c>
      <c r="M115" s="142">
        <f t="shared" si="12"/>
        <v>380594.77272869274</v>
      </c>
      <c r="N115" s="99">
        <f t="shared" si="13"/>
        <v>65400</v>
      </c>
      <c r="O115" s="73">
        <f t="shared" si="14"/>
        <v>305275.81818295422</v>
      </c>
      <c r="P115" s="73">
        <f t="shared" si="15"/>
        <v>370675.81818295422</v>
      </c>
      <c r="Q115" s="301">
        <f t="shared" si="16"/>
        <v>60822</v>
      </c>
      <c r="R115" s="301">
        <f t="shared" si="17"/>
        <v>283906.51091014739</v>
      </c>
      <c r="S115" s="300">
        <f t="shared" si="18"/>
        <v>344728.51091014739</v>
      </c>
    </row>
    <row r="116" spans="1:19" ht="15" x14ac:dyDescent="0.25">
      <c r="A116" s="49">
        <v>106</v>
      </c>
      <c r="B116" s="35" t="s">
        <v>116</v>
      </c>
      <c r="C116" s="33" t="s">
        <v>153</v>
      </c>
      <c r="D116" s="111">
        <v>245796.57074655121</v>
      </c>
      <c r="E116" s="114">
        <v>71281.005516499863</v>
      </c>
      <c r="F116" s="114">
        <v>285124.02206599939</v>
      </c>
      <c r="G116" s="114">
        <v>356405.02758249926</v>
      </c>
      <c r="H116" s="254">
        <f t="shared" si="10"/>
        <v>56200</v>
      </c>
      <c r="I116" s="254">
        <v>281000</v>
      </c>
      <c r="J116" s="258">
        <f t="shared" si="11"/>
        <v>337200</v>
      </c>
      <c r="K116" s="145">
        <f>29886.363276-1000</f>
        <v>28886.363276</v>
      </c>
      <c r="L116" s="145">
        <v>119545.45310400003</v>
      </c>
      <c r="M116" s="142">
        <f t="shared" si="12"/>
        <v>148431.81638000003</v>
      </c>
      <c r="N116" s="99">
        <f t="shared" si="13"/>
        <v>28886.363276</v>
      </c>
      <c r="O116" s="73">
        <f t="shared" si="14"/>
        <v>119545.45310400003</v>
      </c>
      <c r="P116" s="73">
        <f t="shared" si="15"/>
        <v>148431.81638000003</v>
      </c>
      <c r="Q116" s="301">
        <f t="shared" si="16"/>
        <v>26864.317846679998</v>
      </c>
      <c r="R116" s="301">
        <f t="shared" si="17"/>
        <v>111177.27138672002</v>
      </c>
      <c r="S116" s="300">
        <f t="shared" si="18"/>
        <v>138041.58923340001</v>
      </c>
    </row>
    <row r="117" spans="1:19" ht="15" x14ac:dyDescent="0.25">
      <c r="A117" s="49">
        <v>107</v>
      </c>
      <c r="B117" s="35" t="s">
        <v>192</v>
      </c>
      <c r="C117" s="33" t="s">
        <v>153</v>
      </c>
      <c r="D117" s="111">
        <v>263168.8087784088</v>
      </c>
      <c r="E117" s="114">
        <v>76318.954545738525</v>
      </c>
      <c r="F117" s="114">
        <v>305275.81818295422</v>
      </c>
      <c r="G117" s="114">
        <v>381594.77272869274</v>
      </c>
      <c r="H117" s="254">
        <f t="shared" si="10"/>
        <v>61200</v>
      </c>
      <c r="I117" s="254">
        <v>306000</v>
      </c>
      <c r="J117" s="258">
        <f t="shared" si="11"/>
        <v>367200</v>
      </c>
      <c r="K117" s="145">
        <f>34008.1980831655-1000</f>
        <v>33008.198083165502</v>
      </c>
      <c r="L117" s="145">
        <v>136032.79233266189</v>
      </c>
      <c r="M117" s="142">
        <f t="shared" si="12"/>
        <v>169040.9904158274</v>
      </c>
      <c r="N117" s="99">
        <f t="shared" si="13"/>
        <v>33008.198083165502</v>
      </c>
      <c r="O117" s="73">
        <f t="shared" si="14"/>
        <v>136032.79233266189</v>
      </c>
      <c r="P117" s="73">
        <f t="shared" si="15"/>
        <v>169040.9904158274</v>
      </c>
      <c r="Q117" s="301">
        <f t="shared" si="16"/>
        <v>30697.624217343917</v>
      </c>
      <c r="R117" s="301">
        <f t="shared" si="17"/>
        <v>126510.49686937555</v>
      </c>
      <c r="S117" s="300">
        <f t="shared" si="18"/>
        <v>157208.12108671947</v>
      </c>
    </row>
    <row r="118" spans="1:19" ht="15" x14ac:dyDescent="0.25">
      <c r="A118" s="49">
        <v>108</v>
      </c>
      <c r="B118" s="35" t="s">
        <v>195</v>
      </c>
      <c r="C118" s="33" t="s">
        <v>153</v>
      </c>
      <c r="D118" s="111">
        <v>99621.210920000012</v>
      </c>
      <c r="E118" s="114">
        <v>29886.363276000004</v>
      </c>
      <c r="F118" s="114">
        <v>119545.45310400003</v>
      </c>
      <c r="G118" s="114">
        <v>149431.81638000003</v>
      </c>
      <c r="H118" s="254">
        <f t="shared" si="10"/>
        <v>23600</v>
      </c>
      <c r="I118" s="254">
        <v>118000</v>
      </c>
      <c r="J118" s="258">
        <f t="shared" si="11"/>
        <v>141600</v>
      </c>
      <c r="K118" s="145">
        <f>32476.8514969067-1000</f>
        <v>31476.8514969067</v>
      </c>
      <c r="L118" s="145">
        <v>129907.40598762687</v>
      </c>
      <c r="M118" s="142">
        <f t="shared" si="12"/>
        <v>161384.25748453356</v>
      </c>
      <c r="N118" s="99">
        <f t="shared" si="13"/>
        <v>23600</v>
      </c>
      <c r="O118" s="73">
        <f t="shared" si="14"/>
        <v>118000</v>
      </c>
      <c r="P118" s="73">
        <f t="shared" si="15"/>
        <v>141600</v>
      </c>
      <c r="Q118" s="301">
        <f t="shared" si="16"/>
        <v>21948</v>
      </c>
      <c r="R118" s="301">
        <f t="shared" si="17"/>
        <v>109740</v>
      </c>
      <c r="S118" s="300">
        <f t="shared" si="18"/>
        <v>131688</v>
      </c>
    </row>
    <row r="119" spans="1:19" ht="15" x14ac:dyDescent="0.25">
      <c r="A119" s="49">
        <v>109</v>
      </c>
      <c r="B119" s="35" t="s">
        <v>193</v>
      </c>
      <c r="C119" s="33" t="s">
        <v>153</v>
      </c>
      <c r="D119" s="111">
        <v>117269.64856263957</v>
      </c>
      <c r="E119" s="114">
        <v>34008.19808316548</v>
      </c>
      <c r="F119" s="114">
        <v>136032.79233266189</v>
      </c>
      <c r="G119" s="114">
        <v>170040.99041582737</v>
      </c>
      <c r="H119" s="254">
        <f t="shared" si="10"/>
        <v>19000</v>
      </c>
      <c r="I119" s="254">
        <v>95000</v>
      </c>
      <c r="J119" s="258">
        <f t="shared" si="11"/>
        <v>114000</v>
      </c>
      <c r="K119" s="145">
        <f>19072.1400427576-1000</f>
        <v>18072.140042757601</v>
      </c>
      <c r="L119" s="145">
        <v>76288.560171030447</v>
      </c>
      <c r="M119" s="142">
        <f t="shared" si="12"/>
        <v>94360.700213788048</v>
      </c>
      <c r="N119" s="99">
        <f t="shared" si="13"/>
        <v>18072.140042757601</v>
      </c>
      <c r="O119" s="73">
        <f t="shared" si="14"/>
        <v>76288.560171030447</v>
      </c>
      <c r="P119" s="73">
        <f t="shared" si="15"/>
        <v>94360.700213788048</v>
      </c>
      <c r="Q119" s="301">
        <f t="shared" si="16"/>
        <v>16807.09023976457</v>
      </c>
      <c r="R119" s="301">
        <f t="shared" si="17"/>
        <v>70948.360959058322</v>
      </c>
      <c r="S119" s="300">
        <f t="shared" si="18"/>
        <v>87755.451198822891</v>
      </c>
    </row>
    <row r="120" spans="1:19" ht="15" x14ac:dyDescent="0.25">
      <c r="A120" s="49">
        <v>110</v>
      </c>
      <c r="B120" s="35" t="s">
        <v>194</v>
      </c>
      <c r="C120" s="33" t="s">
        <v>153</v>
      </c>
      <c r="D120" s="111">
        <v>111989.14309278179</v>
      </c>
      <c r="E120" s="114">
        <v>32476.851496906718</v>
      </c>
      <c r="F120" s="114">
        <v>129907.40598762687</v>
      </c>
      <c r="G120" s="114">
        <v>162384.25748453359</v>
      </c>
      <c r="H120" s="254">
        <f t="shared" si="10"/>
        <v>26400</v>
      </c>
      <c r="I120" s="254">
        <v>132000</v>
      </c>
      <c r="J120" s="258">
        <f t="shared" si="11"/>
        <v>158400</v>
      </c>
      <c r="K120" s="145">
        <f>247390.416-1000</f>
        <v>246390.416</v>
      </c>
      <c r="L120" s="145">
        <v>989561.66400000011</v>
      </c>
      <c r="M120" s="142">
        <f t="shared" si="12"/>
        <v>1235952.08</v>
      </c>
      <c r="N120" s="99">
        <f t="shared" si="13"/>
        <v>26400</v>
      </c>
      <c r="O120" s="73">
        <f t="shared" si="14"/>
        <v>129907.40598762687</v>
      </c>
      <c r="P120" s="73">
        <f t="shared" si="15"/>
        <v>156307.40598762687</v>
      </c>
      <c r="Q120" s="301">
        <f t="shared" si="16"/>
        <v>24552</v>
      </c>
      <c r="R120" s="301">
        <f t="shared" si="17"/>
        <v>120813.887568493</v>
      </c>
      <c r="S120" s="300">
        <f t="shared" si="18"/>
        <v>145365.887568493</v>
      </c>
    </row>
    <row r="121" spans="1:19" ht="15" x14ac:dyDescent="0.25">
      <c r="A121" s="49">
        <v>111</v>
      </c>
      <c r="B121" s="32" t="s">
        <v>196</v>
      </c>
      <c r="C121" s="33" t="s">
        <v>153</v>
      </c>
      <c r="D121" s="111">
        <v>63573.800142525361</v>
      </c>
      <c r="E121" s="114">
        <v>19072.140042757601</v>
      </c>
      <c r="F121" s="114">
        <v>76288.560171030447</v>
      </c>
      <c r="G121" s="114">
        <v>95360.700213788048</v>
      </c>
      <c r="H121" s="254">
        <f t="shared" si="10"/>
        <v>15200</v>
      </c>
      <c r="I121" s="254">
        <v>76000</v>
      </c>
      <c r="J121" s="258">
        <f t="shared" si="11"/>
        <v>91200</v>
      </c>
      <c r="K121" s="145">
        <f>65424.8798826029-1000</f>
        <v>64424.879882602901</v>
      </c>
      <c r="L121" s="145">
        <v>261699.51953041169</v>
      </c>
      <c r="M121" s="142">
        <f t="shared" si="12"/>
        <v>326124.39941301459</v>
      </c>
      <c r="N121" s="99">
        <f t="shared" si="13"/>
        <v>15200</v>
      </c>
      <c r="O121" s="73">
        <f t="shared" si="14"/>
        <v>76000</v>
      </c>
      <c r="P121" s="73">
        <f t="shared" si="15"/>
        <v>91200</v>
      </c>
      <c r="Q121" s="301">
        <f t="shared" si="16"/>
        <v>14136</v>
      </c>
      <c r="R121" s="301">
        <f t="shared" si="17"/>
        <v>70680</v>
      </c>
      <c r="S121" s="300">
        <f t="shared" si="18"/>
        <v>84816</v>
      </c>
    </row>
    <row r="122" spans="1:19" ht="15" x14ac:dyDescent="0.25">
      <c r="A122" s="49">
        <v>112</v>
      </c>
      <c r="B122" s="46" t="s">
        <v>487</v>
      </c>
      <c r="C122" s="33" t="s">
        <v>153</v>
      </c>
      <c r="D122" s="111">
        <v>853070.4</v>
      </c>
      <c r="E122" s="114">
        <v>247390.41599999997</v>
      </c>
      <c r="F122" s="114">
        <v>989561.66400000011</v>
      </c>
      <c r="G122" s="114">
        <v>1236952.08</v>
      </c>
      <c r="H122" s="254">
        <f t="shared" si="10"/>
        <v>188000</v>
      </c>
      <c r="I122" s="254">
        <v>940000</v>
      </c>
      <c r="J122" s="258">
        <f t="shared" si="11"/>
        <v>1128000</v>
      </c>
      <c r="K122" s="145">
        <f>247390.416-1000</f>
        <v>246390.416</v>
      </c>
      <c r="L122" s="145">
        <v>989561.66400000011</v>
      </c>
      <c r="M122" s="142">
        <f t="shared" si="12"/>
        <v>1235952.08</v>
      </c>
      <c r="N122" s="99">
        <f t="shared" si="13"/>
        <v>188000</v>
      </c>
      <c r="O122" s="73">
        <f t="shared" si="14"/>
        <v>940000</v>
      </c>
      <c r="P122" s="73">
        <f t="shared" si="15"/>
        <v>1128000</v>
      </c>
      <c r="Q122" s="301">
        <f t="shared" si="16"/>
        <v>174840</v>
      </c>
      <c r="R122" s="301">
        <f t="shared" si="17"/>
        <v>874200</v>
      </c>
      <c r="S122" s="300">
        <f t="shared" si="18"/>
        <v>1049040</v>
      </c>
    </row>
    <row r="123" spans="1:19" ht="15" x14ac:dyDescent="0.25">
      <c r="A123" s="49">
        <v>113</v>
      </c>
      <c r="B123" s="46" t="s">
        <v>198</v>
      </c>
      <c r="C123" s="33" t="s">
        <v>153</v>
      </c>
      <c r="D123" s="111">
        <v>225603.03407794109</v>
      </c>
      <c r="E123" s="114">
        <v>65424.879882602894</v>
      </c>
      <c r="F123" s="114">
        <v>261699.51953041169</v>
      </c>
      <c r="G123" s="114">
        <v>327124.39941301459</v>
      </c>
      <c r="H123" s="254">
        <f t="shared" si="10"/>
        <v>52000</v>
      </c>
      <c r="I123" s="254">
        <v>260000</v>
      </c>
      <c r="J123" s="258">
        <f t="shared" si="11"/>
        <v>312000</v>
      </c>
      <c r="K123" s="145">
        <f>15522.0634167343-1000</f>
        <v>14522.0634167343</v>
      </c>
      <c r="L123" s="145">
        <v>62088.253666937002</v>
      </c>
      <c r="M123" s="142">
        <f t="shared" si="12"/>
        <v>76610.317083671296</v>
      </c>
      <c r="N123" s="99">
        <f t="shared" si="13"/>
        <v>14522.0634167343</v>
      </c>
      <c r="O123" s="73">
        <f t="shared" si="14"/>
        <v>62088.253666937002</v>
      </c>
      <c r="P123" s="73">
        <f t="shared" si="15"/>
        <v>76610.317083671296</v>
      </c>
      <c r="Q123" s="301">
        <f t="shared" si="16"/>
        <v>13505.518977562899</v>
      </c>
      <c r="R123" s="301">
        <f t="shared" si="17"/>
        <v>57742.075910251413</v>
      </c>
      <c r="S123" s="300">
        <f t="shared" si="18"/>
        <v>71247.59488781431</v>
      </c>
    </row>
    <row r="124" spans="1:19" ht="22.5" x14ac:dyDescent="0.25">
      <c r="A124" s="49"/>
      <c r="B124" s="30" t="s">
        <v>35</v>
      </c>
      <c r="C124" s="33" t="s">
        <v>153</v>
      </c>
      <c r="D124" s="111"/>
      <c r="E124" s="114"/>
      <c r="F124" s="114"/>
      <c r="G124" s="114"/>
      <c r="H124" s="254">
        <f t="shared" si="10"/>
        <v>0</v>
      </c>
      <c r="I124" s="254"/>
      <c r="J124" s="258">
        <f t="shared" si="11"/>
        <v>0</v>
      </c>
      <c r="K124" s="145"/>
      <c r="L124" s="145"/>
      <c r="M124" s="142">
        <f t="shared" si="12"/>
        <v>0</v>
      </c>
      <c r="N124" s="99">
        <f t="shared" si="13"/>
        <v>0</v>
      </c>
      <c r="O124" s="73">
        <f t="shared" si="14"/>
        <v>0</v>
      </c>
      <c r="P124" s="73">
        <f t="shared" si="15"/>
        <v>0</v>
      </c>
      <c r="Q124" s="301">
        <f t="shared" si="16"/>
        <v>0</v>
      </c>
      <c r="R124" s="301">
        <f t="shared" si="17"/>
        <v>0</v>
      </c>
      <c r="S124" s="300">
        <f t="shared" si="18"/>
        <v>0</v>
      </c>
    </row>
    <row r="125" spans="1:19" ht="15" x14ac:dyDescent="0.25">
      <c r="A125" s="49">
        <v>114</v>
      </c>
      <c r="B125" s="51" t="s">
        <v>30</v>
      </c>
      <c r="C125" s="33" t="s">
        <v>153</v>
      </c>
      <c r="D125" s="111">
        <v>51740.211389114163</v>
      </c>
      <c r="E125" s="114">
        <v>15522.06341673425</v>
      </c>
      <c r="F125" s="114">
        <v>62088.253666937002</v>
      </c>
      <c r="G125" s="114">
        <v>77610.317083671252</v>
      </c>
      <c r="H125" s="254">
        <f t="shared" si="10"/>
        <v>12400</v>
      </c>
      <c r="I125" s="254">
        <v>62000</v>
      </c>
      <c r="J125" s="258">
        <f t="shared" si="11"/>
        <v>74400</v>
      </c>
      <c r="K125" s="145">
        <f>89627.0112387303-1000</f>
        <v>88627.011238730294</v>
      </c>
      <c r="L125" s="145">
        <v>358508.04495492141</v>
      </c>
      <c r="M125" s="142">
        <f t="shared" si="12"/>
        <v>447135.05619365169</v>
      </c>
      <c r="N125" s="99">
        <f t="shared" si="13"/>
        <v>12400</v>
      </c>
      <c r="O125" s="73">
        <f t="shared" si="14"/>
        <v>62000</v>
      </c>
      <c r="P125" s="73">
        <f t="shared" si="15"/>
        <v>74400</v>
      </c>
      <c r="Q125" s="301">
        <f t="shared" si="16"/>
        <v>11532</v>
      </c>
      <c r="R125" s="301">
        <f t="shared" si="17"/>
        <v>57660</v>
      </c>
      <c r="S125" s="300">
        <f t="shared" si="18"/>
        <v>69192</v>
      </c>
    </row>
    <row r="126" spans="1:19" ht="15" x14ac:dyDescent="0.2">
      <c r="A126" s="49">
        <v>115</v>
      </c>
      <c r="B126" s="52" t="s">
        <v>81</v>
      </c>
      <c r="C126" s="33" t="s">
        <v>153</v>
      </c>
      <c r="D126" s="111">
        <v>360172.01994514809</v>
      </c>
      <c r="E126" s="114">
        <v>104449.88578409294</v>
      </c>
      <c r="F126" s="114">
        <v>417799.54313637177</v>
      </c>
      <c r="G126" s="114">
        <v>522249.42892046471</v>
      </c>
      <c r="H126" s="254">
        <f t="shared" si="10"/>
        <v>85000</v>
      </c>
      <c r="I126" s="254">
        <v>425000</v>
      </c>
      <c r="J126" s="258">
        <f t="shared" si="11"/>
        <v>510000</v>
      </c>
      <c r="K126" s="145">
        <f>118567.381542922-1000</f>
        <v>117567.381542922</v>
      </c>
      <c r="L126" s="145">
        <v>474269.52617168735</v>
      </c>
      <c r="M126" s="142">
        <f t="shared" si="12"/>
        <v>591836.90771460929</v>
      </c>
      <c r="N126" s="99">
        <f t="shared" si="13"/>
        <v>85000</v>
      </c>
      <c r="O126" s="73">
        <f t="shared" si="14"/>
        <v>417799.54313637177</v>
      </c>
      <c r="P126" s="73">
        <f t="shared" si="15"/>
        <v>502799.54313637177</v>
      </c>
      <c r="Q126" s="301">
        <f t="shared" si="16"/>
        <v>79050</v>
      </c>
      <c r="R126" s="301">
        <f t="shared" si="17"/>
        <v>388553.57511682576</v>
      </c>
      <c r="S126" s="300">
        <f t="shared" si="18"/>
        <v>467603.57511682576</v>
      </c>
    </row>
    <row r="127" spans="1:19" ht="15" x14ac:dyDescent="0.2">
      <c r="A127" s="49">
        <v>116</v>
      </c>
      <c r="B127" s="47" t="s">
        <v>141</v>
      </c>
      <c r="C127" s="33" t="s">
        <v>153</v>
      </c>
      <c r="D127" s="111">
        <v>309058.65944389778</v>
      </c>
      <c r="E127" s="114">
        <v>89627.011238730338</v>
      </c>
      <c r="F127" s="114">
        <v>358508.04495492141</v>
      </c>
      <c r="G127" s="114">
        <v>448135.05619365175</v>
      </c>
      <c r="H127" s="254">
        <f t="shared" si="10"/>
        <v>73000</v>
      </c>
      <c r="I127" s="254">
        <v>365000</v>
      </c>
      <c r="J127" s="258">
        <f t="shared" si="11"/>
        <v>438000</v>
      </c>
      <c r="K127" s="145">
        <f>118567.381542922-1000</f>
        <v>117567.381542922</v>
      </c>
      <c r="L127" s="145">
        <v>474269.52617168735</v>
      </c>
      <c r="M127" s="142">
        <f t="shared" si="12"/>
        <v>591836.90771460929</v>
      </c>
      <c r="N127" s="99">
        <f t="shared" si="13"/>
        <v>73000</v>
      </c>
      <c r="O127" s="73">
        <f t="shared" si="14"/>
        <v>358508.04495492141</v>
      </c>
      <c r="P127" s="73">
        <f t="shared" si="15"/>
        <v>431508.04495492141</v>
      </c>
      <c r="Q127" s="301">
        <f t="shared" si="16"/>
        <v>67890</v>
      </c>
      <c r="R127" s="301">
        <f t="shared" si="17"/>
        <v>333412.4818080769</v>
      </c>
      <c r="S127" s="300">
        <f t="shared" si="18"/>
        <v>401302.4818080769</v>
      </c>
    </row>
    <row r="128" spans="1:19" ht="15" x14ac:dyDescent="0.2">
      <c r="A128" s="49">
        <v>117</v>
      </c>
      <c r="B128" s="47" t="s">
        <v>143</v>
      </c>
      <c r="C128" s="33" t="s">
        <v>153</v>
      </c>
      <c r="D128" s="111">
        <v>408853.03980317875</v>
      </c>
      <c r="E128" s="114">
        <v>118567.38154292182</v>
      </c>
      <c r="F128" s="114">
        <v>474269.52617168735</v>
      </c>
      <c r="G128" s="114">
        <v>592836.90771460917</v>
      </c>
      <c r="H128" s="254">
        <f t="shared" si="10"/>
        <v>94000</v>
      </c>
      <c r="I128" s="254">
        <v>470000</v>
      </c>
      <c r="J128" s="258">
        <f t="shared" si="11"/>
        <v>564000</v>
      </c>
      <c r="K128" s="145">
        <f>29831.5373754626-1000</f>
        <v>28831.537375462602</v>
      </c>
      <c r="L128" s="145">
        <v>119326.14950185039</v>
      </c>
      <c r="M128" s="142">
        <f t="shared" si="12"/>
        <v>148157.68687731298</v>
      </c>
      <c r="N128" s="99">
        <f t="shared" si="13"/>
        <v>28831.537375462602</v>
      </c>
      <c r="O128" s="73">
        <f t="shared" si="14"/>
        <v>119326.14950185039</v>
      </c>
      <c r="P128" s="73">
        <f t="shared" si="15"/>
        <v>148157.68687731298</v>
      </c>
      <c r="Q128" s="301">
        <f t="shared" si="16"/>
        <v>26813.329759180218</v>
      </c>
      <c r="R128" s="301">
        <f t="shared" si="17"/>
        <v>110973.31903672086</v>
      </c>
      <c r="S128" s="300">
        <f t="shared" si="18"/>
        <v>137786.64879590107</v>
      </c>
    </row>
    <row r="129" spans="1:19" ht="15" x14ac:dyDescent="0.25">
      <c r="A129" s="49">
        <v>118</v>
      </c>
      <c r="B129" s="46" t="s">
        <v>142</v>
      </c>
      <c r="C129" s="33" t="s">
        <v>153</v>
      </c>
      <c r="D129" s="111">
        <v>408853.03980317875</v>
      </c>
      <c r="E129" s="114">
        <v>118567.38154292182</v>
      </c>
      <c r="F129" s="114">
        <v>474269.52617168735</v>
      </c>
      <c r="G129" s="114">
        <v>592836.90771460917</v>
      </c>
      <c r="H129" s="254">
        <f t="shared" si="10"/>
        <v>96400</v>
      </c>
      <c r="I129" s="254">
        <v>482000</v>
      </c>
      <c r="J129" s="258">
        <f t="shared" si="11"/>
        <v>578400</v>
      </c>
      <c r="K129" s="145">
        <f>239961.902854618-1000</f>
        <v>238961.90285461801</v>
      </c>
      <c r="L129" s="145">
        <v>959847.6114184726</v>
      </c>
      <c r="M129" s="142">
        <f t="shared" si="12"/>
        <v>1198809.5142730905</v>
      </c>
      <c r="N129" s="99">
        <f t="shared" si="13"/>
        <v>96400</v>
      </c>
      <c r="O129" s="73">
        <f t="shared" si="14"/>
        <v>474269.52617168735</v>
      </c>
      <c r="P129" s="73">
        <f t="shared" si="15"/>
        <v>570669.52617168729</v>
      </c>
      <c r="Q129" s="301">
        <f t="shared" si="16"/>
        <v>89652</v>
      </c>
      <c r="R129" s="301">
        <f t="shared" si="17"/>
        <v>441070.65933966922</v>
      </c>
      <c r="S129" s="300">
        <f t="shared" si="18"/>
        <v>530722.65933966916</v>
      </c>
    </row>
    <row r="130" spans="1:19" ht="15" x14ac:dyDescent="0.25">
      <c r="A130" s="49">
        <v>119</v>
      </c>
      <c r="B130" s="37" t="s">
        <v>200</v>
      </c>
      <c r="C130" s="33" t="s">
        <v>153</v>
      </c>
      <c r="D130" s="111">
        <v>102867.37026021584</v>
      </c>
      <c r="E130" s="114">
        <v>29831.537375462591</v>
      </c>
      <c r="F130" s="114">
        <v>119326.14950185039</v>
      </c>
      <c r="G130" s="114">
        <v>149157.68687731298</v>
      </c>
      <c r="H130" s="254">
        <f t="shared" si="10"/>
        <v>24000</v>
      </c>
      <c r="I130" s="254">
        <v>120000</v>
      </c>
      <c r="J130" s="258">
        <f t="shared" si="11"/>
        <v>144000</v>
      </c>
      <c r="K130" s="145">
        <f>113068.602217743-1000</f>
        <v>112068.602217743</v>
      </c>
      <c r="L130" s="145">
        <v>452274.40887097403</v>
      </c>
      <c r="M130" s="142">
        <f t="shared" si="12"/>
        <v>564343.01108871703</v>
      </c>
      <c r="N130" s="99">
        <f t="shared" si="13"/>
        <v>24000</v>
      </c>
      <c r="O130" s="73">
        <f t="shared" si="14"/>
        <v>119326.14950185039</v>
      </c>
      <c r="P130" s="73">
        <f t="shared" si="15"/>
        <v>143326.14950185039</v>
      </c>
      <c r="Q130" s="301">
        <f t="shared" si="16"/>
        <v>22320</v>
      </c>
      <c r="R130" s="301">
        <f t="shared" si="17"/>
        <v>110973.31903672086</v>
      </c>
      <c r="S130" s="300">
        <f t="shared" si="18"/>
        <v>133293.31903672084</v>
      </c>
    </row>
    <row r="131" spans="1:19" ht="15" x14ac:dyDescent="0.25">
      <c r="A131" s="49">
        <v>120</v>
      </c>
      <c r="B131" s="46" t="s">
        <v>415</v>
      </c>
      <c r="C131" s="33" t="s">
        <v>153</v>
      </c>
      <c r="D131" s="111">
        <v>827454.83742971777</v>
      </c>
      <c r="E131" s="114">
        <v>239961.90285461815</v>
      </c>
      <c r="F131" s="114">
        <v>959847.6114184726</v>
      </c>
      <c r="G131" s="114">
        <v>1199809.5142730908</v>
      </c>
      <c r="H131" s="254">
        <f t="shared" si="10"/>
        <v>67800</v>
      </c>
      <c r="I131" s="254">
        <v>339000</v>
      </c>
      <c r="J131" s="258">
        <f t="shared" si="11"/>
        <v>406800</v>
      </c>
      <c r="K131" s="145">
        <f>67919.2996779832-1000</f>
        <v>66919.299677983203</v>
      </c>
      <c r="L131" s="145">
        <v>271677.1987119327</v>
      </c>
      <c r="M131" s="142">
        <f t="shared" si="12"/>
        <v>338596.49838991591</v>
      </c>
      <c r="N131" s="99">
        <f t="shared" si="13"/>
        <v>66919.299677983203</v>
      </c>
      <c r="O131" s="73">
        <f t="shared" si="14"/>
        <v>271677.1987119327</v>
      </c>
      <c r="P131" s="73">
        <f t="shared" si="15"/>
        <v>338596.49838991591</v>
      </c>
      <c r="Q131" s="301">
        <f t="shared" si="16"/>
        <v>62234.948700524379</v>
      </c>
      <c r="R131" s="301">
        <f t="shared" si="17"/>
        <v>252659.7948020974</v>
      </c>
      <c r="S131" s="300">
        <f t="shared" si="18"/>
        <v>314894.74350262177</v>
      </c>
    </row>
    <row r="132" spans="1:19" ht="15" x14ac:dyDescent="0.25">
      <c r="A132" s="49">
        <v>121</v>
      </c>
      <c r="B132" s="35" t="s">
        <v>201</v>
      </c>
      <c r="C132" s="33" t="s">
        <v>153</v>
      </c>
      <c r="D132" s="111">
        <v>389891.73178532242</v>
      </c>
      <c r="E132" s="114">
        <v>113068.60221774346</v>
      </c>
      <c r="F132" s="114">
        <v>452274.40887097403</v>
      </c>
      <c r="G132" s="114">
        <v>565343.0110887175</v>
      </c>
      <c r="H132" s="254">
        <f t="shared" si="10"/>
        <v>92000</v>
      </c>
      <c r="I132" s="254">
        <v>460000</v>
      </c>
      <c r="J132" s="258">
        <f t="shared" si="11"/>
        <v>552000</v>
      </c>
      <c r="K132" s="145">
        <f>52200-1000</f>
        <v>51200</v>
      </c>
      <c r="L132" s="145">
        <v>208800</v>
      </c>
      <c r="M132" s="142">
        <f t="shared" si="12"/>
        <v>260000</v>
      </c>
      <c r="N132" s="99">
        <f t="shared" si="13"/>
        <v>51200</v>
      </c>
      <c r="O132" s="73">
        <f t="shared" si="14"/>
        <v>208800</v>
      </c>
      <c r="P132" s="73">
        <f t="shared" si="15"/>
        <v>260000</v>
      </c>
      <c r="Q132" s="301">
        <f t="shared" si="16"/>
        <v>47616</v>
      </c>
      <c r="R132" s="301">
        <f t="shared" si="17"/>
        <v>194184</v>
      </c>
      <c r="S132" s="300">
        <f t="shared" si="18"/>
        <v>241800</v>
      </c>
    </row>
    <row r="133" spans="1:19" ht="15" x14ac:dyDescent="0.25">
      <c r="A133" s="49">
        <v>122</v>
      </c>
      <c r="B133" s="46" t="s">
        <v>467</v>
      </c>
      <c r="C133" s="33" t="s">
        <v>153</v>
      </c>
      <c r="D133" s="111">
        <v>234204.48164821783</v>
      </c>
      <c r="E133" s="114">
        <v>67919.299677983159</v>
      </c>
      <c r="F133" s="114">
        <v>271677.1987119327</v>
      </c>
      <c r="G133" s="114">
        <v>339596.49838991585</v>
      </c>
      <c r="H133" s="254">
        <f t="shared" si="10"/>
        <v>55200</v>
      </c>
      <c r="I133" s="254">
        <v>276000</v>
      </c>
      <c r="J133" s="258">
        <f t="shared" si="11"/>
        <v>331200</v>
      </c>
      <c r="K133" s="145">
        <f>34800-1000</f>
        <v>33800</v>
      </c>
      <c r="L133" s="145">
        <v>139200</v>
      </c>
      <c r="M133" s="142">
        <f t="shared" si="12"/>
        <v>173000</v>
      </c>
      <c r="N133" s="99">
        <f t="shared" si="13"/>
        <v>33800</v>
      </c>
      <c r="O133" s="73">
        <f t="shared" si="14"/>
        <v>139200</v>
      </c>
      <c r="P133" s="73">
        <f t="shared" si="15"/>
        <v>173000</v>
      </c>
      <c r="Q133" s="301">
        <f t="shared" si="16"/>
        <v>31434</v>
      </c>
      <c r="R133" s="301">
        <f t="shared" si="17"/>
        <v>129456</v>
      </c>
      <c r="S133" s="300">
        <f t="shared" si="18"/>
        <v>160890</v>
      </c>
    </row>
    <row r="134" spans="1:19" ht="15" x14ac:dyDescent="0.25">
      <c r="A134" s="49">
        <v>123</v>
      </c>
      <c r="B134" s="37" t="s">
        <v>468</v>
      </c>
      <c r="C134" s="33" t="s">
        <v>153</v>
      </c>
      <c r="D134" s="111">
        <v>180000</v>
      </c>
      <c r="E134" s="114">
        <v>52200</v>
      </c>
      <c r="F134" s="114">
        <v>208800</v>
      </c>
      <c r="G134" s="114">
        <v>261000</v>
      </c>
      <c r="H134" s="254">
        <f t="shared" ref="H134:H197" si="19">+I134*20%</f>
        <v>41600</v>
      </c>
      <c r="I134" s="254">
        <v>208000</v>
      </c>
      <c r="J134" s="258">
        <f t="shared" ref="J134:J197" si="20">+I134+H134</f>
        <v>249600</v>
      </c>
      <c r="K134" s="145">
        <f>48103.692-1000</f>
        <v>47103.692000000003</v>
      </c>
      <c r="L134" s="145">
        <v>192414.76799999998</v>
      </c>
      <c r="M134" s="142">
        <f t="shared" ref="M134:M197" si="21">K134+L134</f>
        <v>239518.46</v>
      </c>
      <c r="N134" s="99">
        <f t="shared" ref="N134:N197" si="22">MIN(E134,H134,K134)</f>
        <v>41600</v>
      </c>
      <c r="O134" s="73">
        <f t="shared" ref="O134:O197" si="23">MIN(F134,I134,L134)</f>
        <v>192414.76799999998</v>
      </c>
      <c r="P134" s="73">
        <f t="shared" ref="P134:P197" si="24">O134+N134</f>
        <v>234014.76799999998</v>
      </c>
      <c r="Q134" s="301">
        <f t="shared" ref="Q134:Q197" si="25">N134-(N134*7%)</f>
        <v>38688</v>
      </c>
      <c r="R134" s="301">
        <f t="shared" ref="R134:R197" si="26">O134-(O134*7%)</f>
        <v>178945.73423999999</v>
      </c>
      <c r="S134" s="300">
        <f t="shared" ref="S134:S197" si="27">R134+Q134</f>
        <v>217633.73423999999</v>
      </c>
    </row>
    <row r="135" spans="1:19" ht="15" x14ac:dyDescent="0.25">
      <c r="A135" s="49">
        <v>124</v>
      </c>
      <c r="B135" s="37" t="s">
        <v>465</v>
      </c>
      <c r="C135" s="33" t="s">
        <v>153</v>
      </c>
      <c r="D135" s="111">
        <v>120000</v>
      </c>
      <c r="E135" s="114">
        <v>34800</v>
      </c>
      <c r="F135" s="114">
        <v>139200</v>
      </c>
      <c r="G135" s="114">
        <v>174000</v>
      </c>
      <c r="H135" s="254">
        <f t="shared" si="19"/>
        <v>28000</v>
      </c>
      <c r="I135" s="254">
        <v>140000</v>
      </c>
      <c r="J135" s="258">
        <f t="shared" si="20"/>
        <v>168000</v>
      </c>
      <c r="K135" s="145">
        <f>45464.1237476146-1000</f>
        <v>44464.123747614598</v>
      </c>
      <c r="L135" s="145">
        <v>181856.49499045851</v>
      </c>
      <c r="M135" s="142">
        <f t="shared" si="21"/>
        <v>226320.6187380731</v>
      </c>
      <c r="N135" s="99">
        <f t="shared" si="22"/>
        <v>28000</v>
      </c>
      <c r="O135" s="73">
        <f t="shared" si="23"/>
        <v>139200</v>
      </c>
      <c r="P135" s="73">
        <f t="shared" si="24"/>
        <v>167200</v>
      </c>
      <c r="Q135" s="301">
        <f t="shared" si="25"/>
        <v>26040</v>
      </c>
      <c r="R135" s="301">
        <f t="shared" si="26"/>
        <v>129456</v>
      </c>
      <c r="S135" s="300">
        <f t="shared" si="27"/>
        <v>155496</v>
      </c>
    </row>
    <row r="136" spans="1:19" ht="15" x14ac:dyDescent="0.25">
      <c r="A136" s="49">
        <v>125</v>
      </c>
      <c r="B136" s="46" t="s">
        <v>418</v>
      </c>
      <c r="C136" s="33" t="s">
        <v>153</v>
      </c>
      <c r="D136" s="111">
        <v>165874.79999999999</v>
      </c>
      <c r="E136" s="114">
        <v>48103.691999999981</v>
      </c>
      <c r="F136" s="114">
        <v>192414.76799999998</v>
      </c>
      <c r="G136" s="114">
        <v>240518.45999999996</v>
      </c>
      <c r="H136" s="254">
        <f t="shared" si="19"/>
        <v>39400</v>
      </c>
      <c r="I136" s="254">
        <v>197000</v>
      </c>
      <c r="J136" s="258">
        <f t="shared" si="20"/>
        <v>236400</v>
      </c>
      <c r="K136" s="145">
        <f>51843.0811215959-1000</f>
        <v>50843.081121595897</v>
      </c>
      <c r="L136" s="145">
        <v>207372.32448638373</v>
      </c>
      <c r="M136" s="142">
        <f t="shared" si="21"/>
        <v>258215.40560797963</v>
      </c>
      <c r="N136" s="99">
        <f t="shared" si="22"/>
        <v>39400</v>
      </c>
      <c r="O136" s="73">
        <f t="shared" si="23"/>
        <v>192414.76799999998</v>
      </c>
      <c r="P136" s="73">
        <f t="shared" si="24"/>
        <v>231814.76799999998</v>
      </c>
      <c r="Q136" s="301">
        <f t="shared" si="25"/>
        <v>36642</v>
      </c>
      <c r="R136" s="301">
        <f t="shared" si="26"/>
        <v>178945.73423999999</v>
      </c>
      <c r="S136" s="300">
        <f t="shared" si="27"/>
        <v>215587.73423999999</v>
      </c>
    </row>
    <row r="137" spans="1:19" ht="15" x14ac:dyDescent="0.25">
      <c r="A137" s="49">
        <v>126</v>
      </c>
      <c r="B137" s="46" t="s">
        <v>337</v>
      </c>
      <c r="C137" s="33" t="s">
        <v>153</v>
      </c>
      <c r="D137" s="111">
        <v>156772.84050901595</v>
      </c>
      <c r="E137" s="114">
        <v>45464.12374761462</v>
      </c>
      <c r="F137" s="114">
        <v>181856.49499045851</v>
      </c>
      <c r="G137" s="114">
        <v>227320.61873807313</v>
      </c>
      <c r="H137" s="254">
        <f t="shared" si="19"/>
        <v>36800</v>
      </c>
      <c r="I137" s="254">
        <v>184000</v>
      </c>
      <c r="J137" s="258">
        <f t="shared" si="20"/>
        <v>220800</v>
      </c>
      <c r="K137" s="145">
        <f>31267.3998-1000</f>
        <v>30267.399799999999</v>
      </c>
      <c r="L137" s="145">
        <v>125069.5992</v>
      </c>
      <c r="M137" s="142">
        <f t="shared" si="21"/>
        <v>155336.99900000001</v>
      </c>
      <c r="N137" s="99">
        <f t="shared" si="22"/>
        <v>30267.399799999999</v>
      </c>
      <c r="O137" s="73">
        <f t="shared" si="23"/>
        <v>125069.5992</v>
      </c>
      <c r="P137" s="73">
        <f t="shared" si="24"/>
        <v>155336.99900000001</v>
      </c>
      <c r="Q137" s="301">
        <f t="shared" si="25"/>
        <v>28148.681814</v>
      </c>
      <c r="R137" s="301">
        <f t="shared" si="26"/>
        <v>116314.727256</v>
      </c>
      <c r="S137" s="300">
        <f t="shared" si="27"/>
        <v>144463.40906999999</v>
      </c>
    </row>
    <row r="138" spans="1:19" ht="15" x14ac:dyDescent="0.25">
      <c r="A138" s="49">
        <v>127</v>
      </c>
      <c r="B138" s="50" t="s">
        <v>38</v>
      </c>
      <c r="C138" s="33" t="s">
        <v>153</v>
      </c>
      <c r="D138" s="111">
        <v>178769.24524688252</v>
      </c>
      <c r="E138" s="114">
        <v>51843.081121595926</v>
      </c>
      <c r="F138" s="114">
        <v>207372.32448638373</v>
      </c>
      <c r="G138" s="114">
        <v>259215.40560797966</v>
      </c>
      <c r="H138" s="254">
        <f t="shared" si="19"/>
        <v>42000</v>
      </c>
      <c r="I138" s="254">
        <v>210000</v>
      </c>
      <c r="J138" s="258">
        <f t="shared" si="20"/>
        <v>252000</v>
      </c>
      <c r="K138" s="145">
        <f>597663.49188-1000</f>
        <v>596663.49187999999</v>
      </c>
      <c r="L138" s="145">
        <v>2390653.9675200004</v>
      </c>
      <c r="M138" s="142">
        <f t="shared" si="21"/>
        <v>2987317.4594000005</v>
      </c>
      <c r="N138" s="99">
        <f t="shared" si="22"/>
        <v>42000</v>
      </c>
      <c r="O138" s="73">
        <f t="shared" si="23"/>
        <v>207372.32448638373</v>
      </c>
      <c r="P138" s="73">
        <f t="shared" si="24"/>
        <v>249372.32448638373</v>
      </c>
      <c r="Q138" s="301">
        <f t="shared" si="25"/>
        <v>39060</v>
      </c>
      <c r="R138" s="301">
        <f t="shared" si="26"/>
        <v>192856.26177233687</v>
      </c>
      <c r="S138" s="300">
        <f t="shared" si="27"/>
        <v>231916.26177233687</v>
      </c>
    </row>
    <row r="139" spans="1:19" ht="15" x14ac:dyDescent="0.25">
      <c r="A139" s="49">
        <v>128</v>
      </c>
      <c r="B139" s="38" t="s">
        <v>419</v>
      </c>
      <c r="C139" s="33" t="s">
        <v>153</v>
      </c>
      <c r="D139" s="111">
        <v>107818.62</v>
      </c>
      <c r="E139" s="114">
        <v>31267.399799999985</v>
      </c>
      <c r="F139" s="114">
        <v>125069.5992</v>
      </c>
      <c r="G139" s="114">
        <v>156336.99899999998</v>
      </c>
      <c r="H139" s="254">
        <f t="shared" si="19"/>
        <v>14000</v>
      </c>
      <c r="I139" s="254">
        <v>70000</v>
      </c>
      <c r="J139" s="258">
        <f t="shared" si="20"/>
        <v>84000</v>
      </c>
      <c r="K139" s="145">
        <f>315246.302944856-1000</f>
        <v>314246.302944856</v>
      </c>
      <c r="L139" s="145">
        <v>1260985.2117794261</v>
      </c>
      <c r="M139" s="142">
        <f t="shared" si="21"/>
        <v>1575231.5147242821</v>
      </c>
      <c r="N139" s="99">
        <f t="shared" si="22"/>
        <v>14000</v>
      </c>
      <c r="O139" s="73">
        <f t="shared" si="23"/>
        <v>70000</v>
      </c>
      <c r="P139" s="73">
        <f t="shared" si="24"/>
        <v>84000</v>
      </c>
      <c r="Q139" s="301">
        <f t="shared" si="25"/>
        <v>13020</v>
      </c>
      <c r="R139" s="301">
        <f t="shared" si="26"/>
        <v>65100</v>
      </c>
      <c r="S139" s="300">
        <f t="shared" si="27"/>
        <v>78120</v>
      </c>
    </row>
    <row r="140" spans="1:19" ht="15" x14ac:dyDescent="0.25">
      <c r="A140" s="49">
        <v>129</v>
      </c>
      <c r="B140" s="38" t="s">
        <v>426</v>
      </c>
      <c r="C140" s="33" t="s">
        <v>153</v>
      </c>
      <c r="D140" s="111">
        <v>2134512.4710000004</v>
      </c>
      <c r="E140" s="114">
        <v>597663.4918800001</v>
      </c>
      <c r="F140" s="114">
        <v>2390653.9675200004</v>
      </c>
      <c r="G140" s="114">
        <v>2988317.4594000005</v>
      </c>
      <c r="H140" s="254">
        <f t="shared" si="19"/>
        <v>494000</v>
      </c>
      <c r="I140" s="254">
        <v>2470000</v>
      </c>
      <c r="J140" s="258">
        <f t="shared" si="20"/>
        <v>2964000</v>
      </c>
      <c r="K140" s="145">
        <f>177674.154531523-1000</f>
        <v>176674.154531523</v>
      </c>
      <c r="L140" s="145">
        <v>710696.61812609294</v>
      </c>
      <c r="M140" s="142">
        <f t="shared" si="21"/>
        <v>887370.77265761595</v>
      </c>
      <c r="N140" s="99">
        <f t="shared" si="22"/>
        <v>176674.154531523</v>
      </c>
      <c r="O140" s="73">
        <f t="shared" si="23"/>
        <v>710696.61812609294</v>
      </c>
      <c r="P140" s="73">
        <f t="shared" si="24"/>
        <v>887370.77265761595</v>
      </c>
      <c r="Q140" s="301">
        <f t="shared" si="25"/>
        <v>164306.9637143164</v>
      </c>
      <c r="R140" s="301">
        <f t="shared" si="26"/>
        <v>660947.85485726641</v>
      </c>
      <c r="S140" s="300">
        <f t="shared" si="27"/>
        <v>825254.81857158279</v>
      </c>
    </row>
    <row r="141" spans="1:19" ht="15" x14ac:dyDescent="0.25">
      <c r="A141" s="49">
        <v>130</v>
      </c>
      <c r="B141" s="46" t="s">
        <v>416</v>
      </c>
      <c r="C141" s="33" t="s">
        <v>153</v>
      </c>
      <c r="D141" s="111">
        <v>1087056.2170512294</v>
      </c>
      <c r="E141" s="114">
        <v>315246.30294485646</v>
      </c>
      <c r="F141" s="114">
        <v>1260985.2117794261</v>
      </c>
      <c r="G141" s="114">
        <v>1576231.5147242825</v>
      </c>
      <c r="H141" s="254">
        <f t="shared" si="19"/>
        <v>255000</v>
      </c>
      <c r="I141" s="254">
        <v>1275000</v>
      </c>
      <c r="J141" s="258">
        <f t="shared" si="20"/>
        <v>1530000</v>
      </c>
      <c r="K141" s="145">
        <f>65283.582-1000</f>
        <v>64283.582000000002</v>
      </c>
      <c r="L141" s="145">
        <v>261134.32799999998</v>
      </c>
      <c r="M141" s="142">
        <f t="shared" si="21"/>
        <v>325417.90999999997</v>
      </c>
      <c r="N141" s="99">
        <f t="shared" si="22"/>
        <v>64283.582000000002</v>
      </c>
      <c r="O141" s="73">
        <f t="shared" si="23"/>
        <v>261134.32799999998</v>
      </c>
      <c r="P141" s="73">
        <f t="shared" si="24"/>
        <v>325417.90999999997</v>
      </c>
      <c r="Q141" s="301">
        <f t="shared" si="25"/>
        <v>59783.73126</v>
      </c>
      <c r="R141" s="301">
        <f t="shared" si="26"/>
        <v>242854.92503999997</v>
      </c>
      <c r="S141" s="300">
        <f t="shared" si="27"/>
        <v>302638.65629999997</v>
      </c>
    </row>
    <row r="142" spans="1:19" ht="15" x14ac:dyDescent="0.25">
      <c r="A142" s="49">
        <v>131</v>
      </c>
      <c r="B142" s="35" t="s">
        <v>417</v>
      </c>
      <c r="C142" s="33" t="s">
        <v>153</v>
      </c>
      <c r="D142" s="111">
        <v>612669.49838456279</v>
      </c>
      <c r="E142" s="114">
        <v>177674.15453152312</v>
      </c>
      <c r="F142" s="114">
        <v>710696.61812609294</v>
      </c>
      <c r="G142" s="114">
        <v>888370.77265761606</v>
      </c>
      <c r="H142" s="254">
        <f t="shared" si="19"/>
        <v>140000</v>
      </c>
      <c r="I142" s="254">
        <v>700000</v>
      </c>
      <c r="J142" s="258">
        <f t="shared" si="20"/>
        <v>840000</v>
      </c>
      <c r="K142" s="145">
        <f>160959.4136436-1000</f>
        <v>159959.41364360001</v>
      </c>
      <c r="L142" s="145">
        <v>643837.65457440016</v>
      </c>
      <c r="M142" s="142">
        <f t="shared" si="21"/>
        <v>803797.06821800023</v>
      </c>
      <c r="N142" s="99">
        <f t="shared" si="22"/>
        <v>140000</v>
      </c>
      <c r="O142" s="73">
        <f t="shared" si="23"/>
        <v>643837.65457440016</v>
      </c>
      <c r="P142" s="73">
        <f t="shared" si="24"/>
        <v>783837.65457440016</v>
      </c>
      <c r="Q142" s="301">
        <f t="shared" si="25"/>
        <v>130200</v>
      </c>
      <c r="R142" s="301">
        <f t="shared" si="26"/>
        <v>598769.01875419216</v>
      </c>
      <c r="S142" s="300">
        <f t="shared" si="27"/>
        <v>728969.01875419216</v>
      </c>
    </row>
    <row r="143" spans="1:19" ht="15" x14ac:dyDescent="0.25">
      <c r="A143" s="49">
        <v>132</v>
      </c>
      <c r="B143" s="35" t="s">
        <v>466</v>
      </c>
      <c r="C143" s="33" t="s">
        <v>153</v>
      </c>
      <c r="D143" s="111">
        <v>225115.8</v>
      </c>
      <c r="E143" s="114">
        <v>65283.581999999995</v>
      </c>
      <c r="F143" s="114">
        <v>261134.32799999998</v>
      </c>
      <c r="G143" s="114">
        <v>326417.90999999997</v>
      </c>
      <c r="H143" s="254">
        <f t="shared" si="19"/>
        <v>55400</v>
      </c>
      <c r="I143" s="254">
        <v>277000</v>
      </c>
      <c r="J143" s="258">
        <f t="shared" si="20"/>
        <v>332400</v>
      </c>
      <c r="K143" s="145">
        <f>257973.22824-1000</f>
        <v>256973.22824</v>
      </c>
      <c r="L143" s="145">
        <v>1031892.91296</v>
      </c>
      <c r="M143" s="142">
        <f t="shared" si="21"/>
        <v>1288866.1412</v>
      </c>
      <c r="N143" s="99">
        <f t="shared" si="22"/>
        <v>55400</v>
      </c>
      <c r="O143" s="73">
        <f t="shared" si="23"/>
        <v>261134.32799999998</v>
      </c>
      <c r="P143" s="73">
        <f t="shared" si="24"/>
        <v>316534.32799999998</v>
      </c>
      <c r="Q143" s="301">
        <f t="shared" si="25"/>
        <v>51522</v>
      </c>
      <c r="R143" s="301">
        <f t="shared" si="26"/>
        <v>242854.92503999997</v>
      </c>
      <c r="S143" s="300">
        <f t="shared" si="27"/>
        <v>294376.92504</v>
      </c>
    </row>
    <row r="144" spans="1:19" ht="15" x14ac:dyDescent="0.2">
      <c r="A144" s="49">
        <v>133</v>
      </c>
      <c r="B144" s="53" t="s">
        <v>420</v>
      </c>
      <c r="C144" s="33" t="s">
        <v>153</v>
      </c>
      <c r="D144" s="111">
        <v>555032.46084000007</v>
      </c>
      <c r="E144" s="114">
        <v>160959.41364359995</v>
      </c>
      <c r="F144" s="114">
        <v>643837.65457440016</v>
      </c>
      <c r="G144" s="114">
        <v>804797.06821800012</v>
      </c>
      <c r="H144" s="254">
        <f t="shared" si="19"/>
        <v>130000</v>
      </c>
      <c r="I144" s="254">
        <v>650000</v>
      </c>
      <c r="J144" s="258">
        <f t="shared" si="20"/>
        <v>780000</v>
      </c>
      <c r="K144" s="145">
        <f>64658.9097542667-1000</f>
        <v>63658.9097542667</v>
      </c>
      <c r="L144" s="145">
        <v>258635.63901706669</v>
      </c>
      <c r="M144" s="142">
        <f t="shared" si="21"/>
        <v>322294.54877133342</v>
      </c>
      <c r="N144" s="99">
        <f t="shared" si="22"/>
        <v>63658.9097542667</v>
      </c>
      <c r="O144" s="73">
        <f t="shared" si="23"/>
        <v>258635.63901706669</v>
      </c>
      <c r="P144" s="73">
        <f t="shared" si="24"/>
        <v>322294.54877133342</v>
      </c>
      <c r="Q144" s="301">
        <f t="shared" si="25"/>
        <v>59202.786071468028</v>
      </c>
      <c r="R144" s="301">
        <f t="shared" si="26"/>
        <v>240531.14428587203</v>
      </c>
      <c r="S144" s="300">
        <f t="shared" si="27"/>
        <v>299733.93035734002</v>
      </c>
    </row>
    <row r="145" spans="1:19" ht="15" x14ac:dyDescent="0.2">
      <c r="A145" s="49">
        <v>134</v>
      </c>
      <c r="B145" s="53" t="s">
        <v>421</v>
      </c>
      <c r="C145" s="33" t="s">
        <v>153</v>
      </c>
      <c r="D145" s="111">
        <v>889562.85600000003</v>
      </c>
      <c r="E145" s="114">
        <v>257973.22823999997</v>
      </c>
      <c r="F145" s="114">
        <v>1031892.91296</v>
      </c>
      <c r="G145" s="114">
        <v>1289866.1412</v>
      </c>
      <c r="H145" s="254">
        <f t="shared" si="19"/>
        <v>225200</v>
      </c>
      <c r="I145" s="254">
        <v>1126000</v>
      </c>
      <c r="J145" s="258">
        <f t="shared" si="20"/>
        <v>1351200</v>
      </c>
      <c r="K145" s="145">
        <f>527886.420907581-1000</f>
        <v>526886.42090758099</v>
      </c>
      <c r="L145" s="145">
        <v>2111545.6836303244</v>
      </c>
      <c r="M145" s="142">
        <f t="shared" si="21"/>
        <v>2638432.1045379052</v>
      </c>
      <c r="N145" s="99">
        <f t="shared" si="22"/>
        <v>225200</v>
      </c>
      <c r="O145" s="73">
        <f t="shared" si="23"/>
        <v>1031892.91296</v>
      </c>
      <c r="P145" s="73">
        <f t="shared" si="24"/>
        <v>1257092.9129599999</v>
      </c>
      <c r="Q145" s="301">
        <f t="shared" si="25"/>
        <v>209436</v>
      </c>
      <c r="R145" s="301">
        <f t="shared" si="26"/>
        <v>959660.40905279992</v>
      </c>
      <c r="S145" s="300">
        <f t="shared" si="27"/>
        <v>1169096.4090527999</v>
      </c>
    </row>
    <row r="146" spans="1:19" ht="15" x14ac:dyDescent="0.2">
      <c r="A146" s="49">
        <v>135</v>
      </c>
      <c r="B146" s="53" t="s">
        <v>422</v>
      </c>
      <c r="C146" s="33" t="s">
        <v>153</v>
      </c>
      <c r="D146" s="111">
        <v>222961.75777333335</v>
      </c>
      <c r="E146" s="114">
        <v>64658.909754266671</v>
      </c>
      <c r="F146" s="114">
        <v>258635.63901706669</v>
      </c>
      <c r="G146" s="114">
        <v>323294.54877133336</v>
      </c>
      <c r="H146" s="254">
        <f t="shared" si="19"/>
        <v>52600</v>
      </c>
      <c r="I146" s="254">
        <v>263000</v>
      </c>
      <c r="J146" s="258">
        <f t="shared" si="20"/>
        <v>315600</v>
      </c>
      <c r="K146" s="145">
        <f>272726.328746154-1000</f>
        <v>271726.32874615397</v>
      </c>
      <c r="L146" s="145">
        <v>1090905.3149846157</v>
      </c>
      <c r="M146" s="142">
        <f t="shared" si="21"/>
        <v>1362631.6437307696</v>
      </c>
      <c r="N146" s="99">
        <f t="shared" si="22"/>
        <v>52600</v>
      </c>
      <c r="O146" s="73">
        <f t="shared" si="23"/>
        <v>258635.63901706669</v>
      </c>
      <c r="P146" s="73">
        <f t="shared" si="24"/>
        <v>311235.63901706669</v>
      </c>
      <c r="Q146" s="301">
        <f t="shared" si="25"/>
        <v>48918</v>
      </c>
      <c r="R146" s="301">
        <f t="shared" si="26"/>
        <v>240531.14428587203</v>
      </c>
      <c r="S146" s="300">
        <f t="shared" si="27"/>
        <v>289449.144285872</v>
      </c>
    </row>
    <row r="147" spans="1:19" ht="15" x14ac:dyDescent="0.2">
      <c r="A147" s="49">
        <v>136</v>
      </c>
      <c r="B147" s="53" t="s">
        <v>423</v>
      </c>
      <c r="C147" s="33" t="s">
        <v>153</v>
      </c>
      <c r="D147" s="111">
        <v>1885308.6460985043</v>
      </c>
      <c r="E147" s="114">
        <v>527886.42090758123</v>
      </c>
      <c r="F147" s="114">
        <v>2111545.6836303244</v>
      </c>
      <c r="G147" s="114">
        <v>2639432.1045379057</v>
      </c>
      <c r="H147" s="254">
        <f t="shared" si="19"/>
        <v>320000</v>
      </c>
      <c r="I147" s="254">
        <v>1600000</v>
      </c>
      <c r="J147" s="258">
        <f t="shared" si="20"/>
        <v>1920000</v>
      </c>
      <c r="K147" s="145">
        <f>504000-1000</f>
        <v>503000</v>
      </c>
      <c r="L147" s="145">
        <v>2016000</v>
      </c>
      <c r="M147" s="142">
        <f t="shared" si="21"/>
        <v>2519000</v>
      </c>
      <c r="N147" s="99">
        <f t="shared" si="22"/>
        <v>320000</v>
      </c>
      <c r="O147" s="73">
        <f t="shared" si="23"/>
        <v>1600000</v>
      </c>
      <c r="P147" s="73">
        <f t="shared" si="24"/>
        <v>1920000</v>
      </c>
      <c r="Q147" s="301">
        <f t="shared" si="25"/>
        <v>297600</v>
      </c>
      <c r="R147" s="301">
        <f t="shared" si="26"/>
        <v>1488000</v>
      </c>
      <c r="S147" s="300">
        <f t="shared" si="27"/>
        <v>1785600</v>
      </c>
    </row>
    <row r="148" spans="1:19" ht="15" x14ac:dyDescent="0.25">
      <c r="A148" s="49">
        <v>137</v>
      </c>
      <c r="B148" s="54" t="s">
        <v>427</v>
      </c>
      <c r="C148" s="33" t="s">
        <v>153</v>
      </c>
      <c r="D148" s="111">
        <v>940435.61636604811</v>
      </c>
      <c r="E148" s="114">
        <v>272726.32874615397</v>
      </c>
      <c r="F148" s="114">
        <v>1090905.3149846157</v>
      </c>
      <c r="G148" s="114">
        <v>1363631.6437307696</v>
      </c>
      <c r="H148" s="254">
        <f t="shared" si="19"/>
        <v>198200</v>
      </c>
      <c r="I148" s="254">
        <v>991000</v>
      </c>
      <c r="J148" s="258">
        <f t="shared" si="20"/>
        <v>1189200</v>
      </c>
      <c r="K148" s="145">
        <f>392587.163628458-1000</f>
        <v>391587.16362845799</v>
      </c>
      <c r="L148" s="145">
        <v>1570348.6545138315</v>
      </c>
      <c r="M148" s="142">
        <f t="shared" si="21"/>
        <v>1961935.8181422895</v>
      </c>
      <c r="N148" s="99">
        <f t="shared" si="22"/>
        <v>198200</v>
      </c>
      <c r="O148" s="73">
        <f t="shared" si="23"/>
        <v>991000</v>
      </c>
      <c r="P148" s="73">
        <f t="shared" si="24"/>
        <v>1189200</v>
      </c>
      <c r="Q148" s="301">
        <f t="shared" si="25"/>
        <v>184326</v>
      </c>
      <c r="R148" s="301">
        <f t="shared" si="26"/>
        <v>921630</v>
      </c>
      <c r="S148" s="300">
        <f t="shared" si="27"/>
        <v>1105956</v>
      </c>
    </row>
    <row r="149" spans="1:19" ht="15" x14ac:dyDescent="0.25">
      <c r="A149" s="49">
        <v>138</v>
      </c>
      <c r="B149" s="35" t="s">
        <v>424</v>
      </c>
      <c r="C149" s="33" t="s">
        <v>153</v>
      </c>
      <c r="D149" s="111">
        <v>1800000</v>
      </c>
      <c r="E149" s="114">
        <v>504000</v>
      </c>
      <c r="F149" s="114">
        <v>2016000</v>
      </c>
      <c r="G149" s="114">
        <v>2520000</v>
      </c>
      <c r="H149" s="254">
        <f t="shared" si="19"/>
        <v>420000</v>
      </c>
      <c r="I149" s="254">
        <v>2100000</v>
      </c>
      <c r="J149" s="258">
        <f t="shared" si="20"/>
        <v>2520000</v>
      </c>
      <c r="K149" s="145">
        <f>504000-1000</f>
        <v>503000</v>
      </c>
      <c r="L149" s="145">
        <v>2016000</v>
      </c>
      <c r="M149" s="142">
        <f t="shared" si="21"/>
        <v>2519000</v>
      </c>
      <c r="N149" s="99">
        <f t="shared" si="22"/>
        <v>420000</v>
      </c>
      <c r="O149" s="73">
        <f t="shared" si="23"/>
        <v>2016000</v>
      </c>
      <c r="P149" s="73">
        <f t="shared" si="24"/>
        <v>2436000</v>
      </c>
      <c r="Q149" s="301">
        <f t="shared" si="25"/>
        <v>390600</v>
      </c>
      <c r="R149" s="301">
        <f t="shared" si="26"/>
        <v>1874880</v>
      </c>
      <c r="S149" s="300">
        <f t="shared" si="27"/>
        <v>2265480</v>
      </c>
    </row>
    <row r="150" spans="1:19" ht="15" x14ac:dyDescent="0.25">
      <c r="A150" s="49">
        <v>139</v>
      </c>
      <c r="B150" s="54" t="s">
        <v>425</v>
      </c>
      <c r="C150" s="33" t="s">
        <v>153</v>
      </c>
      <c r="D150" s="111">
        <v>1353748.8400981305</v>
      </c>
      <c r="E150" s="114">
        <v>392587.16362845781</v>
      </c>
      <c r="F150" s="114">
        <v>1570348.6545138315</v>
      </c>
      <c r="G150" s="114">
        <v>1962935.8181422893</v>
      </c>
      <c r="H150" s="254">
        <f t="shared" si="19"/>
        <v>318000</v>
      </c>
      <c r="I150" s="254">
        <v>1590000</v>
      </c>
      <c r="J150" s="258">
        <f t="shared" si="20"/>
        <v>1908000</v>
      </c>
      <c r="K150" s="145">
        <f>447962.714470462-1000</f>
        <v>446962.714470462</v>
      </c>
      <c r="L150" s="145">
        <v>1791850.8578818487</v>
      </c>
      <c r="M150" s="142">
        <f t="shared" si="21"/>
        <v>2238813.5723523106</v>
      </c>
      <c r="N150" s="99">
        <f t="shared" si="22"/>
        <v>318000</v>
      </c>
      <c r="O150" s="73">
        <f t="shared" si="23"/>
        <v>1570348.6545138315</v>
      </c>
      <c r="P150" s="73">
        <f t="shared" si="24"/>
        <v>1888348.6545138315</v>
      </c>
      <c r="Q150" s="301">
        <f t="shared" si="25"/>
        <v>295740</v>
      </c>
      <c r="R150" s="301">
        <f t="shared" si="26"/>
        <v>1460424.2486978632</v>
      </c>
      <c r="S150" s="300">
        <f t="shared" si="27"/>
        <v>1756164.2486978632</v>
      </c>
    </row>
    <row r="151" spans="1:19" ht="22.5" x14ac:dyDescent="0.25">
      <c r="A151" s="49"/>
      <c r="B151" s="30" t="s">
        <v>39</v>
      </c>
      <c r="C151" s="33" t="s">
        <v>153</v>
      </c>
      <c r="D151" s="111"/>
      <c r="E151" s="114"/>
      <c r="F151" s="114"/>
      <c r="G151" s="114"/>
      <c r="H151" s="254">
        <f t="shared" si="19"/>
        <v>0</v>
      </c>
      <c r="I151" s="254"/>
      <c r="J151" s="258">
        <f t="shared" si="20"/>
        <v>0</v>
      </c>
      <c r="K151" s="145"/>
      <c r="L151" s="145"/>
      <c r="M151" s="142">
        <f t="shared" si="21"/>
        <v>0</v>
      </c>
      <c r="N151" s="99">
        <f t="shared" si="22"/>
        <v>0</v>
      </c>
      <c r="O151" s="73">
        <f t="shared" si="23"/>
        <v>0</v>
      </c>
      <c r="P151" s="73">
        <f t="shared" si="24"/>
        <v>0</v>
      </c>
      <c r="Q151" s="301">
        <f t="shared" si="25"/>
        <v>0</v>
      </c>
      <c r="R151" s="301">
        <f t="shared" si="26"/>
        <v>0</v>
      </c>
      <c r="S151" s="300">
        <f t="shared" si="27"/>
        <v>0</v>
      </c>
    </row>
    <row r="152" spans="1:19" ht="15" x14ac:dyDescent="0.25">
      <c r="A152" s="49">
        <v>140</v>
      </c>
      <c r="B152" s="46" t="s">
        <v>40</v>
      </c>
      <c r="C152" s="33" t="s">
        <v>153</v>
      </c>
      <c r="D152" s="111">
        <v>1599866.8373945076</v>
      </c>
      <c r="E152" s="114">
        <v>447962.71447046194</v>
      </c>
      <c r="F152" s="114">
        <v>1791850.8578818487</v>
      </c>
      <c r="G152" s="114">
        <v>2239813.5723523106</v>
      </c>
      <c r="H152" s="254">
        <f t="shared" si="19"/>
        <v>188000</v>
      </c>
      <c r="I152" s="254">
        <v>940000</v>
      </c>
      <c r="J152" s="258">
        <f t="shared" si="20"/>
        <v>1128000</v>
      </c>
      <c r="K152" s="145">
        <f>98853.08706-1000</f>
        <v>97853.087060000005</v>
      </c>
      <c r="L152" s="145">
        <v>395412.34823999996</v>
      </c>
      <c r="M152" s="142">
        <f t="shared" si="21"/>
        <v>493265.43529999995</v>
      </c>
      <c r="N152" s="99">
        <f t="shared" si="22"/>
        <v>97853.087060000005</v>
      </c>
      <c r="O152" s="73">
        <f t="shared" si="23"/>
        <v>395412.34823999996</v>
      </c>
      <c r="P152" s="73">
        <f t="shared" si="24"/>
        <v>493265.43529999995</v>
      </c>
      <c r="Q152" s="301">
        <f t="shared" si="25"/>
        <v>91003.370965800001</v>
      </c>
      <c r="R152" s="301">
        <f t="shared" si="26"/>
        <v>367733.48386319994</v>
      </c>
      <c r="S152" s="300">
        <f t="shared" si="27"/>
        <v>458736.85482899996</v>
      </c>
    </row>
    <row r="153" spans="1:19" ht="22.5" x14ac:dyDescent="0.25">
      <c r="A153" s="49">
        <v>141</v>
      </c>
      <c r="B153" s="46" t="s">
        <v>209</v>
      </c>
      <c r="C153" s="33" t="s">
        <v>153</v>
      </c>
      <c r="D153" s="111">
        <v>677172.73625674378</v>
      </c>
      <c r="E153" s="114">
        <v>196380.0935144556</v>
      </c>
      <c r="F153" s="114">
        <v>785520.37405782286</v>
      </c>
      <c r="G153" s="114">
        <v>981900.46757227846</v>
      </c>
      <c r="H153" s="254">
        <f t="shared" si="19"/>
        <v>158000</v>
      </c>
      <c r="I153" s="254">
        <v>790000</v>
      </c>
      <c r="J153" s="258">
        <f t="shared" si="20"/>
        <v>948000</v>
      </c>
      <c r="K153" s="145">
        <f>448551.251326536-1000</f>
        <v>447551.251326536</v>
      </c>
      <c r="L153" s="145">
        <v>1794205.0053061442</v>
      </c>
      <c r="M153" s="142">
        <f t="shared" si="21"/>
        <v>2241756.2566326801</v>
      </c>
      <c r="N153" s="99">
        <f t="shared" si="22"/>
        <v>158000</v>
      </c>
      <c r="O153" s="73">
        <f t="shared" si="23"/>
        <v>785520.37405782286</v>
      </c>
      <c r="P153" s="73">
        <f t="shared" si="24"/>
        <v>943520.37405782286</v>
      </c>
      <c r="Q153" s="301">
        <f t="shared" si="25"/>
        <v>146940</v>
      </c>
      <c r="R153" s="301">
        <f t="shared" si="26"/>
        <v>730533.94787377527</v>
      </c>
      <c r="S153" s="300">
        <f t="shared" si="27"/>
        <v>877473.94787377527</v>
      </c>
    </row>
    <row r="154" spans="1:19" ht="15" x14ac:dyDescent="0.25">
      <c r="A154" s="49">
        <v>142</v>
      </c>
      <c r="B154" s="32" t="s">
        <v>208</v>
      </c>
      <c r="C154" s="33" t="s">
        <v>153</v>
      </c>
      <c r="D154" s="111">
        <v>340872.71399999998</v>
      </c>
      <c r="E154" s="114">
        <v>98853.087059999991</v>
      </c>
      <c r="F154" s="114">
        <v>395412.34823999996</v>
      </c>
      <c r="G154" s="114">
        <v>494265.43529999995</v>
      </c>
      <c r="H154" s="254">
        <f t="shared" si="19"/>
        <v>82000</v>
      </c>
      <c r="I154" s="254">
        <v>410000</v>
      </c>
      <c r="J154" s="258">
        <f t="shared" si="20"/>
        <v>492000</v>
      </c>
      <c r="K154" s="145">
        <f>196380.093514456-1000</f>
        <v>195380.09351445601</v>
      </c>
      <c r="L154" s="145">
        <v>785520.37405782286</v>
      </c>
      <c r="M154" s="142">
        <f t="shared" si="21"/>
        <v>980900.46757227881</v>
      </c>
      <c r="N154" s="99">
        <f t="shared" si="22"/>
        <v>82000</v>
      </c>
      <c r="O154" s="73">
        <f t="shared" si="23"/>
        <v>395412.34823999996</v>
      </c>
      <c r="P154" s="73">
        <f t="shared" si="24"/>
        <v>477412.34823999996</v>
      </c>
      <c r="Q154" s="301">
        <f t="shared" si="25"/>
        <v>76260</v>
      </c>
      <c r="R154" s="301">
        <f t="shared" si="26"/>
        <v>367733.48386319994</v>
      </c>
      <c r="S154" s="300">
        <f t="shared" si="27"/>
        <v>443993.48386319994</v>
      </c>
    </row>
    <row r="155" spans="1:19" ht="15" x14ac:dyDescent="0.25">
      <c r="A155" s="49">
        <v>143</v>
      </c>
      <c r="B155" s="46" t="s">
        <v>41</v>
      </c>
      <c r="C155" s="33" t="s">
        <v>153</v>
      </c>
      <c r="D155" s="111">
        <v>1601968.7547376286</v>
      </c>
      <c r="E155" s="114">
        <v>448551.25132653583</v>
      </c>
      <c r="F155" s="114">
        <v>1794205.0053061442</v>
      </c>
      <c r="G155" s="114">
        <v>2242756.2566326801</v>
      </c>
      <c r="H155" s="254">
        <f t="shared" si="19"/>
        <v>348000</v>
      </c>
      <c r="I155" s="254">
        <v>1740000</v>
      </c>
      <c r="J155" s="258">
        <f t="shared" si="20"/>
        <v>2088000</v>
      </c>
      <c r="K155" s="145">
        <f>72384.9928655516-1000</f>
        <v>71384.992865551598</v>
      </c>
      <c r="L155" s="145">
        <v>289539.97146220639</v>
      </c>
      <c r="M155" s="142">
        <f t="shared" si="21"/>
        <v>360924.964327758</v>
      </c>
      <c r="N155" s="99">
        <f t="shared" si="22"/>
        <v>71384.992865551598</v>
      </c>
      <c r="O155" s="73">
        <f t="shared" si="23"/>
        <v>289539.97146220639</v>
      </c>
      <c r="P155" s="73">
        <f t="shared" si="24"/>
        <v>360924.964327758</v>
      </c>
      <c r="Q155" s="301">
        <f t="shared" si="25"/>
        <v>66388.043364962985</v>
      </c>
      <c r="R155" s="301">
        <f t="shared" si="26"/>
        <v>269272.17345985194</v>
      </c>
      <c r="S155" s="300">
        <f t="shared" si="27"/>
        <v>335660.21682481491</v>
      </c>
    </row>
    <row r="156" spans="1:19" ht="15" x14ac:dyDescent="0.25">
      <c r="A156" s="49">
        <v>144</v>
      </c>
      <c r="B156" s="46" t="s">
        <v>210</v>
      </c>
      <c r="C156" s="33" t="s">
        <v>153</v>
      </c>
      <c r="D156" s="111">
        <v>677172.73625674378</v>
      </c>
      <c r="E156" s="114">
        <v>196380.0935144556</v>
      </c>
      <c r="F156" s="114">
        <v>785520.37405782286</v>
      </c>
      <c r="G156" s="114">
        <v>981900.46757227846</v>
      </c>
      <c r="H156" s="254">
        <f t="shared" si="19"/>
        <v>152000</v>
      </c>
      <c r="I156" s="254">
        <v>760000</v>
      </c>
      <c r="J156" s="258">
        <f t="shared" si="20"/>
        <v>912000</v>
      </c>
      <c r="K156" s="145">
        <v>161535.07229855156</v>
      </c>
      <c r="L156" s="145">
        <v>646140.28919420659</v>
      </c>
      <c r="M156" s="142">
        <f t="shared" si="21"/>
        <v>807675.36149275815</v>
      </c>
      <c r="N156" s="99">
        <f t="shared" si="22"/>
        <v>152000</v>
      </c>
      <c r="O156" s="73">
        <f t="shared" si="23"/>
        <v>646140.28919420659</v>
      </c>
      <c r="P156" s="73">
        <f t="shared" si="24"/>
        <v>798140.28919420659</v>
      </c>
      <c r="Q156" s="301">
        <f t="shared" si="25"/>
        <v>141360</v>
      </c>
      <c r="R156" s="301">
        <f t="shared" si="26"/>
        <v>600910.46895061212</v>
      </c>
      <c r="S156" s="300">
        <f t="shared" si="27"/>
        <v>742270.46895061212</v>
      </c>
    </row>
    <row r="157" spans="1:19" ht="15" x14ac:dyDescent="0.25">
      <c r="A157" s="49">
        <v>145</v>
      </c>
      <c r="B157" s="32" t="s">
        <v>212</v>
      </c>
      <c r="C157" s="33" t="s">
        <v>153</v>
      </c>
      <c r="D157" s="111">
        <v>249603.42367431583</v>
      </c>
      <c r="E157" s="114">
        <v>72384.992865551554</v>
      </c>
      <c r="F157" s="114">
        <v>289539.97146220639</v>
      </c>
      <c r="G157" s="114">
        <v>361924.96432775795</v>
      </c>
      <c r="H157" s="254">
        <f t="shared" si="19"/>
        <v>58000</v>
      </c>
      <c r="I157" s="254">
        <v>290000</v>
      </c>
      <c r="J157" s="258">
        <f t="shared" si="20"/>
        <v>348000</v>
      </c>
      <c r="K157" s="145">
        <f>179715.098254806-1000</f>
        <v>178715.09825480601</v>
      </c>
      <c r="L157" s="145">
        <v>718860.39301922545</v>
      </c>
      <c r="M157" s="142">
        <f t="shared" si="21"/>
        <v>897575.49127403146</v>
      </c>
      <c r="N157" s="99">
        <f t="shared" si="22"/>
        <v>58000</v>
      </c>
      <c r="O157" s="73">
        <f t="shared" si="23"/>
        <v>289539.97146220639</v>
      </c>
      <c r="P157" s="73">
        <f t="shared" si="24"/>
        <v>347539.97146220639</v>
      </c>
      <c r="Q157" s="301">
        <f t="shared" si="25"/>
        <v>53940</v>
      </c>
      <c r="R157" s="301">
        <f t="shared" si="26"/>
        <v>269272.17345985194</v>
      </c>
      <c r="S157" s="300">
        <f t="shared" si="27"/>
        <v>323212.17345985194</v>
      </c>
    </row>
    <row r="158" spans="1:19" ht="22.5" x14ac:dyDescent="0.25">
      <c r="A158" s="49">
        <v>146</v>
      </c>
      <c r="B158" s="32" t="s">
        <v>213</v>
      </c>
      <c r="C158" s="33" t="s">
        <v>153</v>
      </c>
      <c r="D158" s="111">
        <v>557017.49068466085</v>
      </c>
      <c r="E158" s="114">
        <v>161535.07229855156</v>
      </c>
      <c r="F158" s="114">
        <v>646140.28919420659</v>
      </c>
      <c r="G158" s="114">
        <v>807675.36149275815</v>
      </c>
      <c r="H158" s="254">
        <f t="shared" si="19"/>
        <v>117000</v>
      </c>
      <c r="I158" s="254">
        <v>585000</v>
      </c>
      <c r="J158" s="258">
        <f t="shared" si="20"/>
        <v>702000</v>
      </c>
      <c r="K158" s="145">
        <f>115047.807071556-1000</f>
        <v>114047.807071556</v>
      </c>
      <c r="L158" s="145">
        <v>460191.22828622535</v>
      </c>
      <c r="M158" s="142">
        <f t="shared" si="21"/>
        <v>574239.03535778134</v>
      </c>
      <c r="N158" s="99">
        <f t="shared" si="22"/>
        <v>114047.807071556</v>
      </c>
      <c r="O158" s="73">
        <f t="shared" si="23"/>
        <v>460191.22828622535</v>
      </c>
      <c r="P158" s="73">
        <f t="shared" si="24"/>
        <v>574239.03535778134</v>
      </c>
      <c r="Q158" s="301">
        <f t="shared" si="25"/>
        <v>106064.46057654708</v>
      </c>
      <c r="R158" s="301">
        <f t="shared" si="26"/>
        <v>427977.84230618959</v>
      </c>
      <c r="S158" s="300">
        <f t="shared" si="27"/>
        <v>534042.30288273667</v>
      </c>
    </row>
    <row r="159" spans="1:19" ht="15" x14ac:dyDescent="0.25">
      <c r="A159" s="49">
        <v>147</v>
      </c>
      <c r="B159" s="46" t="s">
        <v>214</v>
      </c>
      <c r="C159" s="33" t="s">
        <v>153</v>
      </c>
      <c r="D159" s="111">
        <v>619707.23536140122</v>
      </c>
      <c r="E159" s="114">
        <v>179715.09825480625</v>
      </c>
      <c r="F159" s="114">
        <v>718860.39301922545</v>
      </c>
      <c r="G159" s="114">
        <v>898575.49127403169</v>
      </c>
      <c r="H159" s="254">
        <f t="shared" si="19"/>
        <v>128000</v>
      </c>
      <c r="I159" s="254">
        <v>640000</v>
      </c>
      <c r="J159" s="258">
        <f t="shared" si="20"/>
        <v>768000</v>
      </c>
      <c r="K159" s="145">
        <f>35073.7192292061-1000</f>
        <v>34073.719229206101</v>
      </c>
      <c r="L159" s="145">
        <v>140294.87691682429</v>
      </c>
      <c r="M159" s="142">
        <f t="shared" si="21"/>
        <v>174368.59614603038</v>
      </c>
      <c r="N159" s="99">
        <f t="shared" si="22"/>
        <v>34073.719229206101</v>
      </c>
      <c r="O159" s="73">
        <f t="shared" si="23"/>
        <v>140294.87691682429</v>
      </c>
      <c r="P159" s="73">
        <f t="shared" si="24"/>
        <v>174368.59614603038</v>
      </c>
      <c r="Q159" s="301">
        <f t="shared" si="25"/>
        <v>31688.558883161673</v>
      </c>
      <c r="R159" s="301">
        <f t="shared" si="26"/>
        <v>130474.23553264659</v>
      </c>
      <c r="S159" s="300">
        <f t="shared" si="27"/>
        <v>162162.79441580825</v>
      </c>
    </row>
    <row r="160" spans="1:19" ht="15" x14ac:dyDescent="0.25">
      <c r="A160" s="49">
        <v>148</v>
      </c>
      <c r="B160" s="46" t="s">
        <v>489</v>
      </c>
      <c r="C160" s="33" t="s">
        <v>153</v>
      </c>
      <c r="D160" s="111">
        <v>396716.57610881497</v>
      </c>
      <c r="E160" s="114">
        <v>115047.80707155634</v>
      </c>
      <c r="F160" s="114">
        <v>460191.22828622535</v>
      </c>
      <c r="G160" s="114">
        <v>575239.03535778169</v>
      </c>
      <c r="H160" s="254">
        <f t="shared" si="19"/>
        <v>68000</v>
      </c>
      <c r="I160" s="254">
        <v>340000</v>
      </c>
      <c r="J160" s="258">
        <f t="shared" si="20"/>
        <v>408000</v>
      </c>
      <c r="K160" s="145">
        <f>9569.7-1000</f>
        <v>8569.7000000000007</v>
      </c>
      <c r="L160" s="145">
        <v>38278.800000000003</v>
      </c>
      <c r="M160" s="142">
        <f t="shared" si="21"/>
        <v>46848.5</v>
      </c>
      <c r="N160" s="99">
        <f t="shared" si="22"/>
        <v>8569.7000000000007</v>
      </c>
      <c r="O160" s="73">
        <f t="shared" si="23"/>
        <v>38278.800000000003</v>
      </c>
      <c r="P160" s="73">
        <f t="shared" si="24"/>
        <v>46848.5</v>
      </c>
      <c r="Q160" s="301">
        <f t="shared" si="25"/>
        <v>7969.8210000000008</v>
      </c>
      <c r="R160" s="301">
        <f t="shared" si="26"/>
        <v>35599.284</v>
      </c>
      <c r="S160" s="300">
        <f t="shared" si="27"/>
        <v>43569.105000000003</v>
      </c>
    </row>
    <row r="161" spans="1:19" ht="15" x14ac:dyDescent="0.25">
      <c r="A161" s="49">
        <v>149</v>
      </c>
      <c r="B161" s="46" t="s">
        <v>43</v>
      </c>
      <c r="C161" s="33" t="s">
        <v>153</v>
      </c>
      <c r="D161" s="111">
        <v>120943.85941105541</v>
      </c>
      <c r="E161" s="114">
        <v>35073.719229206064</v>
      </c>
      <c r="F161" s="114">
        <v>140294.87691682429</v>
      </c>
      <c r="G161" s="114">
        <v>175368.59614603035</v>
      </c>
      <c r="H161" s="254">
        <f t="shared" si="19"/>
        <v>28000</v>
      </c>
      <c r="I161" s="254">
        <v>140000</v>
      </c>
      <c r="J161" s="258">
        <f t="shared" si="20"/>
        <v>168000</v>
      </c>
      <c r="K161" s="145">
        <f>1552.6728-500</f>
        <v>1052.6728000000001</v>
      </c>
      <c r="L161" s="145">
        <v>6210.6912000000002</v>
      </c>
      <c r="M161" s="142">
        <f t="shared" si="21"/>
        <v>7263.3640000000005</v>
      </c>
      <c r="N161" s="99">
        <f t="shared" si="22"/>
        <v>1052.6728000000001</v>
      </c>
      <c r="O161" s="73">
        <f t="shared" si="23"/>
        <v>6210.6912000000002</v>
      </c>
      <c r="P161" s="73">
        <f t="shared" si="24"/>
        <v>7263.3640000000005</v>
      </c>
      <c r="Q161" s="301">
        <f t="shared" si="25"/>
        <v>978.98570400000006</v>
      </c>
      <c r="R161" s="301">
        <f t="shared" si="26"/>
        <v>5775.9428159999998</v>
      </c>
      <c r="S161" s="300">
        <f t="shared" si="27"/>
        <v>6754.9285199999995</v>
      </c>
    </row>
    <row r="162" spans="1:19" ht="15" x14ac:dyDescent="0.25">
      <c r="A162" s="49">
        <v>150</v>
      </c>
      <c r="B162" s="46" t="s">
        <v>215</v>
      </c>
      <c r="C162" s="33" t="s">
        <v>153</v>
      </c>
      <c r="D162" s="111">
        <v>31899</v>
      </c>
      <c r="E162" s="114">
        <v>9569.6999999999971</v>
      </c>
      <c r="F162" s="114">
        <v>38278.800000000003</v>
      </c>
      <c r="G162" s="114">
        <v>47848.5</v>
      </c>
      <c r="H162" s="254">
        <f t="shared" si="19"/>
        <v>8000</v>
      </c>
      <c r="I162" s="254">
        <v>40000</v>
      </c>
      <c r="J162" s="258">
        <f t="shared" si="20"/>
        <v>48000</v>
      </c>
      <c r="K162" s="145">
        <f>1552.6728-500</f>
        <v>1052.6728000000001</v>
      </c>
      <c r="L162" s="145">
        <v>6210.6912000000002</v>
      </c>
      <c r="M162" s="142">
        <f t="shared" si="21"/>
        <v>7263.3640000000005</v>
      </c>
      <c r="N162" s="99">
        <f t="shared" si="22"/>
        <v>1052.6728000000001</v>
      </c>
      <c r="O162" s="73">
        <f t="shared" si="23"/>
        <v>6210.6912000000002</v>
      </c>
      <c r="P162" s="73">
        <f t="shared" si="24"/>
        <v>7263.3640000000005</v>
      </c>
      <c r="Q162" s="301">
        <f t="shared" si="25"/>
        <v>978.98570400000006</v>
      </c>
      <c r="R162" s="301">
        <f t="shared" si="26"/>
        <v>5775.9428159999998</v>
      </c>
      <c r="S162" s="300">
        <f t="shared" si="27"/>
        <v>6754.9285199999995</v>
      </c>
    </row>
    <row r="163" spans="1:19" ht="15" x14ac:dyDescent="0.25">
      <c r="A163" s="49">
        <v>151</v>
      </c>
      <c r="B163" s="32" t="s">
        <v>216</v>
      </c>
      <c r="C163" s="33" t="s">
        <v>153</v>
      </c>
      <c r="D163" s="111">
        <v>5175.576</v>
      </c>
      <c r="E163" s="114">
        <v>1552.6727999999994</v>
      </c>
      <c r="F163" s="114">
        <v>6210.6912000000002</v>
      </c>
      <c r="G163" s="114">
        <v>7763.3639999999996</v>
      </c>
      <c r="H163" s="254">
        <f t="shared" si="19"/>
        <v>1200</v>
      </c>
      <c r="I163" s="254">
        <v>6000</v>
      </c>
      <c r="J163" s="258">
        <f t="shared" si="20"/>
        <v>7200</v>
      </c>
      <c r="K163" s="145">
        <f>1058.547-1000</f>
        <v>58.547000000000025</v>
      </c>
      <c r="L163" s="145">
        <v>4234.1880000000001</v>
      </c>
      <c r="M163" s="142">
        <f t="shared" si="21"/>
        <v>4292.7350000000006</v>
      </c>
      <c r="N163" s="99">
        <f t="shared" si="22"/>
        <v>58.547000000000025</v>
      </c>
      <c r="O163" s="73">
        <f t="shared" si="23"/>
        <v>4234.1880000000001</v>
      </c>
      <c r="P163" s="73">
        <f t="shared" si="24"/>
        <v>4292.7350000000006</v>
      </c>
      <c r="Q163" s="301">
        <f t="shared" si="25"/>
        <v>54.44871000000002</v>
      </c>
      <c r="R163" s="301">
        <f t="shared" si="26"/>
        <v>3937.79484</v>
      </c>
      <c r="S163" s="300">
        <f t="shared" si="27"/>
        <v>3992.2435500000001</v>
      </c>
    </row>
    <row r="164" spans="1:19" ht="15" x14ac:dyDescent="0.25">
      <c r="A164" s="49">
        <v>152</v>
      </c>
      <c r="B164" s="32" t="s">
        <v>217</v>
      </c>
      <c r="C164" s="33" t="s">
        <v>153</v>
      </c>
      <c r="D164" s="111">
        <v>5175.576</v>
      </c>
      <c r="E164" s="114">
        <v>1552.6727999999994</v>
      </c>
      <c r="F164" s="114">
        <v>6210.6912000000002</v>
      </c>
      <c r="G164" s="114">
        <v>7763.3639999999996</v>
      </c>
      <c r="H164" s="254">
        <f t="shared" si="19"/>
        <v>1200</v>
      </c>
      <c r="I164" s="254">
        <v>6000</v>
      </c>
      <c r="J164" s="258">
        <f t="shared" si="20"/>
        <v>7200</v>
      </c>
      <c r="K164" s="145">
        <f>140172.443717186-1000</f>
        <v>139172.44371718599</v>
      </c>
      <c r="L164" s="145">
        <v>560689.77486874291</v>
      </c>
      <c r="M164" s="142">
        <f t="shared" si="21"/>
        <v>699862.2185859289</v>
      </c>
      <c r="N164" s="99">
        <f t="shared" si="22"/>
        <v>1200</v>
      </c>
      <c r="O164" s="73">
        <f t="shared" si="23"/>
        <v>6000</v>
      </c>
      <c r="P164" s="73">
        <f t="shared" si="24"/>
        <v>7200</v>
      </c>
      <c r="Q164" s="301">
        <f t="shared" si="25"/>
        <v>1116</v>
      </c>
      <c r="R164" s="301">
        <f t="shared" si="26"/>
        <v>5580</v>
      </c>
      <c r="S164" s="300">
        <f t="shared" si="27"/>
        <v>6696</v>
      </c>
    </row>
    <row r="165" spans="1:19" ht="15" x14ac:dyDescent="0.25">
      <c r="A165" s="49">
        <v>153</v>
      </c>
      <c r="B165" s="32" t="s">
        <v>218</v>
      </c>
      <c r="C165" s="33" t="s">
        <v>153</v>
      </c>
      <c r="D165" s="111">
        <v>3528.49</v>
      </c>
      <c r="E165" s="114">
        <v>1058.5469999999996</v>
      </c>
      <c r="F165" s="114">
        <v>4234.1880000000001</v>
      </c>
      <c r="G165" s="114">
        <v>5292.7349999999997</v>
      </c>
      <c r="H165" s="254">
        <f t="shared" si="19"/>
        <v>800</v>
      </c>
      <c r="I165" s="254">
        <v>4000</v>
      </c>
      <c r="J165" s="258">
        <f t="shared" si="20"/>
        <v>4800</v>
      </c>
      <c r="K165" s="145">
        <f>163257.044508792-1000</f>
        <v>162257.04450879199</v>
      </c>
      <c r="L165" s="145">
        <v>653028.17803516821</v>
      </c>
      <c r="M165" s="142">
        <f t="shared" si="21"/>
        <v>815285.2225439602</v>
      </c>
      <c r="N165" s="99">
        <f t="shared" si="22"/>
        <v>800</v>
      </c>
      <c r="O165" s="73">
        <f t="shared" si="23"/>
        <v>4000</v>
      </c>
      <c r="P165" s="73">
        <f t="shared" si="24"/>
        <v>4800</v>
      </c>
      <c r="Q165" s="301">
        <f t="shared" si="25"/>
        <v>744</v>
      </c>
      <c r="R165" s="301">
        <f t="shared" si="26"/>
        <v>3720</v>
      </c>
      <c r="S165" s="300">
        <f t="shared" si="27"/>
        <v>4464</v>
      </c>
    </row>
    <row r="166" spans="1:19" ht="15" x14ac:dyDescent="0.25">
      <c r="A166" s="49">
        <v>154</v>
      </c>
      <c r="B166" s="38" t="s">
        <v>224</v>
      </c>
      <c r="C166" s="33" t="s">
        <v>153</v>
      </c>
      <c r="D166" s="111">
        <v>483353.25419719209</v>
      </c>
      <c r="E166" s="114">
        <v>140172.44371718564</v>
      </c>
      <c r="F166" s="114">
        <v>560689.77486874291</v>
      </c>
      <c r="G166" s="114">
        <v>700862.21858592855</v>
      </c>
      <c r="H166" s="254">
        <f t="shared" si="19"/>
        <v>112000</v>
      </c>
      <c r="I166" s="254">
        <v>560000</v>
      </c>
      <c r="J166" s="258">
        <f t="shared" si="20"/>
        <v>672000</v>
      </c>
      <c r="K166" s="145">
        <f>33333.621989177-1000</f>
        <v>32333.621989177002</v>
      </c>
      <c r="L166" s="145">
        <v>133334.48795670798</v>
      </c>
      <c r="M166" s="142">
        <f t="shared" si="21"/>
        <v>165668.10994588496</v>
      </c>
      <c r="N166" s="99">
        <f t="shared" si="22"/>
        <v>32333.621989177002</v>
      </c>
      <c r="O166" s="73">
        <f t="shared" si="23"/>
        <v>133334.48795670798</v>
      </c>
      <c r="P166" s="73">
        <f t="shared" si="24"/>
        <v>165668.10994588496</v>
      </c>
      <c r="Q166" s="301">
        <f t="shared" si="25"/>
        <v>30070.268449934611</v>
      </c>
      <c r="R166" s="301">
        <f t="shared" si="26"/>
        <v>124001.07379973841</v>
      </c>
      <c r="S166" s="300">
        <f t="shared" si="27"/>
        <v>154071.34224967303</v>
      </c>
    </row>
    <row r="167" spans="1:19" ht="22.5" x14ac:dyDescent="0.25">
      <c r="A167" s="49">
        <v>155</v>
      </c>
      <c r="B167" s="32" t="s">
        <v>226</v>
      </c>
      <c r="C167" s="33" t="s">
        <v>153</v>
      </c>
      <c r="D167" s="111">
        <v>562955.32589238638</v>
      </c>
      <c r="E167" s="114">
        <v>163257.04450879199</v>
      </c>
      <c r="F167" s="114">
        <v>653028.17803516821</v>
      </c>
      <c r="G167" s="114">
        <v>816285.2225439602</v>
      </c>
      <c r="H167" s="254">
        <f t="shared" si="19"/>
        <v>132000</v>
      </c>
      <c r="I167" s="254">
        <v>660000</v>
      </c>
      <c r="J167" s="258">
        <f t="shared" si="20"/>
        <v>792000</v>
      </c>
      <c r="K167" s="145">
        <f>260618.9313-1000</f>
        <v>259618.9313</v>
      </c>
      <c r="L167" s="145">
        <v>1042475.7251999999</v>
      </c>
      <c r="M167" s="142">
        <f t="shared" si="21"/>
        <v>1302094.6564999998</v>
      </c>
      <c r="N167" s="99">
        <f t="shared" si="22"/>
        <v>132000</v>
      </c>
      <c r="O167" s="73">
        <f t="shared" si="23"/>
        <v>653028.17803516821</v>
      </c>
      <c r="P167" s="73">
        <f t="shared" si="24"/>
        <v>785028.17803516821</v>
      </c>
      <c r="Q167" s="301">
        <f t="shared" si="25"/>
        <v>122760</v>
      </c>
      <c r="R167" s="301">
        <f t="shared" si="26"/>
        <v>607316.20557270641</v>
      </c>
      <c r="S167" s="300">
        <f t="shared" si="27"/>
        <v>730076.20557270641</v>
      </c>
    </row>
    <row r="168" spans="1:19" ht="15" x14ac:dyDescent="0.25">
      <c r="A168" s="49">
        <v>156</v>
      </c>
      <c r="B168" s="46" t="s">
        <v>42</v>
      </c>
      <c r="C168" s="33" t="s">
        <v>153</v>
      </c>
      <c r="D168" s="111">
        <v>114943.52410061033</v>
      </c>
      <c r="E168" s="114">
        <v>33333.621989176987</v>
      </c>
      <c r="F168" s="114">
        <v>133334.48795670798</v>
      </c>
      <c r="G168" s="114">
        <v>166668.10994588496</v>
      </c>
      <c r="H168" s="254">
        <f t="shared" si="19"/>
        <v>27000</v>
      </c>
      <c r="I168" s="254">
        <v>135000</v>
      </c>
      <c r="J168" s="258">
        <f t="shared" si="20"/>
        <v>162000</v>
      </c>
      <c r="K168" s="145">
        <f>711.580078-200</f>
        <v>511.58007799999996</v>
      </c>
      <c r="L168" s="145">
        <v>2846.3203120000007</v>
      </c>
      <c r="M168" s="142">
        <f t="shared" si="21"/>
        <v>3357.9003900000007</v>
      </c>
      <c r="N168" s="99">
        <f t="shared" si="22"/>
        <v>511.58007799999996</v>
      </c>
      <c r="O168" s="73">
        <f t="shared" si="23"/>
        <v>2846.3203120000007</v>
      </c>
      <c r="P168" s="73">
        <f t="shared" si="24"/>
        <v>3357.9003900000007</v>
      </c>
      <c r="Q168" s="301">
        <f t="shared" si="25"/>
        <v>475.76947253999998</v>
      </c>
      <c r="R168" s="301">
        <f t="shared" si="26"/>
        <v>2647.0778901600006</v>
      </c>
      <c r="S168" s="300">
        <f t="shared" si="27"/>
        <v>3122.8473627000008</v>
      </c>
    </row>
    <row r="169" spans="1:19" ht="15" x14ac:dyDescent="0.2">
      <c r="A169" s="49">
        <v>157</v>
      </c>
      <c r="B169" s="53" t="s">
        <v>95</v>
      </c>
      <c r="C169" s="33" t="s">
        <v>153</v>
      </c>
      <c r="D169" s="111">
        <v>898685.97</v>
      </c>
      <c r="E169" s="114">
        <v>260618.93129999994</v>
      </c>
      <c r="F169" s="114">
        <v>1042475.7251999999</v>
      </c>
      <c r="G169" s="114">
        <v>1303094.6564999998</v>
      </c>
      <c r="H169" s="254">
        <f t="shared" si="19"/>
        <v>206800</v>
      </c>
      <c r="I169" s="254">
        <v>1034000</v>
      </c>
      <c r="J169" s="258">
        <f t="shared" si="20"/>
        <v>1240800</v>
      </c>
      <c r="K169" s="145">
        <f>28463.20312-1000</f>
        <v>27463.203119999998</v>
      </c>
      <c r="L169" s="145">
        <v>113852.81248000002</v>
      </c>
      <c r="M169" s="142">
        <f t="shared" si="21"/>
        <v>141316.01560000001</v>
      </c>
      <c r="N169" s="99">
        <f t="shared" si="22"/>
        <v>27463.203119999998</v>
      </c>
      <c r="O169" s="73">
        <f t="shared" si="23"/>
        <v>113852.81248000002</v>
      </c>
      <c r="P169" s="73">
        <f t="shared" si="24"/>
        <v>141316.01560000001</v>
      </c>
      <c r="Q169" s="301">
        <f t="shared" si="25"/>
        <v>25540.778901599999</v>
      </c>
      <c r="R169" s="301">
        <f t="shared" si="26"/>
        <v>105883.11560640002</v>
      </c>
      <c r="S169" s="300">
        <f t="shared" si="27"/>
        <v>131423.89450800003</v>
      </c>
    </row>
    <row r="170" spans="1:19" ht="15" x14ac:dyDescent="0.2">
      <c r="A170" s="49">
        <v>158</v>
      </c>
      <c r="B170" s="53" t="s">
        <v>228</v>
      </c>
      <c r="C170" s="33" t="s">
        <v>153</v>
      </c>
      <c r="D170" s="111">
        <v>2371.9335933333336</v>
      </c>
      <c r="E170" s="114">
        <v>711.58007799999996</v>
      </c>
      <c r="F170" s="114">
        <v>2846.3203120000007</v>
      </c>
      <c r="G170" s="114">
        <v>3557.9003900000007</v>
      </c>
      <c r="H170" s="254">
        <f t="shared" si="19"/>
        <v>600</v>
      </c>
      <c r="I170" s="254">
        <v>3000</v>
      </c>
      <c r="J170" s="258">
        <f t="shared" si="20"/>
        <v>3600</v>
      </c>
      <c r="K170" s="145">
        <f>43500-500</f>
        <v>43000</v>
      </c>
      <c r="L170" s="145">
        <v>174000</v>
      </c>
      <c r="M170" s="142">
        <f t="shared" si="21"/>
        <v>217000</v>
      </c>
      <c r="N170" s="99">
        <f t="shared" si="22"/>
        <v>600</v>
      </c>
      <c r="O170" s="73">
        <f t="shared" si="23"/>
        <v>2846.3203120000007</v>
      </c>
      <c r="P170" s="73">
        <f t="shared" si="24"/>
        <v>3446.3203120000007</v>
      </c>
      <c r="Q170" s="301">
        <f t="shared" si="25"/>
        <v>558</v>
      </c>
      <c r="R170" s="301">
        <f t="shared" si="26"/>
        <v>2647.0778901600006</v>
      </c>
      <c r="S170" s="300">
        <f t="shared" si="27"/>
        <v>3205.0778901600006</v>
      </c>
    </row>
    <row r="171" spans="1:19" ht="15" x14ac:dyDescent="0.2">
      <c r="A171" s="49">
        <v>159</v>
      </c>
      <c r="B171" s="53" t="s">
        <v>229</v>
      </c>
      <c r="C171" s="33" t="s">
        <v>153</v>
      </c>
      <c r="D171" s="111">
        <v>94877.343733333342</v>
      </c>
      <c r="E171" s="114">
        <v>28463.203119999991</v>
      </c>
      <c r="F171" s="114">
        <v>113852.81248000002</v>
      </c>
      <c r="G171" s="114">
        <v>142316.01560000001</v>
      </c>
      <c r="H171" s="254">
        <f t="shared" si="19"/>
        <v>22000</v>
      </c>
      <c r="I171" s="254">
        <v>110000</v>
      </c>
      <c r="J171" s="258">
        <f t="shared" si="20"/>
        <v>132000</v>
      </c>
      <c r="K171" s="145">
        <f>186890.888960111-1000</f>
        <v>185890.88896011101</v>
      </c>
      <c r="L171" s="145">
        <v>747563.55584044417</v>
      </c>
      <c r="M171" s="142">
        <f t="shared" si="21"/>
        <v>933454.44480055524</v>
      </c>
      <c r="N171" s="99">
        <f t="shared" si="22"/>
        <v>22000</v>
      </c>
      <c r="O171" s="73">
        <f t="shared" si="23"/>
        <v>110000</v>
      </c>
      <c r="P171" s="73">
        <f t="shared" si="24"/>
        <v>132000</v>
      </c>
      <c r="Q171" s="301">
        <f t="shared" si="25"/>
        <v>20460</v>
      </c>
      <c r="R171" s="301">
        <f t="shared" si="26"/>
        <v>102300</v>
      </c>
      <c r="S171" s="300">
        <f t="shared" si="27"/>
        <v>122760</v>
      </c>
    </row>
    <row r="172" spans="1:19" ht="15" x14ac:dyDescent="0.2">
      <c r="A172" s="49">
        <v>160</v>
      </c>
      <c r="B172" s="53" t="s">
        <v>241</v>
      </c>
      <c r="C172" s="33" t="s">
        <v>153</v>
      </c>
      <c r="D172" s="111">
        <v>150000</v>
      </c>
      <c r="E172" s="114">
        <v>43500</v>
      </c>
      <c r="F172" s="114">
        <v>174000</v>
      </c>
      <c r="G172" s="114">
        <v>217500</v>
      </c>
      <c r="H172" s="254">
        <f t="shared" si="19"/>
        <v>34000</v>
      </c>
      <c r="I172" s="254">
        <v>170000</v>
      </c>
      <c r="J172" s="258">
        <f t="shared" si="20"/>
        <v>204000</v>
      </c>
      <c r="K172" s="145">
        <f>217710.918764318-1000</f>
        <v>216710.91876431799</v>
      </c>
      <c r="L172" s="145">
        <v>870843.67505727196</v>
      </c>
      <c r="M172" s="142">
        <f t="shared" si="21"/>
        <v>1087554.5938215898</v>
      </c>
      <c r="N172" s="99">
        <f t="shared" si="22"/>
        <v>34000</v>
      </c>
      <c r="O172" s="73">
        <f t="shared" si="23"/>
        <v>170000</v>
      </c>
      <c r="P172" s="73">
        <f t="shared" si="24"/>
        <v>204000</v>
      </c>
      <c r="Q172" s="301">
        <f t="shared" si="25"/>
        <v>31620</v>
      </c>
      <c r="R172" s="301">
        <f t="shared" si="26"/>
        <v>158100</v>
      </c>
      <c r="S172" s="300">
        <f t="shared" si="27"/>
        <v>189720</v>
      </c>
    </row>
    <row r="173" spans="1:19" ht="15" x14ac:dyDescent="0.2">
      <c r="A173" s="49">
        <v>161</v>
      </c>
      <c r="B173" s="47" t="s">
        <v>85</v>
      </c>
      <c r="C173" s="33" t="s">
        <v>153</v>
      </c>
      <c r="D173" s="111">
        <v>644451.34124176216</v>
      </c>
      <c r="E173" s="114">
        <v>186890.88896011095</v>
      </c>
      <c r="F173" s="114">
        <v>747563.55584044417</v>
      </c>
      <c r="G173" s="114">
        <v>934454.44480055512</v>
      </c>
      <c r="H173" s="254">
        <f t="shared" si="19"/>
        <v>128000</v>
      </c>
      <c r="I173" s="254">
        <v>640000</v>
      </c>
      <c r="J173" s="258">
        <f t="shared" si="20"/>
        <v>768000</v>
      </c>
      <c r="K173" s="145">
        <f>154578.02074189-1000</f>
        <v>153578.02074189001</v>
      </c>
      <c r="L173" s="145">
        <v>618312.08296755864</v>
      </c>
      <c r="M173" s="142">
        <f t="shared" si="21"/>
        <v>771890.10370944859</v>
      </c>
      <c r="N173" s="99">
        <f t="shared" si="22"/>
        <v>128000</v>
      </c>
      <c r="O173" s="73">
        <f t="shared" si="23"/>
        <v>618312.08296755864</v>
      </c>
      <c r="P173" s="73">
        <f t="shared" si="24"/>
        <v>746312.08296755864</v>
      </c>
      <c r="Q173" s="301">
        <f t="shared" si="25"/>
        <v>119040</v>
      </c>
      <c r="R173" s="301">
        <f t="shared" si="26"/>
        <v>575030.23715982959</v>
      </c>
      <c r="S173" s="300">
        <f t="shared" si="27"/>
        <v>694070.23715982959</v>
      </c>
    </row>
    <row r="174" spans="1:19" ht="15" x14ac:dyDescent="0.25">
      <c r="A174" s="49">
        <v>162</v>
      </c>
      <c r="B174" s="38" t="s">
        <v>237</v>
      </c>
      <c r="C174" s="33" t="s">
        <v>153</v>
      </c>
      <c r="D174" s="111">
        <v>750727.3060838551</v>
      </c>
      <c r="E174" s="114">
        <v>217710.91876431787</v>
      </c>
      <c r="F174" s="114">
        <v>870843.67505727196</v>
      </c>
      <c r="G174" s="114">
        <v>1088554.5938215898</v>
      </c>
      <c r="H174" s="254">
        <f t="shared" si="19"/>
        <v>174000</v>
      </c>
      <c r="I174" s="254">
        <v>870000</v>
      </c>
      <c r="J174" s="258">
        <f t="shared" si="20"/>
        <v>1044000</v>
      </c>
      <c r="K174" s="145">
        <f>151698.626237874-1000</f>
        <v>150698.62623787401</v>
      </c>
      <c r="L174" s="145">
        <v>606794.50495149649</v>
      </c>
      <c r="M174" s="142">
        <f t="shared" si="21"/>
        <v>757493.13118937053</v>
      </c>
      <c r="N174" s="99">
        <f t="shared" si="22"/>
        <v>150698.62623787401</v>
      </c>
      <c r="O174" s="73">
        <f t="shared" si="23"/>
        <v>606794.50495149649</v>
      </c>
      <c r="P174" s="73">
        <f t="shared" si="24"/>
        <v>757493.13118937053</v>
      </c>
      <c r="Q174" s="301">
        <f t="shared" si="25"/>
        <v>140149.72240122283</v>
      </c>
      <c r="R174" s="301">
        <f t="shared" si="26"/>
        <v>564318.88960489177</v>
      </c>
      <c r="S174" s="300">
        <f t="shared" si="27"/>
        <v>704468.61200611456</v>
      </c>
    </row>
    <row r="175" spans="1:19" ht="15" x14ac:dyDescent="0.25">
      <c r="A175" s="49">
        <v>163</v>
      </c>
      <c r="B175" s="38" t="s">
        <v>238</v>
      </c>
      <c r="C175" s="33" t="s">
        <v>153</v>
      </c>
      <c r="D175" s="111">
        <v>533027.657730654</v>
      </c>
      <c r="E175" s="114">
        <v>154578.0207418896</v>
      </c>
      <c r="F175" s="114">
        <v>618312.08296755864</v>
      </c>
      <c r="G175" s="114">
        <v>772890.10370944825</v>
      </c>
      <c r="H175" s="254">
        <f t="shared" si="19"/>
        <v>125600</v>
      </c>
      <c r="I175" s="254">
        <v>628000</v>
      </c>
      <c r="J175" s="258">
        <f t="shared" si="20"/>
        <v>753600</v>
      </c>
      <c r="K175" s="145">
        <f>196399.791940576-1000</f>
        <v>195399.79194057599</v>
      </c>
      <c r="L175" s="145">
        <v>785599.16776230407</v>
      </c>
      <c r="M175" s="142">
        <f t="shared" si="21"/>
        <v>980998.95970288012</v>
      </c>
      <c r="N175" s="99">
        <f t="shared" si="22"/>
        <v>125600</v>
      </c>
      <c r="O175" s="73">
        <f t="shared" si="23"/>
        <v>618312.08296755864</v>
      </c>
      <c r="P175" s="73">
        <f t="shared" si="24"/>
        <v>743912.08296755864</v>
      </c>
      <c r="Q175" s="301">
        <f t="shared" si="25"/>
        <v>116808</v>
      </c>
      <c r="R175" s="301">
        <f t="shared" si="26"/>
        <v>575030.23715982959</v>
      </c>
      <c r="S175" s="300">
        <f t="shared" si="27"/>
        <v>691838.23715982959</v>
      </c>
    </row>
    <row r="176" spans="1:19" ht="15" x14ac:dyDescent="0.25">
      <c r="A176" s="49">
        <v>164</v>
      </c>
      <c r="B176" s="38" t="s">
        <v>233</v>
      </c>
      <c r="C176" s="33" t="s">
        <v>153</v>
      </c>
      <c r="D176" s="111">
        <v>523098.71116508322</v>
      </c>
      <c r="E176" s="114">
        <v>151698.62623787415</v>
      </c>
      <c r="F176" s="114">
        <v>606794.50495149649</v>
      </c>
      <c r="G176" s="114">
        <v>758493.13118937064</v>
      </c>
      <c r="H176" s="254">
        <f t="shared" si="19"/>
        <v>122000</v>
      </c>
      <c r="I176" s="254">
        <v>610000</v>
      </c>
      <c r="J176" s="258">
        <f t="shared" si="20"/>
        <v>732000</v>
      </c>
      <c r="K176" s="145">
        <f>189439.237288987-1000</f>
        <v>188439.237288987</v>
      </c>
      <c r="L176" s="145">
        <v>757756.94915594638</v>
      </c>
      <c r="M176" s="142">
        <f t="shared" si="21"/>
        <v>946196.18644493341</v>
      </c>
      <c r="N176" s="99">
        <f t="shared" si="22"/>
        <v>122000</v>
      </c>
      <c r="O176" s="73">
        <f t="shared" si="23"/>
        <v>606794.50495149649</v>
      </c>
      <c r="P176" s="73">
        <f t="shared" si="24"/>
        <v>728794.50495149649</v>
      </c>
      <c r="Q176" s="301">
        <f t="shared" si="25"/>
        <v>113460</v>
      </c>
      <c r="R176" s="301">
        <f t="shared" si="26"/>
        <v>564318.88960489177</v>
      </c>
      <c r="S176" s="300">
        <f t="shared" si="27"/>
        <v>677778.88960489177</v>
      </c>
    </row>
    <row r="177" spans="1:19" ht="15" x14ac:dyDescent="0.2">
      <c r="A177" s="49">
        <v>165</v>
      </c>
      <c r="B177" s="47" t="s">
        <v>84</v>
      </c>
      <c r="C177" s="33" t="s">
        <v>153</v>
      </c>
      <c r="D177" s="111">
        <v>677240.6618640552</v>
      </c>
      <c r="E177" s="114">
        <v>196399.79194057593</v>
      </c>
      <c r="F177" s="114">
        <v>785599.16776230407</v>
      </c>
      <c r="G177" s="114">
        <v>981998.95970288001</v>
      </c>
      <c r="H177" s="254">
        <f t="shared" si="19"/>
        <v>147000</v>
      </c>
      <c r="I177" s="254">
        <v>735000</v>
      </c>
      <c r="J177" s="258">
        <f t="shared" si="20"/>
        <v>882000</v>
      </c>
      <c r="K177" s="145">
        <f>28050.1450079631-1000</f>
        <v>27050.145007963099</v>
      </c>
      <c r="L177" s="145">
        <v>112200.58003185259</v>
      </c>
      <c r="M177" s="142">
        <f t="shared" si="21"/>
        <v>139250.72503981568</v>
      </c>
      <c r="N177" s="99">
        <f t="shared" si="22"/>
        <v>27050.145007963099</v>
      </c>
      <c r="O177" s="73">
        <f t="shared" si="23"/>
        <v>112200.58003185259</v>
      </c>
      <c r="P177" s="73">
        <f t="shared" si="24"/>
        <v>139250.72503981568</v>
      </c>
      <c r="Q177" s="301">
        <f t="shared" si="25"/>
        <v>25156.634857405683</v>
      </c>
      <c r="R177" s="301">
        <f t="shared" si="26"/>
        <v>104346.53942962291</v>
      </c>
      <c r="S177" s="300">
        <f t="shared" si="27"/>
        <v>129503.17428702858</v>
      </c>
    </row>
    <row r="178" spans="1:19" ht="15" x14ac:dyDescent="0.2">
      <c r="A178" s="49">
        <v>166</v>
      </c>
      <c r="B178" s="47" t="s">
        <v>236</v>
      </c>
      <c r="C178" s="33" t="s">
        <v>153</v>
      </c>
      <c r="D178" s="111">
        <v>653238.74927236757</v>
      </c>
      <c r="E178" s="114">
        <v>189439.23728898657</v>
      </c>
      <c r="F178" s="114">
        <v>757756.94915594638</v>
      </c>
      <c r="G178" s="114">
        <v>947196.18644493294</v>
      </c>
      <c r="H178" s="254">
        <f t="shared" si="19"/>
        <v>152000</v>
      </c>
      <c r="I178" s="254">
        <v>760000</v>
      </c>
      <c r="J178" s="258">
        <f t="shared" si="20"/>
        <v>912000</v>
      </c>
      <c r="K178" s="145">
        <f>89244.3910601324-1000</f>
        <v>88244.391060132402</v>
      </c>
      <c r="L178" s="145">
        <v>356977.56424052961</v>
      </c>
      <c r="M178" s="142">
        <f t="shared" si="21"/>
        <v>445221.95530066203</v>
      </c>
      <c r="N178" s="99">
        <f t="shared" si="22"/>
        <v>88244.391060132402</v>
      </c>
      <c r="O178" s="73">
        <f t="shared" si="23"/>
        <v>356977.56424052961</v>
      </c>
      <c r="P178" s="73">
        <f t="shared" si="24"/>
        <v>445221.95530066203</v>
      </c>
      <c r="Q178" s="301">
        <f t="shared" si="25"/>
        <v>82067.283685923132</v>
      </c>
      <c r="R178" s="301">
        <f t="shared" si="26"/>
        <v>331989.13474369253</v>
      </c>
      <c r="S178" s="300">
        <f t="shared" si="27"/>
        <v>414056.41842961567</v>
      </c>
    </row>
    <row r="179" spans="1:19" ht="15" x14ac:dyDescent="0.2">
      <c r="A179" s="49">
        <v>167</v>
      </c>
      <c r="B179" s="53" t="s">
        <v>239</v>
      </c>
      <c r="C179" s="33" t="s">
        <v>153</v>
      </c>
      <c r="D179" s="111">
        <v>93500.483359877151</v>
      </c>
      <c r="E179" s="114">
        <v>28050.145007963147</v>
      </c>
      <c r="F179" s="114">
        <v>112200.58003185259</v>
      </c>
      <c r="G179" s="114">
        <v>140250.72503981573</v>
      </c>
      <c r="H179" s="254">
        <f t="shared" si="19"/>
        <v>22200</v>
      </c>
      <c r="I179" s="254">
        <v>111000</v>
      </c>
      <c r="J179" s="258">
        <f t="shared" si="20"/>
        <v>133200</v>
      </c>
      <c r="K179" s="145">
        <f>110200-1000</f>
        <v>109200</v>
      </c>
      <c r="L179" s="145">
        <v>440800</v>
      </c>
      <c r="M179" s="142">
        <f t="shared" si="21"/>
        <v>550000</v>
      </c>
      <c r="N179" s="99">
        <f t="shared" si="22"/>
        <v>22200</v>
      </c>
      <c r="O179" s="73">
        <f t="shared" si="23"/>
        <v>111000</v>
      </c>
      <c r="P179" s="73">
        <f t="shared" si="24"/>
        <v>133200</v>
      </c>
      <c r="Q179" s="301">
        <f t="shared" si="25"/>
        <v>20646</v>
      </c>
      <c r="R179" s="301">
        <f t="shared" si="26"/>
        <v>103230</v>
      </c>
      <c r="S179" s="300">
        <f t="shared" si="27"/>
        <v>123876</v>
      </c>
    </row>
    <row r="180" spans="1:19" ht="15" x14ac:dyDescent="0.2">
      <c r="A180" s="49">
        <v>168</v>
      </c>
      <c r="B180" s="53" t="s">
        <v>240</v>
      </c>
      <c r="C180" s="33" t="s">
        <v>153</v>
      </c>
      <c r="D180" s="111">
        <v>307739.27951769793</v>
      </c>
      <c r="E180" s="114">
        <v>89244.391060132359</v>
      </c>
      <c r="F180" s="114">
        <v>356977.56424052961</v>
      </c>
      <c r="G180" s="114">
        <v>446221.95530066197</v>
      </c>
      <c r="H180" s="254">
        <f t="shared" si="19"/>
        <v>72000</v>
      </c>
      <c r="I180" s="254">
        <v>360000</v>
      </c>
      <c r="J180" s="258">
        <f t="shared" si="20"/>
        <v>432000</v>
      </c>
      <c r="K180" s="145">
        <f>70609.3479-1000</f>
        <v>69609.347899999993</v>
      </c>
      <c r="L180" s="145">
        <v>282437.39160000003</v>
      </c>
      <c r="M180" s="142">
        <f t="shared" si="21"/>
        <v>352046.73950000003</v>
      </c>
      <c r="N180" s="99">
        <f t="shared" si="22"/>
        <v>69609.347899999993</v>
      </c>
      <c r="O180" s="73">
        <f t="shared" si="23"/>
        <v>282437.39160000003</v>
      </c>
      <c r="P180" s="73">
        <f t="shared" si="24"/>
        <v>352046.73950000003</v>
      </c>
      <c r="Q180" s="301">
        <f t="shared" si="25"/>
        <v>64736.693546999995</v>
      </c>
      <c r="R180" s="301">
        <f t="shared" si="26"/>
        <v>262666.77418800001</v>
      </c>
      <c r="S180" s="300">
        <f t="shared" si="27"/>
        <v>327403.46773500001</v>
      </c>
    </row>
    <row r="181" spans="1:19" ht="15" x14ac:dyDescent="0.2">
      <c r="A181" s="49">
        <v>169</v>
      </c>
      <c r="B181" s="53" t="s">
        <v>428</v>
      </c>
      <c r="C181" s="33" t="s">
        <v>153</v>
      </c>
      <c r="D181" s="111">
        <v>380000</v>
      </c>
      <c r="E181" s="114">
        <v>110200</v>
      </c>
      <c r="F181" s="114">
        <v>440800</v>
      </c>
      <c r="G181" s="114">
        <v>551000</v>
      </c>
      <c r="H181" s="254">
        <f t="shared" si="19"/>
        <v>76200</v>
      </c>
      <c r="I181" s="254">
        <v>381000</v>
      </c>
      <c r="J181" s="258">
        <f t="shared" si="20"/>
        <v>457200</v>
      </c>
      <c r="K181" s="145">
        <f>178496.864631153-1000</f>
        <v>177496.864631153</v>
      </c>
      <c r="L181" s="145">
        <v>713987.45852461318</v>
      </c>
      <c r="M181" s="142">
        <f t="shared" si="21"/>
        <v>891484.32315576612</v>
      </c>
      <c r="N181" s="99">
        <f t="shared" si="22"/>
        <v>76200</v>
      </c>
      <c r="O181" s="73">
        <f t="shared" si="23"/>
        <v>381000</v>
      </c>
      <c r="P181" s="73">
        <f t="shared" si="24"/>
        <v>457200</v>
      </c>
      <c r="Q181" s="301">
        <f t="shared" si="25"/>
        <v>70866</v>
      </c>
      <c r="R181" s="301">
        <f t="shared" si="26"/>
        <v>354330</v>
      </c>
      <c r="S181" s="300">
        <f t="shared" si="27"/>
        <v>425196</v>
      </c>
    </row>
    <row r="182" spans="1:19" ht="15" x14ac:dyDescent="0.2">
      <c r="A182" s="49">
        <v>170</v>
      </c>
      <c r="B182" s="53" t="s">
        <v>272</v>
      </c>
      <c r="C182" s="33" t="s">
        <v>153</v>
      </c>
      <c r="D182" s="111">
        <v>243480.51</v>
      </c>
      <c r="E182" s="114">
        <v>70609.347899999993</v>
      </c>
      <c r="F182" s="114">
        <v>282437.39160000003</v>
      </c>
      <c r="G182" s="114">
        <v>353046.73950000003</v>
      </c>
      <c r="H182" s="254">
        <f t="shared" si="19"/>
        <v>61600</v>
      </c>
      <c r="I182" s="254">
        <v>308000</v>
      </c>
      <c r="J182" s="258">
        <f t="shared" si="20"/>
        <v>369600</v>
      </c>
      <c r="K182" s="145">
        <f>58934.9752283893-1000</f>
        <v>57934.975228389303</v>
      </c>
      <c r="L182" s="145">
        <v>235739.90091355727</v>
      </c>
      <c r="M182" s="142">
        <f t="shared" si="21"/>
        <v>293674.87614194659</v>
      </c>
      <c r="N182" s="99">
        <f t="shared" si="22"/>
        <v>57934.975228389303</v>
      </c>
      <c r="O182" s="73">
        <f t="shared" si="23"/>
        <v>235739.90091355727</v>
      </c>
      <c r="P182" s="73">
        <f t="shared" si="24"/>
        <v>293674.87614194659</v>
      </c>
      <c r="Q182" s="301">
        <f t="shared" si="25"/>
        <v>53879.526962402051</v>
      </c>
      <c r="R182" s="301">
        <f t="shared" si="26"/>
        <v>219238.10784960826</v>
      </c>
      <c r="S182" s="300">
        <f t="shared" si="27"/>
        <v>273117.63481201034</v>
      </c>
    </row>
    <row r="183" spans="1:19" ht="15" x14ac:dyDescent="0.2">
      <c r="A183" s="49">
        <v>171</v>
      </c>
      <c r="B183" s="53" t="s">
        <v>273</v>
      </c>
      <c r="C183" s="33" t="s">
        <v>153</v>
      </c>
      <c r="D183" s="111">
        <v>615506.42976259755</v>
      </c>
      <c r="E183" s="114">
        <v>178496.86463115329</v>
      </c>
      <c r="F183" s="114">
        <v>713987.45852461318</v>
      </c>
      <c r="G183" s="114">
        <v>892484.32315576647</v>
      </c>
      <c r="H183" s="254">
        <f t="shared" si="19"/>
        <v>145200</v>
      </c>
      <c r="I183" s="254">
        <v>726000</v>
      </c>
      <c r="J183" s="258">
        <f t="shared" si="20"/>
        <v>871200</v>
      </c>
      <c r="K183" s="145">
        <f>187098.121842133-1000</f>
        <v>186098.121842133</v>
      </c>
      <c r="L183" s="145">
        <v>748392.48736853339</v>
      </c>
      <c r="M183" s="142">
        <f t="shared" si="21"/>
        <v>934490.60921066639</v>
      </c>
      <c r="N183" s="99">
        <f t="shared" si="22"/>
        <v>145200</v>
      </c>
      <c r="O183" s="73">
        <f t="shared" si="23"/>
        <v>713987.45852461318</v>
      </c>
      <c r="P183" s="73">
        <f t="shared" si="24"/>
        <v>859187.45852461318</v>
      </c>
      <c r="Q183" s="301">
        <f t="shared" si="25"/>
        <v>135036</v>
      </c>
      <c r="R183" s="301">
        <f t="shared" si="26"/>
        <v>664008.33642789023</v>
      </c>
      <c r="S183" s="300">
        <f t="shared" si="27"/>
        <v>799044.33642789023</v>
      </c>
    </row>
    <row r="184" spans="1:19" ht="15" x14ac:dyDescent="0.2">
      <c r="A184" s="49">
        <v>172</v>
      </c>
      <c r="B184" s="53" t="s">
        <v>94</v>
      </c>
      <c r="C184" s="33" t="s">
        <v>153</v>
      </c>
      <c r="D184" s="111">
        <v>203224.0525116873</v>
      </c>
      <c r="E184" s="114">
        <v>58934.975228389318</v>
      </c>
      <c r="F184" s="114">
        <v>235739.90091355727</v>
      </c>
      <c r="G184" s="114">
        <v>294674.87614194659</v>
      </c>
      <c r="H184" s="254">
        <f t="shared" si="19"/>
        <v>47600</v>
      </c>
      <c r="I184" s="254">
        <v>238000</v>
      </c>
      <c r="J184" s="258">
        <f t="shared" si="20"/>
        <v>285600</v>
      </c>
      <c r="K184" s="145">
        <f>5806.49343648-1000</f>
        <v>4806.4934364800001</v>
      </c>
      <c r="L184" s="145">
        <v>23225.973745919997</v>
      </c>
      <c r="M184" s="142">
        <f t="shared" si="21"/>
        <v>28032.467182399996</v>
      </c>
      <c r="N184" s="99">
        <f t="shared" si="22"/>
        <v>4806.4934364800001</v>
      </c>
      <c r="O184" s="73">
        <f t="shared" si="23"/>
        <v>23225.973745919997</v>
      </c>
      <c r="P184" s="73">
        <f t="shared" si="24"/>
        <v>28032.467182399996</v>
      </c>
      <c r="Q184" s="301">
        <f t="shared" si="25"/>
        <v>4470.0388959264001</v>
      </c>
      <c r="R184" s="301">
        <f t="shared" si="26"/>
        <v>21600.155583705597</v>
      </c>
      <c r="S184" s="300">
        <f t="shared" si="27"/>
        <v>26070.194479631995</v>
      </c>
    </row>
    <row r="185" spans="1:19" ht="15" x14ac:dyDescent="0.25">
      <c r="A185" s="49">
        <v>173</v>
      </c>
      <c r="B185" s="50" t="s">
        <v>383</v>
      </c>
      <c r="C185" s="33" t="s">
        <v>153</v>
      </c>
      <c r="D185" s="111">
        <v>645165.93738666666</v>
      </c>
      <c r="E185" s="114">
        <v>187098.12184213323</v>
      </c>
      <c r="F185" s="114">
        <v>748392.48736853339</v>
      </c>
      <c r="G185" s="114">
        <v>935490.60921066662</v>
      </c>
      <c r="H185" s="254">
        <f t="shared" si="19"/>
        <v>124800</v>
      </c>
      <c r="I185" s="254">
        <v>624000</v>
      </c>
      <c r="J185" s="258">
        <f t="shared" si="20"/>
        <v>748800</v>
      </c>
      <c r="K185" s="145">
        <f>109642.05798-1000</f>
        <v>108642.05798</v>
      </c>
      <c r="L185" s="145">
        <v>438568.23192000011</v>
      </c>
      <c r="M185" s="142">
        <f t="shared" si="21"/>
        <v>547210.28990000009</v>
      </c>
      <c r="N185" s="99">
        <f t="shared" si="22"/>
        <v>108642.05798</v>
      </c>
      <c r="O185" s="73">
        <f t="shared" si="23"/>
        <v>438568.23192000011</v>
      </c>
      <c r="P185" s="73">
        <f t="shared" si="24"/>
        <v>547210.28990000009</v>
      </c>
      <c r="Q185" s="301">
        <f t="shared" si="25"/>
        <v>101037.1139214</v>
      </c>
      <c r="R185" s="301">
        <f t="shared" si="26"/>
        <v>407868.45568560011</v>
      </c>
      <c r="S185" s="300">
        <f t="shared" si="27"/>
        <v>508905.5696070001</v>
      </c>
    </row>
    <row r="186" spans="1:19" ht="15" x14ac:dyDescent="0.25">
      <c r="A186" s="49">
        <v>174</v>
      </c>
      <c r="B186" s="50" t="s">
        <v>231</v>
      </c>
      <c r="C186" s="33" t="s">
        <v>153</v>
      </c>
      <c r="D186" s="111">
        <v>19354.978121599997</v>
      </c>
      <c r="E186" s="114">
        <v>5806.4934364799992</v>
      </c>
      <c r="F186" s="114">
        <v>23225.973745919997</v>
      </c>
      <c r="G186" s="114">
        <v>29032.467182399996</v>
      </c>
      <c r="H186" s="254">
        <f t="shared" si="19"/>
        <v>4600</v>
      </c>
      <c r="I186" s="254">
        <v>23000</v>
      </c>
      <c r="J186" s="258">
        <f t="shared" si="20"/>
        <v>27600</v>
      </c>
      <c r="K186" s="145">
        <f>15000-1000</f>
        <v>14000</v>
      </c>
      <c r="L186" s="145">
        <v>60000</v>
      </c>
      <c r="M186" s="142">
        <f t="shared" si="21"/>
        <v>74000</v>
      </c>
      <c r="N186" s="99">
        <f t="shared" si="22"/>
        <v>4600</v>
      </c>
      <c r="O186" s="73">
        <f t="shared" si="23"/>
        <v>23000</v>
      </c>
      <c r="P186" s="73">
        <f t="shared" si="24"/>
        <v>27600</v>
      </c>
      <c r="Q186" s="301">
        <f t="shared" si="25"/>
        <v>4278</v>
      </c>
      <c r="R186" s="301">
        <f t="shared" si="26"/>
        <v>21390</v>
      </c>
      <c r="S186" s="300">
        <f t="shared" si="27"/>
        <v>25668</v>
      </c>
    </row>
    <row r="187" spans="1:19" ht="15" x14ac:dyDescent="0.25">
      <c r="A187" s="49">
        <v>175</v>
      </c>
      <c r="B187" s="57" t="s">
        <v>264</v>
      </c>
      <c r="C187" s="33" t="s">
        <v>153</v>
      </c>
      <c r="D187" s="111">
        <v>378076.06200000003</v>
      </c>
      <c r="E187" s="114">
        <v>109642.05797999998</v>
      </c>
      <c r="F187" s="114">
        <v>438568.23192000011</v>
      </c>
      <c r="G187" s="114">
        <v>548210.28990000009</v>
      </c>
      <c r="H187" s="254">
        <f t="shared" si="19"/>
        <v>94000</v>
      </c>
      <c r="I187" s="254">
        <v>470000</v>
      </c>
      <c r="J187" s="258">
        <f t="shared" si="20"/>
        <v>564000</v>
      </c>
      <c r="K187" s="145">
        <f>29612.647651703-1000</f>
        <v>28612.647651702999</v>
      </c>
      <c r="L187" s="145">
        <v>118450.59060681202</v>
      </c>
      <c r="M187" s="142">
        <f t="shared" si="21"/>
        <v>147063.23825851502</v>
      </c>
      <c r="N187" s="99">
        <f t="shared" si="22"/>
        <v>28612.647651702999</v>
      </c>
      <c r="O187" s="73">
        <f t="shared" si="23"/>
        <v>118450.59060681202</v>
      </c>
      <c r="P187" s="73">
        <f t="shared" si="24"/>
        <v>147063.23825851502</v>
      </c>
      <c r="Q187" s="301">
        <f t="shared" si="25"/>
        <v>26609.76231608379</v>
      </c>
      <c r="R187" s="301">
        <f t="shared" si="26"/>
        <v>110159.04926433518</v>
      </c>
      <c r="S187" s="300">
        <f t="shared" si="27"/>
        <v>136768.81158041896</v>
      </c>
    </row>
    <row r="188" spans="1:19" ht="22.5" x14ac:dyDescent="0.25">
      <c r="A188" s="49"/>
      <c r="B188" s="29" t="s">
        <v>44</v>
      </c>
      <c r="C188" s="33" t="s">
        <v>153</v>
      </c>
      <c r="D188" s="111"/>
      <c r="E188" s="114"/>
      <c r="F188" s="114"/>
      <c r="G188" s="114"/>
      <c r="H188" s="254">
        <f t="shared" si="19"/>
        <v>0</v>
      </c>
      <c r="I188" s="254"/>
      <c r="J188" s="258">
        <f t="shared" si="20"/>
        <v>0</v>
      </c>
      <c r="K188" s="145">
        <f>191078.30314291-1000</f>
        <v>190078.30314291001</v>
      </c>
      <c r="L188" s="145">
        <v>764313.21257163933</v>
      </c>
      <c r="M188" s="142">
        <f t="shared" si="21"/>
        <v>954391.51571454934</v>
      </c>
      <c r="N188" s="99">
        <f t="shared" si="22"/>
        <v>0</v>
      </c>
      <c r="O188" s="73">
        <f t="shared" si="23"/>
        <v>764313.21257163933</v>
      </c>
      <c r="P188" s="73">
        <f t="shared" si="24"/>
        <v>764313.21257163933</v>
      </c>
      <c r="Q188" s="301">
        <f t="shared" si="25"/>
        <v>0</v>
      </c>
      <c r="R188" s="301">
        <f t="shared" si="26"/>
        <v>710811.2876916246</v>
      </c>
      <c r="S188" s="300">
        <f t="shared" si="27"/>
        <v>710811.2876916246</v>
      </c>
    </row>
    <row r="189" spans="1:19" ht="15" x14ac:dyDescent="0.2">
      <c r="A189" s="49">
        <v>176</v>
      </c>
      <c r="B189" s="47" t="s">
        <v>86</v>
      </c>
      <c r="C189" s="33" t="s">
        <v>153</v>
      </c>
      <c r="D189" s="111">
        <v>98708.825505676679</v>
      </c>
      <c r="E189" s="114">
        <v>29612.647651702995</v>
      </c>
      <c r="F189" s="114">
        <v>118450.59060681202</v>
      </c>
      <c r="G189" s="114">
        <v>148063.23825851502</v>
      </c>
      <c r="H189" s="254">
        <f t="shared" si="19"/>
        <v>23400</v>
      </c>
      <c r="I189" s="254">
        <v>117000</v>
      </c>
      <c r="J189" s="258">
        <f t="shared" si="20"/>
        <v>140400</v>
      </c>
      <c r="K189" s="145">
        <f>120259.23-1000</f>
        <v>119259.23</v>
      </c>
      <c r="L189" s="145">
        <v>481036.92000000004</v>
      </c>
      <c r="M189" s="142">
        <f t="shared" si="21"/>
        <v>600296.15</v>
      </c>
      <c r="N189" s="99">
        <f t="shared" si="22"/>
        <v>23400</v>
      </c>
      <c r="O189" s="73">
        <f t="shared" si="23"/>
        <v>117000</v>
      </c>
      <c r="P189" s="73">
        <f t="shared" si="24"/>
        <v>140400</v>
      </c>
      <c r="Q189" s="301">
        <f t="shared" si="25"/>
        <v>21762</v>
      </c>
      <c r="R189" s="301">
        <f t="shared" si="26"/>
        <v>108810</v>
      </c>
      <c r="S189" s="300">
        <f t="shared" si="27"/>
        <v>130572</v>
      </c>
    </row>
    <row r="190" spans="1:19" ht="15" x14ac:dyDescent="0.25">
      <c r="A190" s="49">
        <v>177</v>
      </c>
      <c r="B190" s="50" t="s">
        <v>45</v>
      </c>
      <c r="C190" s="33" t="s">
        <v>153</v>
      </c>
      <c r="D190" s="111">
        <v>658890.70049279253</v>
      </c>
      <c r="E190" s="114">
        <v>191078.30314290978</v>
      </c>
      <c r="F190" s="114">
        <v>764313.21257163933</v>
      </c>
      <c r="G190" s="114">
        <v>955391.51571454911</v>
      </c>
      <c r="H190" s="254">
        <f t="shared" si="19"/>
        <v>153400</v>
      </c>
      <c r="I190" s="254">
        <v>767000</v>
      </c>
      <c r="J190" s="258">
        <f t="shared" si="20"/>
        <v>920400</v>
      </c>
      <c r="K190" s="145">
        <f>26128.8067515026-1000</f>
        <v>25128.806751502601</v>
      </c>
      <c r="L190" s="145">
        <v>104515.22700601059</v>
      </c>
      <c r="M190" s="142">
        <f t="shared" si="21"/>
        <v>129644.0337575132</v>
      </c>
      <c r="N190" s="99">
        <f t="shared" si="22"/>
        <v>25128.806751502601</v>
      </c>
      <c r="O190" s="73">
        <f t="shared" si="23"/>
        <v>104515.22700601059</v>
      </c>
      <c r="P190" s="73">
        <f t="shared" si="24"/>
        <v>129644.0337575132</v>
      </c>
      <c r="Q190" s="301">
        <f t="shared" si="25"/>
        <v>23369.790278897421</v>
      </c>
      <c r="R190" s="301">
        <f t="shared" si="26"/>
        <v>97199.161115589857</v>
      </c>
      <c r="S190" s="300">
        <f t="shared" si="27"/>
        <v>120568.95139448727</v>
      </c>
    </row>
    <row r="191" spans="1:19" ht="15" x14ac:dyDescent="0.25">
      <c r="A191" s="49">
        <v>178</v>
      </c>
      <c r="B191" s="40" t="s">
        <v>243</v>
      </c>
      <c r="C191" s="33" t="s">
        <v>153</v>
      </c>
      <c r="D191" s="111">
        <v>414687</v>
      </c>
      <c r="E191" s="114">
        <v>120259.22999999998</v>
      </c>
      <c r="F191" s="114">
        <v>481036.92000000004</v>
      </c>
      <c r="G191" s="114">
        <v>601296.15</v>
      </c>
      <c r="H191" s="254">
        <f t="shared" si="19"/>
        <v>105000</v>
      </c>
      <c r="I191" s="254">
        <v>525000</v>
      </c>
      <c r="J191" s="258">
        <f t="shared" si="20"/>
        <v>630000</v>
      </c>
      <c r="K191" s="145">
        <f>27870.7272016028-1000</f>
        <v>26870.7272016028</v>
      </c>
      <c r="L191" s="145">
        <v>111482.90880641132</v>
      </c>
      <c r="M191" s="142">
        <f t="shared" si="21"/>
        <v>138353.63600801412</v>
      </c>
      <c r="N191" s="99">
        <f t="shared" si="22"/>
        <v>26870.7272016028</v>
      </c>
      <c r="O191" s="73">
        <f t="shared" si="23"/>
        <v>111482.90880641132</v>
      </c>
      <c r="P191" s="73">
        <f t="shared" si="24"/>
        <v>138353.63600801412</v>
      </c>
      <c r="Q191" s="301">
        <f t="shared" si="25"/>
        <v>24989.776297490604</v>
      </c>
      <c r="R191" s="301">
        <f t="shared" si="26"/>
        <v>103679.10518996252</v>
      </c>
      <c r="S191" s="300">
        <f t="shared" si="27"/>
        <v>128668.88148745312</v>
      </c>
    </row>
    <row r="192" spans="1:19" ht="15" x14ac:dyDescent="0.25">
      <c r="A192" s="49">
        <v>179</v>
      </c>
      <c r="B192" s="50" t="s">
        <v>46</v>
      </c>
      <c r="C192" s="33" t="s">
        <v>153</v>
      </c>
      <c r="D192" s="111">
        <v>87096.022505008834</v>
      </c>
      <c r="E192" s="114">
        <v>26128.806751502649</v>
      </c>
      <c r="F192" s="114">
        <v>104515.22700601059</v>
      </c>
      <c r="G192" s="114">
        <v>130644.03375751324</v>
      </c>
      <c r="H192" s="254">
        <f t="shared" si="19"/>
        <v>20600</v>
      </c>
      <c r="I192" s="254">
        <v>103000</v>
      </c>
      <c r="J192" s="258">
        <f t="shared" si="20"/>
        <v>123600</v>
      </c>
      <c r="K192" s="145">
        <f>65359.2697636945-1000</f>
        <v>64359.269763694501</v>
      </c>
      <c r="L192" s="145">
        <v>261437.07905477798</v>
      </c>
      <c r="M192" s="142">
        <f t="shared" si="21"/>
        <v>325796.34881847247</v>
      </c>
      <c r="N192" s="99">
        <f t="shared" si="22"/>
        <v>20600</v>
      </c>
      <c r="O192" s="73">
        <f t="shared" si="23"/>
        <v>103000</v>
      </c>
      <c r="P192" s="73">
        <f t="shared" si="24"/>
        <v>123600</v>
      </c>
      <c r="Q192" s="301">
        <f t="shared" si="25"/>
        <v>19158</v>
      </c>
      <c r="R192" s="301">
        <f t="shared" si="26"/>
        <v>95790</v>
      </c>
      <c r="S192" s="300">
        <f t="shared" si="27"/>
        <v>114948</v>
      </c>
    </row>
    <row r="193" spans="1:19" ht="15" x14ac:dyDescent="0.2">
      <c r="A193" s="49">
        <v>180</v>
      </c>
      <c r="B193" s="47" t="s">
        <v>87</v>
      </c>
      <c r="C193" s="33" t="s">
        <v>153</v>
      </c>
      <c r="D193" s="111">
        <v>92902.424005342764</v>
      </c>
      <c r="E193" s="114">
        <v>27870.727201602829</v>
      </c>
      <c r="F193" s="114">
        <v>111482.90880641132</v>
      </c>
      <c r="G193" s="114">
        <v>139353.63600801415</v>
      </c>
      <c r="H193" s="254">
        <f t="shared" si="19"/>
        <v>22000</v>
      </c>
      <c r="I193" s="254">
        <v>110000</v>
      </c>
      <c r="J193" s="258">
        <f t="shared" si="20"/>
        <v>132000</v>
      </c>
      <c r="K193" s="145">
        <f>56971.3781009296-1000</f>
        <v>55971.3781009296</v>
      </c>
      <c r="L193" s="145">
        <v>227885.51240371849</v>
      </c>
      <c r="M193" s="142">
        <f t="shared" si="21"/>
        <v>283856.89050464809</v>
      </c>
      <c r="N193" s="99">
        <f t="shared" si="22"/>
        <v>22000</v>
      </c>
      <c r="O193" s="73">
        <f t="shared" si="23"/>
        <v>110000</v>
      </c>
      <c r="P193" s="73">
        <f t="shared" si="24"/>
        <v>132000</v>
      </c>
      <c r="Q193" s="301">
        <f t="shared" si="25"/>
        <v>20460</v>
      </c>
      <c r="R193" s="301">
        <f t="shared" si="26"/>
        <v>102300</v>
      </c>
      <c r="S193" s="300">
        <f t="shared" si="27"/>
        <v>122760</v>
      </c>
    </row>
    <row r="194" spans="1:19" ht="15" x14ac:dyDescent="0.25">
      <c r="A194" s="49">
        <v>181</v>
      </c>
      <c r="B194" s="46" t="s">
        <v>129</v>
      </c>
      <c r="C194" s="33" t="s">
        <v>153</v>
      </c>
      <c r="D194" s="111">
        <v>225376.79228860172</v>
      </c>
      <c r="E194" s="114">
        <v>65359.269763694494</v>
      </c>
      <c r="F194" s="114">
        <v>261437.07905477798</v>
      </c>
      <c r="G194" s="114">
        <v>326796.34881847247</v>
      </c>
      <c r="H194" s="254">
        <f t="shared" si="19"/>
        <v>51400</v>
      </c>
      <c r="I194" s="254">
        <v>257000</v>
      </c>
      <c r="J194" s="258">
        <f t="shared" si="20"/>
        <v>308400</v>
      </c>
      <c r="K194" s="145">
        <f>11186.6450923865-1000</f>
        <v>10186.6450923865</v>
      </c>
      <c r="L194" s="145">
        <v>44746.580369545823</v>
      </c>
      <c r="M194" s="142">
        <f t="shared" si="21"/>
        <v>54933.225461932321</v>
      </c>
      <c r="N194" s="99">
        <f t="shared" si="22"/>
        <v>10186.6450923865</v>
      </c>
      <c r="O194" s="73">
        <f t="shared" si="23"/>
        <v>44746.580369545823</v>
      </c>
      <c r="P194" s="73">
        <f t="shared" si="24"/>
        <v>54933.225461932321</v>
      </c>
      <c r="Q194" s="301">
        <f t="shared" si="25"/>
        <v>9473.5799359194443</v>
      </c>
      <c r="R194" s="301">
        <f t="shared" si="26"/>
        <v>41614.319743677617</v>
      </c>
      <c r="S194" s="300">
        <f t="shared" si="27"/>
        <v>51087.89967959706</v>
      </c>
    </row>
    <row r="195" spans="1:19" ht="33" customHeight="1" x14ac:dyDescent="0.25">
      <c r="A195" s="49"/>
      <c r="B195" s="29" t="s">
        <v>59</v>
      </c>
      <c r="C195" s="33" t="s">
        <v>153</v>
      </c>
      <c r="D195" s="111"/>
      <c r="E195" s="114"/>
      <c r="F195" s="114"/>
      <c r="G195" s="114"/>
      <c r="H195" s="254">
        <f t="shared" si="19"/>
        <v>0</v>
      </c>
      <c r="I195" s="254"/>
      <c r="J195" s="258">
        <f t="shared" si="20"/>
        <v>0</v>
      </c>
      <c r="K195" s="145"/>
      <c r="L195" s="145"/>
      <c r="M195" s="142"/>
      <c r="N195" s="99">
        <f t="shared" si="22"/>
        <v>0</v>
      </c>
      <c r="O195" s="73">
        <f t="shared" si="23"/>
        <v>0</v>
      </c>
      <c r="P195" s="73">
        <f t="shared" si="24"/>
        <v>0</v>
      </c>
      <c r="Q195" s="301">
        <f t="shared" si="25"/>
        <v>0</v>
      </c>
      <c r="R195" s="301">
        <f t="shared" si="26"/>
        <v>0</v>
      </c>
      <c r="S195" s="300">
        <f t="shared" si="27"/>
        <v>0</v>
      </c>
    </row>
    <row r="196" spans="1:19" ht="15" x14ac:dyDescent="0.25">
      <c r="A196" s="49">
        <v>182</v>
      </c>
      <c r="B196" s="50" t="s">
        <v>60</v>
      </c>
      <c r="C196" s="33" t="s">
        <v>153</v>
      </c>
      <c r="D196" s="111">
        <v>196453.02793424006</v>
      </c>
      <c r="E196" s="114">
        <v>56971.378100929607</v>
      </c>
      <c r="F196" s="114">
        <v>227885.51240371849</v>
      </c>
      <c r="G196" s="114">
        <v>284856.89050464809</v>
      </c>
      <c r="H196" s="254">
        <f t="shared" si="19"/>
        <v>24800</v>
      </c>
      <c r="I196" s="254">
        <v>124000</v>
      </c>
      <c r="J196" s="258">
        <f t="shared" si="20"/>
        <v>148800</v>
      </c>
      <c r="K196" s="145">
        <f>24881.22-1000</f>
        <v>23881.22</v>
      </c>
      <c r="L196" s="145">
        <v>99524.88</v>
      </c>
      <c r="M196" s="142">
        <f t="shared" si="21"/>
        <v>123406.1</v>
      </c>
      <c r="N196" s="99">
        <f t="shared" si="22"/>
        <v>23881.22</v>
      </c>
      <c r="O196" s="73">
        <f t="shared" si="23"/>
        <v>99524.88</v>
      </c>
      <c r="P196" s="73">
        <f t="shared" si="24"/>
        <v>123406.1</v>
      </c>
      <c r="Q196" s="301">
        <f t="shared" si="25"/>
        <v>22209.534599999999</v>
      </c>
      <c r="R196" s="301">
        <f t="shared" si="26"/>
        <v>92558.138399999996</v>
      </c>
      <c r="S196" s="300">
        <f t="shared" si="27"/>
        <v>114767.673</v>
      </c>
    </row>
    <row r="197" spans="1:19" ht="15" x14ac:dyDescent="0.25">
      <c r="A197" s="49">
        <v>183</v>
      </c>
      <c r="B197" s="50" t="s">
        <v>131</v>
      </c>
      <c r="C197" s="33" t="s">
        <v>153</v>
      </c>
      <c r="D197" s="111">
        <v>37288.816974621521</v>
      </c>
      <c r="E197" s="114">
        <v>11186.645092386454</v>
      </c>
      <c r="F197" s="114">
        <v>44746.580369545823</v>
      </c>
      <c r="G197" s="114">
        <v>55933.225461932278</v>
      </c>
      <c r="H197" s="254">
        <f t="shared" si="19"/>
        <v>9400</v>
      </c>
      <c r="I197" s="254">
        <v>47000</v>
      </c>
      <c r="J197" s="258">
        <f t="shared" si="20"/>
        <v>56400</v>
      </c>
      <c r="K197" s="145">
        <f>16258.181622144-1000</f>
        <v>15258.181622144</v>
      </c>
      <c r="L197" s="145">
        <v>65032.726488576016</v>
      </c>
      <c r="M197" s="142">
        <f t="shared" si="21"/>
        <v>80290.908110720018</v>
      </c>
      <c r="N197" s="99">
        <f t="shared" si="22"/>
        <v>9400</v>
      </c>
      <c r="O197" s="73">
        <f t="shared" si="23"/>
        <v>44746.580369545823</v>
      </c>
      <c r="P197" s="73">
        <f t="shared" si="24"/>
        <v>54146.580369545823</v>
      </c>
      <c r="Q197" s="301">
        <f t="shared" si="25"/>
        <v>8742</v>
      </c>
      <c r="R197" s="301">
        <f t="shared" si="26"/>
        <v>41614.319743677617</v>
      </c>
      <c r="S197" s="300">
        <f t="shared" si="27"/>
        <v>50356.319743677617</v>
      </c>
    </row>
    <row r="198" spans="1:19" ht="15" x14ac:dyDescent="0.25">
      <c r="A198" s="49">
        <v>184</v>
      </c>
      <c r="B198" s="50" t="s">
        <v>429</v>
      </c>
      <c r="C198" s="33" t="s">
        <v>153</v>
      </c>
      <c r="D198" s="111">
        <v>82937.399999999994</v>
      </c>
      <c r="E198" s="114">
        <v>24881.219999999987</v>
      </c>
      <c r="F198" s="114">
        <v>99524.88</v>
      </c>
      <c r="G198" s="114">
        <v>124406.09999999999</v>
      </c>
      <c r="H198" s="254">
        <f t="shared" ref="H198:H250" si="28">+I198*20%</f>
        <v>15000</v>
      </c>
      <c r="I198" s="254">
        <v>75000</v>
      </c>
      <c r="J198" s="258">
        <f t="shared" ref="J198:J250" si="29">+I198+H198</f>
        <v>90000</v>
      </c>
      <c r="K198" s="145">
        <f>56128.3233223699-1000</f>
        <v>55128.323322369899</v>
      </c>
      <c r="L198" s="145">
        <v>224513.29328947968</v>
      </c>
      <c r="M198" s="142">
        <f t="shared" ref="M198:M250" si="30">K198+L198</f>
        <v>279641.61661184957</v>
      </c>
      <c r="N198" s="99">
        <f t="shared" ref="N198:N250" si="31">MIN(E198,H198,K198)</f>
        <v>15000</v>
      </c>
      <c r="O198" s="73">
        <f t="shared" ref="O198:O250" si="32">MIN(F198,I198,L198)</f>
        <v>75000</v>
      </c>
      <c r="P198" s="73">
        <f t="shared" ref="P198:P250" si="33">O198+N198</f>
        <v>90000</v>
      </c>
      <c r="Q198" s="301">
        <f t="shared" ref="Q198:Q252" si="34">N198-(N198*7%)</f>
        <v>13950</v>
      </c>
      <c r="R198" s="301">
        <f t="shared" ref="R198:R252" si="35">O198-(O198*7%)</f>
        <v>69750</v>
      </c>
      <c r="S198" s="300">
        <f t="shared" ref="S198:S252" si="36">R198+Q198</f>
        <v>83700</v>
      </c>
    </row>
    <row r="199" spans="1:19" ht="15" x14ac:dyDescent="0.25">
      <c r="A199" s="49">
        <v>185</v>
      </c>
      <c r="B199" s="50" t="s">
        <v>61</v>
      </c>
      <c r="C199" s="33" t="s">
        <v>153</v>
      </c>
      <c r="D199" s="111">
        <v>54193.938740480007</v>
      </c>
      <c r="E199" s="114">
        <v>16258.181622144002</v>
      </c>
      <c r="F199" s="114">
        <v>65032.726488576016</v>
      </c>
      <c r="G199" s="114">
        <v>81290.908110720018</v>
      </c>
      <c r="H199" s="254">
        <f t="shared" si="28"/>
        <v>12800</v>
      </c>
      <c r="I199" s="254">
        <v>64000</v>
      </c>
      <c r="J199" s="258">
        <f t="shared" si="29"/>
        <v>76800</v>
      </c>
      <c r="K199" s="145">
        <f>70205.3631197794-1000</f>
        <v>69205.363119779402</v>
      </c>
      <c r="L199" s="145">
        <v>280821.4524791179</v>
      </c>
      <c r="M199" s="142">
        <f t="shared" si="30"/>
        <v>350026.81559889729</v>
      </c>
      <c r="N199" s="99">
        <f t="shared" si="31"/>
        <v>12800</v>
      </c>
      <c r="O199" s="73">
        <f t="shared" si="32"/>
        <v>64000</v>
      </c>
      <c r="P199" s="73">
        <f t="shared" si="33"/>
        <v>76800</v>
      </c>
      <c r="Q199" s="301">
        <f t="shared" si="34"/>
        <v>11904</v>
      </c>
      <c r="R199" s="301">
        <f t="shared" si="35"/>
        <v>59520</v>
      </c>
      <c r="S199" s="300">
        <f t="shared" si="36"/>
        <v>71424</v>
      </c>
    </row>
    <row r="200" spans="1:19" ht="15" x14ac:dyDescent="0.25">
      <c r="A200" s="49">
        <v>186</v>
      </c>
      <c r="B200" s="50" t="s">
        <v>118</v>
      </c>
      <c r="C200" s="33" t="s">
        <v>153</v>
      </c>
      <c r="D200" s="111">
        <v>193545.94249093073</v>
      </c>
      <c r="E200" s="114">
        <v>56128.323322369892</v>
      </c>
      <c r="F200" s="114">
        <v>224513.29328947968</v>
      </c>
      <c r="G200" s="114">
        <v>280641.61661184957</v>
      </c>
      <c r="H200" s="254">
        <f t="shared" si="28"/>
        <v>40800</v>
      </c>
      <c r="I200" s="254">
        <v>204000</v>
      </c>
      <c r="J200" s="258">
        <f t="shared" si="29"/>
        <v>244800</v>
      </c>
      <c r="K200" s="145">
        <f>4500-500</f>
        <v>4000</v>
      </c>
      <c r="L200" s="145">
        <v>18000</v>
      </c>
      <c r="M200" s="142">
        <f t="shared" si="30"/>
        <v>22000</v>
      </c>
      <c r="N200" s="99">
        <f t="shared" si="31"/>
        <v>4000</v>
      </c>
      <c r="O200" s="73">
        <f t="shared" si="32"/>
        <v>18000</v>
      </c>
      <c r="P200" s="73">
        <f t="shared" si="33"/>
        <v>22000</v>
      </c>
      <c r="Q200" s="301">
        <f t="shared" si="34"/>
        <v>3720</v>
      </c>
      <c r="R200" s="301">
        <f t="shared" si="35"/>
        <v>16740</v>
      </c>
      <c r="S200" s="300">
        <f t="shared" si="36"/>
        <v>20460</v>
      </c>
    </row>
    <row r="201" spans="1:19" ht="15" x14ac:dyDescent="0.25">
      <c r="A201" s="49">
        <v>187</v>
      </c>
      <c r="B201" s="50" t="s">
        <v>104</v>
      </c>
      <c r="C201" s="33" t="s">
        <v>153</v>
      </c>
      <c r="D201" s="111">
        <v>242087.45903372232</v>
      </c>
      <c r="E201" s="114">
        <v>70205.363119779446</v>
      </c>
      <c r="F201" s="114">
        <v>280821.4524791179</v>
      </c>
      <c r="G201" s="114">
        <v>351026.81559889734</v>
      </c>
      <c r="H201" s="254">
        <f t="shared" si="28"/>
        <v>36400</v>
      </c>
      <c r="I201" s="254">
        <v>182000</v>
      </c>
      <c r="J201" s="258">
        <f t="shared" si="29"/>
        <v>218400</v>
      </c>
      <c r="K201" s="145">
        <f>8848.43691074612-1000</f>
        <v>7848.4369107461207</v>
      </c>
      <c r="L201" s="145">
        <v>35393.74764298449</v>
      </c>
      <c r="M201" s="142">
        <f t="shared" si="30"/>
        <v>43242.184553730607</v>
      </c>
      <c r="N201" s="99">
        <f t="shared" si="31"/>
        <v>7848.4369107461207</v>
      </c>
      <c r="O201" s="73">
        <f t="shared" si="32"/>
        <v>35393.74764298449</v>
      </c>
      <c r="P201" s="73">
        <f t="shared" si="33"/>
        <v>43242.184553730607</v>
      </c>
      <c r="Q201" s="301">
        <f t="shared" si="34"/>
        <v>7299.0463269938919</v>
      </c>
      <c r="R201" s="301">
        <f t="shared" si="35"/>
        <v>32916.185307975575</v>
      </c>
      <c r="S201" s="300">
        <f t="shared" si="36"/>
        <v>40215.231634969467</v>
      </c>
    </row>
    <row r="202" spans="1:19" ht="15" x14ac:dyDescent="0.25">
      <c r="A202" s="49">
        <v>188</v>
      </c>
      <c r="B202" s="50" t="s">
        <v>247</v>
      </c>
      <c r="C202" s="33" t="s">
        <v>153</v>
      </c>
      <c r="D202" s="111">
        <v>15000</v>
      </c>
      <c r="E202" s="114">
        <v>4500</v>
      </c>
      <c r="F202" s="114">
        <v>18000</v>
      </c>
      <c r="G202" s="114">
        <v>22500</v>
      </c>
      <c r="H202" s="254">
        <f t="shared" si="28"/>
        <v>3400</v>
      </c>
      <c r="I202" s="254">
        <v>17000</v>
      </c>
      <c r="J202" s="258">
        <f t="shared" si="29"/>
        <v>20400</v>
      </c>
      <c r="K202" s="145">
        <f>7333.68006-500</f>
        <v>6833.6800599999997</v>
      </c>
      <c r="L202" s="145">
        <v>29334.720240000002</v>
      </c>
      <c r="M202" s="142">
        <f t="shared" si="30"/>
        <v>36168.400300000001</v>
      </c>
      <c r="N202" s="99">
        <f t="shared" si="31"/>
        <v>3400</v>
      </c>
      <c r="O202" s="73">
        <f t="shared" si="32"/>
        <v>17000</v>
      </c>
      <c r="P202" s="73">
        <f t="shared" si="33"/>
        <v>20400</v>
      </c>
      <c r="Q202" s="301">
        <f t="shared" si="34"/>
        <v>3162</v>
      </c>
      <c r="R202" s="301">
        <f t="shared" si="35"/>
        <v>15810</v>
      </c>
      <c r="S202" s="300">
        <f t="shared" si="36"/>
        <v>18972</v>
      </c>
    </row>
    <row r="203" spans="1:19" ht="15" x14ac:dyDescent="0.25">
      <c r="A203" s="49">
        <v>189</v>
      </c>
      <c r="B203" s="50" t="s">
        <v>248</v>
      </c>
      <c r="C203" s="33" t="s">
        <v>153</v>
      </c>
      <c r="D203" s="111">
        <v>29494.789702487076</v>
      </c>
      <c r="E203" s="114">
        <v>8848.4369107461243</v>
      </c>
      <c r="F203" s="114">
        <v>35393.74764298449</v>
      </c>
      <c r="G203" s="114">
        <v>44242.184553730614</v>
      </c>
      <c r="H203" s="254">
        <f t="shared" si="28"/>
        <v>7000</v>
      </c>
      <c r="I203" s="254">
        <v>35000</v>
      </c>
      <c r="J203" s="258">
        <f t="shared" si="29"/>
        <v>42000</v>
      </c>
      <c r="K203" s="145">
        <f>15000-1000</f>
        <v>14000</v>
      </c>
      <c r="L203" s="145">
        <v>60000</v>
      </c>
      <c r="M203" s="142">
        <f t="shared" si="30"/>
        <v>74000</v>
      </c>
      <c r="N203" s="99">
        <f t="shared" si="31"/>
        <v>7000</v>
      </c>
      <c r="O203" s="73">
        <f t="shared" si="32"/>
        <v>35000</v>
      </c>
      <c r="P203" s="73">
        <f t="shared" si="33"/>
        <v>42000</v>
      </c>
      <c r="Q203" s="301">
        <f t="shared" si="34"/>
        <v>6510</v>
      </c>
      <c r="R203" s="301">
        <f t="shared" si="35"/>
        <v>32550</v>
      </c>
      <c r="S203" s="300">
        <f t="shared" si="36"/>
        <v>39060</v>
      </c>
    </row>
    <row r="204" spans="1:19" ht="15" x14ac:dyDescent="0.25">
      <c r="A204" s="49">
        <v>190</v>
      </c>
      <c r="B204" s="50" t="s">
        <v>249</v>
      </c>
      <c r="C204" s="33" t="s">
        <v>153</v>
      </c>
      <c r="D204" s="111">
        <v>24445.600200000001</v>
      </c>
      <c r="E204" s="114">
        <v>7333.6800599999988</v>
      </c>
      <c r="F204" s="114">
        <v>29334.720240000002</v>
      </c>
      <c r="G204" s="114">
        <v>36668.400300000001</v>
      </c>
      <c r="H204" s="254">
        <f t="shared" si="28"/>
        <v>6200</v>
      </c>
      <c r="I204" s="254">
        <v>31000</v>
      </c>
      <c r="J204" s="258">
        <f t="shared" si="29"/>
        <v>37200</v>
      </c>
      <c r="K204" s="145">
        <f>101500-1000</f>
        <v>100500</v>
      </c>
      <c r="L204" s="145">
        <v>406000</v>
      </c>
      <c r="M204" s="142">
        <f t="shared" si="30"/>
        <v>506500</v>
      </c>
      <c r="N204" s="99">
        <f t="shared" si="31"/>
        <v>6200</v>
      </c>
      <c r="O204" s="73">
        <f t="shared" si="32"/>
        <v>29334.720240000002</v>
      </c>
      <c r="P204" s="73">
        <f t="shared" si="33"/>
        <v>35534.720240000002</v>
      </c>
      <c r="Q204" s="301">
        <f t="shared" si="34"/>
        <v>5766</v>
      </c>
      <c r="R204" s="301">
        <f t="shared" si="35"/>
        <v>27281.289823200001</v>
      </c>
      <c r="S204" s="300">
        <f t="shared" si="36"/>
        <v>33047.289823200001</v>
      </c>
    </row>
    <row r="205" spans="1:19" ht="15" x14ac:dyDescent="0.25">
      <c r="A205" s="49">
        <v>191</v>
      </c>
      <c r="B205" s="50" t="s">
        <v>100</v>
      </c>
      <c r="C205" s="33" t="s">
        <v>153</v>
      </c>
      <c r="D205" s="111">
        <v>50000</v>
      </c>
      <c r="E205" s="114">
        <v>15000</v>
      </c>
      <c r="F205" s="114">
        <v>60000</v>
      </c>
      <c r="G205" s="114">
        <v>75000</v>
      </c>
      <c r="H205" s="254">
        <f t="shared" si="28"/>
        <v>10000</v>
      </c>
      <c r="I205" s="254">
        <v>50000</v>
      </c>
      <c r="J205" s="258">
        <f t="shared" si="29"/>
        <v>60000</v>
      </c>
      <c r="K205" s="145">
        <f>196734.332862423-1000</f>
        <v>195734.33286242301</v>
      </c>
      <c r="L205" s="145">
        <v>786937.33144969319</v>
      </c>
      <c r="M205" s="142">
        <f t="shared" si="30"/>
        <v>982671.66431211622</v>
      </c>
      <c r="N205" s="99">
        <f t="shared" si="31"/>
        <v>10000</v>
      </c>
      <c r="O205" s="73">
        <f t="shared" si="32"/>
        <v>50000</v>
      </c>
      <c r="P205" s="73">
        <f t="shared" si="33"/>
        <v>60000</v>
      </c>
      <c r="Q205" s="301">
        <f t="shared" si="34"/>
        <v>9300</v>
      </c>
      <c r="R205" s="301">
        <f t="shared" si="35"/>
        <v>46500</v>
      </c>
      <c r="S205" s="300">
        <f t="shared" si="36"/>
        <v>55800</v>
      </c>
    </row>
    <row r="206" spans="1:19" ht="15" x14ac:dyDescent="0.25">
      <c r="A206" s="49">
        <v>192</v>
      </c>
      <c r="B206" s="50" t="s">
        <v>430</v>
      </c>
      <c r="C206" s="33" t="s">
        <v>153</v>
      </c>
      <c r="D206" s="111">
        <v>350000</v>
      </c>
      <c r="E206" s="114">
        <v>101500</v>
      </c>
      <c r="F206" s="114">
        <v>406000</v>
      </c>
      <c r="G206" s="114">
        <v>507500</v>
      </c>
      <c r="H206" s="254">
        <f t="shared" si="28"/>
        <v>77200</v>
      </c>
      <c r="I206" s="254">
        <v>386000</v>
      </c>
      <c r="J206" s="258">
        <f t="shared" si="29"/>
        <v>463200</v>
      </c>
      <c r="K206" s="145">
        <f>236738.8842-1000</f>
        <v>235738.8842</v>
      </c>
      <c r="L206" s="145">
        <v>946955.53679999989</v>
      </c>
      <c r="M206" s="142">
        <f t="shared" si="30"/>
        <v>1182694.4209999999</v>
      </c>
      <c r="N206" s="99">
        <f t="shared" si="31"/>
        <v>77200</v>
      </c>
      <c r="O206" s="73">
        <f t="shared" si="32"/>
        <v>386000</v>
      </c>
      <c r="P206" s="73">
        <f t="shared" si="33"/>
        <v>463200</v>
      </c>
      <c r="Q206" s="301">
        <f t="shared" si="34"/>
        <v>71796</v>
      </c>
      <c r="R206" s="301">
        <f t="shared" si="35"/>
        <v>358980</v>
      </c>
      <c r="S206" s="300">
        <f t="shared" si="36"/>
        <v>430776</v>
      </c>
    </row>
    <row r="207" spans="1:19" ht="22.5" x14ac:dyDescent="0.25">
      <c r="A207" s="49"/>
      <c r="B207" s="41" t="s">
        <v>47</v>
      </c>
      <c r="C207" s="33" t="s">
        <v>153</v>
      </c>
      <c r="D207" s="111"/>
      <c r="E207" s="114"/>
      <c r="F207" s="114"/>
      <c r="G207" s="114"/>
      <c r="H207" s="254">
        <f t="shared" si="28"/>
        <v>0</v>
      </c>
      <c r="I207" s="254"/>
      <c r="J207" s="258">
        <f t="shared" si="29"/>
        <v>0</v>
      </c>
      <c r="K207" s="145"/>
      <c r="L207" s="145"/>
      <c r="M207" s="142">
        <f t="shared" si="30"/>
        <v>0</v>
      </c>
      <c r="N207" s="99">
        <f t="shared" si="31"/>
        <v>0</v>
      </c>
      <c r="O207" s="73">
        <f t="shared" si="32"/>
        <v>0</v>
      </c>
      <c r="P207" s="73">
        <f t="shared" si="33"/>
        <v>0</v>
      </c>
      <c r="Q207" s="301">
        <f t="shared" si="34"/>
        <v>0</v>
      </c>
      <c r="R207" s="301">
        <f t="shared" si="35"/>
        <v>0</v>
      </c>
      <c r="S207" s="300">
        <f t="shared" si="36"/>
        <v>0</v>
      </c>
    </row>
    <row r="208" spans="1:19" ht="15" x14ac:dyDescent="0.25">
      <c r="A208" s="49">
        <v>193</v>
      </c>
      <c r="B208" s="50" t="s">
        <v>432</v>
      </c>
      <c r="C208" s="33" t="s">
        <v>153</v>
      </c>
      <c r="D208" s="111">
        <v>678394.25124973548</v>
      </c>
      <c r="E208" s="114">
        <v>196734.33286242327</v>
      </c>
      <c r="F208" s="114">
        <v>786937.33144969319</v>
      </c>
      <c r="G208" s="114">
        <v>983671.66431211645</v>
      </c>
      <c r="H208" s="254">
        <f t="shared" si="28"/>
        <v>160000</v>
      </c>
      <c r="I208" s="254">
        <v>800000</v>
      </c>
      <c r="J208" s="258">
        <f t="shared" si="29"/>
        <v>960000</v>
      </c>
      <c r="K208" s="145">
        <f>140604.896309783-1000</f>
        <v>139604.89630978301</v>
      </c>
      <c r="L208" s="145">
        <v>562419.58523913322</v>
      </c>
      <c r="M208" s="142">
        <f t="shared" si="30"/>
        <v>702024.4815489162</v>
      </c>
      <c r="N208" s="99">
        <f t="shared" si="31"/>
        <v>139604.89630978301</v>
      </c>
      <c r="O208" s="73">
        <f t="shared" si="32"/>
        <v>562419.58523913322</v>
      </c>
      <c r="P208" s="73">
        <f t="shared" si="33"/>
        <v>702024.4815489162</v>
      </c>
      <c r="Q208" s="301">
        <f t="shared" si="34"/>
        <v>129832.5535680982</v>
      </c>
      <c r="R208" s="301">
        <f t="shared" si="35"/>
        <v>523050.2142723939</v>
      </c>
      <c r="S208" s="300">
        <f t="shared" si="36"/>
        <v>652882.76784049207</v>
      </c>
    </row>
    <row r="209" spans="1:19" ht="15" x14ac:dyDescent="0.25">
      <c r="A209" s="49">
        <v>194</v>
      </c>
      <c r="B209" s="50" t="s">
        <v>431</v>
      </c>
      <c r="C209" s="33" t="s">
        <v>153</v>
      </c>
      <c r="D209" s="111">
        <v>816340.98</v>
      </c>
      <c r="E209" s="114">
        <v>236738.88419999997</v>
      </c>
      <c r="F209" s="114">
        <v>946955.53679999989</v>
      </c>
      <c r="G209" s="114">
        <v>1183694.4209999999</v>
      </c>
      <c r="H209" s="254">
        <f t="shared" si="28"/>
        <v>197200</v>
      </c>
      <c r="I209" s="254">
        <v>986000</v>
      </c>
      <c r="J209" s="258">
        <f t="shared" si="29"/>
        <v>1183200</v>
      </c>
      <c r="K209" s="145">
        <f>23103.9899999999-1000</f>
        <v>22103.9899999999</v>
      </c>
      <c r="L209" s="145">
        <v>92415.960000000021</v>
      </c>
      <c r="M209" s="142">
        <f t="shared" si="30"/>
        <v>114519.94999999992</v>
      </c>
      <c r="N209" s="99">
        <f t="shared" si="31"/>
        <v>22103.9899999999</v>
      </c>
      <c r="O209" s="73">
        <f t="shared" si="32"/>
        <v>92415.960000000021</v>
      </c>
      <c r="P209" s="73">
        <f t="shared" si="33"/>
        <v>114519.94999999992</v>
      </c>
      <c r="Q209" s="301">
        <f t="shared" si="34"/>
        <v>20556.710699999905</v>
      </c>
      <c r="R209" s="301">
        <f t="shared" si="35"/>
        <v>85946.842800000013</v>
      </c>
      <c r="S209" s="300">
        <f t="shared" si="36"/>
        <v>106503.55349999992</v>
      </c>
    </row>
    <row r="210" spans="1:19" ht="15" x14ac:dyDescent="0.25">
      <c r="A210" s="49">
        <v>195</v>
      </c>
      <c r="B210" s="50" t="s">
        <v>49</v>
      </c>
      <c r="C210" s="33" t="s">
        <v>153</v>
      </c>
      <c r="D210" s="111">
        <v>484844.47003373556</v>
      </c>
      <c r="E210" s="114">
        <v>140604.89630978333</v>
      </c>
      <c r="F210" s="114">
        <v>562419.58523913322</v>
      </c>
      <c r="G210" s="114">
        <v>703024.48154891655</v>
      </c>
      <c r="H210" s="254">
        <f t="shared" si="28"/>
        <v>114000</v>
      </c>
      <c r="I210" s="254">
        <v>570000</v>
      </c>
      <c r="J210" s="258">
        <f t="shared" si="29"/>
        <v>684000</v>
      </c>
      <c r="K210" s="145">
        <f>26658.45-1000</f>
        <v>25658.45</v>
      </c>
      <c r="L210" s="145">
        <v>106633.8</v>
      </c>
      <c r="M210" s="142">
        <f t="shared" si="30"/>
        <v>132292.25</v>
      </c>
      <c r="N210" s="99">
        <f t="shared" si="31"/>
        <v>25658.45</v>
      </c>
      <c r="O210" s="73">
        <f t="shared" si="32"/>
        <v>106633.8</v>
      </c>
      <c r="P210" s="73">
        <f t="shared" si="33"/>
        <v>132292.25</v>
      </c>
      <c r="Q210" s="301">
        <f t="shared" si="34"/>
        <v>23862.358500000002</v>
      </c>
      <c r="R210" s="301">
        <f t="shared" si="35"/>
        <v>99169.434000000008</v>
      </c>
      <c r="S210" s="300">
        <f t="shared" si="36"/>
        <v>123031.79250000001</v>
      </c>
    </row>
    <row r="211" spans="1:19" ht="15" x14ac:dyDescent="0.25">
      <c r="A211" s="49">
        <v>196</v>
      </c>
      <c r="B211" s="50" t="s">
        <v>322</v>
      </c>
      <c r="C211" s="33" t="s">
        <v>153</v>
      </c>
      <c r="D211" s="111">
        <v>77013.3</v>
      </c>
      <c r="E211" s="114">
        <v>23103.989999999991</v>
      </c>
      <c r="F211" s="114">
        <v>92415.960000000021</v>
      </c>
      <c r="G211" s="114">
        <v>115519.95000000001</v>
      </c>
      <c r="H211" s="254">
        <f t="shared" si="28"/>
        <v>13400</v>
      </c>
      <c r="I211" s="254">
        <v>67000</v>
      </c>
      <c r="J211" s="258">
        <f t="shared" si="29"/>
        <v>80400</v>
      </c>
      <c r="K211" s="145">
        <f>51539.67-1000</f>
        <v>50539.67</v>
      </c>
      <c r="L211" s="145">
        <v>206158.68000000002</v>
      </c>
      <c r="M211" s="142">
        <f t="shared" si="30"/>
        <v>256698.35000000003</v>
      </c>
      <c r="N211" s="99">
        <f t="shared" si="31"/>
        <v>13400</v>
      </c>
      <c r="O211" s="73">
        <f t="shared" si="32"/>
        <v>67000</v>
      </c>
      <c r="P211" s="73">
        <f t="shared" si="33"/>
        <v>80400</v>
      </c>
      <c r="Q211" s="301">
        <f t="shared" si="34"/>
        <v>12462</v>
      </c>
      <c r="R211" s="301">
        <f t="shared" si="35"/>
        <v>62310</v>
      </c>
      <c r="S211" s="300">
        <f t="shared" si="36"/>
        <v>74772</v>
      </c>
    </row>
    <row r="212" spans="1:19" ht="15" x14ac:dyDescent="0.25">
      <c r="A212" s="49">
        <v>197</v>
      </c>
      <c r="B212" s="50" t="s">
        <v>50</v>
      </c>
      <c r="C212" s="33" t="s">
        <v>153</v>
      </c>
      <c r="D212" s="111">
        <v>88861.5</v>
      </c>
      <c r="E212" s="114">
        <v>26658.449999999997</v>
      </c>
      <c r="F212" s="114">
        <v>106633.8</v>
      </c>
      <c r="G212" s="114">
        <v>133292.25</v>
      </c>
      <c r="H212" s="254">
        <f t="shared" si="28"/>
        <v>22600</v>
      </c>
      <c r="I212" s="254">
        <v>113000</v>
      </c>
      <c r="J212" s="258">
        <f t="shared" si="29"/>
        <v>135600</v>
      </c>
      <c r="K212" s="145">
        <f>117023.706851958-1000</f>
        <v>116023.70685195801</v>
      </c>
      <c r="L212" s="145">
        <v>468094.82740783348</v>
      </c>
      <c r="M212" s="142">
        <f t="shared" si="30"/>
        <v>584118.53425979149</v>
      </c>
      <c r="N212" s="99">
        <f t="shared" si="31"/>
        <v>22600</v>
      </c>
      <c r="O212" s="73">
        <f t="shared" si="32"/>
        <v>106633.8</v>
      </c>
      <c r="P212" s="73">
        <f t="shared" si="33"/>
        <v>129233.8</v>
      </c>
      <c r="Q212" s="301">
        <f t="shared" si="34"/>
        <v>21018</v>
      </c>
      <c r="R212" s="301">
        <f t="shared" si="35"/>
        <v>99169.434000000008</v>
      </c>
      <c r="S212" s="300">
        <f t="shared" si="36"/>
        <v>120187.43400000001</v>
      </c>
    </row>
    <row r="213" spans="1:19" ht="15" x14ac:dyDescent="0.25">
      <c r="A213" s="49">
        <v>198</v>
      </c>
      <c r="B213" s="50" t="s">
        <v>51</v>
      </c>
      <c r="C213" s="33" t="s">
        <v>153</v>
      </c>
      <c r="D213" s="111">
        <v>177723</v>
      </c>
      <c r="E213" s="114">
        <v>51539.669999999984</v>
      </c>
      <c r="F213" s="114">
        <v>206158.68000000002</v>
      </c>
      <c r="G213" s="114">
        <v>257698.35</v>
      </c>
      <c r="H213" s="254">
        <f t="shared" si="28"/>
        <v>45000</v>
      </c>
      <c r="I213" s="254">
        <v>225000</v>
      </c>
      <c r="J213" s="258">
        <f t="shared" si="29"/>
        <v>270000</v>
      </c>
      <c r="K213" s="145">
        <f>123179.8113-1000</f>
        <v>122179.8113</v>
      </c>
      <c r="L213" s="145">
        <v>492719.2452</v>
      </c>
      <c r="M213" s="142">
        <f t="shared" si="30"/>
        <v>614899.05649999995</v>
      </c>
      <c r="N213" s="99">
        <f t="shared" si="31"/>
        <v>45000</v>
      </c>
      <c r="O213" s="73">
        <f t="shared" si="32"/>
        <v>206158.68000000002</v>
      </c>
      <c r="P213" s="73">
        <f t="shared" si="33"/>
        <v>251158.68000000002</v>
      </c>
      <c r="Q213" s="301">
        <f t="shared" si="34"/>
        <v>41850</v>
      </c>
      <c r="R213" s="301">
        <f t="shared" si="35"/>
        <v>191727.5724</v>
      </c>
      <c r="S213" s="300">
        <f t="shared" si="36"/>
        <v>233577.5724</v>
      </c>
    </row>
    <row r="214" spans="1:19" ht="15" x14ac:dyDescent="0.25">
      <c r="A214" s="49">
        <v>199</v>
      </c>
      <c r="B214" s="50" t="s">
        <v>52</v>
      </c>
      <c r="C214" s="33" t="s">
        <v>153</v>
      </c>
      <c r="D214" s="111">
        <v>403530.02362744266</v>
      </c>
      <c r="E214" s="114">
        <v>117023.70685195836</v>
      </c>
      <c r="F214" s="114">
        <v>468094.82740783348</v>
      </c>
      <c r="G214" s="114">
        <v>585118.53425979184</v>
      </c>
      <c r="H214" s="254">
        <f t="shared" si="28"/>
        <v>78000</v>
      </c>
      <c r="I214" s="254">
        <v>390000</v>
      </c>
      <c r="J214" s="258">
        <f t="shared" si="29"/>
        <v>468000</v>
      </c>
      <c r="K214" s="145">
        <f>96207.384-1000</f>
        <v>95207.384000000005</v>
      </c>
      <c r="L214" s="145">
        <v>384829.53599999996</v>
      </c>
      <c r="M214" s="142">
        <f t="shared" si="30"/>
        <v>480036.92</v>
      </c>
      <c r="N214" s="99">
        <f t="shared" si="31"/>
        <v>78000</v>
      </c>
      <c r="O214" s="73">
        <f t="shared" si="32"/>
        <v>384829.53599999996</v>
      </c>
      <c r="P214" s="73">
        <f t="shared" si="33"/>
        <v>462829.53599999996</v>
      </c>
      <c r="Q214" s="301">
        <f t="shared" si="34"/>
        <v>72540</v>
      </c>
      <c r="R214" s="301">
        <f t="shared" si="35"/>
        <v>357891.46847999998</v>
      </c>
      <c r="S214" s="300">
        <f t="shared" si="36"/>
        <v>430431.46847999998</v>
      </c>
    </row>
    <row r="215" spans="1:19" ht="15" x14ac:dyDescent="0.25">
      <c r="A215" s="49">
        <v>200</v>
      </c>
      <c r="B215" s="50" t="s">
        <v>53</v>
      </c>
      <c r="C215" s="33" t="s">
        <v>153</v>
      </c>
      <c r="D215" s="111">
        <v>424757.97</v>
      </c>
      <c r="E215" s="114">
        <v>123179.81129999994</v>
      </c>
      <c r="F215" s="114">
        <v>492719.2452</v>
      </c>
      <c r="G215" s="114">
        <v>615899.05649999995</v>
      </c>
      <c r="H215" s="254">
        <f t="shared" si="28"/>
        <v>101800</v>
      </c>
      <c r="I215" s="254">
        <v>509000</v>
      </c>
      <c r="J215" s="258">
        <f t="shared" si="29"/>
        <v>610800</v>
      </c>
      <c r="K215" s="145">
        <f>206866.494662193-1000</f>
        <v>205866.494662193</v>
      </c>
      <c r="L215" s="145">
        <v>827465.97864877013</v>
      </c>
      <c r="M215" s="142">
        <f t="shared" si="30"/>
        <v>1033332.4733109631</v>
      </c>
      <c r="N215" s="99">
        <f t="shared" si="31"/>
        <v>101800</v>
      </c>
      <c r="O215" s="73">
        <f t="shared" si="32"/>
        <v>492719.2452</v>
      </c>
      <c r="P215" s="73">
        <f t="shared" si="33"/>
        <v>594519.2452</v>
      </c>
      <c r="Q215" s="301">
        <f t="shared" si="34"/>
        <v>94674</v>
      </c>
      <c r="R215" s="301">
        <f t="shared" si="35"/>
        <v>458228.89803599997</v>
      </c>
      <c r="S215" s="300">
        <f t="shared" si="36"/>
        <v>552902.89803599997</v>
      </c>
    </row>
    <row r="216" spans="1:19" ht="15" x14ac:dyDescent="0.25">
      <c r="A216" s="49">
        <v>201</v>
      </c>
      <c r="B216" s="50" t="s">
        <v>54</v>
      </c>
      <c r="C216" s="33" t="s">
        <v>153</v>
      </c>
      <c r="D216" s="111">
        <v>331749.59999999998</v>
      </c>
      <c r="E216" s="114">
        <v>96207.383999999962</v>
      </c>
      <c r="F216" s="114">
        <v>384829.53599999996</v>
      </c>
      <c r="G216" s="114">
        <v>481036.91999999993</v>
      </c>
      <c r="H216" s="254">
        <f t="shared" si="28"/>
        <v>84000</v>
      </c>
      <c r="I216" s="254">
        <v>420000</v>
      </c>
      <c r="J216" s="258">
        <f t="shared" si="29"/>
        <v>504000</v>
      </c>
      <c r="K216" s="145">
        <f>246500-1000</f>
        <v>245500</v>
      </c>
      <c r="L216" s="145">
        <v>986000</v>
      </c>
      <c r="M216" s="142">
        <f t="shared" si="30"/>
        <v>1231500</v>
      </c>
      <c r="N216" s="99">
        <f t="shared" si="31"/>
        <v>84000</v>
      </c>
      <c r="O216" s="73">
        <f t="shared" si="32"/>
        <v>384829.53599999996</v>
      </c>
      <c r="P216" s="73">
        <f t="shared" si="33"/>
        <v>468829.53599999996</v>
      </c>
      <c r="Q216" s="301">
        <f t="shared" si="34"/>
        <v>78120</v>
      </c>
      <c r="R216" s="301">
        <f t="shared" si="35"/>
        <v>357891.46847999998</v>
      </c>
      <c r="S216" s="300">
        <f t="shared" si="36"/>
        <v>436011.46847999998</v>
      </c>
    </row>
    <row r="217" spans="1:19" ht="15" x14ac:dyDescent="0.25">
      <c r="A217" s="49">
        <v>202</v>
      </c>
      <c r="B217" s="50" t="s">
        <v>251</v>
      </c>
      <c r="C217" s="33" t="s">
        <v>153</v>
      </c>
      <c r="D217" s="111">
        <v>713332.74021445704</v>
      </c>
      <c r="E217" s="114">
        <v>206866.49466219253</v>
      </c>
      <c r="F217" s="114">
        <v>827465.97864877013</v>
      </c>
      <c r="G217" s="114">
        <v>1034332.4733109627</v>
      </c>
      <c r="H217" s="254">
        <f t="shared" si="28"/>
        <v>56200</v>
      </c>
      <c r="I217" s="254">
        <v>281000</v>
      </c>
      <c r="J217" s="258">
        <f t="shared" si="29"/>
        <v>337200</v>
      </c>
      <c r="K217" s="145">
        <f>103079.34-1000</f>
        <v>102079.34</v>
      </c>
      <c r="L217" s="145">
        <v>412317.36000000004</v>
      </c>
      <c r="M217" s="142">
        <f t="shared" si="30"/>
        <v>514396.70000000007</v>
      </c>
      <c r="N217" s="99">
        <f t="shared" si="31"/>
        <v>56200</v>
      </c>
      <c r="O217" s="73">
        <f t="shared" si="32"/>
        <v>281000</v>
      </c>
      <c r="P217" s="73">
        <f t="shared" si="33"/>
        <v>337200</v>
      </c>
      <c r="Q217" s="301">
        <f t="shared" si="34"/>
        <v>52266</v>
      </c>
      <c r="R217" s="301">
        <f t="shared" si="35"/>
        <v>261330</v>
      </c>
      <c r="S217" s="300">
        <f t="shared" si="36"/>
        <v>313596</v>
      </c>
    </row>
    <row r="218" spans="1:19" ht="12" customHeight="1" x14ac:dyDescent="0.25">
      <c r="A218" s="49">
        <v>203</v>
      </c>
      <c r="B218" s="50" t="s">
        <v>433</v>
      </c>
      <c r="C218" s="33" t="s">
        <v>153</v>
      </c>
      <c r="D218" s="111">
        <v>850000</v>
      </c>
      <c r="E218" s="114">
        <v>246500</v>
      </c>
      <c r="F218" s="114">
        <v>986000</v>
      </c>
      <c r="G218" s="114">
        <v>1232500</v>
      </c>
      <c r="H218" s="254">
        <f t="shared" si="28"/>
        <v>200000</v>
      </c>
      <c r="I218" s="254">
        <v>1000000</v>
      </c>
      <c r="J218" s="258">
        <f t="shared" si="29"/>
        <v>1200000</v>
      </c>
      <c r="K218" s="145">
        <f>1557641.00211781-1000</f>
        <v>1556641.0021178101</v>
      </c>
      <c r="L218" s="145">
        <v>6230564.0084712589</v>
      </c>
      <c r="M218" s="142">
        <f t="shared" si="30"/>
        <v>7787205.0105890688</v>
      </c>
      <c r="N218" s="99">
        <f t="shared" si="31"/>
        <v>200000</v>
      </c>
      <c r="O218" s="73">
        <f t="shared" si="32"/>
        <v>986000</v>
      </c>
      <c r="P218" s="73">
        <f t="shared" si="33"/>
        <v>1186000</v>
      </c>
      <c r="Q218" s="301">
        <f t="shared" si="34"/>
        <v>186000</v>
      </c>
      <c r="R218" s="301">
        <f t="shared" si="35"/>
        <v>916980</v>
      </c>
      <c r="S218" s="300">
        <f t="shared" si="36"/>
        <v>1102980</v>
      </c>
    </row>
    <row r="219" spans="1:19" ht="15" x14ac:dyDescent="0.25">
      <c r="A219" s="49">
        <v>204</v>
      </c>
      <c r="B219" s="48" t="s">
        <v>434</v>
      </c>
      <c r="C219" s="33" t="s">
        <v>153</v>
      </c>
      <c r="D219" s="111">
        <v>355446</v>
      </c>
      <c r="E219" s="114">
        <v>103079.33999999997</v>
      </c>
      <c r="F219" s="114">
        <v>412317.36000000004</v>
      </c>
      <c r="G219" s="114">
        <v>515396.7</v>
      </c>
      <c r="H219" s="254">
        <f t="shared" si="28"/>
        <v>83800</v>
      </c>
      <c r="I219" s="254">
        <v>419000</v>
      </c>
      <c r="J219" s="258">
        <f t="shared" si="29"/>
        <v>502800</v>
      </c>
      <c r="K219" s="145">
        <f>103079.34-1000</f>
        <v>102079.34</v>
      </c>
      <c r="L219" s="145">
        <v>412317.36000000004</v>
      </c>
      <c r="M219" s="142">
        <f t="shared" si="30"/>
        <v>514396.70000000007</v>
      </c>
      <c r="N219" s="99">
        <f t="shared" si="31"/>
        <v>83800</v>
      </c>
      <c r="O219" s="73">
        <f t="shared" si="32"/>
        <v>412317.36000000004</v>
      </c>
      <c r="P219" s="73">
        <f t="shared" si="33"/>
        <v>496117.36000000004</v>
      </c>
      <c r="Q219" s="301">
        <f t="shared" si="34"/>
        <v>77934</v>
      </c>
      <c r="R219" s="301">
        <f t="shared" si="35"/>
        <v>383455.14480000001</v>
      </c>
      <c r="S219" s="300">
        <f t="shared" si="36"/>
        <v>461389.14480000001</v>
      </c>
    </row>
    <row r="220" spans="1:19" ht="15" x14ac:dyDescent="0.25">
      <c r="A220" s="49">
        <v>205</v>
      </c>
      <c r="B220" s="48" t="s">
        <v>435</v>
      </c>
      <c r="C220" s="33" t="s">
        <v>153</v>
      </c>
      <c r="D220" s="111">
        <v>5563003.5789921954</v>
      </c>
      <c r="E220" s="114">
        <v>1557641.0021178145</v>
      </c>
      <c r="F220" s="114">
        <v>6230564.0084712589</v>
      </c>
      <c r="G220" s="114">
        <v>7788205.0105890734</v>
      </c>
      <c r="H220" s="254">
        <f t="shared" si="28"/>
        <v>1160000</v>
      </c>
      <c r="I220" s="254">
        <v>5800000</v>
      </c>
      <c r="J220" s="258">
        <f t="shared" si="29"/>
        <v>6960000</v>
      </c>
      <c r="K220" s="145">
        <f>1680000-1000</f>
        <v>1679000</v>
      </c>
      <c r="L220" s="145">
        <v>6720000</v>
      </c>
      <c r="M220" s="142">
        <f t="shared" si="30"/>
        <v>8399000</v>
      </c>
      <c r="N220" s="99">
        <f t="shared" si="31"/>
        <v>1160000</v>
      </c>
      <c r="O220" s="73">
        <f t="shared" si="32"/>
        <v>5800000</v>
      </c>
      <c r="P220" s="73">
        <f t="shared" si="33"/>
        <v>6960000</v>
      </c>
      <c r="Q220" s="301">
        <f t="shared" si="34"/>
        <v>1078800</v>
      </c>
      <c r="R220" s="301">
        <f t="shared" si="35"/>
        <v>5394000</v>
      </c>
      <c r="S220" s="300">
        <f t="shared" si="36"/>
        <v>6472800</v>
      </c>
    </row>
    <row r="221" spans="1:19" ht="15" x14ac:dyDescent="0.25">
      <c r="A221" s="49">
        <v>206</v>
      </c>
      <c r="B221" s="48" t="s">
        <v>436</v>
      </c>
      <c r="C221" s="33" t="s">
        <v>153</v>
      </c>
      <c r="D221" s="111">
        <v>355446</v>
      </c>
      <c r="E221" s="114">
        <v>103079.33999999997</v>
      </c>
      <c r="F221" s="114">
        <v>412317.36000000004</v>
      </c>
      <c r="G221" s="114">
        <v>515396.7</v>
      </c>
      <c r="H221" s="254">
        <f t="shared" si="28"/>
        <v>86800</v>
      </c>
      <c r="I221" s="254">
        <v>434000</v>
      </c>
      <c r="J221" s="258">
        <f t="shared" si="29"/>
        <v>520800</v>
      </c>
      <c r="K221" s="145">
        <f>87048.6180212334-1000</f>
        <v>86048.6180212334</v>
      </c>
      <c r="L221" s="145">
        <v>348194.47208493383</v>
      </c>
      <c r="M221" s="142">
        <f t="shared" si="30"/>
        <v>434243.09010616725</v>
      </c>
      <c r="N221" s="99">
        <f t="shared" si="31"/>
        <v>86048.6180212334</v>
      </c>
      <c r="O221" s="73">
        <f t="shared" si="32"/>
        <v>348194.47208493383</v>
      </c>
      <c r="P221" s="73">
        <f t="shared" si="33"/>
        <v>434243.09010616725</v>
      </c>
      <c r="Q221" s="301">
        <f t="shared" si="34"/>
        <v>80025.214759747061</v>
      </c>
      <c r="R221" s="301">
        <f t="shared" si="35"/>
        <v>323820.85903898848</v>
      </c>
      <c r="S221" s="300">
        <f t="shared" si="36"/>
        <v>403846.07379873551</v>
      </c>
    </row>
    <row r="222" spans="1:19" ht="15" x14ac:dyDescent="0.25">
      <c r="A222" s="49">
        <v>207</v>
      </c>
      <c r="B222" s="48" t="s">
        <v>437</v>
      </c>
      <c r="C222" s="33" t="s">
        <v>153</v>
      </c>
      <c r="D222" s="111">
        <v>6000000</v>
      </c>
      <c r="E222" s="114">
        <v>1680000</v>
      </c>
      <c r="F222" s="114">
        <v>6720000</v>
      </c>
      <c r="G222" s="114">
        <v>8400000</v>
      </c>
      <c r="H222" s="254">
        <f t="shared" si="28"/>
        <v>1240000</v>
      </c>
      <c r="I222" s="254">
        <v>6200000</v>
      </c>
      <c r="J222" s="258">
        <f t="shared" si="29"/>
        <v>7440000</v>
      </c>
      <c r="K222" s="145">
        <f>24348.051-1000</f>
        <v>23348.050999999999</v>
      </c>
      <c r="L222" s="145">
        <v>97392.204000000012</v>
      </c>
      <c r="M222" s="142">
        <f t="shared" si="30"/>
        <v>120740.255</v>
      </c>
      <c r="N222" s="99">
        <f t="shared" si="31"/>
        <v>23348.050999999999</v>
      </c>
      <c r="O222" s="73">
        <f t="shared" si="32"/>
        <v>97392.204000000012</v>
      </c>
      <c r="P222" s="73">
        <f t="shared" si="33"/>
        <v>120740.255</v>
      </c>
      <c r="Q222" s="301">
        <f t="shared" si="34"/>
        <v>21713.687429999998</v>
      </c>
      <c r="R222" s="301">
        <f t="shared" si="35"/>
        <v>90574.749720000007</v>
      </c>
      <c r="S222" s="300">
        <f t="shared" si="36"/>
        <v>112288.43715000001</v>
      </c>
    </row>
    <row r="223" spans="1:19" ht="15" x14ac:dyDescent="0.2">
      <c r="A223" s="49">
        <v>208</v>
      </c>
      <c r="B223" s="47" t="s">
        <v>88</v>
      </c>
      <c r="C223" s="33" t="s">
        <v>153</v>
      </c>
      <c r="D223" s="111">
        <v>300167.64834908088</v>
      </c>
      <c r="E223" s="114">
        <v>87048.618021233415</v>
      </c>
      <c r="F223" s="114">
        <v>348194.47208493383</v>
      </c>
      <c r="G223" s="114">
        <v>435243.09010616725</v>
      </c>
      <c r="H223" s="254">
        <f t="shared" si="28"/>
        <v>69000</v>
      </c>
      <c r="I223" s="254">
        <v>345000</v>
      </c>
      <c r="J223" s="258">
        <f t="shared" si="29"/>
        <v>414000</v>
      </c>
      <c r="K223" s="145">
        <f>82808.4636995044-1000</f>
        <v>81808.463699504398</v>
      </c>
      <c r="L223" s="145">
        <v>331233.85479801754</v>
      </c>
      <c r="M223" s="142">
        <f t="shared" si="30"/>
        <v>413042.31849752192</v>
      </c>
      <c r="N223" s="99">
        <f t="shared" si="31"/>
        <v>69000</v>
      </c>
      <c r="O223" s="73">
        <f t="shared" si="32"/>
        <v>331233.85479801754</v>
      </c>
      <c r="P223" s="73">
        <f t="shared" si="33"/>
        <v>400233.85479801754</v>
      </c>
      <c r="Q223" s="301">
        <f t="shared" si="34"/>
        <v>64170</v>
      </c>
      <c r="R223" s="301">
        <f t="shared" si="35"/>
        <v>308047.48496215628</v>
      </c>
      <c r="S223" s="300">
        <f t="shared" si="36"/>
        <v>372217.48496215628</v>
      </c>
    </row>
    <row r="224" spans="1:19" ht="15" x14ac:dyDescent="0.2">
      <c r="A224" s="49">
        <v>209</v>
      </c>
      <c r="B224" s="47" t="s">
        <v>330</v>
      </c>
      <c r="C224" s="33" t="s">
        <v>153</v>
      </c>
      <c r="D224" s="111">
        <v>81160.17</v>
      </c>
      <c r="E224" s="114">
        <v>24348.050999999992</v>
      </c>
      <c r="F224" s="114">
        <v>97392.204000000012</v>
      </c>
      <c r="G224" s="114">
        <v>121740.255</v>
      </c>
      <c r="H224" s="254">
        <f t="shared" si="28"/>
        <v>20600</v>
      </c>
      <c r="I224" s="254">
        <v>103000</v>
      </c>
      <c r="J224" s="258">
        <f t="shared" si="29"/>
        <v>123600</v>
      </c>
      <c r="K224" s="145">
        <f>206358.22262-1000</f>
        <v>205358.22261999999</v>
      </c>
      <c r="L224" s="145">
        <v>825432.89048000006</v>
      </c>
      <c r="M224" s="142">
        <f t="shared" si="30"/>
        <v>1030791.1131000001</v>
      </c>
      <c r="N224" s="99">
        <f t="shared" si="31"/>
        <v>20600</v>
      </c>
      <c r="O224" s="73">
        <f t="shared" si="32"/>
        <v>97392.204000000012</v>
      </c>
      <c r="P224" s="73">
        <f t="shared" si="33"/>
        <v>117992.20400000001</v>
      </c>
      <c r="Q224" s="301">
        <f t="shared" si="34"/>
        <v>19158</v>
      </c>
      <c r="R224" s="301">
        <f t="shared" si="35"/>
        <v>90574.749720000007</v>
      </c>
      <c r="S224" s="300">
        <f t="shared" si="36"/>
        <v>109732.74972000001</v>
      </c>
    </row>
    <row r="225" spans="1:19" ht="15" x14ac:dyDescent="0.25">
      <c r="A225" s="49">
        <v>210</v>
      </c>
      <c r="B225" s="48" t="s">
        <v>438</v>
      </c>
      <c r="C225" s="33" t="s">
        <v>153</v>
      </c>
      <c r="D225" s="111">
        <v>285546.42655001511</v>
      </c>
      <c r="E225" s="114">
        <v>82808.463699504384</v>
      </c>
      <c r="F225" s="114">
        <v>331233.85479801754</v>
      </c>
      <c r="G225" s="114">
        <v>414042.31849752192</v>
      </c>
      <c r="H225" s="254">
        <f t="shared" si="28"/>
        <v>64000</v>
      </c>
      <c r="I225" s="254">
        <v>320000</v>
      </c>
      <c r="J225" s="258">
        <f t="shared" si="29"/>
        <v>384000</v>
      </c>
      <c r="K225" s="145">
        <f>66144.6889571307-1000</f>
        <v>65144.688957130697</v>
      </c>
      <c r="L225" s="145">
        <v>264578.75582852273</v>
      </c>
      <c r="M225" s="142">
        <f t="shared" si="30"/>
        <v>329723.44478565344</v>
      </c>
      <c r="N225" s="99">
        <f t="shared" si="31"/>
        <v>64000</v>
      </c>
      <c r="O225" s="73">
        <f t="shared" si="32"/>
        <v>264578.75582852273</v>
      </c>
      <c r="P225" s="73">
        <f t="shared" si="33"/>
        <v>328578.75582852273</v>
      </c>
      <c r="Q225" s="301">
        <f t="shared" si="34"/>
        <v>59520</v>
      </c>
      <c r="R225" s="301">
        <f t="shared" si="35"/>
        <v>246058.24292052613</v>
      </c>
      <c r="S225" s="300">
        <f t="shared" si="36"/>
        <v>305578.24292052613</v>
      </c>
    </row>
    <row r="226" spans="1:19" ht="15" x14ac:dyDescent="0.2">
      <c r="A226" s="49">
        <v>211</v>
      </c>
      <c r="B226" s="47" t="s">
        <v>440</v>
      </c>
      <c r="C226" s="33" t="s">
        <v>153</v>
      </c>
      <c r="D226" s="111">
        <v>711580.07799999998</v>
      </c>
      <c r="E226" s="114">
        <v>206358.2226199999</v>
      </c>
      <c r="F226" s="114">
        <v>825432.89048000006</v>
      </c>
      <c r="G226" s="114">
        <v>1031791.1131</v>
      </c>
      <c r="H226" s="254">
        <f t="shared" si="28"/>
        <v>167800</v>
      </c>
      <c r="I226" s="254">
        <v>839000</v>
      </c>
      <c r="J226" s="258">
        <f t="shared" si="29"/>
        <v>1006800</v>
      </c>
      <c r="K226" s="145">
        <f>728000-1000</f>
        <v>727000</v>
      </c>
      <c r="L226" s="145">
        <v>2912000</v>
      </c>
      <c r="M226" s="142">
        <f t="shared" si="30"/>
        <v>3639000</v>
      </c>
      <c r="N226" s="99">
        <f t="shared" si="31"/>
        <v>167800</v>
      </c>
      <c r="O226" s="73">
        <f t="shared" si="32"/>
        <v>825432.89048000006</v>
      </c>
      <c r="P226" s="73">
        <f t="shared" si="33"/>
        <v>993232.89048000006</v>
      </c>
      <c r="Q226" s="301">
        <f t="shared" si="34"/>
        <v>156054</v>
      </c>
      <c r="R226" s="301">
        <f t="shared" si="35"/>
        <v>767652.58814640006</v>
      </c>
      <c r="S226" s="300">
        <f t="shared" si="36"/>
        <v>923706.58814640006</v>
      </c>
    </row>
    <row r="227" spans="1:19" ht="15" x14ac:dyDescent="0.2">
      <c r="A227" s="49">
        <v>212</v>
      </c>
      <c r="B227" s="47" t="s">
        <v>439</v>
      </c>
      <c r="C227" s="33" t="s">
        <v>153</v>
      </c>
      <c r="D227" s="111">
        <v>228085.13433493336</v>
      </c>
      <c r="E227" s="114">
        <v>66144.688957130653</v>
      </c>
      <c r="F227" s="114">
        <v>264578.75582852273</v>
      </c>
      <c r="G227" s="114">
        <v>330723.44478565338</v>
      </c>
      <c r="H227" s="254">
        <f t="shared" si="28"/>
        <v>53800</v>
      </c>
      <c r="I227" s="254">
        <v>269000</v>
      </c>
      <c r="J227" s="258">
        <f t="shared" si="29"/>
        <v>322800</v>
      </c>
      <c r="K227" s="145">
        <f>143519.640478817-1000</f>
        <v>142519.64047881699</v>
      </c>
      <c r="L227" s="145">
        <v>574078.56191526738</v>
      </c>
      <c r="M227" s="142">
        <f t="shared" si="30"/>
        <v>716598.20239408431</v>
      </c>
      <c r="N227" s="99">
        <f t="shared" si="31"/>
        <v>53800</v>
      </c>
      <c r="O227" s="73">
        <f t="shared" si="32"/>
        <v>264578.75582852273</v>
      </c>
      <c r="P227" s="73">
        <f t="shared" si="33"/>
        <v>318378.75582852273</v>
      </c>
      <c r="Q227" s="301">
        <f t="shared" si="34"/>
        <v>50034</v>
      </c>
      <c r="R227" s="301">
        <f t="shared" si="35"/>
        <v>246058.24292052613</v>
      </c>
      <c r="S227" s="300">
        <f t="shared" si="36"/>
        <v>296092.24292052613</v>
      </c>
    </row>
    <row r="228" spans="1:19" ht="15" x14ac:dyDescent="0.2">
      <c r="A228" s="49">
        <v>213</v>
      </c>
      <c r="B228" s="47" t="s">
        <v>441</v>
      </c>
      <c r="C228" s="33" t="s">
        <v>153</v>
      </c>
      <c r="D228" s="111">
        <v>2600000</v>
      </c>
      <c r="E228" s="114">
        <v>728000</v>
      </c>
      <c r="F228" s="114">
        <v>2912000</v>
      </c>
      <c r="G228" s="114">
        <v>3640000</v>
      </c>
      <c r="H228" s="254">
        <f t="shared" si="28"/>
        <v>500000</v>
      </c>
      <c r="I228" s="254">
        <v>2500000</v>
      </c>
      <c r="J228" s="258">
        <f t="shared" si="29"/>
        <v>3000000</v>
      </c>
      <c r="K228" s="145">
        <f>17061.408-1000</f>
        <v>16061.407999999999</v>
      </c>
      <c r="L228" s="145">
        <v>68245.632000000012</v>
      </c>
      <c r="M228" s="142">
        <f t="shared" si="30"/>
        <v>84307.040000000008</v>
      </c>
      <c r="N228" s="99">
        <f t="shared" si="31"/>
        <v>16061.407999999999</v>
      </c>
      <c r="O228" s="73">
        <f t="shared" si="32"/>
        <v>68245.632000000012</v>
      </c>
      <c r="P228" s="73">
        <f t="shared" si="33"/>
        <v>84307.040000000008</v>
      </c>
      <c r="Q228" s="301">
        <f t="shared" si="34"/>
        <v>14937.10944</v>
      </c>
      <c r="R228" s="301">
        <f t="shared" si="35"/>
        <v>63468.437760000008</v>
      </c>
      <c r="S228" s="300">
        <f t="shared" si="36"/>
        <v>78405.547200000001</v>
      </c>
    </row>
    <row r="229" spans="1:19" ht="15" x14ac:dyDescent="0.25">
      <c r="A229" s="49">
        <v>214</v>
      </c>
      <c r="B229" s="50" t="s">
        <v>55</v>
      </c>
      <c r="C229" s="33" t="s">
        <v>153</v>
      </c>
      <c r="D229" s="111">
        <v>494895.31199592014</v>
      </c>
      <c r="E229" s="114">
        <v>143519.64047881681</v>
      </c>
      <c r="F229" s="114">
        <v>574078.56191526738</v>
      </c>
      <c r="G229" s="114">
        <v>717598.20239408419</v>
      </c>
      <c r="H229" s="254">
        <f t="shared" si="28"/>
        <v>116600</v>
      </c>
      <c r="I229" s="254">
        <v>583000</v>
      </c>
      <c r="J229" s="258">
        <f t="shared" si="29"/>
        <v>699600</v>
      </c>
      <c r="K229" s="145">
        <f>143519.640478817-1000</f>
        <v>142519.64047881699</v>
      </c>
      <c r="L229" s="145">
        <v>574078.56191526738</v>
      </c>
      <c r="M229" s="142">
        <f t="shared" si="30"/>
        <v>716598.20239408431</v>
      </c>
      <c r="N229" s="99">
        <f t="shared" si="31"/>
        <v>116600</v>
      </c>
      <c r="O229" s="73">
        <f t="shared" si="32"/>
        <v>574078.56191526738</v>
      </c>
      <c r="P229" s="73">
        <f t="shared" si="33"/>
        <v>690678.56191526738</v>
      </c>
      <c r="Q229" s="301">
        <f t="shared" si="34"/>
        <v>108438</v>
      </c>
      <c r="R229" s="301">
        <f t="shared" si="35"/>
        <v>533893.06258119864</v>
      </c>
      <c r="S229" s="300">
        <f t="shared" si="36"/>
        <v>642331.06258119864</v>
      </c>
    </row>
    <row r="230" spans="1:19" ht="15" x14ac:dyDescent="0.25">
      <c r="A230" s="49">
        <v>215</v>
      </c>
      <c r="B230" s="50" t="s">
        <v>449</v>
      </c>
      <c r="C230" s="33" t="s">
        <v>153</v>
      </c>
      <c r="D230" s="111">
        <v>56871.360000000001</v>
      </c>
      <c r="E230" s="114">
        <v>17061.407999999996</v>
      </c>
      <c r="F230" s="114">
        <v>68245.632000000012</v>
      </c>
      <c r="G230" s="114">
        <v>85307.040000000008</v>
      </c>
      <c r="H230" s="254">
        <f t="shared" si="28"/>
        <v>14400</v>
      </c>
      <c r="I230" s="254">
        <v>72000</v>
      </c>
      <c r="J230" s="258">
        <f t="shared" si="29"/>
        <v>86400</v>
      </c>
      <c r="K230" s="145">
        <f>42949.725-1000</f>
        <v>41949.724999999999</v>
      </c>
      <c r="L230" s="145">
        <v>171798.90000000002</v>
      </c>
      <c r="M230" s="142">
        <f t="shared" si="30"/>
        <v>213748.62500000003</v>
      </c>
      <c r="N230" s="99">
        <f t="shared" si="31"/>
        <v>14400</v>
      </c>
      <c r="O230" s="73">
        <f t="shared" si="32"/>
        <v>68245.632000000012</v>
      </c>
      <c r="P230" s="73">
        <f t="shared" si="33"/>
        <v>82645.632000000012</v>
      </c>
      <c r="Q230" s="301">
        <f t="shared" si="34"/>
        <v>13392</v>
      </c>
      <c r="R230" s="301">
        <f t="shared" si="35"/>
        <v>63468.437760000008</v>
      </c>
      <c r="S230" s="300">
        <f t="shared" si="36"/>
        <v>76860.437760000001</v>
      </c>
    </row>
    <row r="231" spans="1:19" ht="22.5" x14ac:dyDescent="0.25">
      <c r="A231" s="49"/>
      <c r="B231" s="29" t="s">
        <v>98</v>
      </c>
      <c r="C231" s="33" t="s">
        <v>153</v>
      </c>
      <c r="D231" s="111"/>
      <c r="E231" s="114"/>
      <c r="F231" s="114"/>
      <c r="G231" s="114"/>
      <c r="H231" s="254">
        <f t="shared" si="28"/>
        <v>0</v>
      </c>
      <c r="I231" s="254"/>
      <c r="J231" s="258">
        <f t="shared" si="29"/>
        <v>0</v>
      </c>
      <c r="K231" s="145"/>
      <c r="L231" s="145"/>
      <c r="M231" s="142">
        <f t="shared" si="30"/>
        <v>0</v>
      </c>
      <c r="N231" s="99">
        <f t="shared" si="31"/>
        <v>0</v>
      </c>
      <c r="O231" s="73">
        <f t="shared" si="32"/>
        <v>0</v>
      </c>
      <c r="P231" s="73">
        <f t="shared" si="33"/>
        <v>0</v>
      </c>
      <c r="Q231" s="301">
        <f t="shared" si="34"/>
        <v>0</v>
      </c>
      <c r="R231" s="301">
        <f t="shared" si="35"/>
        <v>0</v>
      </c>
      <c r="S231" s="300">
        <f t="shared" si="36"/>
        <v>0</v>
      </c>
    </row>
    <row r="232" spans="1:19" ht="15" x14ac:dyDescent="0.25">
      <c r="A232" s="49">
        <v>216</v>
      </c>
      <c r="B232" s="50" t="s">
        <v>445</v>
      </c>
      <c r="C232" s="33" t="s">
        <v>153</v>
      </c>
      <c r="D232" s="111">
        <v>148102.5</v>
      </c>
      <c r="E232" s="114">
        <v>42949.724999999977</v>
      </c>
      <c r="F232" s="114">
        <v>171798.90000000002</v>
      </c>
      <c r="G232" s="114">
        <v>214748.625</v>
      </c>
      <c r="H232" s="254">
        <f t="shared" si="28"/>
        <v>33400</v>
      </c>
      <c r="I232" s="254">
        <v>167000</v>
      </c>
      <c r="J232" s="258">
        <f t="shared" si="29"/>
        <v>200400</v>
      </c>
      <c r="K232" s="145">
        <f>990272.556-1000</f>
        <v>989272.55599999998</v>
      </c>
      <c r="L232" s="145">
        <v>3961090.2240000004</v>
      </c>
      <c r="M232" s="142">
        <f t="shared" si="30"/>
        <v>4950362.78</v>
      </c>
      <c r="N232" s="99">
        <f t="shared" si="31"/>
        <v>33400</v>
      </c>
      <c r="O232" s="73">
        <f t="shared" si="32"/>
        <v>167000</v>
      </c>
      <c r="P232" s="73">
        <f t="shared" si="33"/>
        <v>200400</v>
      </c>
      <c r="Q232" s="301">
        <f t="shared" si="34"/>
        <v>31062</v>
      </c>
      <c r="R232" s="301">
        <f t="shared" si="35"/>
        <v>155310</v>
      </c>
      <c r="S232" s="300">
        <f t="shared" si="36"/>
        <v>186372</v>
      </c>
    </row>
    <row r="233" spans="1:19" ht="15" x14ac:dyDescent="0.25">
      <c r="A233" s="49">
        <v>217</v>
      </c>
      <c r="B233" s="50" t="s">
        <v>254</v>
      </c>
      <c r="C233" s="33" t="s">
        <v>153</v>
      </c>
      <c r="D233" s="111">
        <v>83014.782795031933</v>
      </c>
      <c r="E233" s="114">
        <v>24904.43483850958</v>
      </c>
      <c r="F233" s="114">
        <v>99617.73935403832</v>
      </c>
      <c r="G233" s="114">
        <v>124522.1741925479</v>
      </c>
      <c r="H233" s="254">
        <f t="shared" si="28"/>
        <v>19600</v>
      </c>
      <c r="I233" s="254">
        <v>98000</v>
      </c>
      <c r="J233" s="258">
        <f t="shared" si="29"/>
        <v>117600</v>
      </c>
      <c r="K233" s="145">
        <f>209594.658-1000</f>
        <v>208594.658</v>
      </c>
      <c r="L233" s="145">
        <v>838378.63199999998</v>
      </c>
      <c r="M233" s="142">
        <f t="shared" si="30"/>
        <v>1046973.29</v>
      </c>
      <c r="N233" s="99">
        <f t="shared" si="31"/>
        <v>19600</v>
      </c>
      <c r="O233" s="73">
        <f t="shared" si="32"/>
        <v>98000</v>
      </c>
      <c r="P233" s="73">
        <f t="shared" si="33"/>
        <v>117600</v>
      </c>
      <c r="Q233" s="301">
        <f t="shared" si="34"/>
        <v>18228</v>
      </c>
      <c r="R233" s="301">
        <f t="shared" si="35"/>
        <v>91140</v>
      </c>
      <c r="S233" s="300">
        <f t="shared" si="36"/>
        <v>109368</v>
      </c>
    </row>
    <row r="234" spans="1:19" ht="15" x14ac:dyDescent="0.25">
      <c r="A234" s="49">
        <v>218</v>
      </c>
      <c r="B234" s="39" t="s">
        <v>446</v>
      </c>
      <c r="C234" s="33" t="s">
        <v>153</v>
      </c>
      <c r="D234" s="111">
        <v>3536687.7</v>
      </c>
      <c r="E234" s="114">
        <v>990272.55599999987</v>
      </c>
      <c r="F234" s="114">
        <v>3961090.2240000004</v>
      </c>
      <c r="G234" s="114">
        <v>4951362.78</v>
      </c>
      <c r="H234" s="254">
        <f t="shared" si="28"/>
        <v>620000</v>
      </c>
      <c r="I234" s="254">
        <v>3100000</v>
      </c>
      <c r="J234" s="258">
        <f t="shared" si="29"/>
        <v>3720000</v>
      </c>
      <c r="K234" s="145">
        <f>32916.66924-1000</f>
        <v>31916.669240000003</v>
      </c>
      <c r="L234" s="145">
        <v>131666.67696000001</v>
      </c>
      <c r="M234" s="142">
        <f t="shared" si="30"/>
        <v>163583.34620000003</v>
      </c>
      <c r="N234" s="99">
        <f t="shared" si="31"/>
        <v>31916.669240000003</v>
      </c>
      <c r="O234" s="73">
        <f t="shared" si="32"/>
        <v>131666.67696000001</v>
      </c>
      <c r="P234" s="73">
        <f t="shared" si="33"/>
        <v>163583.34620000003</v>
      </c>
      <c r="Q234" s="301">
        <f t="shared" si="34"/>
        <v>29682.502393200004</v>
      </c>
      <c r="R234" s="301">
        <f t="shared" si="35"/>
        <v>122450.00957280002</v>
      </c>
      <c r="S234" s="300">
        <f t="shared" si="36"/>
        <v>152132.51196600002</v>
      </c>
    </row>
    <row r="235" spans="1:19" ht="15" x14ac:dyDescent="0.25">
      <c r="A235" s="49">
        <v>219</v>
      </c>
      <c r="B235" s="39" t="s">
        <v>447</v>
      </c>
      <c r="C235" s="33" t="s">
        <v>153</v>
      </c>
      <c r="D235" s="111">
        <v>722740.2</v>
      </c>
      <c r="E235" s="114">
        <v>209594.65799999994</v>
      </c>
      <c r="F235" s="114">
        <v>838378.63199999998</v>
      </c>
      <c r="G235" s="114">
        <v>1047973.2899999999</v>
      </c>
      <c r="H235" s="254">
        <f t="shared" si="28"/>
        <v>44000</v>
      </c>
      <c r="I235" s="254">
        <v>220000</v>
      </c>
      <c r="J235" s="258">
        <f t="shared" si="29"/>
        <v>264000</v>
      </c>
      <c r="K235" s="145">
        <f>28446.0403777827-1000</f>
        <v>27446.040377782701</v>
      </c>
      <c r="L235" s="145">
        <v>113784.16151113082</v>
      </c>
      <c r="M235" s="142">
        <f t="shared" si="30"/>
        <v>141230.20188891352</v>
      </c>
      <c r="N235" s="99">
        <f t="shared" si="31"/>
        <v>27446.040377782701</v>
      </c>
      <c r="O235" s="73">
        <f t="shared" si="32"/>
        <v>113784.16151113082</v>
      </c>
      <c r="P235" s="73">
        <f t="shared" si="33"/>
        <v>141230.20188891352</v>
      </c>
      <c r="Q235" s="301">
        <f t="shared" si="34"/>
        <v>25524.817551337914</v>
      </c>
      <c r="R235" s="301">
        <f t="shared" si="35"/>
        <v>105819.27020535167</v>
      </c>
      <c r="S235" s="300">
        <f t="shared" si="36"/>
        <v>131344.08775668958</v>
      </c>
    </row>
    <row r="236" spans="1:19" ht="15" x14ac:dyDescent="0.25">
      <c r="A236" s="49">
        <v>220</v>
      </c>
      <c r="B236" s="39" t="s">
        <v>448</v>
      </c>
      <c r="C236" s="33" t="s">
        <v>153</v>
      </c>
      <c r="D236" s="111">
        <v>113505.75599999999</v>
      </c>
      <c r="E236" s="114">
        <v>32916.669239999988</v>
      </c>
      <c r="F236" s="114">
        <v>131666.67696000001</v>
      </c>
      <c r="G236" s="114">
        <v>164583.3462</v>
      </c>
      <c r="H236" s="254">
        <f t="shared" si="28"/>
        <v>28000</v>
      </c>
      <c r="I236" s="254">
        <v>140000</v>
      </c>
      <c r="J236" s="258">
        <f t="shared" si="29"/>
        <v>168000</v>
      </c>
      <c r="K236" s="145">
        <f>200826.914277604-1000</f>
        <v>199826.914277604</v>
      </c>
      <c r="L236" s="145">
        <v>803307.65711041796</v>
      </c>
      <c r="M236" s="142">
        <f t="shared" si="30"/>
        <v>1003134.5713880219</v>
      </c>
      <c r="N236" s="99">
        <f t="shared" si="31"/>
        <v>28000</v>
      </c>
      <c r="O236" s="73">
        <f t="shared" si="32"/>
        <v>131666.67696000001</v>
      </c>
      <c r="P236" s="73">
        <f t="shared" si="33"/>
        <v>159666.67696000001</v>
      </c>
      <c r="Q236" s="301">
        <f t="shared" si="34"/>
        <v>26040</v>
      </c>
      <c r="R236" s="301">
        <f t="shared" si="35"/>
        <v>122450.00957280002</v>
      </c>
      <c r="S236" s="300">
        <f t="shared" si="36"/>
        <v>148490.00957280002</v>
      </c>
    </row>
    <row r="237" spans="1:19" ht="15" x14ac:dyDescent="0.2">
      <c r="A237" s="49">
        <v>221</v>
      </c>
      <c r="B237" s="47" t="s">
        <v>69</v>
      </c>
      <c r="C237" s="33" t="s">
        <v>153</v>
      </c>
      <c r="D237" s="111">
        <v>94820.134592609014</v>
      </c>
      <c r="E237" s="114">
        <v>28446.040377782701</v>
      </c>
      <c r="F237" s="114">
        <v>113784.16151113082</v>
      </c>
      <c r="G237" s="114">
        <v>142230.20188891352</v>
      </c>
      <c r="H237" s="254">
        <f t="shared" si="28"/>
        <v>22400</v>
      </c>
      <c r="I237" s="254">
        <v>112000</v>
      </c>
      <c r="J237" s="258">
        <f t="shared" si="29"/>
        <v>134400</v>
      </c>
      <c r="K237" s="145">
        <f>41710.2052730409-1000</f>
        <v>40710.205273040898</v>
      </c>
      <c r="L237" s="145">
        <v>166840.82109216374</v>
      </c>
      <c r="M237" s="142">
        <f t="shared" si="30"/>
        <v>207551.02636520463</v>
      </c>
      <c r="N237" s="99">
        <f t="shared" si="31"/>
        <v>22400</v>
      </c>
      <c r="O237" s="73">
        <f t="shared" si="32"/>
        <v>112000</v>
      </c>
      <c r="P237" s="73">
        <f t="shared" si="33"/>
        <v>134400</v>
      </c>
      <c r="Q237" s="301">
        <f t="shared" si="34"/>
        <v>20832</v>
      </c>
      <c r="R237" s="301">
        <f t="shared" si="35"/>
        <v>104160</v>
      </c>
      <c r="S237" s="300">
        <f t="shared" si="36"/>
        <v>124992</v>
      </c>
    </row>
    <row r="238" spans="1:19" ht="15" x14ac:dyDescent="0.2">
      <c r="A238" s="49">
        <v>222</v>
      </c>
      <c r="B238" s="47" t="s">
        <v>70</v>
      </c>
      <c r="C238" s="33" t="s">
        <v>153</v>
      </c>
      <c r="D238" s="111">
        <v>692506.60095725686</v>
      </c>
      <c r="E238" s="114">
        <v>200826.91427760443</v>
      </c>
      <c r="F238" s="114">
        <v>803307.65711041796</v>
      </c>
      <c r="G238" s="114">
        <v>1004134.5713880224</v>
      </c>
      <c r="H238" s="254">
        <f t="shared" si="28"/>
        <v>149200</v>
      </c>
      <c r="I238" s="254">
        <v>746000</v>
      </c>
      <c r="J238" s="258">
        <f t="shared" si="29"/>
        <v>895200</v>
      </c>
      <c r="K238" s="145">
        <f>22447.782-1000</f>
        <v>21447.781999999999</v>
      </c>
      <c r="L238" s="145">
        <v>89791.128000000012</v>
      </c>
      <c r="M238" s="142">
        <f t="shared" si="30"/>
        <v>111238.91</v>
      </c>
      <c r="N238" s="99">
        <f t="shared" si="31"/>
        <v>21447.781999999999</v>
      </c>
      <c r="O238" s="73">
        <f t="shared" si="32"/>
        <v>89791.128000000012</v>
      </c>
      <c r="P238" s="73">
        <f t="shared" si="33"/>
        <v>111238.91</v>
      </c>
      <c r="Q238" s="301">
        <f t="shared" si="34"/>
        <v>19946.437259999999</v>
      </c>
      <c r="R238" s="301">
        <f t="shared" si="35"/>
        <v>83505.74904000001</v>
      </c>
      <c r="S238" s="300">
        <f t="shared" si="36"/>
        <v>103452.1863</v>
      </c>
    </row>
    <row r="239" spans="1:19" ht="15" x14ac:dyDescent="0.2">
      <c r="A239" s="49">
        <v>223</v>
      </c>
      <c r="B239" s="47" t="s">
        <v>1</v>
      </c>
      <c r="C239" s="33" t="s">
        <v>153</v>
      </c>
      <c r="D239" s="111">
        <v>143828.29404496873</v>
      </c>
      <c r="E239" s="114">
        <v>41710.20527304092</v>
      </c>
      <c r="F239" s="114">
        <v>166840.82109216374</v>
      </c>
      <c r="G239" s="114">
        <v>208551.02636520466</v>
      </c>
      <c r="H239" s="254">
        <f t="shared" si="28"/>
        <v>29600</v>
      </c>
      <c r="I239" s="254">
        <v>148000</v>
      </c>
      <c r="J239" s="258">
        <f t="shared" si="29"/>
        <v>177600</v>
      </c>
      <c r="K239" s="145">
        <f>8667.414-1000</f>
        <v>7667.4140000000007</v>
      </c>
      <c r="L239" s="145">
        <v>34669.656000000003</v>
      </c>
      <c r="M239" s="142">
        <f t="shared" si="30"/>
        <v>42337.070000000007</v>
      </c>
      <c r="N239" s="99">
        <f t="shared" si="31"/>
        <v>7667.4140000000007</v>
      </c>
      <c r="O239" s="73">
        <f t="shared" si="32"/>
        <v>34669.656000000003</v>
      </c>
      <c r="P239" s="73">
        <f t="shared" si="33"/>
        <v>42337.070000000007</v>
      </c>
      <c r="Q239" s="301">
        <f t="shared" si="34"/>
        <v>7130.695020000001</v>
      </c>
      <c r="R239" s="301">
        <f t="shared" si="35"/>
        <v>32242.780080000004</v>
      </c>
      <c r="S239" s="300">
        <f t="shared" si="36"/>
        <v>39373.475100000003</v>
      </c>
    </row>
    <row r="240" spans="1:19" ht="15" x14ac:dyDescent="0.25">
      <c r="A240" s="49">
        <v>224</v>
      </c>
      <c r="B240" s="50" t="s">
        <v>56</v>
      </c>
      <c r="C240" s="33" t="s">
        <v>153</v>
      </c>
      <c r="D240" s="111">
        <v>74825.94</v>
      </c>
      <c r="E240" s="114">
        <v>22447.781999999992</v>
      </c>
      <c r="F240" s="114">
        <v>89791.128000000012</v>
      </c>
      <c r="G240" s="114">
        <v>112238.91</v>
      </c>
      <c r="H240" s="254">
        <f t="shared" si="28"/>
        <v>19000</v>
      </c>
      <c r="I240" s="254">
        <v>95000</v>
      </c>
      <c r="J240" s="258">
        <f t="shared" si="29"/>
        <v>114000</v>
      </c>
      <c r="K240" s="145">
        <f>34374.100838-1000</f>
        <v>33374.100837999998</v>
      </c>
      <c r="L240" s="145">
        <v>137496.40335199999</v>
      </c>
      <c r="M240" s="142">
        <f t="shared" si="30"/>
        <v>170870.50419000001</v>
      </c>
      <c r="N240" s="99">
        <f t="shared" si="31"/>
        <v>19000</v>
      </c>
      <c r="O240" s="73">
        <f t="shared" si="32"/>
        <v>89791.128000000012</v>
      </c>
      <c r="P240" s="73">
        <f t="shared" si="33"/>
        <v>108791.12800000001</v>
      </c>
      <c r="Q240" s="301">
        <f t="shared" si="34"/>
        <v>17670</v>
      </c>
      <c r="R240" s="301">
        <f t="shared" si="35"/>
        <v>83505.74904000001</v>
      </c>
      <c r="S240" s="300">
        <f t="shared" si="36"/>
        <v>101175.74904000001</v>
      </c>
    </row>
    <row r="241" spans="1:19" ht="15" x14ac:dyDescent="0.25">
      <c r="A241" s="49">
        <v>225</v>
      </c>
      <c r="B241" s="50" t="s">
        <v>57</v>
      </c>
      <c r="C241" s="33" t="s">
        <v>153</v>
      </c>
      <c r="D241" s="111">
        <v>28891.38</v>
      </c>
      <c r="E241" s="114">
        <v>8667.413999999997</v>
      </c>
      <c r="F241" s="114">
        <v>34669.656000000003</v>
      </c>
      <c r="G241" s="114">
        <v>43337.07</v>
      </c>
      <c r="H241" s="254">
        <f t="shared" si="28"/>
        <v>7200</v>
      </c>
      <c r="I241" s="254">
        <v>36000</v>
      </c>
      <c r="J241" s="258">
        <f t="shared" si="29"/>
        <v>43200</v>
      </c>
      <c r="K241" s="145">
        <f>39290.6055868479-1000</f>
        <v>38290.605586847902</v>
      </c>
      <c r="L241" s="145">
        <v>157162.42234739198</v>
      </c>
      <c r="M241" s="142">
        <f t="shared" si="30"/>
        <v>195453.02793423989</v>
      </c>
      <c r="N241" s="99">
        <f t="shared" si="31"/>
        <v>7200</v>
      </c>
      <c r="O241" s="73">
        <f t="shared" si="32"/>
        <v>34669.656000000003</v>
      </c>
      <c r="P241" s="73">
        <f t="shared" si="33"/>
        <v>41869.656000000003</v>
      </c>
      <c r="Q241" s="301">
        <f t="shared" si="34"/>
        <v>6696</v>
      </c>
      <c r="R241" s="301">
        <f t="shared" si="35"/>
        <v>32242.780080000004</v>
      </c>
      <c r="S241" s="300">
        <f t="shared" si="36"/>
        <v>38938.780080000004</v>
      </c>
    </row>
    <row r="242" spans="1:19" ht="15" x14ac:dyDescent="0.25">
      <c r="A242" s="49">
        <v>226</v>
      </c>
      <c r="B242" s="39" t="s">
        <v>257</v>
      </c>
      <c r="C242" s="33" t="s">
        <v>153</v>
      </c>
      <c r="D242" s="111">
        <v>118531.38219999999</v>
      </c>
      <c r="E242" s="114">
        <v>34374.100837999984</v>
      </c>
      <c r="F242" s="114">
        <v>137496.40335199999</v>
      </c>
      <c r="G242" s="114">
        <v>171870.50418999998</v>
      </c>
      <c r="H242" s="254">
        <f t="shared" si="28"/>
        <v>27000</v>
      </c>
      <c r="I242" s="254">
        <v>135000</v>
      </c>
      <c r="J242" s="258">
        <f t="shared" si="29"/>
        <v>162000</v>
      </c>
      <c r="K242" s="145">
        <f>11374.272-1000</f>
        <v>10374.272000000001</v>
      </c>
      <c r="L242" s="145">
        <v>45497.088000000003</v>
      </c>
      <c r="M242" s="142">
        <f t="shared" si="30"/>
        <v>55871.360000000001</v>
      </c>
      <c r="N242" s="99">
        <f t="shared" si="31"/>
        <v>10374.272000000001</v>
      </c>
      <c r="O242" s="73">
        <f t="shared" si="32"/>
        <v>45497.088000000003</v>
      </c>
      <c r="P242" s="73">
        <f t="shared" si="33"/>
        <v>55871.360000000001</v>
      </c>
      <c r="Q242" s="301">
        <f t="shared" si="34"/>
        <v>9648.0729600000013</v>
      </c>
      <c r="R242" s="301">
        <f t="shared" si="35"/>
        <v>42312.291840000005</v>
      </c>
      <c r="S242" s="300">
        <f t="shared" si="36"/>
        <v>51960.36480000001</v>
      </c>
    </row>
    <row r="243" spans="1:19" ht="15" x14ac:dyDescent="0.25">
      <c r="A243" s="49">
        <v>227</v>
      </c>
      <c r="B243" s="50" t="s">
        <v>258</v>
      </c>
      <c r="C243" s="33" t="s">
        <v>153</v>
      </c>
      <c r="D243" s="111">
        <v>135484.84685119998</v>
      </c>
      <c r="E243" s="114">
        <v>39290.605586847989</v>
      </c>
      <c r="F243" s="114">
        <v>157162.42234739198</v>
      </c>
      <c r="G243" s="114">
        <v>196453.02793423997</v>
      </c>
      <c r="H243" s="254">
        <f t="shared" si="28"/>
        <v>24000</v>
      </c>
      <c r="I243" s="254">
        <v>120000</v>
      </c>
      <c r="J243" s="258">
        <f t="shared" si="29"/>
        <v>144000</v>
      </c>
      <c r="K243" s="145">
        <f>8824.78338-1000</f>
        <v>7824.7833800000008</v>
      </c>
      <c r="L243" s="145">
        <v>35299.133519999996</v>
      </c>
      <c r="M243" s="142">
        <f t="shared" si="30"/>
        <v>43123.916899999997</v>
      </c>
      <c r="N243" s="99">
        <f t="shared" si="31"/>
        <v>7824.7833800000008</v>
      </c>
      <c r="O243" s="73">
        <f t="shared" si="32"/>
        <v>35299.133519999996</v>
      </c>
      <c r="P243" s="73">
        <f t="shared" si="33"/>
        <v>43123.916899999997</v>
      </c>
      <c r="Q243" s="301">
        <f t="shared" si="34"/>
        <v>7277.0485434000002</v>
      </c>
      <c r="R243" s="301">
        <f t="shared" si="35"/>
        <v>32828.194173599994</v>
      </c>
      <c r="S243" s="300">
        <f t="shared" si="36"/>
        <v>40105.242716999994</v>
      </c>
    </row>
    <row r="244" spans="1:19" ht="15" x14ac:dyDescent="0.25">
      <c r="A244" s="49">
        <v>228</v>
      </c>
      <c r="B244" s="50" t="s">
        <v>259</v>
      </c>
      <c r="C244" s="33" t="s">
        <v>153</v>
      </c>
      <c r="D244" s="111">
        <v>37914.239999999998</v>
      </c>
      <c r="E244" s="114">
        <v>11374.271999999997</v>
      </c>
      <c r="F244" s="114">
        <v>45497.088000000003</v>
      </c>
      <c r="G244" s="114">
        <v>56871.360000000001</v>
      </c>
      <c r="H244" s="254">
        <f t="shared" si="28"/>
        <v>9600</v>
      </c>
      <c r="I244" s="254">
        <v>48000</v>
      </c>
      <c r="J244" s="258">
        <f t="shared" si="29"/>
        <v>57600</v>
      </c>
      <c r="K244" s="145">
        <f>90091.4-1000</f>
        <v>89091.4</v>
      </c>
      <c r="L244" s="145">
        <v>360365.60000000003</v>
      </c>
      <c r="M244" s="142">
        <f t="shared" si="30"/>
        <v>449457</v>
      </c>
      <c r="N244" s="99">
        <f t="shared" si="31"/>
        <v>9600</v>
      </c>
      <c r="O244" s="73">
        <f t="shared" si="32"/>
        <v>45497.088000000003</v>
      </c>
      <c r="P244" s="73">
        <f t="shared" si="33"/>
        <v>55097.088000000003</v>
      </c>
      <c r="Q244" s="301">
        <f t="shared" si="34"/>
        <v>8928</v>
      </c>
      <c r="R244" s="301">
        <f t="shared" si="35"/>
        <v>42312.291840000005</v>
      </c>
      <c r="S244" s="300">
        <f t="shared" si="36"/>
        <v>51240.291840000005</v>
      </c>
    </row>
    <row r="245" spans="1:19" ht="15" x14ac:dyDescent="0.25">
      <c r="A245" s="49">
        <v>229</v>
      </c>
      <c r="B245" s="46" t="s">
        <v>260</v>
      </c>
      <c r="C245" s="33" t="s">
        <v>153</v>
      </c>
      <c r="D245" s="111">
        <v>29415.944599999999</v>
      </c>
      <c r="E245" s="114">
        <v>8824.7833800000008</v>
      </c>
      <c r="F245" s="114">
        <v>35299.133519999996</v>
      </c>
      <c r="G245" s="114">
        <v>44123.916899999997</v>
      </c>
      <c r="H245" s="254">
        <f t="shared" si="28"/>
        <v>7400</v>
      </c>
      <c r="I245" s="254">
        <v>37000</v>
      </c>
      <c r="J245" s="258">
        <f t="shared" si="29"/>
        <v>44400</v>
      </c>
      <c r="K245" s="145">
        <f>9739.2204-1000</f>
        <v>8739.2204000000002</v>
      </c>
      <c r="L245" s="145">
        <v>38956.881600000001</v>
      </c>
      <c r="M245" s="142">
        <f t="shared" si="30"/>
        <v>47696.101999999999</v>
      </c>
      <c r="N245" s="99">
        <f t="shared" si="31"/>
        <v>7400</v>
      </c>
      <c r="O245" s="73">
        <f t="shared" si="32"/>
        <v>35299.133519999996</v>
      </c>
      <c r="P245" s="73">
        <f t="shared" si="33"/>
        <v>42699.133519999996</v>
      </c>
      <c r="Q245" s="301">
        <f t="shared" si="34"/>
        <v>6882</v>
      </c>
      <c r="R245" s="301">
        <f t="shared" si="35"/>
        <v>32828.194173599994</v>
      </c>
      <c r="S245" s="300">
        <f t="shared" si="36"/>
        <v>39710.194173599994</v>
      </c>
    </row>
    <row r="246" spans="1:19" ht="15" x14ac:dyDescent="0.25">
      <c r="A246" s="49">
        <v>230</v>
      </c>
      <c r="B246" s="42" t="s">
        <v>261</v>
      </c>
      <c r="C246" s="33" t="s">
        <v>153</v>
      </c>
      <c r="D246" s="111">
        <v>310660</v>
      </c>
      <c r="E246" s="114">
        <v>90091.399999999965</v>
      </c>
      <c r="F246" s="114">
        <v>360365.60000000003</v>
      </c>
      <c r="G246" s="114">
        <v>450457</v>
      </c>
      <c r="H246" s="254">
        <f t="shared" si="28"/>
        <v>78600</v>
      </c>
      <c r="I246" s="254">
        <v>393000</v>
      </c>
      <c r="J246" s="258">
        <f t="shared" si="29"/>
        <v>471600</v>
      </c>
      <c r="K246" s="145">
        <f>176417.2921-1000</f>
        <v>175417.29209999999</v>
      </c>
      <c r="L246" s="145">
        <v>955669.16839999997</v>
      </c>
      <c r="M246" s="142">
        <f t="shared" si="30"/>
        <v>1131086.4605</v>
      </c>
      <c r="N246" s="99">
        <f t="shared" si="31"/>
        <v>78600</v>
      </c>
      <c r="O246" s="73">
        <f t="shared" si="32"/>
        <v>360365.60000000003</v>
      </c>
      <c r="P246" s="73">
        <f t="shared" si="33"/>
        <v>438965.60000000003</v>
      </c>
      <c r="Q246" s="301">
        <f t="shared" si="34"/>
        <v>73098</v>
      </c>
      <c r="R246" s="301">
        <f t="shared" si="35"/>
        <v>335140.00800000003</v>
      </c>
      <c r="S246" s="300">
        <f t="shared" si="36"/>
        <v>408238.00800000003</v>
      </c>
    </row>
    <row r="247" spans="1:19" ht="15" x14ac:dyDescent="0.25">
      <c r="A247" s="49">
        <v>231</v>
      </c>
      <c r="B247" s="48" t="s">
        <v>455</v>
      </c>
      <c r="C247" s="33" t="s">
        <v>153</v>
      </c>
      <c r="D247" s="111">
        <v>32464.067999999999</v>
      </c>
      <c r="E247" s="114">
        <v>9739.2203999999983</v>
      </c>
      <c r="F247" s="114">
        <v>38956.881600000001</v>
      </c>
      <c r="G247" s="114">
        <v>48696.101999999999</v>
      </c>
      <c r="H247" s="254">
        <f t="shared" si="28"/>
        <v>6000</v>
      </c>
      <c r="I247" s="254">
        <v>30000</v>
      </c>
      <c r="J247" s="258">
        <f t="shared" si="29"/>
        <v>36000</v>
      </c>
      <c r="K247" s="145">
        <f>208800-1000</f>
        <v>207800</v>
      </c>
      <c r="L247" s="145">
        <v>955669.16839999997</v>
      </c>
      <c r="M247" s="142">
        <f t="shared" si="30"/>
        <v>1163469.1683999998</v>
      </c>
      <c r="N247" s="99">
        <f t="shared" si="31"/>
        <v>6000</v>
      </c>
      <c r="O247" s="73">
        <f t="shared" si="32"/>
        <v>30000</v>
      </c>
      <c r="P247" s="73">
        <f t="shared" si="33"/>
        <v>36000</v>
      </c>
      <c r="Q247" s="301">
        <f t="shared" si="34"/>
        <v>5580</v>
      </c>
      <c r="R247" s="301">
        <f t="shared" si="35"/>
        <v>27900</v>
      </c>
      <c r="S247" s="300">
        <f t="shared" si="36"/>
        <v>33480</v>
      </c>
    </row>
    <row r="248" spans="1:19" ht="15" x14ac:dyDescent="0.25">
      <c r="A248" s="49">
        <v>232</v>
      </c>
      <c r="B248" s="46" t="s">
        <v>442</v>
      </c>
      <c r="C248" s="33" t="s">
        <v>153</v>
      </c>
      <c r="D248" s="111">
        <v>608335.49</v>
      </c>
      <c r="E248" s="114">
        <v>176417.29209999996</v>
      </c>
      <c r="F248" s="114">
        <v>705669.16839999997</v>
      </c>
      <c r="G248" s="114">
        <v>882086.46049999993</v>
      </c>
      <c r="H248" s="254">
        <f t="shared" si="28"/>
        <v>115600</v>
      </c>
      <c r="I248" s="254">
        <v>578000</v>
      </c>
      <c r="J248" s="258">
        <f t="shared" si="29"/>
        <v>693600</v>
      </c>
      <c r="K248" s="145">
        <f>217500-1000</f>
        <v>216500</v>
      </c>
      <c r="L248" s="145">
        <v>955669.16839999997</v>
      </c>
      <c r="M248" s="142">
        <f t="shared" si="30"/>
        <v>1172169.1683999998</v>
      </c>
      <c r="N248" s="99">
        <f t="shared" si="31"/>
        <v>115600</v>
      </c>
      <c r="O248" s="73">
        <f t="shared" si="32"/>
        <v>578000</v>
      </c>
      <c r="P248" s="73">
        <f t="shared" si="33"/>
        <v>693600</v>
      </c>
      <c r="Q248" s="301">
        <f t="shared" si="34"/>
        <v>107508</v>
      </c>
      <c r="R248" s="301">
        <f t="shared" si="35"/>
        <v>537540</v>
      </c>
      <c r="S248" s="300">
        <f t="shared" si="36"/>
        <v>645048</v>
      </c>
    </row>
    <row r="249" spans="1:19" ht="15" x14ac:dyDescent="0.25">
      <c r="A249" s="49">
        <v>233</v>
      </c>
      <c r="B249" s="46" t="s">
        <v>443</v>
      </c>
      <c r="C249" s="33" t="s">
        <v>153</v>
      </c>
      <c r="D249" s="111">
        <v>720000</v>
      </c>
      <c r="E249" s="114">
        <v>208800</v>
      </c>
      <c r="F249" s="114">
        <v>835200</v>
      </c>
      <c r="G249" s="114">
        <v>1044000</v>
      </c>
      <c r="H249" s="254">
        <f t="shared" si="28"/>
        <v>137600</v>
      </c>
      <c r="I249" s="254">
        <v>688000</v>
      </c>
      <c r="J249" s="258">
        <f t="shared" si="29"/>
        <v>825600</v>
      </c>
      <c r="K249" s="207">
        <f t="shared" ref="K249:L250" si="37">E249-500</f>
        <v>208300</v>
      </c>
      <c r="L249" s="207">
        <f t="shared" si="37"/>
        <v>834700</v>
      </c>
      <c r="M249" s="207">
        <f t="shared" si="30"/>
        <v>1043000</v>
      </c>
      <c r="N249" s="99">
        <f t="shared" si="31"/>
        <v>137600</v>
      </c>
      <c r="O249" s="73">
        <f t="shared" si="32"/>
        <v>688000</v>
      </c>
      <c r="P249" s="73">
        <f t="shared" si="33"/>
        <v>825600</v>
      </c>
      <c r="Q249" s="301">
        <f t="shared" si="34"/>
        <v>127968</v>
      </c>
      <c r="R249" s="301">
        <f t="shared" si="35"/>
        <v>639840</v>
      </c>
      <c r="S249" s="300">
        <f t="shared" si="36"/>
        <v>767808</v>
      </c>
    </row>
    <row r="250" spans="1:19" ht="15" x14ac:dyDescent="0.25">
      <c r="A250" s="49">
        <v>234</v>
      </c>
      <c r="B250" s="46" t="s">
        <v>444</v>
      </c>
      <c r="C250" s="33" t="s">
        <v>153</v>
      </c>
      <c r="D250" s="111">
        <v>750000</v>
      </c>
      <c r="E250" s="114">
        <v>217500</v>
      </c>
      <c r="F250" s="114">
        <v>870000</v>
      </c>
      <c r="G250" s="114">
        <v>1087500</v>
      </c>
      <c r="H250" s="254">
        <f t="shared" si="28"/>
        <v>143800</v>
      </c>
      <c r="I250" s="254">
        <v>719000</v>
      </c>
      <c r="J250" s="258">
        <f t="shared" si="29"/>
        <v>862800</v>
      </c>
      <c r="K250" s="207">
        <f t="shared" si="37"/>
        <v>217000</v>
      </c>
      <c r="L250" s="207">
        <f t="shared" si="37"/>
        <v>869500</v>
      </c>
      <c r="M250" s="207">
        <f t="shared" si="30"/>
        <v>1086500</v>
      </c>
      <c r="N250" s="99">
        <f t="shared" si="31"/>
        <v>143800</v>
      </c>
      <c r="O250" s="73">
        <f t="shared" si="32"/>
        <v>719000</v>
      </c>
      <c r="P250" s="73">
        <f t="shared" si="33"/>
        <v>862800</v>
      </c>
      <c r="Q250" s="301">
        <f t="shared" si="34"/>
        <v>133734</v>
      </c>
      <c r="R250" s="301">
        <f t="shared" si="35"/>
        <v>668670</v>
      </c>
      <c r="S250" s="300">
        <f t="shared" si="36"/>
        <v>802404</v>
      </c>
    </row>
    <row r="251" spans="1:19" x14ac:dyDescent="0.25">
      <c r="A251" s="273" t="s">
        <v>491</v>
      </c>
      <c r="B251" s="273"/>
      <c r="C251" s="273"/>
      <c r="D251" s="26">
        <f t="shared" ref="D251:G251" si="38">SUM(D5:D250)</f>
        <v>156151784.16215</v>
      </c>
      <c r="E251" s="66">
        <f t="shared" si="38"/>
        <v>44723905.885084406</v>
      </c>
      <c r="F251" s="66">
        <f t="shared" si="38"/>
        <v>178895623.54033768</v>
      </c>
      <c r="G251" s="66">
        <f t="shared" si="38"/>
        <v>223619529.4254218</v>
      </c>
      <c r="H251" s="66">
        <f t="shared" ref="H251:J251" si="39">SUM(H5:H250)</f>
        <v>33329400</v>
      </c>
      <c r="I251" s="66">
        <f t="shared" si="39"/>
        <v>166647000</v>
      </c>
      <c r="J251" s="66">
        <f t="shared" si="39"/>
        <v>199976400</v>
      </c>
      <c r="K251" s="44">
        <f t="shared" ref="K251:P251" si="40">SUM(K5:K250)</f>
        <v>44143995.984306909</v>
      </c>
      <c r="L251" s="44">
        <f t="shared" si="40"/>
        <v>179949922.27402768</v>
      </c>
      <c r="M251" s="44">
        <f t="shared" si="40"/>
        <v>224093918.25833425</v>
      </c>
      <c r="N251" s="44">
        <f t="shared" si="40"/>
        <v>25427702.707578223</v>
      </c>
      <c r="O251" s="44">
        <f t="shared" si="40"/>
        <v>120349389.98279871</v>
      </c>
      <c r="P251" s="138">
        <f t="shared" si="40"/>
        <v>145777092.69037691</v>
      </c>
      <c r="Q251" s="301">
        <f t="shared" si="34"/>
        <v>23647763.518047746</v>
      </c>
      <c r="R251" s="301">
        <f t="shared" si="35"/>
        <v>111924932.6840028</v>
      </c>
      <c r="S251" s="300">
        <f t="shared" si="36"/>
        <v>135572696.20205054</v>
      </c>
    </row>
    <row r="252" spans="1:19" x14ac:dyDescent="0.25">
      <c r="A252" s="273" t="s">
        <v>492</v>
      </c>
      <c r="B252" s="273"/>
      <c r="C252" s="273"/>
      <c r="D252" s="237">
        <v>1</v>
      </c>
      <c r="E252" s="122">
        <f>+E251/G251</f>
        <v>0.20000000000000021</v>
      </c>
      <c r="F252" s="122">
        <f>+F251/G251</f>
        <v>0.80000000000000104</v>
      </c>
      <c r="G252" s="122">
        <f>+E252+F252</f>
        <v>1.0000000000000013</v>
      </c>
      <c r="H252" s="122">
        <f>+H251/J251</f>
        <v>0.16666666666666666</v>
      </c>
      <c r="I252" s="122">
        <f>+I251/J251</f>
        <v>0.83333333333333337</v>
      </c>
      <c r="J252" s="122">
        <f>+H252+I252</f>
        <v>1</v>
      </c>
      <c r="K252" s="238">
        <f t="shared" ref="K252" si="41">+K251/M251</f>
        <v>0.19698881757878833</v>
      </c>
      <c r="L252" s="122">
        <f t="shared" ref="L252" si="42">+L251/M251</f>
        <v>0.80301118242121317</v>
      </c>
      <c r="M252" s="122">
        <f t="shared" ref="M252" si="43">+K252+L252</f>
        <v>1.0000000000000016</v>
      </c>
      <c r="N252" s="122">
        <f t="shared" ref="N252" si="44">+N251/P251</f>
        <v>0.1744286584284224</v>
      </c>
      <c r="O252" s="122">
        <f t="shared" ref="O252" si="45">+O251/P251</f>
        <v>0.82557134157157774</v>
      </c>
      <c r="P252" s="122">
        <f t="shared" ref="P252" si="46">+N252+O252</f>
        <v>1.0000000000000002</v>
      </c>
      <c r="Q252" s="301"/>
      <c r="R252" s="301"/>
      <c r="S252" s="300"/>
    </row>
  </sheetData>
  <mergeCells count="8">
    <mergeCell ref="Q3:S3"/>
    <mergeCell ref="N3:P3"/>
    <mergeCell ref="K3:M3"/>
    <mergeCell ref="A251:C251"/>
    <mergeCell ref="A252:C252"/>
    <mergeCell ref="A2:C2"/>
    <mergeCell ref="E3:G3"/>
    <mergeCell ref="H3:J3"/>
  </mergeCells>
  <pageMargins left="0.70866141732283472" right="0.51181102362204722" top="0.35433070866141736" bottom="0.35433070866141736" header="0.31496062992125984" footer="0.31496062992125984"/>
  <pageSetup orientation="portrait" verticalDpi="36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00B0F0"/>
  </sheetPr>
  <dimension ref="A1:R263"/>
  <sheetViews>
    <sheetView topLeftCell="K243" workbookViewId="0">
      <selection activeCell="P2" sqref="P2:R4"/>
    </sheetView>
  </sheetViews>
  <sheetFormatPr baseColWidth="10" defaultRowHeight="15" x14ac:dyDescent="0.25"/>
  <cols>
    <col min="2" max="2" width="47.28515625" bestFit="1" customWidth="1"/>
    <col min="4" max="4" width="15.5703125" bestFit="1" customWidth="1"/>
    <col min="5" max="6" width="16.7109375" bestFit="1" customWidth="1"/>
    <col min="7" max="9" width="16.7109375" customWidth="1"/>
    <col min="10" max="10" width="15.28515625" bestFit="1" customWidth="1"/>
    <col min="11" max="12" width="16.42578125" bestFit="1" customWidth="1"/>
    <col min="13" max="13" width="15.140625" bestFit="1" customWidth="1"/>
    <col min="14" max="14" width="16.28515625" bestFit="1" customWidth="1"/>
    <col min="15" max="15" width="16.5703125" bestFit="1" customWidth="1"/>
    <col min="16" max="16" width="14.7109375" customWidth="1"/>
    <col min="17" max="17" width="14.42578125" customWidth="1"/>
    <col min="18" max="18" width="15.140625" customWidth="1"/>
  </cols>
  <sheetData>
    <row r="1" spans="1:18" x14ac:dyDescent="0.25">
      <c r="A1" s="279" t="s">
        <v>538</v>
      </c>
      <c r="B1" s="279"/>
      <c r="C1" s="279"/>
      <c r="D1" s="44"/>
      <c r="E1" s="44"/>
      <c r="F1" s="44"/>
      <c r="G1" s="44"/>
      <c r="H1" s="44"/>
      <c r="I1" s="44"/>
    </row>
    <row r="2" spans="1:18" x14ac:dyDescent="0.25">
      <c r="A2" s="28"/>
      <c r="B2" s="27"/>
      <c r="C2" s="27"/>
      <c r="D2" s="286" t="s">
        <v>473</v>
      </c>
      <c r="E2" s="286"/>
      <c r="F2" s="286"/>
      <c r="G2" s="285" t="s">
        <v>572</v>
      </c>
      <c r="H2" s="285"/>
      <c r="I2" s="285"/>
      <c r="J2" s="277" t="s">
        <v>490</v>
      </c>
      <c r="K2" s="277"/>
      <c r="L2" s="277"/>
      <c r="M2" s="266" t="s">
        <v>480</v>
      </c>
      <c r="N2" s="266"/>
      <c r="O2" s="266"/>
      <c r="P2" s="295" t="s">
        <v>576</v>
      </c>
      <c r="Q2" s="296"/>
      <c r="R2" s="297"/>
    </row>
    <row r="3" spans="1:18" ht="33.75" x14ac:dyDescent="0.25">
      <c r="A3" s="29" t="s">
        <v>0</v>
      </c>
      <c r="B3" s="30" t="s">
        <v>91</v>
      </c>
      <c r="C3" s="45" t="s">
        <v>152</v>
      </c>
      <c r="D3" s="199" t="s">
        <v>469</v>
      </c>
      <c r="E3" s="199" t="s">
        <v>470</v>
      </c>
      <c r="F3" s="208" t="s">
        <v>471</v>
      </c>
      <c r="G3" s="234" t="s">
        <v>469</v>
      </c>
      <c r="H3" s="234" t="s">
        <v>470</v>
      </c>
      <c r="I3" s="175" t="s">
        <v>471</v>
      </c>
      <c r="J3" s="239" t="s">
        <v>469</v>
      </c>
      <c r="K3" s="115" t="s">
        <v>470</v>
      </c>
      <c r="L3" s="116" t="s">
        <v>471</v>
      </c>
      <c r="M3" s="97" t="s">
        <v>469</v>
      </c>
      <c r="N3" s="97" t="s">
        <v>470</v>
      </c>
      <c r="O3" s="98" t="s">
        <v>471</v>
      </c>
      <c r="P3" s="298" t="s">
        <v>574</v>
      </c>
      <c r="Q3" s="298" t="s">
        <v>575</v>
      </c>
      <c r="R3" s="299" t="s">
        <v>471</v>
      </c>
    </row>
    <row r="4" spans="1:18" s="209" customFormat="1" ht="33.75" x14ac:dyDescent="0.25">
      <c r="A4" s="151">
        <v>1</v>
      </c>
      <c r="B4" s="152" t="s">
        <v>399</v>
      </c>
      <c r="C4" s="153" t="s">
        <v>153</v>
      </c>
      <c r="D4" s="200">
        <v>2400000</v>
      </c>
      <c r="E4" s="173">
        <v>6676000</v>
      </c>
      <c r="F4" s="216">
        <f>(D4+E4)</f>
        <v>9076000</v>
      </c>
      <c r="G4" s="261">
        <f>+H4*20%</f>
        <v>1600000</v>
      </c>
      <c r="H4" s="261">
        <v>8000000</v>
      </c>
      <c r="I4" s="261">
        <f>+H4+G4</f>
        <v>9600000</v>
      </c>
      <c r="J4" s="247">
        <v>2123236.7974346699</v>
      </c>
      <c r="K4" s="247">
        <v>8496947.1897386666</v>
      </c>
      <c r="L4" s="194">
        <v>10620183.987173337</v>
      </c>
      <c r="M4" s="220">
        <f>MIN(D4,J4,G4)</f>
        <v>1600000</v>
      </c>
      <c r="N4" s="220">
        <f>MIN(E4,K4,H4)</f>
        <v>6676000</v>
      </c>
      <c r="O4" s="220">
        <f>M4+N4</f>
        <v>8276000</v>
      </c>
      <c r="P4" s="301">
        <f>M4-(M4*7%)</f>
        <v>1488000</v>
      </c>
      <c r="Q4" s="301">
        <f>N4-(N4*7%)</f>
        <v>6208680</v>
      </c>
      <c r="R4" s="300">
        <f>Q4+P4</f>
        <v>7696680</v>
      </c>
    </row>
    <row r="5" spans="1:18" s="209" customFormat="1" x14ac:dyDescent="0.25">
      <c r="A5" s="151">
        <v>2</v>
      </c>
      <c r="B5" s="152" t="s">
        <v>277</v>
      </c>
      <c r="C5" s="153" t="s">
        <v>153</v>
      </c>
      <c r="D5" s="200">
        <v>320000</v>
      </c>
      <c r="E5" s="173">
        <v>975000</v>
      </c>
      <c r="F5" s="216">
        <f t="shared" ref="F5:F68" si="0">(D5+E5)</f>
        <v>1295000</v>
      </c>
      <c r="G5" s="261">
        <f t="shared" ref="G5:G68" si="1">+H5*20%</f>
        <v>240000</v>
      </c>
      <c r="H5" s="262">
        <v>1200000</v>
      </c>
      <c r="I5" s="261">
        <f t="shared" ref="I5:I68" si="2">+H5+G5</f>
        <v>1440000</v>
      </c>
      <c r="J5" s="247">
        <v>281853.17632637202</v>
      </c>
      <c r="K5" s="247">
        <v>1131412.7053054897</v>
      </c>
      <c r="L5" s="194">
        <v>1413265.8816318617</v>
      </c>
      <c r="M5" s="220">
        <f t="shared" ref="M5:M68" si="3">MIN(D5,J5,G5)</f>
        <v>240000</v>
      </c>
      <c r="N5" s="220">
        <f t="shared" ref="N5:N68" si="4">MIN(E5,K5,H5)</f>
        <v>975000</v>
      </c>
      <c r="O5" s="220">
        <f t="shared" ref="O5:O68" si="5">M5+N5</f>
        <v>1215000</v>
      </c>
      <c r="P5" s="301">
        <f t="shared" ref="P5:P68" si="6">M5-(M5*7%)</f>
        <v>223200</v>
      </c>
      <c r="Q5" s="301">
        <f t="shared" ref="Q5:Q68" si="7">N5-(N5*7%)</f>
        <v>906750</v>
      </c>
      <c r="R5" s="300">
        <f t="shared" ref="R5:R68" si="8">Q5+P5</f>
        <v>1129950</v>
      </c>
    </row>
    <row r="6" spans="1:18" s="209" customFormat="1" x14ac:dyDescent="0.25">
      <c r="A6" s="151">
        <v>3</v>
      </c>
      <c r="B6" s="152" t="s">
        <v>156</v>
      </c>
      <c r="C6" s="153" t="s">
        <v>153</v>
      </c>
      <c r="D6" s="200">
        <v>84000</v>
      </c>
      <c r="E6" s="173">
        <v>256000</v>
      </c>
      <c r="F6" s="216">
        <f t="shared" si="0"/>
        <v>340000</v>
      </c>
      <c r="G6" s="261">
        <f t="shared" si="1"/>
        <v>60000</v>
      </c>
      <c r="H6" s="262">
        <v>300000</v>
      </c>
      <c r="I6" s="261">
        <f t="shared" si="2"/>
        <v>360000</v>
      </c>
      <c r="J6" s="247">
        <v>73268.711102455301</v>
      </c>
      <c r="K6" s="247">
        <v>297074.84440982121</v>
      </c>
      <c r="L6" s="194">
        <v>370343.55551227648</v>
      </c>
      <c r="M6" s="220">
        <f t="shared" si="3"/>
        <v>60000</v>
      </c>
      <c r="N6" s="220">
        <f t="shared" si="4"/>
        <v>256000</v>
      </c>
      <c r="O6" s="220">
        <f t="shared" si="5"/>
        <v>316000</v>
      </c>
      <c r="P6" s="301">
        <f t="shared" si="6"/>
        <v>55800</v>
      </c>
      <c r="Q6" s="301">
        <f t="shared" si="7"/>
        <v>238080</v>
      </c>
      <c r="R6" s="300">
        <f t="shared" si="8"/>
        <v>293880</v>
      </c>
    </row>
    <row r="7" spans="1:18" s="209" customFormat="1" x14ac:dyDescent="0.25">
      <c r="A7" s="151">
        <v>4</v>
      </c>
      <c r="B7" s="152" t="s">
        <v>133</v>
      </c>
      <c r="C7" s="153" t="s">
        <v>153</v>
      </c>
      <c r="D7" s="200">
        <v>1292000</v>
      </c>
      <c r="E7" s="173">
        <v>3593000</v>
      </c>
      <c r="F7" s="216">
        <f t="shared" si="0"/>
        <v>4885000</v>
      </c>
      <c r="G7" s="261">
        <f t="shared" si="1"/>
        <v>86000</v>
      </c>
      <c r="H7" s="262">
        <v>430000</v>
      </c>
      <c r="I7" s="261">
        <f t="shared" si="2"/>
        <v>516000</v>
      </c>
      <c r="J7" s="247">
        <v>1142123.43250209</v>
      </c>
      <c r="K7" s="247">
        <v>4572493.730008346</v>
      </c>
      <c r="L7" s="194">
        <v>5714617.162510436</v>
      </c>
      <c r="M7" s="220">
        <f t="shared" si="3"/>
        <v>86000</v>
      </c>
      <c r="N7" s="220">
        <f t="shared" si="4"/>
        <v>430000</v>
      </c>
      <c r="O7" s="220">
        <f t="shared" si="5"/>
        <v>516000</v>
      </c>
      <c r="P7" s="301">
        <f t="shared" si="6"/>
        <v>79980</v>
      </c>
      <c r="Q7" s="301">
        <f t="shared" si="7"/>
        <v>399900</v>
      </c>
      <c r="R7" s="300">
        <f t="shared" si="8"/>
        <v>479880</v>
      </c>
    </row>
    <row r="8" spans="1:18" s="209" customFormat="1" x14ac:dyDescent="0.25">
      <c r="A8" s="151">
        <v>5</v>
      </c>
      <c r="B8" s="152" t="s">
        <v>4</v>
      </c>
      <c r="C8" s="153" t="s">
        <v>153</v>
      </c>
      <c r="D8" s="200">
        <v>473000</v>
      </c>
      <c r="E8" s="173">
        <v>1315000</v>
      </c>
      <c r="F8" s="216">
        <f t="shared" si="0"/>
        <v>1788000</v>
      </c>
      <c r="G8" s="261">
        <f t="shared" si="1"/>
        <v>316000</v>
      </c>
      <c r="H8" s="262">
        <v>1580000</v>
      </c>
      <c r="I8" s="261">
        <f t="shared" si="2"/>
        <v>1896000</v>
      </c>
      <c r="J8" s="247">
        <v>417473.99439230101</v>
      </c>
      <c r="K8" s="247">
        <v>1673895.9775692038</v>
      </c>
      <c r="L8" s="194">
        <v>2091369.9719615048</v>
      </c>
      <c r="M8" s="220">
        <f t="shared" si="3"/>
        <v>316000</v>
      </c>
      <c r="N8" s="220">
        <f t="shared" si="4"/>
        <v>1315000</v>
      </c>
      <c r="O8" s="220">
        <f t="shared" si="5"/>
        <v>1631000</v>
      </c>
      <c r="P8" s="301">
        <f t="shared" si="6"/>
        <v>293880</v>
      </c>
      <c r="Q8" s="301">
        <f t="shared" si="7"/>
        <v>1222950</v>
      </c>
      <c r="R8" s="300">
        <f t="shared" si="8"/>
        <v>1516830</v>
      </c>
    </row>
    <row r="9" spans="1:18" s="209" customFormat="1" x14ac:dyDescent="0.25">
      <c r="A9" s="151">
        <v>6</v>
      </c>
      <c r="B9" s="152" t="s">
        <v>96</v>
      </c>
      <c r="C9" s="153" t="s">
        <v>153</v>
      </c>
      <c r="D9" s="200">
        <v>387000</v>
      </c>
      <c r="E9" s="173">
        <v>1078000</v>
      </c>
      <c r="F9" s="216">
        <f t="shared" si="0"/>
        <v>1465000</v>
      </c>
      <c r="G9" s="261">
        <f t="shared" si="1"/>
        <v>260000</v>
      </c>
      <c r="H9" s="262">
        <v>1300000</v>
      </c>
      <c r="I9" s="261">
        <f t="shared" si="2"/>
        <v>1560000</v>
      </c>
      <c r="J9" s="247">
        <v>341851.73971213901</v>
      </c>
      <c r="K9" s="247">
        <v>1371406.9588485549</v>
      </c>
      <c r="L9" s="194">
        <v>1713258.6985606938</v>
      </c>
      <c r="M9" s="220">
        <f t="shared" si="3"/>
        <v>260000</v>
      </c>
      <c r="N9" s="220">
        <f t="shared" si="4"/>
        <v>1078000</v>
      </c>
      <c r="O9" s="220">
        <f t="shared" si="5"/>
        <v>1338000</v>
      </c>
      <c r="P9" s="301">
        <f t="shared" si="6"/>
        <v>241800</v>
      </c>
      <c r="Q9" s="301">
        <f t="shared" si="7"/>
        <v>1002540</v>
      </c>
      <c r="R9" s="300">
        <f t="shared" si="8"/>
        <v>1244340</v>
      </c>
    </row>
    <row r="10" spans="1:18" s="209" customFormat="1" x14ac:dyDescent="0.25">
      <c r="A10" s="151">
        <v>7</v>
      </c>
      <c r="B10" s="152" t="s">
        <v>8</v>
      </c>
      <c r="C10" s="153" t="s">
        <v>153</v>
      </c>
      <c r="D10" s="200">
        <v>52000</v>
      </c>
      <c r="E10" s="173">
        <v>149000</v>
      </c>
      <c r="F10" s="216">
        <f t="shared" si="0"/>
        <v>201000</v>
      </c>
      <c r="G10" s="261">
        <f t="shared" si="1"/>
        <v>40000</v>
      </c>
      <c r="H10" s="262">
        <v>200000</v>
      </c>
      <c r="I10" s="261">
        <f t="shared" si="2"/>
        <v>240000</v>
      </c>
      <c r="J10" s="247">
        <v>44638.333977878203</v>
      </c>
      <c r="K10" s="247">
        <v>182553.33591151272</v>
      </c>
      <c r="L10" s="194">
        <v>227191.66988939093</v>
      </c>
      <c r="M10" s="220">
        <f t="shared" si="3"/>
        <v>40000</v>
      </c>
      <c r="N10" s="220">
        <f t="shared" si="4"/>
        <v>149000</v>
      </c>
      <c r="O10" s="220">
        <f t="shared" si="5"/>
        <v>189000</v>
      </c>
      <c r="P10" s="301">
        <f t="shared" si="6"/>
        <v>37200</v>
      </c>
      <c r="Q10" s="301">
        <f t="shared" si="7"/>
        <v>138570</v>
      </c>
      <c r="R10" s="300">
        <f t="shared" si="8"/>
        <v>175770</v>
      </c>
    </row>
    <row r="11" spans="1:18" s="209" customFormat="1" x14ac:dyDescent="0.25">
      <c r="A11" s="151">
        <v>8</v>
      </c>
      <c r="B11" s="152" t="s">
        <v>157</v>
      </c>
      <c r="C11" s="153" t="s">
        <v>153</v>
      </c>
      <c r="D11" s="200">
        <v>66000</v>
      </c>
      <c r="E11" s="173">
        <v>192000</v>
      </c>
      <c r="F11" s="216">
        <f t="shared" si="0"/>
        <v>258000</v>
      </c>
      <c r="G11" s="261">
        <f t="shared" si="1"/>
        <v>50000</v>
      </c>
      <c r="H11" s="262">
        <v>250000</v>
      </c>
      <c r="I11" s="261">
        <f t="shared" si="2"/>
        <v>300000</v>
      </c>
      <c r="J11" s="247">
        <v>57677.857971557598</v>
      </c>
      <c r="K11" s="247">
        <v>234711.4318862306</v>
      </c>
      <c r="L11" s="194">
        <v>292389.28985778819</v>
      </c>
      <c r="M11" s="220">
        <f t="shared" si="3"/>
        <v>50000</v>
      </c>
      <c r="N11" s="220">
        <f t="shared" si="4"/>
        <v>192000</v>
      </c>
      <c r="O11" s="220">
        <f t="shared" si="5"/>
        <v>242000</v>
      </c>
      <c r="P11" s="301">
        <f t="shared" si="6"/>
        <v>46500</v>
      </c>
      <c r="Q11" s="301">
        <f t="shared" si="7"/>
        <v>178560</v>
      </c>
      <c r="R11" s="300">
        <f t="shared" si="8"/>
        <v>225060</v>
      </c>
    </row>
    <row r="12" spans="1:18" s="209" customFormat="1" x14ac:dyDescent="0.25">
      <c r="A12" s="151">
        <v>9</v>
      </c>
      <c r="B12" s="152" t="s">
        <v>10</v>
      </c>
      <c r="C12" s="153" t="s">
        <v>153</v>
      </c>
      <c r="D12" s="200">
        <v>52000</v>
      </c>
      <c r="E12" s="173">
        <v>151000</v>
      </c>
      <c r="F12" s="216">
        <f t="shared" si="0"/>
        <v>203000</v>
      </c>
      <c r="G12" s="261">
        <f t="shared" si="1"/>
        <v>36000</v>
      </c>
      <c r="H12" s="262">
        <v>180000</v>
      </c>
      <c r="I12" s="261">
        <f t="shared" si="2"/>
        <v>216000</v>
      </c>
      <c r="J12" s="247">
        <v>45001.597204964899</v>
      </c>
      <c r="K12" s="247">
        <v>184006.38881985957</v>
      </c>
      <c r="L12" s="194">
        <v>229007.98602482447</v>
      </c>
      <c r="M12" s="220">
        <f t="shared" si="3"/>
        <v>36000</v>
      </c>
      <c r="N12" s="220">
        <f t="shared" si="4"/>
        <v>151000</v>
      </c>
      <c r="O12" s="220">
        <f t="shared" si="5"/>
        <v>187000</v>
      </c>
      <c r="P12" s="301">
        <f t="shared" si="6"/>
        <v>33480</v>
      </c>
      <c r="Q12" s="301">
        <f t="shared" si="7"/>
        <v>140430</v>
      </c>
      <c r="R12" s="300">
        <f t="shared" si="8"/>
        <v>173910</v>
      </c>
    </row>
    <row r="13" spans="1:18" s="209" customFormat="1" x14ac:dyDescent="0.25">
      <c r="A13" s="151">
        <v>10</v>
      </c>
      <c r="B13" s="152" t="s">
        <v>65</v>
      </c>
      <c r="C13" s="153" t="s">
        <v>153</v>
      </c>
      <c r="D13" s="200">
        <v>223000</v>
      </c>
      <c r="E13" s="173">
        <v>646000</v>
      </c>
      <c r="F13" s="216">
        <f t="shared" si="0"/>
        <v>869000</v>
      </c>
      <c r="G13" s="261">
        <f t="shared" si="1"/>
        <v>156000</v>
      </c>
      <c r="H13" s="262">
        <v>780000</v>
      </c>
      <c r="I13" s="261">
        <f t="shared" si="2"/>
        <v>936000</v>
      </c>
      <c r="J13" s="247">
        <v>196454.56502714101</v>
      </c>
      <c r="K13" s="247">
        <v>789818.26010856382</v>
      </c>
      <c r="L13" s="194">
        <v>986272.82513570483</v>
      </c>
      <c r="M13" s="220">
        <f t="shared" si="3"/>
        <v>156000</v>
      </c>
      <c r="N13" s="220">
        <f t="shared" si="4"/>
        <v>646000</v>
      </c>
      <c r="O13" s="220">
        <f t="shared" si="5"/>
        <v>802000</v>
      </c>
      <c r="P13" s="301">
        <f t="shared" si="6"/>
        <v>145080</v>
      </c>
      <c r="Q13" s="301">
        <f t="shared" si="7"/>
        <v>600780</v>
      </c>
      <c r="R13" s="300">
        <f t="shared" si="8"/>
        <v>745860</v>
      </c>
    </row>
    <row r="14" spans="1:18" s="209" customFormat="1" x14ac:dyDescent="0.25">
      <c r="A14" s="151">
        <v>11</v>
      </c>
      <c r="B14" s="152" t="s">
        <v>9</v>
      </c>
      <c r="C14" s="153" t="s">
        <v>153</v>
      </c>
      <c r="D14" s="200">
        <v>76000</v>
      </c>
      <c r="E14" s="173">
        <v>221000</v>
      </c>
      <c r="F14" s="216">
        <f t="shared" si="0"/>
        <v>297000</v>
      </c>
      <c r="G14" s="261">
        <f t="shared" si="1"/>
        <v>60000</v>
      </c>
      <c r="H14" s="262">
        <v>300000</v>
      </c>
      <c r="I14" s="261">
        <f t="shared" si="2"/>
        <v>360000</v>
      </c>
      <c r="J14" s="247">
        <v>66505.517836104002</v>
      </c>
      <c r="K14" s="247">
        <v>270022.0713444163</v>
      </c>
      <c r="L14" s="194">
        <v>336527.58918052027</v>
      </c>
      <c r="M14" s="220">
        <f t="shared" si="3"/>
        <v>60000</v>
      </c>
      <c r="N14" s="220">
        <f t="shared" si="4"/>
        <v>221000</v>
      </c>
      <c r="O14" s="220">
        <f t="shared" si="5"/>
        <v>281000</v>
      </c>
      <c r="P14" s="301">
        <f t="shared" si="6"/>
        <v>55800</v>
      </c>
      <c r="Q14" s="301">
        <f t="shared" si="7"/>
        <v>205530</v>
      </c>
      <c r="R14" s="300">
        <f t="shared" si="8"/>
        <v>261330</v>
      </c>
    </row>
    <row r="15" spans="1:18" s="209" customFormat="1" x14ac:dyDescent="0.25">
      <c r="A15" s="151">
        <v>12</v>
      </c>
      <c r="B15" s="158" t="s">
        <v>401</v>
      </c>
      <c r="C15" s="153" t="s">
        <v>153</v>
      </c>
      <c r="D15" s="200">
        <v>1066000</v>
      </c>
      <c r="E15" s="173">
        <v>4631000</v>
      </c>
      <c r="F15" s="216">
        <f t="shared" si="0"/>
        <v>5697000</v>
      </c>
      <c r="G15" s="261">
        <f t="shared" si="1"/>
        <v>1000000</v>
      </c>
      <c r="H15" s="262">
        <v>5000000</v>
      </c>
      <c r="I15" s="261">
        <f t="shared" si="2"/>
        <v>6000000</v>
      </c>
      <c r="J15" s="247">
        <v>942956.317392</v>
      </c>
      <c r="K15" s="247">
        <v>5371825.269568</v>
      </c>
      <c r="L15" s="194">
        <v>6314781.58696</v>
      </c>
      <c r="M15" s="220">
        <f t="shared" si="3"/>
        <v>942956.317392</v>
      </c>
      <c r="N15" s="220">
        <f t="shared" si="4"/>
        <v>4631000</v>
      </c>
      <c r="O15" s="220">
        <f t="shared" si="5"/>
        <v>5573956.317392</v>
      </c>
      <c r="P15" s="301">
        <f t="shared" si="6"/>
        <v>876949.37517456</v>
      </c>
      <c r="Q15" s="301">
        <f t="shared" si="7"/>
        <v>4306830</v>
      </c>
      <c r="R15" s="300">
        <f t="shared" si="8"/>
        <v>5183779.3751745597</v>
      </c>
    </row>
    <row r="16" spans="1:18" s="209" customFormat="1" x14ac:dyDescent="0.25">
      <c r="A16" s="151">
        <v>13</v>
      </c>
      <c r="B16" s="152" t="s">
        <v>2</v>
      </c>
      <c r="C16" s="153" t="s">
        <v>153</v>
      </c>
      <c r="D16" s="200">
        <v>132000</v>
      </c>
      <c r="E16" s="173">
        <v>404000</v>
      </c>
      <c r="F16" s="216">
        <f t="shared" si="0"/>
        <v>536000</v>
      </c>
      <c r="G16" s="261">
        <f t="shared" si="1"/>
        <v>94000</v>
      </c>
      <c r="H16" s="262">
        <v>470000</v>
      </c>
      <c r="I16" s="261">
        <f t="shared" si="2"/>
        <v>564000</v>
      </c>
      <c r="J16" s="247">
        <v>116062.658476759</v>
      </c>
      <c r="K16" s="247">
        <v>468250.63390703453</v>
      </c>
      <c r="L16" s="194">
        <v>584313.29238379351</v>
      </c>
      <c r="M16" s="220">
        <f t="shared" si="3"/>
        <v>94000</v>
      </c>
      <c r="N16" s="220">
        <f t="shared" si="4"/>
        <v>404000</v>
      </c>
      <c r="O16" s="220">
        <f t="shared" si="5"/>
        <v>498000</v>
      </c>
      <c r="P16" s="301">
        <f t="shared" si="6"/>
        <v>87420</v>
      </c>
      <c r="Q16" s="301">
        <f t="shared" si="7"/>
        <v>375720</v>
      </c>
      <c r="R16" s="300">
        <f t="shared" si="8"/>
        <v>463140</v>
      </c>
    </row>
    <row r="17" spans="1:18" s="209" customFormat="1" x14ac:dyDescent="0.25">
      <c r="A17" s="151">
        <v>14</v>
      </c>
      <c r="B17" s="152" t="s">
        <v>3</v>
      </c>
      <c r="C17" s="153" t="s">
        <v>153</v>
      </c>
      <c r="D17" s="200">
        <v>141000</v>
      </c>
      <c r="E17" s="173">
        <v>431000</v>
      </c>
      <c r="F17" s="216">
        <f t="shared" si="0"/>
        <v>572000</v>
      </c>
      <c r="G17" s="261">
        <f t="shared" si="1"/>
        <v>102000</v>
      </c>
      <c r="H17" s="262">
        <v>510000</v>
      </c>
      <c r="I17" s="261">
        <f t="shared" si="2"/>
        <v>612000</v>
      </c>
      <c r="J17" s="247">
        <v>123975.909632</v>
      </c>
      <c r="K17" s="247">
        <v>499903.63852800004</v>
      </c>
      <c r="L17" s="194">
        <v>623879.54816000001</v>
      </c>
      <c r="M17" s="220">
        <f t="shared" si="3"/>
        <v>102000</v>
      </c>
      <c r="N17" s="220">
        <f t="shared" si="4"/>
        <v>431000</v>
      </c>
      <c r="O17" s="220">
        <f t="shared" si="5"/>
        <v>533000</v>
      </c>
      <c r="P17" s="301">
        <f t="shared" si="6"/>
        <v>94860</v>
      </c>
      <c r="Q17" s="301">
        <f t="shared" si="7"/>
        <v>400830</v>
      </c>
      <c r="R17" s="300">
        <f t="shared" si="8"/>
        <v>495690</v>
      </c>
    </row>
    <row r="18" spans="1:18" s="209" customFormat="1" x14ac:dyDescent="0.25">
      <c r="A18" s="151">
        <v>15</v>
      </c>
      <c r="B18" s="152" t="s">
        <v>15</v>
      </c>
      <c r="C18" s="153" t="s">
        <v>153</v>
      </c>
      <c r="D18" s="200">
        <v>405000</v>
      </c>
      <c r="E18" s="173">
        <v>1235000</v>
      </c>
      <c r="F18" s="216">
        <f t="shared" si="0"/>
        <v>1640000</v>
      </c>
      <c r="G18" s="261">
        <f t="shared" si="1"/>
        <v>300000</v>
      </c>
      <c r="H18" s="262">
        <v>1500000</v>
      </c>
      <c r="I18" s="261">
        <f t="shared" si="2"/>
        <v>1800000</v>
      </c>
      <c r="J18" s="247">
        <v>357204.31438851199</v>
      </c>
      <c r="K18" s="247">
        <v>1432817.2575540498</v>
      </c>
      <c r="L18" s="194">
        <v>1790021.5719425618</v>
      </c>
      <c r="M18" s="220">
        <f t="shared" si="3"/>
        <v>300000</v>
      </c>
      <c r="N18" s="220">
        <f t="shared" si="4"/>
        <v>1235000</v>
      </c>
      <c r="O18" s="220">
        <f t="shared" si="5"/>
        <v>1535000</v>
      </c>
      <c r="P18" s="301">
        <f t="shared" si="6"/>
        <v>279000</v>
      </c>
      <c r="Q18" s="301">
        <f t="shared" si="7"/>
        <v>1148550</v>
      </c>
      <c r="R18" s="300">
        <f t="shared" si="8"/>
        <v>1427550</v>
      </c>
    </row>
    <row r="19" spans="1:18" s="209" customFormat="1" x14ac:dyDescent="0.25">
      <c r="A19" s="151">
        <v>16</v>
      </c>
      <c r="B19" s="152" t="s">
        <v>105</v>
      </c>
      <c r="C19" s="153" t="s">
        <v>153</v>
      </c>
      <c r="D19" s="200">
        <v>124000</v>
      </c>
      <c r="E19" s="173">
        <v>378000</v>
      </c>
      <c r="F19" s="216">
        <f t="shared" si="0"/>
        <v>502000</v>
      </c>
      <c r="G19" s="261">
        <f t="shared" si="1"/>
        <v>90000</v>
      </c>
      <c r="H19" s="262">
        <v>450000</v>
      </c>
      <c r="I19" s="261">
        <f t="shared" si="2"/>
        <v>540000</v>
      </c>
      <c r="J19" s="247">
        <v>108708.475892273</v>
      </c>
      <c r="K19" s="247">
        <v>438833.90356909152</v>
      </c>
      <c r="L19" s="194">
        <v>547542.37946136447</v>
      </c>
      <c r="M19" s="220">
        <f t="shared" si="3"/>
        <v>90000</v>
      </c>
      <c r="N19" s="220">
        <f t="shared" si="4"/>
        <v>378000</v>
      </c>
      <c r="O19" s="220">
        <f t="shared" si="5"/>
        <v>468000</v>
      </c>
      <c r="P19" s="301">
        <f t="shared" si="6"/>
        <v>83700</v>
      </c>
      <c r="Q19" s="301">
        <f t="shared" si="7"/>
        <v>351540</v>
      </c>
      <c r="R19" s="300">
        <f t="shared" si="8"/>
        <v>435240</v>
      </c>
    </row>
    <row r="20" spans="1:18" s="209" customFormat="1" x14ac:dyDescent="0.25">
      <c r="A20" s="151">
        <v>17</v>
      </c>
      <c r="B20" s="152" t="s">
        <v>106</v>
      </c>
      <c r="C20" s="153" t="s">
        <v>153</v>
      </c>
      <c r="D20" s="200">
        <v>167000</v>
      </c>
      <c r="E20" s="173">
        <v>510000</v>
      </c>
      <c r="F20" s="216">
        <f t="shared" si="0"/>
        <v>677000</v>
      </c>
      <c r="G20" s="261">
        <f t="shared" si="1"/>
        <v>12000</v>
      </c>
      <c r="H20" s="262">
        <v>60000</v>
      </c>
      <c r="I20" s="261">
        <f t="shared" si="2"/>
        <v>72000</v>
      </c>
      <c r="J20" s="247">
        <v>146905.34806786801</v>
      </c>
      <c r="K20" s="247">
        <v>591621.39227147389</v>
      </c>
      <c r="L20" s="194">
        <v>738526.74033934192</v>
      </c>
      <c r="M20" s="220">
        <f t="shared" si="3"/>
        <v>12000</v>
      </c>
      <c r="N20" s="220">
        <f t="shared" si="4"/>
        <v>60000</v>
      </c>
      <c r="O20" s="220">
        <f t="shared" si="5"/>
        <v>72000</v>
      </c>
      <c r="P20" s="301">
        <f t="shared" si="6"/>
        <v>11160</v>
      </c>
      <c r="Q20" s="301">
        <f t="shared" si="7"/>
        <v>55800</v>
      </c>
      <c r="R20" s="300">
        <f t="shared" si="8"/>
        <v>66960</v>
      </c>
    </row>
    <row r="21" spans="1:18" s="209" customFormat="1" x14ac:dyDescent="0.25">
      <c r="A21" s="151">
        <v>18</v>
      </c>
      <c r="B21" s="152" t="s">
        <v>6</v>
      </c>
      <c r="C21" s="153" t="s">
        <v>153</v>
      </c>
      <c r="D21" s="200">
        <v>148000</v>
      </c>
      <c r="E21" s="173">
        <v>453000</v>
      </c>
      <c r="F21" s="216">
        <f t="shared" si="0"/>
        <v>601000</v>
      </c>
      <c r="G21" s="261">
        <f t="shared" si="1"/>
        <v>108000</v>
      </c>
      <c r="H21" s="262">
        <v>540000</v>
      </c>
      <c r="I21" s="261">
        <f t="shared" si="2"/>
        <v>648000</v>
      </c>
      <c r="J21" s="247">
        <v>130241.60000000001</v>
      </c>
      <c r="K21" s="247">
        <v>524966.40000000002</v>
      </c>
      <c r="L21" s="194">
        <v>655208</v>
      </c>
      <c r="M21" s="220">
        <f t="shared" si="3"/>
        <v>108000</v>
      </c>
      <c r="N21" s="220">
        <f t="shared" si="4"/>
        <v>453000</v>
      </c>
      <c r="O21" s="220">
        <f t="shared" si="5"/>
        <v>561000</v>
      </c>
      <c r="P21" s="301">
        <f t="shared" si="6"/>
        <v>100440</v>
      </c>
      <c r="Q21" s="301">
        <f t="shared" si="7"/>
        <v>421290</v>
      </c>
      <c r="R21" s="300">
        <f t="shared" si="8"/>
        <v>521730</v>
      </c>
    </row>
    <row r="22" spans="1:18" s="209" customFormat="1" x14ac:dyDescent="0.25">
      <c r="A22" s="151">
        <v>19</v>
      </c>
      <c r="B22" s="152" t="s">
        <v>159</v>
      </c>
      <c r="C22" s="153" t="s">
        <v>153</v>
      </c>
      <c r="D22" s="200">
        <v>678000</v>
      </c>
      <c r="E22" s="173">
        <v>1886000</v>
      </c>
      <c r="F22" s="216">
        <f t="shared" si="0"/>
        <v>2564000</v>
      </c>
      <c r="G22" s="261">
        <f t="shared" si="1"/>
        <v>456000</v>
      </c>
      <c r="H22" s="262">
        <v>2280000</v>
      </c>
      <c r="I22" s="261">
        <f t="shared" si="2"/>
        <v>2736000</v>
      </c>
      <c r="J22" s="247">
        <v>599189.15972475696</v>
      </c>
      <c r="K22" s="247">
        <v>2400756.6388990278</v>
      </c>
      <c r="L22" s="194">
        <v>2999945.7986237849</v>
      </c>
      <c r="M22" s="220">
        <f t="shared" si="3"/>
        <v>456000</v>
      </c>
      <c r="N22" s="220">
        <f t="shared" si="4"/>
        <v>1886000</v>
      </c>
      <c r="O22" s="220">
        <f t="shared" si="5"/>
        <v>2342000</v>
      </c>
      <c r="P22" s="301">
        <f t="shared" si="6"/>
        <v>424080</v>
      </c>
      <c r="Q22" s="301">
        <f t="shared" si="7"/>
        <v>1753980</v>
      </c>
      <c r="R22" s="300">
        <f t="shared" si="8"/>
        <v>2178060</v>
      </c>
    </row>
    <row r="23" spans="1:18" s="209" customFormat="1" ht="22.5" x14ac:dyDescent="0.25">
      <c r="A23" s="151">
        <v>20</v>
      </c>
      <c r="B23" s="152" t="s">
        <v>402</v>
      </c>
      <c r="C23" s="153" t="s">
        <v>153</v>
      </c>
      <c r="D23" s="200">
        <v>69000</v>
      </c>
      <c r="E23" s="173">
        <v>210000</v>
      </c>
      <c r="F23" s="216">
        <f t="shared" si="0"/>
        <v>279000</v>
      </c>
      <c r="G23" s="261">
        <f t="shared" si="1"/>
        <v>50000</v>
      </c>
      <c r="H23" s="262">
        <v>250000</v>
      </c>
      <c r="I23" s="261">
        <f t="shared" si="2"/>
        <v>300000</v>
      </c>
      <c r="J23" s="247">
        <v>59808.608</v>
      </c>
      <c r="K23" s="247">
        <v>243234.432</v>
      </c>
      <c r="L23" s="194">
        <v>303043.03999999998</v>
      </c>
      <c r="M23" s="220">
        <f t="shared" si="3"/>
        <v>50000</v>
      </c>
      <c r="N23" s="220">
        <f t="shared" si="4"/>
        <v>210000</v>
      </c>
      <c r="O23" s="220">
        <f t="shared" si="5"/>
        <v>260000</v>
      </c>
      <c r="P23" s="301">
        <f t="shared" si="6"/>
        <v>46500</v>
      </c>
      <c r="Q23" s="301">
        <f t="shared" si="7"/>
        <v>195300</v>
      </c>
      <c r="R23" s="300">
        <f t="shared" si="8"/>
        <v>241800</v>
      </c>
    </row>
    <row r="24" spans="1:18" s="209" customFormat="1" x14ac:dyDescent="0.25">
      <c r="A24" s="151">
        <v>21</v>
      </c>
      <c r="B24" s="152" t="s">
        <v>278</v>
      </c>
      <c r="C24" s="153" t="s">
        <v>153</v>
      </c>
      <c r="D24" s="200">
        <v>127000</v>
      </c>
      <c r="E24" s="173">
        <v>353000</v>
      </c>
      <c r="F24" s="216">
        <f t="shared" si="0"/>
        <v>480000</v>
      </c>
      <c r="G24" s="261">
        <f t="shared" si="1"/>
        <v>90000</v>
      </c>
      <c r="H24" s="262">
        <v>450000</v>
      </c>
      <c r="I24" s="261">
        <f t="shared" si="2"/>
        <v>540000</v>
      </c>
      <c r="J24" s="247">
        <v>111316.714294124</v>
      </c>
      <c r="K24" s="247">
        <v>449266.85717649525</v>
      </c>
      <c r="L24" s="194">
        <v>560583.5714706193</v>
      </c>
      <c r="M24" s="220">
        <f t="shared" si="3"/>
        <v>90000</v>
      </c>
      <c r="N24" s="220">
        <f t="shared" si="4"/>
        <v>353000</v>
      </c>
      <c r="O24" s="220">
        <f t="shared" si="5"/>
        <v>443000</v>
      </c>
      <c r="P24" s="301">
        <f t="shared" si="6"/>
        <v>83700</v>
      </c>
      <c r="Q24" s="301">
        <f t="shared" si="7"/>
        <v>328290</v>
      </c>
      <c r="R24" s="300">
        <f t="shared" si="8"/>
        <v>411990</v>
      </c>
    </row>
    <row r="25" spans="1:18" s="209" customFormat="1" x14ac:dyDescent="0.25">
      <c r="A25" s="151">
        <v>22</v>
      </c>
      <c r="B25" s="158" t="s">
        <v>132</v>
      </c>
      <c r="C25" s="153" t="s">
        <v>153</v>
      </c>
      <c r="D25" s="200">
        <v>282000</v>
      </c>
      <c r="E25" s="173">
        <v>784000</v>
      </c>
      <c r="F25" s="216">
        <f t="shared" si="0"/>
        <v>1066000</v>
      </c>
      <c r="G25" s="261">
        <f t="shared" si="1"/>
        <v>190000</v>
      </c>
      <c r="H25" s="262">
        <v>950000</v>
      </c>
      <c r="I25" s="261">
        <f t="shared" si="2"/>
        <v>1140000</v>
      </c>
      <c r="J25" s="247">
        <v>248434.271307427</v>
      </c>
      <c r="K25" s="247">
        <v>997737.08522970695</v>
      </c>
      <c r="L25" s="194">
        <v>1246171.3565371339</v>
      </c>
      <c r="M25" s="220">
        <f t="shared" si="3"/>
        <v>190000</v>
      </c>
      <c r="N25" s="220">
        <f t="shared" si="4"/>
        <v>784000</v>
      </c>
      <c r="O25" s="220">
        <f t="shared" si="5"/>
        <v>974000</v>
      </c>
      <c r="P25" s="301">
        <f t="shared" si="6"/>
        <v>176700</v>
      </c>
      <c r="Q25" s="301">
        <f t="shared" si="7"/>
        <v>729120</v>
      </c>
      <c r="R25" s="300">
        <f t="shared" si="8"/>
        <v>905820</v>
      </c>
    </row>
    <row r="26" spans="1:18" s="209" customFormat="1" x14ac:dyDescent="0.25">
      <c r="A26" s="151">
        <v>23</v>
      </c>
      <c r="B26" s="158" t="s">
        <v>149</v>
      </c>
      <c r="C26" s="153" t="s">
        <v>153</v>
      </c>
      <c r="D26" s="200">
        <v>132000</v>
      </c>
      <c r="E26" s="173">
        <v>368000</v>
      </c>
      <c r="F26" s="216">
        <f t="shared" si="0"/>
        <v>500000</v>
      </c>
      <c r="G26" s="261">
        <f t="shared" si="1"/>
        <v>90000</v>
      </c>
      <c r="H26" s="262">
        <v>450000</v>
      </c>
      <c r="I26" s="261">
        <f t="shared" si="2"/>
        <v>540000</v>
      </c>
      <c r="J26" s="247">
        <v>116217.732616824</v>
      </c>
      <c r="K26" s="247">
        <v>468870.93046729453</v>
      </c>
      <c r="L26" s="194">
        <v>585088.66308411851</v>
      </c>
      <c r="M26" s="220">
        <f t="shared" si="3"/>
        <v>90000</v>
      </c>
      <c r="N26" s="220">
        <f t="shared" si="4"/>
        <v>368000</v>
      </c>
      <c r="O26" s="220">
        <f t="shared" si="5"/>
        <v>458000</v>
      </c>
      <c r="P26" s="301">
        <f t="shared" si="6"/>
        <v>83700</v>
      </c>
      <c r="Q26" s="301">
        <f t="shared" si="7"/>
        <v>342240</v>
      </c>
      <c r="R26" s="300">
        <f t="shared" si="8"/>
        <v>425940</v>
      </c>
    </row>
    <row r="27" spans="1:18" s="209" customFormat="1" x14ac:dyDescent="0.25">
      <c r="A27" s="151">
        <v>24</v>
      </c>
      <c r="B27" s="152" t="s">
        <v>11</v>
      </c>
      <c r="C27" s="153" t="s">
        <v>153</v>
      </c>
      <c r="D27" s="200">
        <v>83000</v>
      </c>
      <c r="E27" s="173">
        <v>232000</v>
      </c>
      <c r="F27" s="216">
        <f t="shared" si="0"/>
        <v>315000</v>
      </c>
      <c r="G27" s="261">
        <f t="shared" si="1"/>
        <v>56000</v>
      </c>
      <c r="H27" s="262">
        <v>280000</v>
      </c>
      <c r="I27" s="261">
        <f t="shared" si="2"/>
        <v>336000</v>
      </c>
      <c r="J27" s="247">
        <v>72847.748046081193</v>
      </c>
      <c r="K27" s="247">
        <v>295390.99218432495</v>
      </c>
      <c r="L27" s="194">
        <v>368238.74023040617</v>
      </c>
      <c r="M27" s="220">
        <f t="shared" si="3"/>
        <v>56000</v>
      </c>
      <c r="N27" s="220">
        <f t="shared" si="4"/>
        <v>232000</v>
      </c>
      <c r="O27" s="220">
        <f t="shared" si="5"/>
        <v>288000</v>
      </c>
      <c r="P27" s="301">
        <f t="shared" si="6"/>
        <v>52080</v>
      </c>
      <c r="Q27" s="301">
        <f t="shared" si="7"/>
        <v>215760</v>
      </c>
      <c r="R27" s="300">
        <f t="shared" si="8"/>
        <v>267840</v>
      </c>
    </row>
    <row r="28" spans="1:18" s="209" customFormat="1" x14ac:dyDescent="0.25">
      <c r="A28" s="151">
        <v>25</v>
      </c>
      <c r="B28" s="158" t="s">
        <v>66</v>
      </c>
      <c r="C28" s="153" t="s">
        <v>153</v>
      </c>
      <c r="D28" s="200">
        <v>132000</v>
      </c>
      <c r="E28" s="173">
        <v>366000</v>
      </c>
      <c r="F28" s="216">
        <f t="shared" si="0"/>
        <v>498000</v>
      </c>
      <c r="G28" s="261">
        <f t="shared" si="1"/>
        <v>90000</v>
      </c>
      <c r="H28" s="262">
        <v>450000</v>
      </c>
      <c r="I28" s="261">
        <f t="shared" si="2"/>
        <v>540000</v>
      </c>
      <c r="J28" s="247">
        <v>115484.080341318</v>
      </c>
      <c r="K28" s="247">
        <v>465936.32136527193</v>
      </c>
      <c r="L28" s="194">
        <v>581420.40170658997</v>
      </c>
      <c r="M28" s="220">
        <f t="shared" si="3"/>
        <v>90000</v>
      </c>
      <c r="N28" s="220">
        <f t="shared" si="4"/>
        <v>366000</v>
      </c>
      <c r="O28" s="220">
        <f t="shared" si="5"/>
        <v>456000</v>
      </c>
      <c r="P28" s="301">
        <f t="shared" si="6"/>
        <v>83700</v>
      </c>
      <c r="Q28" s="301">
        <f t="shared" si="7"/>
        <v>340380</v>
      </c>
      <c r="R28" s="300">
        <f t="shared" si="8"/>
        <v>424080</v>
      </c>
    </row>
    <row r="29" spans="1:18" s="209" customFormat="1" x14ac:dyDescent="0.25">
      <c r="A29" s="151">
        <v>26</v>
      </c>
      <c r="B29" s="152" t="s">
        <v>13</v>
      </c>
      <c r="C29" s="153" t="s">
        <v>153</v>
      </c>
      <c r="D29" s="200">
        <v>469000</v>
      </c>
      <c r="E29" s="173">
        <v>1452000</v>
      </c>
      <c r="F29" s="216">
        <f t="shared" si="0"/>
        <v>1921000</v>
      </c>
      <c r="G29" s="261">
        <f t="shared" si="1"/>
        <v>350000</v>
      </c>
      <c r="H29" s="262">
        <v>1750000</v>
      </c>
      <c r="I29" s="261">
        <f t="shared" si="2"/>
        <v>2100000</v>
      </c>
      <c r="J29" s="247">
        <v>460868.209231199</v>
      </c>
      <c r="K29" s="247">
        <v>1847472.8369247979</v>
      </c>
      <c r="L29" s="194">
        <v>2308341.0461559966</v>
      </c>
      <c r="M29" s="220">
        <f t="shared" si="3"/>
        <v>350000</v>
      </c>
      <c r="N29" s="220">
        <f t="shared" si="4"/>
        <v>1452000</v>
      </c>
      <c r="O29" s="220">
        <f t="shared" si="5"/>
        <v>1802000</v>
      </c>
      <c r="P29" s="301">
        <f t="shared" si="6"/>
        <v>325500</v>
      </c>
      <c r="Q29" s="301">
        <f t="shared" si="7"/>
        <v>1350360</v>
      </c>
      <c r="R29" s="300">
        <f t="shared" si="8"/>
        <v>1675860</v>
      </c>
    </row>
    <row r="30" spans="1:18" s="209" customFormat="1" x14ac:dyDescent="0.25">
      <c r="A30" s="151">
        <v>27</v>
      </c>
      <c r="B30" s="152" t="s">
        <v>14</v>
      </c>
      <c r="C30" s="153" t="s">
        <v>153</v>
      </c>
      <c r="D30" s="200">
        <v>81000</v>
      </c>
      <c r="E30" s="173">
        <v>248000</v>
      </c>
      <c r="F30" s="216">
        <f t="shared" si="0"/>
        <v>329000</v>
      </c>
      <c r="G30" s="261">
        <f t="shared" si="1"/>
        <v>60000</v>
      </c>
      <c r="H30" s="262">
        <v>300000</v>
      </c>
      <c r="I30" s="261">
        <f t="shared" si="2"/>
        <v>360000</v>
      </c>
      <c r="J30" s="247">
        <v>70955.317836610193</v>
      </c>
      <c r="K30" s="247">
        <v>287821.27134644089</v>
      </c>
      <c r="L30" s="194">
        <v>358776.58918305108</v>
      </c>
      <c r="M30" s="220">
        <f t="shared" si="3"/>
        <v>60000</v>
      </c>
      <c r="N30" s="220">
        <f t="shared" si="4"/>
        <v>248000</v>
      </c>
      <c r="O30" s="220">
        <f t="shared" si="5"/>
        <v>308000</v>
      </c>
      <c r="P30" s="301">
        <f t="shared" si="6"/>
        <v>55800</v>
      </c>
      <c r="Q30" s="301">
        <f t="shared" si="7"/>
        <v>230640</v>
      </c>
      <c r="R30" s="300">
        <f t="shared" si="8"/>
        <v>286440</v>
      </c>
    </row>
    <row r="31" spans="1:18" s="209" customFormat="1" x14ac:dyDescent="0.25">
      <c r="A31" s="151">
        <v>28</v>
      </c>
      <c r="B31" s="152" t="s">
        <v>280</v>
      </c>
      <c r="C31" s="153" t="s">
        <v>153</v>
      </c>
      <c r="D31" s="200">
        <v>39000</v>
      </c>
      <c r="E31" s="173">
        <v>118000</v>
      </c>
      <c r="F31" s="216">
        <f t="shared" si="0"/>
        <v>157000</v>
      </c>
      <c r="G31" s="261">
        <f t="shared" si="1"/>
        <v>28000</v>
      </c>
      <c r="H31" s="262">
        <v>140000</v>
      </c>
      <c r="I31" s="261">
        <f t="shared" si="2"/>
        <v>168000</v>
      </c>
      <c r="J31" s="247">
        <v>33122.815999999999</v>
      </c>
      <c r="K31" s="247">
        <v>136491.26400000002</v>
      </c>
      <c r="L31" s="194">
        <v>169614.08000000002</v>
      </c>
      <c r="M31" s="220">
        <f t="shared" si="3"/>
        <v>28000</v>
      </c>
      <c r="N31" s="220">
        <f t="shared" si="4"/>
        <v>118000</v>
      </c>
      <c r="O31" s="220">
        <f t="shared" si="5"/>
        <v>146000</v>
      </c>
      <c r="P31" s="301">
        <f t="shared" si="6"/>
        <v>26040</v>
      </c>
      <c r="Q31" s="301">
        <f t="shared" si="7"/>
        <v>109740</v>
      </c>
      <c r="R31" s="300">
        <f t="shared" si="8"/>
        <v>135780</v>
      </c>
    </row>
    <row r="32" spans="1:18" s="209" customFormat="1" x14ac:dyDescent="0.25">
      <c r="A32" s="151">
        <v>29</v>
      </c>
      <c r="B32" s="152" t="s">
        <v>163</v>
      </c>
      <c r="C32" s="153" t="s">
        <v>153</v>
      </c>
      <c r="D32" s="200">
        <v>31000</v>
      </c>
      <c r="E32" s="173">
        <v>96000</v>
      </c>
      <c r="F32" s="216">
        <f t="shared" si="0"/>
        <v>127000</v>
      </c>
      <c r="G32" s="261">
        <f t="shared" si="1"/>
        <v>24000</v>
      </c>
      <c r="H32" s="262">
        <v>120000</v>
      </c>
      <c r="I32" s="261">
        <f t="shared" si="2"/>
        <v>144000</v>
      </c>
      <c r="J32" s="247">
        <v>26858.667590133799</v>
      </c>
      <c r="K32" s="247">
        <v>111434.67036053509</v>
      </c>
      <c r="L32" s="194">
        <v>138293.33795066888</v>
      </c>
      <c r="M32" s="220">
        <f t="shared" si="3"/>
        <v>24000</v>
      </c>
      <c r="N32" s="220">
        <f t="shared" si="4"/>
        <v>96000</v>
      </c>
      <c r="O32" s="220">
        <f t="shared" si="5"/>
        <v>120000</v>
      </c>
      <c r="P32" s="301">
        <f t="shared" si="6"/>
        <v>22320</v>
      </c>
      <c r="Q32" s="301">
        <f t="shared" si="7"/>
        <v>89280</v>
      </c>
      <c r="R32" s="300">
        <f t="shared" si="8"/>
        <v>111600</v>
      </c>
    </row>
    <row r="33" spans="1:18" s="209" customFormat="1" x14ac:dyDescent="0.25">
      <c r="A33" s="151">
        <v>30</v>
      </c>
      <c r="B33" s="152" t="s">
        <v>281</v>
      </c>
      <c r="C33" s="153" t="s">
        <v>153</v>
      </c>
      <c r="D33" s="200">
        <v>69000</v>
      </c>
      <c r="E33" s="173">
        <v>201000</v>
      </c>
      <c r="F33" s="216">
        <f t="shared" si="0"/>
        <v>270000</v>
      </c>
      <c r="G33" s="261">
        <f t="shared" si="1"/>
        <v>50000</v>
      </c>
      <c r="H33" s="262">
        <v>250000</v>
      </c>
      <c r="I33" s="261">
        <f t="shared" si="2"/>
        <v>300000</v>
      </c>
      <c r="J33" s="247">
        <v>60285.762770293499</v>
      </c>
      <c r="K33" s="247">
        <v>245143.0510811742</v>
      </c>
      <c r="L33" s="194">
        <v>305428.81385146768</v>
      </c>
      <c r="M33" s="220">
        <f t="shared" si="3"/>
        <v>50000</v>
      </c>
      <c r="N33" s="220">
        <f t="shared" si="4"/>
        <v>201000</v>
      </c>
      <c r="O33" s="220">
        <f t="shared" si="5"/>
        <v>251000</v>
      </c>
      <c r="P33" s="301">
        <f t="shared" si="6"/>
        <v>46500</v>
      </c>
      <c r="Q33" s="301">
        <f t="shared" si="7"/>
        <v>186930</v>
      </c>
      <c r="R33" s="300">
        <f t="shared" si="8"/>
        <v>233430</v>
      </c>
    </row>
    <row r="34" spans="1:18" s="209" customFormat="1" x14ac:dyDescent="0.25">
      <c r="A34" s="151">
        <v>31</v>
      </c>
      <c r="B34" s="152" t="s">
        <v>12</v>
      </c>
      <c r="C34" s="153" t="s">
        <v>153</v>
      </c>
      <c r="D34" s="200">
        <v>622000</v>
      </c>
      <c r="E34" s="173">
        <v>4243000</v>
      </c>
      <c r="F34" s="216">
        <f t="shared" si="0"/>
        <v>4865000</v>
      </c>
      <c r="G34" s="261">
        <f t="shared" si="1"/>
        <v>873000</v>
      </c>
      <c r="H34" s="262">
        <v>4365000</v>
      </c>
      <c r="I34" s="261">
        <f t="shared" si="2"/>
        <v>5238000</v>
      </c>
      <c r="J34" s="247">
        <v>1229517.7927039999</v>
      </c>
      <c r="K34" s="247">
        <v>4922071.1708160006</v>
      </c>
      <c r="L34" s="194">
        <v>6151588.9635200007</v>
      </c>
      <c r="M34" s="220">
        <f t="shared" si="3"/>
        <v>622000</v>
      </c>
      <c r="N34" s="220">
        <f t="shared" si="4"/>
        <v>4243000</v>
      </c>
      <c r="O34" s="220">
        <f t="shared" si="5"/>
        <v>4865000</v>
      </c>
      <c r="P34" s="301">
        <f t="shared" si="6"/>
        <v>578460</v>
      </c>
      <c r="Q34" s="301">
        <f t="shared" si="7"/>
        <v>3945990</v>
      </c>
      <c r="R34" s="300">
        <f t="shared" si="8"/>
        <v>4524450</v>
      </c>
    </row>
    <row r="35" spans="1:18" s="209" customFormat="1" x14ac:dyDescent="0.25">
      <c r="A35" s="151">
        <v>32</v>
      </c>
      <c r="B35" s="152" t="s">
        <v>166</v>
      </c>
      <c r="C35" s="153" t="s">
        <v>153</v>
      </c>
      <c r="D35" s="200">
        <v>822000</v>
      </c>
      <c r="E35" s="173">
        <v>2509000</v>
      </c>
      <c r="F35" s="216">
        <f t="shared" si="0"/>
        <v>3331000</v>
      </c>
      <c r="G35" s="261">
        <f t="shared" si="1"/>
        <v>621000</v>
      </c>
      <c r="H35" s="262">
        <v>3105000</v>
      </c>
      <c r="I35" s="261">
        <f t="shared" si="2"/>
        <v>3726000</v>
      </c>
      <c r="J35" s="247">
        <v>726721.93043199996</v>
      </c>
      <c r="K35" s="247">
        <v>2910887.7217280003</v>
      </c>
      <c r="L35" s="194">
        <v>3637609.6521600001</v>
      </c>
      <c r="M35" s="220">
        <f t="shared" si="3"/>
        <v>621000</v>
      </c>
      <c r="N35" s="220">
        <f t="shared" si="4"/>
        <v>2509000</v>
      </c>
      <c r="O35" s="220">
        <f t="shared" si="5"/>
        <v>3130000</v>
      </c>
      <c r="P35" s="301">
        <f t="shared" si="6"/>
        <v>577530</v>
      </c>
      <c r="Q35" s="301">
        <f t="shared" si="7"/>
        <v>2333370</v>
      </c>
      <c r="R35" s="300">
        <f t="shared" si="8"/>
        <v>2910900</v>
      </c>
    </row>
    <row r="36" spans="1:18" s="209" customFormat="1" x14ac:dyDescent="0.25">
      <c r="A36" s="151">
        <v>33</v>
      </c>
      <c r="B36" s="152" t="s">
        <v>7</v>
      </c>
      <c r="C36" s="153" t="s">
        <v>153</v>
      </c>
      <c r="D36" s="200">
        <v>123000</v>
      </c>
      <c r="E36" s="173">
        <v>358000</v>
      </c>
      <c r="F36" s="216">
        <f t="shared" si="0"/>
        <v>481000</v>
      </c>
      <c r="G36" s="261">
        <f t="shared" si="1"/>
        <v>90000</v>
      </c>
      <c r="H36" s="262">
        <v>450000</v>
      </c>
      <c r="I36" s="261">
        <f t="shared" si="2"/>
        <v>540000</v>
      </c>
      <c r="J36" s="247">
        <v>107668.0448</v>
      </c>
      <c r="K36" s="247">
        <v>434672.17920000007</v>
      </c>
      <c r="L36" s="194">
        <v>542340.22400000005</v>
      </c>
      <c r="M36" s="220">
        <f t="shared" si="3"/>
        <v>90000</v>
      </c>
      <c r="N36" s="220">
        <f t="shared" si="4"/>
        <v>358000</v>
      </c>
      <c r="O36" s="220">
        <f t="shared" si="5"/>
        <v>448000</v>
      </c>
      <c r="P36" s="301">
        <f t="shared" si="6"/>
        <v>83700</v>
      </c>
      <c r="Q36" s="301">
        <f t="shared" si="7"/>
        <v>332940</v>
      </c>
      <c r="R36" s="300">
        <f t="shared" si="8"/>
        <v>416640</v>
      </c>
    </row>
    <row r="37" spans="1:18" s="209" customFormat="1" x14ac:dyDescent="0.25">
      <c r="A37" s="151">
        <v>34</v>
      </c>
      <c r="B37" s="158" t="s">
        <v>353</v>
      </c>
      <c r="C37" s="153" t="s">
        <v>153</v>
      </c>
      <c r="D37" s="200">
        <v>111000</v>
      </c>
      <c r="E37" s="173">
        <v>320000</v>
      </c>
      <c r="F37" s="216">
        <f t="shared" si="0"/>
        <v>431000</v>
      </c>
      <c r="G37" s="261">
        <f t="shared" si="1"/>
        <v>78000</v>
      </c>
      <c r="H37" s="262">
        <v>390000</v>
      </c>
      <c r="I37" s="261">
        <f t="shared" si="2"/>
        <v>468000</v>
      </c>
      <c r="J37" s="247">
        <v>96796.429952596096</v>
      </c>
      <c r="K37" s="247">
        <v>391185.71981038433</v>
      </c>
      <c r="L37" s="194">
        <v>487982.14976298041</v>
      </c>
      <c r="M37" s="220">
        <f t="shared" si="3"/>
        <v>78000</v>
      </c>
      <c r="N37" s="220">
        <f t="shared" si="4"/>
        <v>320000</v>
      </c>
      <c r="O37" s="220">
        <f t="shared" si="5"/>
        <v>398000</v>
      </c>
      <c r="P37" s="301">
        <f t="shared" si="6"/>
        <v>72540</v>
      </c>
      <c r="Q37" s="301">
        <f t="shared" si="7"/>
        <v>297600</v>
      </c>
      <c r="R37" s="300">
        <f t="shared" si="8"/>
        <v>370140</v>
      </c>
    </row>
    <row r="38" spans="1:18" s="209" customFormat="1" x14ac:dyDescent="0.25">
      <c r="A38" s="151">
        <v>35</v>
      </c>
      <c r="B38" s="158" t="s">
        <v>109</v>
      </c>
      <c r="C38" s="153" t="s">
        <v>153</v>
      </c>
      <c r="D38" s="200">
        <v>192000</v>
      </c>
      <c r="E38" s="173">
        <v>555000</v>
      </c>
      <c r="F38" s="216">
        <f t="shared" si="0"/>
        <v>747000</v>
      </c>
      <c r="G38" s="261">
        <f t="shared" si="1"/>
        <v>134000</v>
      </c>
      <c r="H38" s="262">
        <v>670000</v>
      </c>
      <c r="I38" s="261">
        <f t="shared" si="2"/>
        <v>804000</v>
      </c>
      <c r="J38" s="247">
        <v>168513.81191783299</v>
      </c>
      <c r="K38" s="247">
        <v>678055.24767133303</v>
      </c>
      <c r="L38" s="194">
        <v>846569.05958916596</v>
      </c>
      <c r="M38" s="220">
        <f t="shared" si="3"/>
        <v>134000</v>
      </c>
      <c r="N38" s="220">
        <f t="shared" si="4"/>
        <v>555000</v>
      </c>
      <c r="O38" s="220">
        <f t="shared" si="5"/>
        <v>689000</v>
      </c>
      <c r="P38" s="301">
        <f t="shared" si="6"/>
        <v>124620</v>
      </c>
      <c r="Q38" s="301">
        <f t="shared" si="7"/>
        <v>516150</v>
      </c>
      <c r="R38" s="300">
        <f t="shared" si="8"/>
        <v>640770</v>
      </c>
    </row>
    <row r="39" spans="1:18" s="209" customFormat="1" x14ac:dyDescent="0.25">
      <c r="A39" s="151">
        <v>36</v>
      </c>
      <c r="B39" s="152" t="s">
        <v>137</v>
      </c>
      <c r="C39" s="153" t="s">
        <v>153</v>
      </c>
      <c r="D39" s="200">
        <v>54000</v>
      </c>
      <c r="E39" s="173">
        <v>149000</v>
      </c>
      <c r="F39" s="216">
        <f t="shared" si="0"/>
        <v>203000</v>
      </c>
      <c r="G39" s="261">
        <f t="shared" si="1"/>
        <v>40000</v>
      </c>
      <c r="H39" s="262">
        <v>200000</v>
      </c>
      <c r="I39" s="261">
        <f t="shared" si="2"/>
        <v>240000</v>
      </c>
      <c r="J39" s="247">
        <v>46383.3547151124</v>
      </c>
      <c r="K39" s="247">
        <v>189533.41886044957</v>
      </c>
      <c r="L39" s="194">
        <v>235916.77357556197</v>
      </c>
      <c r="M39" s="220">
        <f t="shared" si="3"/>
        <v>40000</v>
      </c>
      <c r="N39" s="220">
        <f t="shared" si="4"/>
        <v>149000</v>
      </c>
      <c r="O39" s="220">
        <f t="shared" si="5"/>
        <v>189000</v>
      </c>
      <c r="P39" s="301">
        <f t="shared" si="6"/>
        <v>37200</v>
      </c>
      <c r="Q39" s="301">
        <f t="shared" si="7"/>
        <v>138570</v>
      </c>
      <c r="R39" s="300">
        <f t="shared" si="8"/>
        <v>175770</v>
      </c>
    </row>
    <row r="40" spans="1:18" s="209" customFormat="1" x14ac:dyDescent="0.25">
      <c r="A40" s="151">
        <v>37</v>
      </c>
      <c r="B40" s="152" t="s">
        <v>138</v>
      </c>
      <c r="C40" s="153" t="s">
        <v>153</v>
      </c>
      <c r="D40" s="200">
        <v>83000</v>
      </c>
      <c r="E40" s="173">
        <v>230000</v>
      </c>
      <c r="F40" s="216">
        <f t="shared" si="0"/>
        <v>313000</v>
      </c>
      <c r="G40" s="261">
        <f t="shared" si="1"/>
        <v>56000</v>
      </c>
      <c r="H40" s="262">
        <v>280000</v>
      </c>
      <c r="I40" s="261">
        <f t="shared" si="2"/>
        <v>336000</v>
      </c>
      <c r="J40" s="247">
        <v>72049.338519131605</v>
      </c>
      <c r="K40" s="247">
        <v>292197.3540765263</v>
      </c>
      <c r="L40" s="194">
        <v>364246.69259565789</v>
      </c>
      <c r="M40" s="220">
        <f t="shared" si="3"/>
        <v>56000</v>
      </c>
      <c r="N40" s="220">
        <f t="shared" si="4"/>
        <v>230000</v>
      </c>
      <c r="O40" s="220">
        <f t="shared" si="5"/>
        <v>286000</v>
      </c>
      <c r="P40" s="301">
        <f t="shared" si="6"/>
        <v>52080</v>
      </c>
      <c r="Q40" s="301">
        <f t="shared" si="7"/>
        <v>213900</v>
      </c>
      <c r="R40" s="300">
        <f t="shared" si="8"/>
        <v>265980</v>
      </c>
    </row>
    <row r="41" spans="1:18" s="209" customFormat="1" x14ac:dyDescent="0.25">
      <c r="A41" s="151">
        <v>38</v>
      </c>
      <c r="B41" s="152" t="s">
        <v>101</v>
      </c>
      <c r="C41" s="153" t="s">
        <v>153</v>
      </c>
      <c r="D41" s="200">
        <v>431000</v>
      </c>
      <c r="E41" s="173">
        <v>1198000</v>
      </c>
      <c r="F41" s="216">
        <f t="shared" si="0"/>
        <v>1629000</v>
      </c>
      <c r="G41" s="261">
        <f t="shared" si="1"/>
        <v>290000</v>
      </c>
      <c r="H41" s="262">
        <v>1450000</v>
      </c>
      <c r="I41" s="261">
        <f t="shared" si="2"/>
        <v>1740000</v>
      </c>
      <c r="J41" s="247">
        <v>380041.14416736201</v>
      </c>
      <c r="K41" s="247">
        <v>1524164.5766694485</v>
      </c>
      <c r="L41" s="194">
        <v>1904205.7208368105</v>
      </c>
      <c r="M41" s="220">
        <f t="shared" si="3"/>
        <v>290000</v>
      </c>
      <c r="N41" s="220">
        <f t="shared" si="4"/>
        <v>1198000</v>
      </c>
      <c r="O41" s="220">
        <f t="shared" si="5"/>
        <v>1488000</v>
      </c>
      <c r="P41" s="301">
        <f t="shared" si="6"/>
        <v>269700</v>
      </c>
      <c r="Q41" s="301">
        <f t="shared" si="7"/>
        <v>1114140</v>
      </c>
      <c r="R41" s="300">
        <f t="shared" si="8"/>
        <v>1383840</v>
      </c>
    </row>
    <row r="42" spans="1:18" s="209" customFormat="1" x14ac:dyDescent="0.25">
      <c r="A42" s="151">
        <v>39</v>
      </c>
      <c r="B42" s="152" t="s">
        <v>161</v>
      </c>
      <c r="C42" s="153" t="s">
        <v>153</v>
      </c>
      <c r="D42" s="200">
        <v>48000</v>
      </c>
      <c r="E42" s="173">
        <v>132000</v>
      </c>
      <c r="F42" s="216">
        <f t="shared" si="0"/>
        <v>180000</v>
      </c>
      <c r="G42" s="261">
        <f t="shared" si="1"/>
        <v>36000</v>
      </c>
      <c r="H42" s="262">
        <v>180000</v>
      </c>
      <c r="I42" s="261">
        <f t="shared" si="2"/>
        <v>216000</v>
      </c>
      <c r="J42" s="247">
        <v>41087.072696885203</v>
      </c>
      <c r="K42" s="247">
        <v>168348.29078754087</v>
      </c>
      <c r="L42" s="194">
        <v>209435.36348442608</v>
      </c>
      <c r="M42" s="220">
        <f t="shared" si="3"/>
        <v>36000</v>
      </c>
      <c r="N42" s="220">
        <f t="shared" si="4"/>
        <v>132000</v>
      </c>
      <c r="O42" s="220">
        <f t="shared" si="5"/>
        <v>168000</v>
      </c>
      <c r="P42" s="301">
        <f t="shared" si="6"/>
        <v>33480</v>
      </c>
      <c r="Q42" s="301">
        <f t="shared" si="7"/>
        <v>122760</v>
      </c>
      <c r="R42" s="300">
        <f t="shared" si="8"/>
        <v>156240</v>
      </c>
    </row>
    <row r="43" spans="1:18" s="209" customFormat="1" x14ac:dyDescent="0.25">
      <c r="A43" s="151">
        <v>40</v>
      </c>
      <c r="B43" s="152" t="s">
        <v>108</v>
      </c>
      <c r="C43" s="153" t="s">
        <v>153</v>
      </c>
      <c r="D43" s="200">
        <v>83000</v>
      </c>
      <c r="E43" s="173">
        <v>230000</v>
      </c>
      <c r="F43" s="216">
        <f t="shared" si="0"/>
        <v>313000</v>
      </c>
      <c r="G43" s="261">
        <f t="shared" si="1"/>
        <v>56000</v>
      </c>
      <c r="H43" s="262">
        <v>280000</v>
      </c>
      <c r="I43" s="261">
        <f t="shared" si="2"/>
        <v>336000</v>
      </c>
      <c r="J43" s="247">
        <v>72049.338519131605</v>
      </c>
      <c r="K43" s="247">
        <v>292197.3540765263</v>
      </c>
      <c r="L43" s="194">
        <v>364246.69259565789</v>
      </c>
      <c r="M43" s="220">
        <f t="shared" si="3"/>
        <v>56000</v>
      </c>
      <c r="N43" s="220">
        <f t="shared" si="4"/>
        <v>230000</v>
      </c>
      <c r="O43" s="220">
        <f t="shared" si="5"/>
        <v>286000</v>
      </c>
      <c r="P43" s="301">
        <f t="shared" si="6"/>
        <v>52080</v>
      </c>
      <c r="Q43" s="301">
        <f t="shared" si="7"/>
        <v>213900</v>
      </c>
      <c r="R43" s="300">
        <f t="shared" si="8"/>
        <v>265980</v>
      </c>
    </row>
    <row r="44" spans="1:18" s="209" customFormat="1" ht="22.5" x14ac:dyDescent="0.25">
      <c r="A44" s="210"/>
      <c r="B44" s="156" t="s">
        <v>22</v>
      </c>
      <c r="C44" s="153" t="s">
        <v>153</v>
      </c>
      <c r="D44" s="200">
        <v>0</v>
      </c>
      <c r="E44" s="173">
        <v>0</v>
      </c>
      <c r="F44" s="216">
        <f t="shared" si="0"/>
        <v>0</v>
      </c>
      <c r="G44" s="261">
        <f t="shared" si="1"/>
        <v>0</v>
      </c>
      <c r="H44" s="262"/>
      <c r="I44" s="261">
        <f t="shared" si="2"/>
        <v>0</v>
      </c>
      <c r="J44" s="247">
        <v>0</v>
      </c>
      <c r="K44" s="247">
        <v>0</v>
      </c>
      <c r="L44" s="194">
        <v>0</v>
      </c>
      <c r="M44" s="220">
        <f t="shared" si="3"/>
        <v>0</v>
      </c>
      <c r="N44" s="220">
        <f t="shared" si="4"/>
        <v>0</v>
      </c>
      <c r="O44" s="220">
        <f t="shared" si="5"/>
        <v>0</v>
      </c>
      <c r="P44" s="301">
        <f t="shared" si="6"/>
        <v>0</v>
      </c>
      <c r="Q44" s="301">
        <f t="shared" si="7"/>
        <v>0</v>
      </c>
      <c r="R44" s="300">
        <f t="shared" si="8"/>
        <v>0</v>
      </c>
    </row>
    <row r="45" spans="1:18" s="209" customFormat="1" x14ac:dyDescent="0.25">
      <c r="A45" s="210">
        <v>41</v>
      </c>
      <c r="B45" s="152" t="s">
        <v>539</v>
      </c>
      <c r="C45" s="153" t="s">
        <v>153</v>
      </c>
      <c r="D45" s="200">
        <v>245000</v>
      </c>
      <c r="E45" s="173">
        <v>680000</v>
      </c>
      <c r="F45" s="216">
        <f t="shared" si="0"/>
        <v>925000</v>
      </c>
      <c r="G45" s="261">
        <f t="shared" si="1"/>
        <v>1640000</v>
      </c>
      <c r="H45" s="262">
        <v>8200000</v>
      </c>
      <c r="I45" s="261">
        <f t="shared" si="2"/>
        <v>9840000</v>
      </c>
      <c r="J45" s="247">
        <v>215519.03518016799</v>
      </c>
      <c r="K45" s="247">
        <v>866076.14072067128</v>
      </c>
      <c r="L45" s="194">
        <v>1081595.1759008393</v>
      </c>
      <c r="M45" s="220">
        <f t="shared" si="3"/>
        <v>215519.03518016799</v>
      </c>
      <c r="N45" s="220">
        <f t="shared" si="4"/>
        <v>680000</v>
      </c>
      <c r="O45" s="220">
        <f t="shared" si="5"/>
        <v>895519.03518016799</v>
      </c>
      <c r="P45" s="301">
        <f t="shared" si="6"/>
        <v>200432.70271755624</v>
      </c>
      <c r="Q45" s="301">
        <f t="shared" si="7"/>
        <v>632400</v>
      </c>
      <c r="R45" s="300">
        <f t="shared" si="8"/>
        <v>832832.70271755627</v>
      </c>
    </row>
    <row r="46" spans="1:18" s="209" customFormat="1" x14ac:dyDescent="0.25">
      <c r="A46" s="210">
        <v>42</v>
      </c>
      <c r="B46" s="152" t="s">
        <v>540</v>
      </c>
      <c r="C46" s="153" t="s">
        <v>153</v>
      </c>
      <c r="D46" s="200">
        <v>58000</v>
      </c>
      <c r="E46" s="173">
        <v>161000</v>
      </c>
      <c r="F46" s="216">
        <f t="shared" si="0"/>
        <v>219000</v>
      </c>
      <c r="G46" s="261">
        <f t="shared" si="1"/>
        <v>4000</v>
      </c>
      <c r="H46" s="262">
        <v>20000</v>
      </c>
      <c r="I46" s="261">
        <f t="shared" si="2"/>
        <v>24000</v>
      </c>
      <c r="J46" s="247">
        <v>50200</v>
      </c>
      <c r="K46" s="247">
        <v>204800</v>
      </c>
      <c r="L46" s="194">
        <v>255000</v>
      </c>
      <c r="M46" s="220">
        <f t="shared" si="3"/>
        <v>4000</v>
      </c>
      <c r="N46" s="220">
        <f t="shared" si="4"/>
        <v>20000</v>
      </c>
      <c r="O46" s="220">
        <f t="shared" si="5"/>
        <v>24000</v>
      </c>
      <c r="P46" s="301">
        <f t="shared" si="6"/>
        <v>3720</v>
      </c>
      <c r="Q46" s="301">
        <f t="shared" si="7"/>
        <v>18600</v>
      </c>
      <c r="R46" s="300">
        <f t="shared" si="8"/>
        <v>22320</v>
      </c>
    </row>
    <row r="47" spans="1:18" s="209" customFormat="1" x14ac:dyDescent="0.25">
      <c r="A47" s="210">
        <v>43</v>
      </c>
      <c r="B47" s="152" t="s">
        <v>405</v>
      </c>
      <c r="C47" s="153" t="s">
        <v>153</v>
      </c>
      <c r="D47" s="200">
        <v>45000</v>
      </c>
      <c r="E47" s="173">
        <v>129000</v>
      </c>
      <c r="F47" s="216">
        <f t="shared" si="0"/>
        <v>174000</v>
      </c>
      <c r="G47" s="261">
        <f t="shared" si="1"/>
        <v>36000</v>
      </c>
      <c r="H47" s="262">
        <v>180000</v>
      </c>
      <c r="I47" s="261">
        <f t="shared" si="2"/>
        <v>216000</v>
      </c>
      <c r="J47" s="247">
        <v>38505.259065070997</v>
      </c>
      <c r="K47" s="247">
        <v>158021.03626028402</v>
      </c>
      <c r="L47" s="194">
        <v>196526.29532535502</v>
      </c>
      <c r="M47" s="220">
        <f t="shared" si="3"/>
        <v>36000</v>
      </c>
      <c r="N47" s="220">
        <f t="shared" si="4"/>
        <v>129000</v>
      </c>
      <c r="O47" s="220">
        <f t="shared" si="5"/>
        <v>165000</v>
      </c>
      <c r="P47" s="301">
        <f t="shared" si="6"/>
        <v>33480</v>
      </c>
      <c r="Q47" s="301">
        <f t="shared" si="7"/>
        <v>119970</v>
      </c>
      <c r="R47" s="300">
        <f t="shared" si="8"/>
        <v>153450</v>
      </c>
    </row>
    <row r="48" spans="1:18" s="209" customFormat="1" x14ac:dyDescent="0.25">
      <c r="A48" s="210">
        <v>44</v>
      </c>
      <c r="B48" s="152" t="s">
        <v>25</v>
      </c>
      <c r="C48" s="153" t="s">
        <v>153</v>
      </c>
      <c r="D48" s="200">
        <v>95000</v>
      </c>
      <c r="E48" s="173">
        <v>264000</v>
      </c>
      <c r="F48" s="216">
        <f t="shared" si="0"/>
        <v>359000</v>
      </c>
      <c r="G48" s="261">
        <f t="shared" si="1"/>
        <v>64000</v>
      </c>
      <c r="H48" s="262">
        <v>320000</v>
      </c>
      <c r="I48" s="261">
        <f t="shared" si="2"/>
        <v>384000</v>
      </c>
      <c r="J48" s="247">
        <v>82909.352539426705</v>
      </c>
      <c r="K48" s="247">
        <v>335637.41015770682</v>
      </c>
      <c r="L48" s="194">
        <v>418546.76269713353</v>
      </c>
      <c r="M48" s="220">
        <f t="shared" si="3"/>
        <v>64000</v>
      </c>
      <c r="N48" s="220">
        <f t="shared" si="4"/>
        <v>264000</v>
      </c>
      <c r="O48" s="220">
        <f t="shared" si="5"/>
        <v>328000</v>
      </c>
      <c r="P48" s="301">
        <f t="shared" si="6"/>
        <v>59520</v>
      </c>
      <c r="Q48" s="301">
        <f t="shared" si="7"/>
        <v>245520</v>
      </c>
      <c r="R48" s="300">
        <f t="shared" si="8"/>
        <v>305040</v>
      </c>
    </row>
    <row r="49" spans="1:18" s="209" customFormat="1" x14ac:dyDescent="0.25">
      <c r="A49" s="210">
        <v>45</v>
      </c>
      <c r="B49" s="152" t="s">
        <v>283</v>
      </c>
      <c r="C49" s="153" t="s">
        <v>153</v>
      </c>
      <c r="D49" s="200">
        <v>1170000</v>
      </c>
      <c r="E49" s="173">
        <v>4174000</v>
      </c>
      <c r="F49" s="216">
        <f t="shared" si="0"/>
        <v>5344000</v>
      </c>
      <c r="G49" s="261">
        <f t="shared" si="1"/>
        <v>950000</v>
      </c>
      <c r="H49" s="262">
        <v>4750000</v>
      </c>
      <c r="I49" s="261">
        <f t="shared" si="2"/>
        <v>5700000</v>
      </c>
      <c r="J49" s="247">
        <v>1327000</v>
      </c>
      <c r="K49" s="247">
        <v>5312000</v>
      </c>
      <c r="L49" s="194">
        <v>6639000</v>
      </c>
      <c r="M49" s="220">
        <f t="shared" si="3"/>
        <v>950000</v>
      </c>
      <c r="N49" s="220">
        <f t="shared" si="4"/>
        <v>4174000</v>
      </c>
      <c r="O49" s="220">
        <f t="shared" si="5"/>
        <v>5124000</v>
      </c>
      <c r="P49" s="301">
        <f t="shared" si="6"/>
        <v>883500</v>
      </c>
      <c r="Q49" s="301">
        <f t="shared" si="7"/>
        <v>3881820</v>
      </c>
      <c r="R49" s="300">
        <f t="shared" si="8"/>
        <v>4765320</v>
      </c>
    </row>
    <row r="50" spans="1:18" s="209" customFormat="1" x14ac:dyDescent="0.25">
      <c r="A50" s="210">
        <v>46</v>
      </c>
      <c r="B50" s="152" t="s">
        <v>284</v>
      </c>
      <c r="C50" s="153" t="s">
        <v>153</v>
      </c>
      <c r="D50" s="200">
        <v>851000</v>
      </c>
      <c r="E50" s="173">
        <v>2597000</v>
      </c>
      <c r="F50" s="216">
        <f t="shared" si="0"/>
        <v>3448000</v>
      </c>
      <c r="G50" s="261">
        <f t="shared" si="1"/>
        <v>630000</v>
      </c>
      <c r="H50" s="262">
        <v>3150000</v>
      </c>
      <c r="I50" s="261">
        <f t="shared" si="2"/>
        <v>3780000</v>
      </c>
      <c r="J50" s="247">
        <v>752028.48104174598</v>
      </c>
      <c r="K50" s="247">
        <v>3012113.9241669853</v>
      </c>
      <c r="L50" s="194">
        <v>3764142.4052087311</v>
      </c>
      <c r="M50" s="220">
        <f t="shared" si="3"/>
        <v>630000</v>
      </c>
      <c r="N50" s="220">
        <f t="shared" si="4"/>
        <v>2597000</v>
      </c>
      <c r="O50" s="220">
        <f t="shared" si="5"/>
        <v>3227000</v>
      </c>
      <c r="P50" s="301">
        <f t="shared" si="6"/>
        <v>585900</v>
      </c>
      <c r="Q50" s="301">
        <f t="shared" si="7"/>
        <v>2415210</v>
      </c>
      <c r="R50" s="300">
        <f t="shared" si="8"/>
        <v>3001110</v>
      </c>
    </row>
    <row r="51" spans="1:18" s="209" customFormat="1" x14ac:dyDescent="0.25">
      <c r="A51" s="210">
        <v>47</v>
      </c>
      <c r="B51" s="152" t="s">
        <v>286</v>
      </c>
      <c r="C51" s="153" t="s">
        <v>153</v>
      </c>
      <c r="D51" s="200">
        <v>1930000</v>
      </c>
      <c r="E51" s="173">
        <v>5367000</v>
      </c>
      <c r="F51" s="216">
        <f t="shared" si="0"/>
        <v>7297000</v>
      </c>
      <c r="G51" s="261">
        <f t="shared" si="1"/>
        <v>1300000</v>
      </c>
      <c r="H51" s="262">
        <v>6500000</v>
      </c>
      <c r="I51" s="261">
        <f t="shared" si="2"/>
        <v>7800000</v>
      </c>
      <c r="J51" s="247">
        <v>1706687.8950400001</v>
      </c>
      <c r="K51" s="247">
        <v>6830751.5801600181</v>
      </c>
      <c r="L51" s="194">
        <v>8537439.4752000179</v>
      </c>
      <c r="M51" s="220">
        <f t="shared" si="3"/>
        <v>1300000</v>
      </c>
      <c r="N51" s="220">
        <f t="shared" si="4"/>
        <v>5367000</v>
      </c>
      <c r="O51" s="220">
        <f t="shared" si="5"/>
        <v>6667000</v>
      </c>
      <c r="P51" s="301">
        <f t="shared" si="6"/>
        <v>1209000</v>
      </c>
      <c r="Q51" s="301">
        <f t="shared" si="7"/>
        <v>4991310</v>
      </c>
      <c r="R51" s="300">
        <f t="shared" si="8"/>
        <v>6200310</v>
      </c>
    </row>
    <row r="52" spans="1:18" s="209" customFormat="1" x14ac:dyDescent="0.25">
      <c r="A52" s="210">
        <v>48</v>
      </c>
      <c r="B52" s="152" t="s">
        <v>274</v>
      </c>
      <c r="C52" s="153" t="s">
        <v>153</v>
      </c>
      <c r="D52" s="200">
        <v>204000</v>
      </c>
      <c r="E52" s="173">
        <v>2011000</v>
      </c>
      <c r="F52" s="216">
        <f t="shared" si="0"/>
        <v>2215000</v>
      </c>
      <c r="G52" s="261">
        <f t="shared" si="1"/>
        <v>396000</v>
      </c>
      <c r="H52" s="262">
        <v>1980000</v>
      </c>
      <c r="I52" s="261">
        <f t="shared" si="2"/>
        <v>2376000</v>
      </c>
      <c r="J52" s="247">
        <v>638918.717912141</v>
      </c>
      <c r="K52" s="247">
        <v>2559674.8716485649</v>
      </c>
      <c r="L52" s="194">
        <v>3198593.5895607062</v>
      </c>
      <c r="M52" s="220">
        <f t="shared" si="3"/>
        <v>204000</v>
      </c>
      <c r="N52" s="220">
        <f t="shared" si="4"/>
        <v>1980000</v>
      </c>
      <c r="O52" s="220">
        <f t="shared" si="5"/>
        <v>2184000</v>
      </c>
      <c r="P52" s="301">
        <f t="shared" si="6"/>
        <v>189720</v>
      </c>
      <c r="Q52" s="301">
        <f t="shared" si="7"/>
        <v>1841400</v>
      </c>
      <c r="R52" s="300">
        <f t="shared" si="8"/>
        <v>2031120</v>
      </c>
    </row>
    <row r="53" spans="1:18" s="209" customFormat="1" x14ac:dyDescent="0.25">
      <c r="A53" s="210">
        <v>49</v>
      </c>
      <c r="B53" s="158" t="s">
        <v>357</v>
      </c>
      <c r="C53" s="153" t="s">
        <v>153</v>
      </c>
      <c r="D53" s="200">
        <v>156000</v>
      </c>
      <c r="E53" s="173">
        <v>433000</v>
      </c>
      <c r="F53" s="216">
        <f t="shared" si="0"/>
        <v>589000</v>
      </c>
      <c r="G53" s="261">
        <f t="shared" si="1"/>
        <v>104000</v>
      </c>
      <c r="H53" s="262">
        <v>520000</v>
      </c>
      <c r="I53" s="261">
        <f t="shared" si="2"/>
        <v>624000</v>
      </c>
      <c r="J53" s="247">
        <v>136751.32397297301</v>
      </c>
      <c r="K53" s="247">
        <v>551005.29589189298</v>
      </c>
      <c r="L53" s="194">
        <v>687756.61986486602</v>
      </c>
      <c r="M53" s="220">
        <f t="shared" si="3"/>
        <v>104000</v>
      </c>
      <c r="N53" s="220">
        <f t="shared" si="4"/>
        <v>433000</v>
      </c>
      <c r="O53" s="220">
        <f t="shared" si="5"/>
        <v>537000</v>
      </c>
      <c r="P53" s="301">
        <f t="shared" si="6"/>
        <v>96720</v>
      </c>
      <c r="Q53" s="301">
        <f t="shared" si="7"/>
        <v>402690</v>
      </c>
      <c r="R53" s="300">
        <f t="shared" si="8"/>
        <v>499410</v>
      </c>
    </row>
    <row r="54" spans="1:18" s="209" customFormat="1" x14ac:dyDescent="0.25">
      <c r="A54" s="210">
        <v>50</v>
      </c>
      <c r="B54" s="158" t="s">
        <v>406</v>
      </c>
      <c r="C54" s="153" t="s">
        <v>153</v>
      </c>
      <c r="D54" s="200">
        <v>31000</v>
      </c>
      <c r="E54" s="173">
        <v>161000</v>
      </c>
      <c r="F54" s="216">
        <f t="shared" si="0"/>
        <v>192000</v>
      </c>
      <c r="G54" s="261">
        <f t="shared" si="1"/>
        <v>36000</v>
      </c>
      <c r="H54" s="262">
        <v>180000</v>
      </c>
      <c r="I54" s="261">
        <f t="shared" si="2"/>
        <v>216000</v>
      </c>
      <c r="J54" s="247">
        <v>50200</v>
      </c>
      <c r="K54" s="247">
        <v>204800</v>
      </c>
      <c r="L54" s="194">
        <v>255000</v>
      </c>
      <c r="M54" s="220">
        <f t="shared" si="3"/>
        <v>31000</v>
      </c>
      <c r="N54" s="220">
        <f t="shared" si="4"/>
        <v>161000</v>
      </c>
      <c r="O54" s="220">
        <f t="shared" si="5"/>
        <v>192000</v>
      </c>
      <c r="P54" s="301">
        <f t="shared" si="6"/>
        <v>28830</v>
      </c>
      <c r="Q54" s="301">
        <f t="shared" si="7"/>
        <v>149730</v>
      </c>
      <c r="R54" s="300">
        <f t="shared" si="8"/>
        <v>178560</v>
      </c>
    </row>
    <row r="55" spans="1:18" s="209" customFormat="1" ht="22.5" x14ac:dyDescent="0.25">
      <c r="A55" s="210"/>
      <c r="B55" s="156" t="s">
        <v>97</v>
      </c>
      <c r="C55" s="153" t="s">
        <v>153</v>
      </c>
      <c r="D55" s="200">
        <v>0</v>
      </c>
      <c r="E55" s="173">
        <v>0</v>
      </c>
      <c r="F55" s="216">
        <f t="shared" si="0"/>
        <v>0</v>
      </c>
      <c r="G55" s="261">
        <f t="shared" si="1"/>
        <v>0</v>
      </c>
      <c r="H55" s="262"/>
      <c r="I55" s="261">
        <f t="shared" si="2"/>
        <v>0</v>
      </c>
      <c r="J55" s="247">
        <v>0</v>
      </c>
      <c r="K55" s="247">
        <v>0</v>
      </c>
      <c r="L55" s="194">
        <v>0</v>
      </c>
      <c r="M55" s="220">
        <f t="shared" si="3"/>
        <v>0</v>
      </c>
      <c r="N55" s="220">
        <f t="shared" si="4"/>
        <v>0</v>
      </c>
      <c r="O55" s="220">
        <f t="shared" si="5"/>
        <v>0</v>
      </c>
      <c r="P55" s="301">
        <f t="shared" si="6"/>
        <v>0</v>
      </c>
      <c r="Q55" s="301">
        <f t="shared" si="7"/>
        <v>0</v>
      </c>
      <c r="R55" s="300">
        <f t="shared" si="8"/>
        <v>0</v>
      </c>
    </row>
    <row r="56" spans="1:18" s="209" customFormat="1" x14ac:dyDescent="0.25">
      <c r="A56" s="210">
        <v>51</v>
      </c>
      <c r="B56" s="152" t="s">
        <v>169</v>
      </c>
      <c r="C56" s="153" t="s">
        <v>153</v>
      </c>
      <c r="D56" s="200">
        <v>532000</v>
      </c>
      <c r="E56" s="173">
        <v>1480000</v>
      </c>
      <c r="F56" s="216">
        <f t="shared" si="0"/>
        <v>2012000</v>
      </c>
      <c r="G56" s="261">
        <f t="shared" si="1"/>
        <v>358000</v>
      </c>
      <c r="H56" s="262">
        <v>1790000</v>
      </c>
      <c r="I56" s="261">
        <f t="shared" si="2"/>
        <v>2148000</v>
      </c>
      <c r="J56" s="247">
        <v>469825.65633403201</v>
      </c>
      <c r="K56" s="247">
        <v>1883302.6253361267</v>
      </c>
      <c r="L56" s="194">
        <v>2353128.2816701587</v>
      </c>
      <c r="M56" s="220">
        <f t="shared" si="3"/>
        <v>358000</v>
      </c>
      <c r="N56" s="220">
        <f t="shared" si="4"/>
        <v>1480000</v>
      </c>
      <c r="O56" s="220">
        <f t="shared" si="5"/>
        <v>1838000</v>
      </c>
      <c r="P56" s="301">
        <f t="shared" si="6"/>
        <v>332940</v>
      </c>
      <c r="Q56" s="301">
        <f t="shared" si="7"/>
        <v>1376400</v>
      </c>
      <c r="R56" s="300">
        <f t="shared" si="8"/>
        <v>1709340</v>
      </c>
    </row>
    <row r="57" spans="1:18" s="209" customFormat="1" x14ac:dyDescent="0.25">
      <c r="A57" s="210">
        <v>52</v>
      </c>
      <c r="B57" s="152" t="s">
        <v>170</v>
      </c>
      <c r="C57" s="153" t="s">
        <v>153</v>
      </c>
      <c r="D57" s="200">
        <v>75000</v>
      </c>
      <c r="E57" s="173">
        <v>229000</v>
      </c>
      <c r="F57" s="216">
        <f t="shared" si="0"/>
        <v>304000</v>
      </c>
      <c r="G57" s="261">
        <f t="shared" si="1"/>
        <v>54000</v>
      </c>
      <c r="H57" s="262">
        <v>270000</v>
      </c>
      <c r="I57" s="261">
        <f t="shared" si="2"/>
        <v>324000</v>
      </c>
      <c r="J57" s="247">
        <v>65493.439039999997</v>
      </c>
      <c r="K57" s="247">
        <v>265973.75616000005</v>
      </c>
      <c r="L57" s="194">
        <v>331467.19520000007</v>
      </c>
      <c r="M57" s="220">
        <f t="shared" si="3"/>
        <v>54000</v>
      </c>
      <c r="N57" s="220">
        <f t="shared" si="4"/>
        <v>229000</v>
      </c>
      <c r="O57" s="220">
        <f t="shared" si="5"/>
        <v>283000</v>
      </c>
      <c r="P57" s="301">
        <f t="shared" si="6"/>
        <v>50220</v>
      </c>
      <c r="Q57" s="301">
        <f t="shared" si="7"/>
        <v>212970</v>
      </c>
      <c r="R57" s="300">
        <f t="shared" si="8"/>
        <v>263190</v>
      </c>
    </row>
    <row r="58" spans="1:18" s="209" customFormat="1" x14ac:dyDescent="0.25">
      <c r="A58" s="210">
        <v>53</v>
      </c>
      <c r="B58" s="152" t="s">
        <v>211</v>
      </c>
      <c r="C58" s="153" t="s">
        <v>153</v>
      </c>
      <c r="D58" s="200">
        <v>237000</v>
      </c>
      <c r="E58" s="173">
        <v>724000</v>
      </c>
      <c r="F58" s="216">
        <f t="shared" si="0"/>
        <v>961000</v>
      </c>
      <c r="G58" s="261">
        <f t="shared" si="1"/>
        <v>190000</v>
      </c>
      <c r="H58" s="262">
        <v>950000</v>
      </c>
      <c r="I58" s="261">
        <f t="shared" si="2"/>
        <v>1140000</v>
      </c>
      <c r="J58" s="247">
        <v>208986.56</v>
      </c>
      <c r="K58" s="247">
        <v>839946.24000000011</v>
      </c>
      <c r="L58" s="194">
        <v>1048932.8</v>
      </c>
      <c r="M58" s="220">
        <f t="shared" si="3"/>
        <v>190000</v>
      </c>
      <c r="N58" s="220">
        <f t="shared" si="4"/>
        <v>724000</v>
      </c>
      <c r="O58" s="220">
        <f t="shared" si="5"/>
        <v>914000</v>
      </c>
      <c r="P58" s="301">
        <f t="shared" si="6"/>
        <v>176700</v>
      </c>
      <c r="Q58" s="301">
        <f t="shared" si="7"/>
        <v>673320</v>
      </c>
      <c r="R58" s="300">
        <f t="shared" si="8"/>
        <v>850020</v>
      </c>
    </row>
    <row r="59" spans="1:18" s="209" customFormat="1" x14ac:dyDescent="0.25">
      <c r="A59" s="210">
        <v>54</v>
      </c>
      <c r="B59" s="152" t="s">
        <v>171</v>
      </c>
      <c r="C59" s="153" t="s">
        <v>153</v>
      </c>
      <c r="D59" s="200">
        <v>149000</v>
      </c>
      <c r="E59" s="173">
        <v>734000</v>
      </c>
      <c r="F59" s="216">
        <f t="shared" si="0"/>
        <v>883000</v>
      </c>
      <c r="G59" s="261">
        <f t="shared" si="1"/>
        <v>156000</v>
      </c>
      <c r="H59" s="262">
        <v>780000</v>
      </c>
      <c r="I59" s="261">
        <f t="shared" si="2"/>
        <v>936000</v>
      </c>
      <c r="J59" s="247">
        <v>211903.04</v>
      </c>
      <c r="K59" s="247">
        <v>851612.16000000003</v>
      </c>
      <c r="L59" s="194">
        <v>1063515.2</v>
      </c>
      <c r="M59" s="220">
        <f t="shared" si="3"/>
        <v>149000</v>
      </c>
      <c r="N59" s="220">
        <f t="shared" si="4"/>
        <v>734000</v>
      </c>
      <c r="O59" s="220">
        <f t="shared" si="5"/>
        <v>883000</v>
      </c>
      <c r="P59" s="301">
        <f t="shared" si="6"/>
        <v>138570</v>
      </c>
      <c r="Q59" s="301">
        <f t="shared" si="7"/>
        <v>682620</v>
      </c>
      <c r="R59" s="300">
        <f t="shared" si="8"/>
        <v>821190</v>
      </c>
    </row>
    <row r="60" spans="1:18" s="209" customFormat="1" x14ac:dyDescent="0.25">
      <c r="A60" s="210">
        <v>55</v>
      </c>
      <c r="B60" s="152" t="s">
        <v>17</v>
      </c>
      <c r="C60" s="153" t="s">
        <v>153</v>
      </c>
      <c r="D60" s="200">
        <v>145000</v>
      </c>
      <c r="E60" s="173">
        <v>402000</v>
      </c>
      <c r="F60" s="216">
        <f t="shared" si="0"/>
        <v>547000</v>
      </c>
      <c r="G60" s="261">
        <f t="shared" si="1"/>
        <v>98000</v>
      </c>
      <c r="H60" s="262">
        <v>490000</v>
      </c>
      <c r="I60" s="261">
        <f t="shared" si="2"/>
        <v>588000</v>
      </c>
      <c r="J60" s="247">
        <v>126953.536215514</v>
      </c>
      <c r="K60" s="247">
        <v>511814.14486205619</v>
      </c>
      <c r="L60" s="194">
        <v>638767.68107757019</v>
      </c>
      <c r="M60" s="220">
        <f t="shared" si="3"/>
        <v>98000</v>
      </c>
      <c r="N60" s="220">
        <f t="shared" si="4"/>
        <v>402000</v>
      </c>
      <c r="O60" s="220">
        <f t="shared" si="5"/>
        <v>500000</v>
      </c>
      <c r="P60" s="301">
        <f t="shared" si="6"/>
        <v>91140</v>
      </c>
      <c r="Q60" s="301">
        <f t="shared" si="7"/>
        <v>373860</v>
      </c>
      <c r="R60" s="300">
        <f t="shared" si="8"/>
        <v>465000</v>
      </c>
    </row>
    <row r="61" spans="1:18" s="209" customFormat="1" x14ac:dyDescent="0.25">
      <c r="A61" s="210">
        <v>56</v>
      </c>
      <c r="B61" s="152" t="s">
        <v>16</v>
      </c>
      <c r="C61" s="153" t="s">
        <v>153</v>
      </c>
      <c r="D61" s="200">
        <v>212000</v>
      </c>
      <c r="E61" s="173">
        <v>590000</v>
      </c>
      <c r="F61" s="216">
        <f t="shared" si="0"/>
        <v>802000</v>
      </c>
      <c r="G61" s="261">
        <f t="shared" si="1"/>
        <v>156000</v>
      </c>
      <c r="H61" s="262">
        <v>780000</v>
      </c>
      <c r="I61" s="261">
        <f t="shared" si="2"/>
        <v>936000</v>
      </c>
      <c r="J61" s="247">
        <v>186775.96873185801</v>
      </c>
      <c r="K61" s="247">
        <v>751103.87492743332</v>
      </c>
      <c r="L61" s="194">
        <v>937879.84365929128</v>
      </c>
      <c r="M61" s="220">
        <f t="shared" si="3"/>
        <v>156000</v>
      </c>
      <c r="N61" s="220">
        <f t="shared" si="4"/>
        <v>590000</v>
      </c>
      <c r="O61" s="220">
        <f t="shared" si="5"/>
        <v>746000</v>
      </c>
      <c r="P61" s="301">
        <f t="shared" si="6"/>
        <v>145080</v>
      </c>
      <c r="Q61" s="301">
        <f t="shared" si="7"/>
        <v>548700</v>
      </c>
      <c r="R61" s="300">
        <f t="shared" si="8"/>
        <v>693780</v>
      </c>
    </row>
    <row r="62" spans="1:18" s="209" customFormat="1" x14ac:dyDescent="0.25">
      <c r="A62" s="210">
        <v>57</v>
      </c>
      <c r="B62" s="158" t="s">
        <v>75</v>
      </c>
      <c r="C62" s="153" t="s">
        <v>153</v>
      </c>
      <c r="D62" s="200">
        <v>122000</v>
      </c>
      <c r="E62" s="173">
        <v>339000</v>
      </c>
      <c r="F62" s="216">
        <f t="shared" si="0"/>
        <v>461000</v>
      </c>
      <c r="G62" s="261">
        <f t="shared" si="1"/>
        <v>84000</v>
      </c>
      <c r="H62" s="262">
        <v>420000</v>
      </c>
      <c r="I62" s="261">
        <f t="shared" si="2"/>
        <v>504000</v>
      </c>
      <c r="J62" s="247">
        <v>107012.725376733</v>
      </c>
      <c r="K62" s="247">
        <v>432050.90150693053</v>
      </c>
      <c r="L62" s="194">
        <v>539063.62688366347</v>
      </c>
      <c r="M62" s="220">
        <f t="shared" si="3"/>
        <v>84000</v>
      </c>
      <c r="N62" s="220">
        <f t="shared" si="4"/>
        <v>339000</v>
      </c>
      <c r="O62" s="220">
        <f t="shared" si="5"/>
        <v>423000</v>
      </c>
      <c r="P62" s="301">
        <f t="shared" si="6"/>
        <v>78120</v>
      </c>
      <c r="Q62" s="301">
        <f t="shared" si="7"/>
        <v>315270</v>
      </c>
      <c r="R62" s="300">
        <f t="shared" si="8"/>
        <v>393390</v>
      </c>
    </row>
    <row r="63" spans="1:18" s="209" customFormat="1" x14ac:dyDescent="0.25">
      <c r="A63" s="210">
        <v>58</v>
      </c>
      <c r="B63" s="158" t="s">
        <v>76</v>
      </c>
      <c r="C63" s="153" t="s">
        <v>153</v>
      </c>
      <c r="D63" s="200">
        <v>83000</v>
      </c>
      <c r="E63" s="173">
        <v>254000</v>
      </c>
      <c r="F63" s="216">
        <f t="shared" si="0"/>
        <v>337000</v>
      </c>
      <c r="G63" s="261">
        <f t="shared" si="1"/>
        <v>60000</v>
      </c>
      <c r="H63" s="262">
        <v>300000</v>
      </c>
      <c r="I63" s="261">
        <f t="shared" si="2"/>
        <v>360000</v>
      </c>
      <c r="J63" s="247">
        <v>72684.249874310903</v>
      </c>
      <c r="K63" s="247">
        <v>294736.99949724349</v>
      </c>
      <c r="L63" s="194">
        <v>367421.24937155441</v>
      </c>
      <c r="M63" s="220">
        <f t="shared" si="3"/>
        <v>60000</v>
      </c>
      <c r="N63" s="220">
        <f t="shared" si="4"/>
        <v>254000</v>
      </c>
      <c r="O63" s="220">
        <f t="shared" si="5"/>
        <v>314000</v>
      </c>
      <c r="P63" s="301">
        <f t="shared" si="6"/>
        <v>55800</v>
      </c>
      <c r="Q63" s="301">
        <f t="shared" si="7"/>
        <v>236220</v>
      </c>
      <c r="R63" s="300">
        <f t="shared" si="8"/>
        <v>292020</v>
      </c>
    </row>
    <row r="64" spans="1:18" s="209" customFormat="1" x14ac:dyDescent="0.25">
      <c r="A64" s="210">
        <v>59</v>
      </c>
      <c r="B64" s="152" t="s">
        <v>18</v>
      </c>
      <c r="C64" s="153" t="s">
        <v>153</v>
      </c>
      <c r="D64" s="200">
        <v>124000</v>
      </c>
      <c r="E64" s="173">
        <v>553000</v>
      </c>
      <c r="F64" s="216">
        <f t="shared" si="0"/>
        <v>677000</v>
      </c>
      <c r="G64" s="261">
        <f t="shared" si="1"/>
        <v>120000</v>
      </c>
      <c r="H64" s="262">
        <v>600000</v>
      </c>
      <c r="I64" s="261">
        <f t="shared" si="2"/>
        <v>720000</v>
      </c>
      <c r="J64" s="247">
        <v>159406.39999999999</v>
      </c>
      <c r="K64" s="247">
        <v>641625.60000000009</v>
      </c>
      <c r="L64" s="194">
        <v>801032.00000000012</v>
      </c>
      <c r="M64" s="220">
        <f t="shared" si="3"/>
        <v>120000</v>
      </c>
      <c r="N64" s="220">
        <f t="shared" si="4"/>
        <v>553000</v>
      </c>
      <c r="O64" s="220">
        <f t="shared" si="5"/>
        <v>673000</v>
      </c>
      <c r="P64" s="301">
        <f t="shared" si="6"/>
        <v>111600</v>
      </c>
      <c r="Q64" s="301">
        <f t="shared" si="7"/>
        <v>514290</v>
      </c>
      <c r="R64" s="300">
        <f t="shared" si="8"/>
        <v>625890</v>
      </c>
    </row>
    <row r="65" spans="1:18" s="209" customFormat="1" x14ac:dyDescent="0.25">
      <c r="A65" s="210">
        <v>60</v>
      </c>
      <c r="B65" s="152" t="s">
        <v>21</v>
      </c>
      <c r="C65" s="153" t="s">
        <v>153</v>
      </c>
      <c r="D65" s="200">
        <v>160000</v>
      </c>
      <c r="E65" s="173">
        <v>444000</v>
      </c>
      <c r="F65" s="216">
        <f t="shared" si="0"/>
        <v>604000</v>
      </c>
      <c r="G65" s="261">
        <f t="shared" si="1"/>
        <v>110000</v>
      </c>
      <c r="H65" s="262">
        <v>550000</v>
      </c>
      <c r="I65" s="261">
        <f t="shared" si="2"/>
        <v>660000</v>
      </c>
      <c r="J65" s="247">
        <v>140247.41010803499</v>
      </c>
      <c r="K65" s="247">
        <v>564989.64043213998</v>
      </c>
      <c r="L65" s="194">
        <v>705237.05054017494</v>
      </c>
      <c r="M65" s="220">
        <f t="shared" si="3"/>
        <v>110000</v>
      </c>
      <c r="N65" s="220">
        <f t="shared" si="4"/>
        <v>444000</v>
      </c>
      <c r="O65" s="220">
        <f t="shared" si="5"/>
        <v>554000</v>
      </c>
      <c r="P65" s="301">
        <f t="shared" si="6"/>
        <v>102300</v>
      </c>
      <c r="Q65" s="301">
        <f t="shared" si="7"/>
        <v>412920</v>
      </c>
      <c r="R65" s="300">
        <f t="shared" si="8"/>
        <v>515220</v>
      </c>
    </row>
    <row r="66" spans="1:18" s="209" customFormat="1" x14ac:dyDescent="0.25">
      <c r="A66" s="210">
        <v>61</v>
      </c>
      <c r="B66" s="152" t="s">
        <v>20</v>
      </c>
      <c r="C66" s="153" t="s">
        <v>153</v>
      </c>
      <c r="D66" s="200">
        <v>59000</v>
      </c>
      <c r="E66" s="173">
        <v>179000</v>
      </c>
      <c r="F66" s="216">
        <f t="shared" si="0"/>
        <v>238000</v>
      </c>
      <c r="G66" s="261">
        <f t="shared" si="1"/>
        <v>46000</v>
      </c>
      <c r="H66" s="262">
        <v>230000</v>
      </c>
      <c r="I66" s="261">
        <f t="shared" si="2"/>
        <v>276000</v>
      </c>
      <c r="J66" s="247">
        <v>50870.405152438201</v>
      </c>
      <c r="K66" s="247">
        <v>207481.62060975289</v>
      </c>
      <c r="L66" s="194">
        <v>258352.0257621911</v>
      </c>
      <c r="M66" s="220">
        <f t="shared" si="3"/>
        <v>46000</v>
      </c>
      <c r="N66" s="220">
        <f t="shared" si="4"/>
        <v>179000</v>
      </c>
      <c r="O66" s="220">
        <f t="shared" si="5"/>
        <v>225000</v>
      </c>
      <c r="P66" s="301">
        <f t="shared" si="6"/>
        <v>42780</v>
      </c>
      <c r="Q66" s="301">
        <f t="shared" si="7"/>
        <v>166470</v>
      </c>
      <c r="R66" s="300">
        <f t="shared" si="8"/>
        <v>209250</v>
      </c>
    </row>
    <row r="67" spans="1:18" s="209" customFormat="1" x14ac:dyDescent="0.25">
      <c r="A67" s="210">
        <v>62</v>
      </c>
      <c r="B67" s="152" t="s">
        <v>19</v>
      </c>
      <c r="C67" s="153" t="s">
        <v>153</v>
      </c>
      <c r="D67" s="200">
        <v>128000</v>
      </c>
      <c r="E67" s="173">
        <v>356000</v>
      </c>
      <c r="F67" s="216">
        <f t="shared" si="0"/>
        <v>484000</v>
      </c>
      <c r="G67" s="261">
        <f t="shared" si="1"/>
        <v>90000</v>
      </c>
      <c r="H67" s="262">
        <v>450000</v>
      </c>
      <c r="I67" s="261">
        <f t="shared" si="2"/>
        <v>540000</v>
      </c>
      <c r="J67" s="247">
        <v>112256.493933638</v>
      </c>
      <c r="K67" s="247">
        <v>453025.97573455016</v>
      </c>
      <c r="L67" s="194">
        <v>565282.46966818813</v>
      </c>
      <c r="M67" s="220">
        <f t="shared" si="3"/>
        <v>90000</v>
      </c>
      <c r="N67" s="220">
        <f t="shared" si="4"/>
        <v>356000</v>
      </c>
      <c r="O67" s="220">
        <f t="shared" si="5"/>
        <v>446000</v>
      </c>
      <c r="P67" s="301">
        <f t="shared" si="6"/>
        <v>83700</v>
      </c>
      <c r="Q67" s="301">
        <f t="shared" si="7"/>
        <v>331080</v>
      </c>
      <c r="R67" s="300">
        <f t="shared" si="8"/>
        <v>414780</v>
      </c>
    </row>
    <row r="68" spans="1:18" s="209" customFormat="1" ht="22.5" x14ac:dyDescent="0.25">
      <c r="A68" s="210">
        <v>63</v>
      </c>
      <c r="B68" s="152" t="s">
        <v>172</v>
      </c>
      <c r="C68" s="153" t="s">
        <v>153</v>
      </c>
      <c r="D68" s="200">
        <v>945000</v>
      </c>
      <c r="E68" s="173">
        <v>2629000</v>
      </c>
      <c r="F68" s="216">
        <f t="shared" si="0"/>
        <v>3574000</v>
      </c>
      <c r="G68" s="261">
        <f t="shared" si="1"/>
        <v>640000</v>
      </c>
      <c r="H68" s="262">
        <v>3200000</v>
      </c>
      <c r="I68" s="261">
        <f t="shared" si="2"/>
        <v>3840000</v>
      </c>
      <c r="J68" s="247">
        <v>835463.764745616</v>
      </c>
      <c r="K68" s="247">
        <v>3345855.0589824663</v>
      </c>
      <c r="L68" s="194">
        <v>4181318.8237280822</v>
      </c>
      <c r="M68" s="220">
        <f t="shared" si="3"/>
        <v>640000</v>
      </c>
      <c r="N68" s="220">
        <f t="shared" si="4"/>
        <v>2629000</v>
      </c>
      <c r="O68" s="220">
        <f t="shared" si="5"/>
        <v>3269000</v>
      </c>
      <c r="P68" s="301">
        <f t="shared" si="6"/>
        <v>595200</v>
      </c>
      <c r="Q68" s="301">
        <f t="shared" si="7"/>
        <v>2444970</v>
      </c>
      <c r="R68" s="300">
        <f t="shared" si="8"/>
        <v>3040170</v>
      </c>
    </row>
    <row r="69" spans="1:18" s="209" customFormat="1" x14ac:dyDescent="0.25">
      <c r="A69" s="210">
        <v>64</v>
      </c>
      <c r="B69" s="152" t="s">
        <v>295</v>
      </c>
      <c r="C69" s="153" t="s">
        <v>153</v>
      </c>
      <c r="D69" s="200">
        <v>215000</v>
      </c>
      <c r="E69" s="173">
        <v>656000</v>
      </c>
      <c r="F69" s="216">
        <f t="shared" ref="F69:F132" si="9">(D69+E69)</f>
        <v>871000</v>
      </c>
      <c r="G69" s="261">
        <f t="shared" ref="G69:G132" si="10">+H69*20%</f>
        <v>15600</v>
      </c>
      <c r="H69" s="262">
        <v>78000</v>
      </c>
      <c r="I69" s="261">
        <f t="shared" ref="I69:I132" si="11">+H69+G69</f>
        <v>93600</v>
      </c>
      <c r="J69" s="247">
        <v>189154.49600000001</v>
      </c>
      <c r="K69" s="247">
        <v>760617.98400000017</v>
      </c>
      <c r="L69" s="194">
        <v>949772.48000000021</v>
      </c>
      <c r="M69" s="220">
        <f t="shared" ref="M69:M132" si="12">MIN(D69,J69,G69)</f>
        <v>15600</v>
      </c>
      <c r="N69" s="220">
        <f t="shared" ref="N69:N132" si="13">MIN(E69,K69,H69)</f>
        <v>78000</v>
      </c>
      <c r="O69" s="220">
        <f t="shared" ref="O69:O132" si="14">M69+N69</f>
        <v>93600</v>
      </c>
      <c r="P69" s="301">
        <f t="shared" ref="P69:P132" si="15">M69-(M69*7%)</f>
        <v>14508</v>
      </c>
      <c r="Q69" s="301">
        <f t="shared" ref="Q69:Q132" si="16">N69-(N69*7%)</f>
        <v>72540</v>
      </c>
      <c r="R69" s="300">
        <f t="shared" ref="R69:R132" si="17">Q69+P69</f>
        <v>87048</v>
      </c>
    </row>
    <row r="70" spans="1:18" s="209" customFormat="1" x14ac:dyDescent="0.25">
      <c r="A70" s="210">
        <v>65</v>
      </c>
      <c r="B70" s="152" t="s">
        <v>173</v>
      </c>
      <c r="C70" s="153" t="s">
        <v>153</v>
      </c>
      <c r="D70" s="200">
        <v>74000</v>
      </c>
      <c r="E70" s="173">
        <v>206000</v>
      </c>
      <c r="F70" s="216">
        <f t="shared" si="9"/>
        <v>280000</v>
      </c>
      <c r="G70" s="261">
        <f t="shared" si="10"/>
        <v>52000</v>
      </c>
      <c r="H70" s="262">
        <v>260000</v>
      </c>
      <c r="I70" s="261">
        <f t="shared" si="11"/>
        <v>312000</v>
      </c>
      <c r="J70" s="247">
        <v>64688.009738905297</v>
      </c>
      <c r="K70" s="247">
        <v>262752.03895562113</v>
      </c>
      <c r="L70" s="194">
        <v>327440.04869452643</v>
      </c>
      <c r="M70" s="220">
        <f t="shared" si="12"/>
        <v>52000</v>
      </c>
      <c r="N70" s="220">
        <f t="shared" si="13"/>
        <v>206000</v>
      </c>
      <c r="O70" s="220">
        <f t="shared" si="14"/>
        <v>258000</v>
      </c>
      <c r="P70" s="301">
        <f t="shared" si="15"/>
        <v>48360</v>
      </c>
      <c r="Q70" s="301">
        <f t="shared" si="16"/>
        <v>191580</v>
      </c>
      <c r="R70" s="300">
        <f t="shared" si="17"/>
        <v>239940</v>
      </c>
    </row>
    <row r="71" spans="1:18" s="209" customFormat="1" x14ac:dyDescent="0.25">
      <c r="A71" s="210">
        <v>66</v>
      </c>
      <c r="B71" s="158" t="s">
        <v>145</v>
      </c>
      <c r="C71" s="153" t="s">
        <v>153</v>
      </c>
      <c r="D71" s="200">
        <v>164000</v>
      </c>
      <c r="E71" s="173">
        <v>502000</v>
      </c>
      <c r="F71" s="216">
        <f t="shared" si="9"/>
        <v>666000</v>
      </c>
      <c r="G71" s="261">
        <f t="shared" si="10"/>
        <v>118000</v>
      </c>
      <c r="H71" s="262">
        <v>590000</v>
      </c>
      <c r="I71" s="261">
        <f t="shared" si="11"/>
        <v>708000</v>
      </c>
      <c r="J71" s="247">
        <v>144479.16000825501</v>
      </c>
      <c r="K71" s="247">
        <v>581916.64003301924</v>
      </c>
      <c r="L71" s="194">
        <v>726395.80004127428</v>
      </c>
      <c r="M71" s="220">
        <f t="shared" si="12"/>
        <v>118000</v>
      </c>
      <c r="N71" s="220">
        <f t="shared" si="13"/>
        <v>502000</v>
      </c>
      <c r="O71" s="220">
        <f t="shared" si="14"/>
        <v>620000</v>
      </c>
      <c r="P71" s="301">
        <f t="shared" si="15"/>
        <v>109740</v>
      </c>
      <c r="Q71" s="301">
        <f t="shared" si="16"/>
        <v>466860</v>
      </c>
      <c r="R71" s="300">
        <f t="shared" si="17"/>
        <v>576600</v>
      </c>
    </row>
    <row r="72" spans="1:18" s="209" customFormat="1" ht="22.5" x14ac:dyDescent="0.25">
      <c r="A72" s="210"/>
      <c r="B72" s="156" t="s">
        <v>124</v>
      </c>
      <c r="C72" s="153" t="s">
        <v>153</v>
      </c>
      <c r="D72" s="200">
        <v>0</v>
      </c>
      <c r="E72" s="173">
        <v>0</v>
      </c>
      <c r="F72" s="216">
        <f t="shared" si="9"/>
        <v>0</v>
      </c>
      <c r="G72" s="261">
        <f t="shared" si="10"/>
        <v>0</v>
      </c>
      <c r="H72" s="262"/>
      <c r="I72" s="261">
        <f t="shared" si="11"/>
        <v>0</v>
      </c>
      <c r="J72" s="247">
        <v>0</v>
      </c>
      <c r="K72" s="247">
        <v>0</v>
      </c>
      <c r="L72" s="194">
        <v>0</v>
      </c>
      <c r="M72" s="220">
        <f t="shared" si="12"/>
        <v>0</v>
      </c>
      <c r="N72" s="220">
        <f t="shared" si="13"/>
        <v>0</v>
      </c>
      <c r="O72" s="220">
        <f t="shared" si="14"/>
        <v>0</v>
      </c>
      <c r="P72" s="301">
        <f t="shared" si="15"/>
        <v>0</v>
      </c>
      <c r="Q72" s="301">
        <f t="shared" si="16"/>
        <v>0</v>
      </c>
      <c r="R72" s="300">
        <f t="shared" si="17"/>
        <v>0</v>
      </c>
    </row>
    <row r="73" spans="1:18" s="209" customFormat="1" ht="22.5" x14ac:dyDescent="0.25">
      <c r="A73" s="210">
        <v>67</v>
      </c>
      <c r="B73" s="152" t="s">
        <v>174</v>
      </c>
      <c r="C73" s="153" t="s">
        <v>153</v>
      </c>
      <c r="D73" s="200">
        <v>636000</v>
      </c>
      <c r="E73" s="173">
        <v>2314000</v>
      </c>
      <c r="F73" s="216">
        <f t="shared" si="9"/>
        <v>2950000</v>
      </c>
      <c r="G73" s="261">
        <f t="shared" si="10"/>
        <v>540000</v>
      </c>
      <c r="H73" s="262">
        <v>2700000</v>
      </c>
      <c r="I73" s="261">
        <f t="shared" si="11"/>
        <v>3240000</v>
      </c>
      <c r="J73" s="247">
        <v>735181.501483078</v>
      </c>
      <c r="K73" s="247">
        <v>2944726.0059323134</v>
      </c>
      <c r="L73" s="194">
        <v>3679907.5074153915</v>
      </c>
      <c r="M73" s="220">
        <f t="shared" si="12"/>
        <v>540000</v>
      </c>
      <c r="N73" s="220">
        <f t="shared" si="13"/>
        <v>2314000</v>
      </c>
      <c r="O73" s="220">
        <f t="shared" si="14"/>
        <v>2854000</v>
      </c>
      <c r="P73" s="301">
        <f t="shared" si="15"/>
        <v>502200</v>
      </c>
      <c r="Q73" s="301">
        <f t="shared" si="16"/>
        <v>2152020</v>
      </c>
      <c r="R73" s="300">
        <f t="shared" si="17"/>
        <v>2654220</v>
      </c>
    </row>
    <row r="74" spans="1:18" s="209" customFormat="1" x14ac:dyDescent="0.25">
      <c r="A74" s="210">
        <v>68</v>
      </c>
      <c r="B74" s="152" t="s">
        <v>125</v>
      </c>
      <c r="C74" s="153" t="s">
        <v>153</v>
      </c>
      <c r="D74" s="200">
        <v>636000</v>
      </c>
      <c r="E74" s="173">
        <v>2246000</v>
      </c>
      <c r="F74" s="216">
        <f t="shared" si="9"/>
        <v>2882000</v>
      </c>
      <c r="G74" s="261">
        <f t="shared" si="10"/>
        <v>520000</v>
      </c>
      <c r="H74" s="262">
        <v>2600000</v>
      </c>
      <c r="I74" s="261">
        <f t="shared" si="11"/>
        <v>3120000</v>
      </c>
      <c r="J74" s="247">
        <v>713545.72172300098</v>
      </c>
      <c r="K74" s="247">
        <v>2858182.8868920039</v>
      </c>
      <c r="L74" s="194">
        <v>3571728.6086150049</v>
      </c>
      <c r="M74" s="220">
        <f t="shared" si="12"/>
        <v>520000</v>
      </c>
      <c r="N74" s="220">
        <f t="shared" si="13"/>
        <v>2246000</v>
      </c>
      <c r="O74" s="220">
        <f t="shared" si="14"/>
        <v>2766000</v>
      </c>
      <c r="P74" s="301">
        <f t="shared" si="15"/>
        <v>483600</v>
      </c>
      <c r="Q74" s="301">
        <f t="shared" si="16"/>
        <v>2088780</v>
      </c>
      <c r="R74" s="300">
        <f t="shared" si="17"/>
        <v>2572380</v>
      </c>
    </row>
    <row r="75" spans="1:18" s="209" customFormat="1" x14ac:dyDescent="0.25">
      <c r="A75" s="210">
        <v>69</v>
      </c>
      <c r="B75" s="158" t="s">
        <v>126</v>
      </c>
      <c r="C75" s="153" t="s">
        <v>153</v>
      </c>
      <c r="D75" s="200">
        <v>100000</v>
      </c>
      <c r="E75" s="173">
        <v>277000</v>
      </c>
      <c r="F75" s="216">
        <f t="shared" si="9"/>
        <v>377000</v>
      </c>
      <c r="G75" s="261">
        <f t="shared" si="10"/>
        <v>68000</v>
      </c>
      <c r="H75" s="262">
        <v>340000</v>
      </c>
      <c r="I75" s="261">
        <f t="shared" si="11"/>
        <v>408000</v>
      </c>
      <c r="J75" s="247">
        <v>87071.914537951205</v>
      </c>
      <c r="K75" s="247">
        <v>352287.65815180494</v>
      </c>
      <c r="L75" s="194">
        <v>439359.57268975617</v>
      </c>
      <c r="M75" s="220">
        <f t="shared" si="12"/>
        <v>68000</v>
      </c>
      <c r="N75" s="220">
        <f t="shared" si="13"/>
        <v>277000</v>
      </c>
      <c r="O75" s="220">
        <f t="shared" si="14"/>
        <v>345000</v>
      </c>
      <c r="P75" s="301">
        <f t="shared" si="15"/>
        <v>63240</v>
      </c>
      <c r="Q75" s="301">
        <f t="shared" si="16"/>
        <v>257610</v>
      </c>
      <c r="R75" s="300">
        <f t="shared" si="17"/>
        <v>320850</v>
      </c>
    </row>
    <row r="76" spans="1:18" s="209" customFormat="1" x14ac:dyDescent="0.25">
      <c r="A76" s="210">
        <v>70</v>
      </c>
      <c r="B76" s="152" t="s">
        <v>127</v>
      </c>
      <c r="C76" s="153" t="s">
        <v>153</v>
      </c>
      <c r="D76" s="200">
        <v>27000</v>
      </c>
      <c r="E76" s="173">
        <v>82000</v>
      </c>
      <c r="F76" s="216">
        <f t="shared" si="9"/>
        <v>109000</v>
      </c>
      <c r="G76" s="261">
        <f t="shared" si="10"/>
        <v>19600</v>
      </c>
      <c r="H76" s="262">
        <v>98000</v>
      </c>
      <c r="I76" s="261">
        <f t="shared" si="11"/>
        <v>117600</v>
      </c>
      <c r="J76" s="247">
        <v>22674.184915728201</v>
      </c>
      <c r="K76" s="247">
        <v>94696.739662912893</v>
      </c>
      <c r="L76" s="194">
        <v>117370.92457864109</v>
      </c>
      <c r="M76" s="220">
        <f t="shared" si="12"/>
        <v>19600</v>
      </c>
      <c r="N76" s="220">
        <f t="shared" si="13"/>
        <v>82000</v>
      </c>
      <c r="O76" s="220">
        <f t="shared" si="14"/>
        <v>101600</v>
      </c>
      <c r="P76" s="301">
        <f t="shared" si="15"/>
        <v>18228</v>
      </c>
      <c r="Q76" s="301">
        <f t="shared" si="16"/>
        <v>76260</v>
      </c>
      <c r="R76" s="300">
        <f t="shared" si="17"/>
        <v>94488</v>
      </c>
    </row>
    <row r="77" spans="1:18" s="209" customFormat="1" x14ac:dyDescent="0.25">
      <c r="A77" s="210">
        <v>71</v>
      </c>
      <c r="B77" s="158" t="s">
        <v>128</v>
      </c>
      <c r="C77" s="153" t="s">
        <v>153</v>
      </c>
      <c r="D77" s="200">
        <v>357000</v>
      </c>
      <c r="E77" s="173">
        <v>992000</v>
      </c>
      <c r="F77" s="216">
        <f t="shared" si="9"/>
        <v>1349000</v>
      </c>
      <c r="G77" s="261">
        <f t="shared" si="10"/>
        <v>24000</v>
      </c>
      <c r="H77" s="262">
        <v>120000</v>
      </c>
      <c r="I77" s="261">
        <f t="shared" si="11"/>
        <v>144000</v>
      </c>
      <c r="J77" s="247">
        <v>314729.50494737201</v>
      </c>
      <c r="K77" s="247">
        <v>1262918.0197894895</v>
      </c>
      <c r="L77" s="194">
        <v>1577647.5247368615</v>
      </c>
      <c r="M77" s="220">
        <f t="shared" si="12"/>
        <v>24000</v>
      </c>
      <c r="N77" s="220">
        <f t="shared" si="13"/>
        <v>120000</v>
      </c>
      <c r="O77" s="220">
        <f t="shared" si="14"/>
        <v>144000</v>
      </c>
      <c r="P77" s="301">
        <f t="shared" si="15"/>
        <v>22320</v>
      </c>
      <c r="Q77" s="301">
        <f t="shared" si="16"/>
        <v>111600</v>
      </c>
      <c r="R77" s="300">
        <f t="shared" si="17"/>
        <v>133920</v>
      </c>
    </row>
    <row r="78" spans="1:18" s="209" customFormat="1" x14ac:dyDescent="0.25">
      <c r="A78" s="210">
        <v>72</v>
      </c>
      <c r="B78" s="152" t="s">
        <v>326</v>
      </c>
      <c r="C78" s="153" t="s">
        <v>153</v>
      </c>
      <c r="D78" s="200">
        <v>197000</v>
      </c>
      <c r="E78" s="173">
        <v>548000</v>
      </c>
      <c r="F78" s="216">
        <f t="shared" si="9"/>
        <v>745000</v>
      </c>
      <c r="G78" s="261">
        <f t="shared" si="10"/>
        <v>136000</v>
      </c>
      <c r="H78" s="262">
        <v>680000</v>
      </c>
      <c r="I78" s="261">
        <f t="shared" si="11"/>
        <v>816000</v>
      </c>
      <c r="J78" s="247">
        <v>173482.09483933699</v>
      </c>
      <c r="K78" s="247">
        <v>697928.37935734959</v>
      </c>
      <c r="L78" s="194">
        <v>871410.47419668664</v>
      </c>
      <c r="M78" s="220">
        <f t="shared" si="12"/>
        <v>136000</v>
      </c>
      <c r="N78" s="220">
        <f t="shared" si="13"/>
        <v>548000</v>
      </c>
      <c r="O78" s="220">
        <f t="shared" si="14"/>
        <v>684000</v>
      </c>
      <c r="P78" s="301">
        <f t="shared" si="15"/>
        <v>126480</v>
      </c>
      <c r="Q78" s="301">
        <f t="shared" si="16"/>
        <v>509640</v>
      </c>
      <c r="R78" s="300">
        <f t="shared" si="17"/>
        <v>636120</v>
      </c>
    </row>
    <row r="79" spans="1:18" s="209" customFormat="1" x14ac:dyDescent="0.25">
      <c r="A79" s="210">
        <v>73</v>
      </c>
      <c r="B79" s="152" t="s">
        <v>123</v>
      </c>
      <c r="C79" s="153" t="s">
        <v>153</v>
      </c>
      <c r="D79" s="200">
        <v>127000</v>
      </c>
      <c r="E79" s="173">
        <v>354000</v>
      </c>
      <c r="F79" s="216">
        <f t="shared" si="9"/>
        <v>481000</v>
      </c>
      <c r="G79" s="261">
        <f t="shared" si="10"/>
        <v>90000</v>
      </c>
      <c r="H79" s="262">
        <v>450000</v>
      </c>
      <c r="I79" s="261">
        <f t="shared" si="11"/>
        <v>540000</v>
      </c>
      <c r="J79" s="247">
        <v>111768.24401809899</v>
      </c>
      <c r="K79" s="247">
        <v>451072.97607239662</v>
      </c>
      <c r="L79" s="194">
        <v>562841.22009049566</v>
      </c>
      <c r="M79" s="220">
        <f t="shared" si="12"/>
        <v>90000</v>
      </c>
      <c r="N79" s="220">
        <f t="shared" si="13"/>
        <v>354000</v>
      </c>
      <c r="O79" s="220">
        <f t="shared" si="14"/>
        <v>444000</v>
      </c>
      <c r="P79" s="301">
        <f t="shared" si="15"/>
        <v>83700</v>
      </c>
      <c r="Q79" s="301">
        <f t="shared" si="16"/>
        <v>329220</v>
      </c>
      <c r="R79" s="300">
        <f t="shared" si="17"/>
        <v>412920</v>
      </c>
    </row>
    <row r="80" spans="1:18" s="209" customFormat="1" x14ac:dyDescent="0.25">
      <c r="A80" s="210">
        <v>74</v>
      </c>
      <c r="B80" s="152" t="s">
        <v>176</v>
      </c>
      <c r="C80" s="153" t="s">
        <v>153</v>
      </c>
      <c r="D80" s="200">
        <v>67000</v>
      </c>
      <c r="E80" s="173">
        <v>187000</v>
      </c>
      <c r="F80" s="216">
        <f t="shared" si="9"/>
        <v>254000</v>
      </c>
      <c r="G80" s="261">
        <f t="shared" si="10"/>
        <v>60000</v>
      </c>
      <c r="H80" s="262">
        <v>300000</v>
      </c>
      <c r="I80" s="261">
        <f t="shared" si="11"/>
        <v>360000</v>
      </c>
      <c r="J80" s="247">
        <v>58551.554195932498</v>
      </c>
      <c r="K80" s="247">
        <v>238206.21678372991</v>
      </c>
      <c r="L80" s="194">
        <v>296757.77097966243</v>
      </c>
      <c r="M80" s="220">
        <f t="shared" si="12"/>
        <v>58551.554195932498</v>
      </c>
      <c r="N80" s="220">
        <f t="shared" si="13"/>
        <v>187000</v>
      </c>
      <c r="O80" s="220">
        <f t="shared" si="14"/>
        <v>245551.55419593249</v>
      </c>
      <c r="P80" s="301">
        <f t="shared" si="15"/>
        <v>54452.945402217221</v>
      </c>
      <c r="Q80" s="301">
        <f t="shared" si="16"/>
        <v>173910</v>
      </c>
      <c r="R80" s="300">
        <f t="shared" si="17"/>
        <v>228362.94540221721</v>
      </c>
    </row>
    <row r="81" spans="1:18" s="209" customFormat="1" x14ac:dyDescent="0.25">
      <c r="A81" s="210">
        <v>75</v>
      </c>
      <c r="B81" s="152" t="s">
        <v>177</v>
      </c>
      <c r="C81" s="153" t="s">
        <v>153</v>
      </c>
      <c r="D81" s="200">
        <v>127000</v>
      </c>
      <c r="E81" s="173">
        <v>352000</v>
      </c>
      <c r="F81" s="216">
        <f t="shared" si="9"/>
        <v>479000</v>
      </c>
      <c r="G81" s="261">
        <f t="shared" si="10"/>
        <v>90000</v>
      </c>
      <c r="H81" s="262">
        <v>450000</v>
      </c>
      <c r="I81" s="261">
        <f t="shared" si="11"/>
        <v>540000</v>
      </c>
      <c r="J81" s="247">
        <v>111000</v>
      </c>
      <c r="K81" s="247">
        <v>448000</v>
      </c>
      <c r="L81" s="194">
        <v>559000</v>
      </c>
      <c r="M81" s="220">
        <f t="shared" si="12"/>
        <v>90000</v>
      </c>
      <c r="N81" s="220">
        <f t="shared" si="13"/>
        <v>352000</v>
      </c>
      <c r="O81" s="220">
        <f t="shared" si="14"/>
        <v>442000</v>
      </c>
      <c r="P81" s="301">
        <f t="shared" si="15"/>
        <v>83700</v>
      </c>
      <c r="Q81" s="301">
        <f t="shared" si="16"/>
        <v>327360</v>
      </c>
      <c r="R81" s="300">
        <f t="shared" si="17"/>
        <v>411060</v>
      </c>
    </row>
    <row r="82" spans="1:18" s="209" customFormat="1" x14ac:dyDescent="0.25">
      <c r="A82" s="210">
        <v>76</v>
      </c>
      <c r="B82" s="158" t="s">
        <v>102</v>
      </c>
      <c r="C82" s="153" t="s">
        <v>153</v>
      </c>
      <c r="D82" s="200">
        <v>526000</v>
      </c>
      <c r="E82" s="173">
        <v>1605000</v>
      </c>
      <c r="F82" s="216">
        <f t="shared" si="9"/>
        <v>2131000</v>
      </c>
      <c r="G82" s="261">
        <f t="shared" si="10"/>
        <v>378000</v>
      </c>
      <c r="H82" s="262">
        <v>1890000</v>
      </c>
      <c r="I82" s="261">
        <f t="shared" si="11"/>
        <v>2268000</v>
      </c>
      <c r="J82" s="247">
        <v>464503.63598342001</v>
      </c>
      <c r="K82" s="247">
        <v>1862014.5439336796</v>
      </c>
      <c r="L82" s="194">
        <v>2326518.1799170994</v>
      </c>
      <c r="M82" s="220">
        <f t="shared" si="12"/>
        <v>378000</v>
      </c>
      <c r="N82" s="220">
        <f t="shared" si="13"/>
        <v>1605000</v>
      </c>
      <c r="O82" s="220">
        <f t="shared" si="14"/>
        <v>1983000</v>
      </c>
      <c r="P82" s="301">
        <f t="shared" si="15"/>
        <v>351540</v>
      </c>
      <c r="Q82" s="301">
        <f t="shared" si="16"/>
        <v>1492650</v>
      </c>
      <c r="R82" s="300">
        <f t="shared" si="17"/>
        <v>1844190</v>
      </c>
    </row>
    <row r="83" spans="1:18" s="209" customFormat="1" x14ac:dyDescent="0.25">
      <c r="A83" s="210">
        <v>77</v>
      </c>
      <c r="B83" s="158" t="s">
        <v>112</v>
      </c>
      <c r="C83" s="153" t="s">
        <v>153</v>
      </c>
      <c r="D83" s="200">
        <v>110000</v>
      </c>
      <c r="E83" s="173">
        <v>335000</v>
      </c>
      <c r="F83" s="216">
        <f t="shared" si="9"/>
        <v>445000</v>
      </c>
      <c r="G83" s="261">
        <f t="shared" si="10"/>
        <v>78000</v>
      </c>
      <c r="H83" s="262">
        <v>390000</v>
      </c>
      <c r="I83" s="261">
        <f t="shared" si="11"/>
        <v>468000</v>
      </c>
      <c r="J83" s="247">
        <v>96090.758362256107</v>
      </c>
      <c r="K83" s="247">
        <v>388363.0334490246</v>
      </c>
      <c r="L83" s="194">
        <v>484453.79181128071</v>
      </c>
      <c r="M83" s="220">
        <f t="shared" si="12"/>
        <v>78000</v>
      </c>
      <c r="N83" s="220">
        <f t="shared" si="13"/>
        <v>335000</v>
      </c>
      <c r="O83" s="220">
        <f t="shared" si="14"/>
        <v>413000</v>
      </c>
      <c r="P83" s="301">
        <f t="shared" si="15"/>
        <v>72540</v>
      </c>
      <c r="Q83" s="301">
        <f t="shared" si="16"/>
        <v>311550</v>
      </c>
      <c r="R83" s="300">
        <f t="shared" si="17"/>
        <v>384090</v>
      </c>
    </row>
    <row r="84" spans="1:18" s="209" customFormat="1" x14ac:dyDescent="0.25">
      <c r="A84" s="210">
        <v>78</v>
      </c>
      <c r="B84" s="158" t="s">
        <v>78</v>
      </c>
      <c r="C84" s="153" t="s">
        <v>153</v>
      </c>
      <c r="D84" s="200">
        <v>98000</v>
      </c>
      <c r="E84" s="173">
        <v>298000</v>
      </c>
      <c r="F84" s="216">
        <f t="shared" si="9"/>
        <v>396000</v>
      </c>
      <c r="G84" s="261">
        <f t="shared" si="10"/>
        <v>70000</v>
      </c>
      <c r="H84" s="262">
        <v>350000</v>
      </c>
      <c r="I84" s="261">
        <f t="shared" si="11"/>
        <v>420000</v>
      </c>
      <c r="J84" s="247">
        <v>85450.675254063695</v>
      </c>
      <c r="K84" s="247">
        <v>345802.70101625484</v>
      </c>
      <c r="L84" s="194">
        <v>431253.37627031852</v>
      </c>
      <c r="M84" s="220">
        <f t="shared" si="12"/>
        <v>70000</v>
      </c>
      <c r="N84" s="220">
        <f t="shared" si="13"/>
        <v>298000</v>
      </c>
      <c r="O84" s="220">
        <f t="shared" si="14"/>
        <v>368000</v>
      </c>
      <c r="P84" s="301">
        <f t="shared" si="15"/>
        <v>65100</v>
      </c>
      <c r="Q84" s="301">
        <f t="shared" si="16"/>
        <v>277140</v>
      </c>
      <c r="R84" s="300">
        <f t="shared" si="17"/>
        <v>342240</v>
      </c>
    </row>
    <row r="85" spans="1:18" s="209" customFormat="1" ht="22.5" x14ac:dyDescent="0.25">
      <c r="A85" s="210"/>
      <c r="B85" s="156" t="s">
        <v>31</v>
      </c>
      <c r="C85" s="153" t="s">
        <v>153</v>
      </c>
      <c r="D85" s="200">
        <v>0</v>
      </c>
      <c r="E85" s="173">
        <v>0</v>
      </c>
      <c r="F85" s="216">
        <f t="shared" si="9"/>
        <v>0</v>
      </c>
      <c r="G85" s="261">
        <f t="shared" si="10"/>
        <v>0</v>
      </c>
      <c r="H85" s="262"/>
      <c r="I85" s="261">
        <f t="shared" si="11"/>
        <v>0</v>
      </c>
      <c r="J85" s="247">
        <v>0</v>
      </c>
      <c r="K85" s="247">
        <v>0</v>
      </c>
      <c r="L85" s="194">
        <v>0</v>
      </c>
      <c r="M85" s="220">
        <f t="shared" si="12"/>
        <v>0</v>
      </c>
      <c r="N85" s="220">
        <f t="shared" si="13"/>
        <v>0</v>
      </c>
      <c r="O85" s="220">
        <f t="shared" si="14"/>
        <v>0</v>
      </c>
      <c r="P85" s="301">
        <f t="shared" si="15"/>
        <v>0</v>
      </c>
      <c r="Q85" s="301">
        <f t="shared" si="16"/>
        <v>0</v>
      </c>
      <c r="R85" s="300">
        <f t="shared" si="17"/>
        <v>0</v>
      </c>
    </row>
    <row r="86" spans="1:18" s="209" customFormat="1" x14ac:dyDescent="0.25">
      <c r="A86" s="210">
        <v>79</v>
      </c>
      <c r="B86" s="152" t="s">
        <v>323</v>
      </c>
      <c r="C86" s="153" t="s">
        <v>153</v>
      </c>
      <c r="D86" s="200">
        <v>423000</v>
      </c>
      <c r="E86" s="173">
        <v>1291000</v>
      </c>
      <c r="F86" s="216">
        <f t="shared" si="9"/>
        <v>1714000</v>
      </c>
      <c r="G86" s="261">
        <f t="shared" si="10"/>
        <v>320000</v>
      </c>
      <c r="H86" s="262">
        <v>1600000</v>
      </c>
      <c r="I86" s="261">
        <f t="shared" si="11"/>
        <v>1920000</v>
      </c>
      <c r="J86" s="247">
        <v>373436.82837712398</v>
      </c>
      <c r="K86" s="247">
        <v>1497747.313508495</v>
      </c>
      <c r="L86" s="194">
        <v>1871184.1418856189</v>
      </c>
      <c r="M86" s="220">
        <f t="shared" si="12"/>
        <v>320000</v>
      </c>
      <c r="N86" s="220">
        <f t="shared" si="13"/>
        <v>1291000</v>
      </c>
      <c r="O86" s="220">
        <f t="shared" si="14"/>
        <v>1611000</v>
      </c>
      <c r="P86" s="301">
        <f t="shared" si="15"/>
        <v>297600</v>
      </c>
      <c r="Q86" s="301">
        <f t="shared" si="16"/>
        <v>1200630</v>
      </c>
      <c r="R86" s="300">
        <f t="shared" si="17"/>
        <v>1498230</v>
      </c>
    </row>
    <row r="87" spans="1:18" s="209" customFormat="1" x14ac:dyDescent="0.25">
      <c r="A87" s="210">
        <v>80</v>
      </c>
      <c r="B87" s="152" t="s">
        <v>178</v>
      </c>
      <c r="C87" s="153" t="s">
        <v>153</v>
      </c>
      <c r="D87" s="200">
        <v>146000</v>
      </c>
      <c r="E87" s="173">
        <v>445000</v>
      </c>
      <c r="F87" s="216">
        <f t="shared" si="9"/>
        <v>591000</v>
      </c>
      <c r="G87" s="261">
        <f t="shared" si="10"/>
        <v>116000</v>
      </c>
      <c r="H87" s="262">
        <v>580000</v>
      </c>
      <c r="I87" s="261">
        <f t="shared" si="11"/>
        <v>696000</v>
      </c>
      <c r="J87" s="247">
        <v>127997.664194193</v>
      </c>
      <c r="K87" s="247">
        <v>515990.65677677374</v>
      </c>
      <c r="L87" s="194">
        <v>643988.32097096671</v>
      </c>
      <c r="M87" s="220">
        <f t="shared" si="12"/>
        <v>116000</v>
      </c>
      <c r="N87" s="220">
        <f t="shared" si="13"/>
        <v>445000</v>
      </c>
      <c r="O87" s="220">
        <f t="shared" si="14"/>
        <v>561000</v>
      </c>
      <c r="P87" s="301">
        <f t="shared" si="15"/>
        <v>107880</v>
      </c>
      <c r="Q87" s="301">
        <f t="shared" si="16"/>
        <v>413850</v>
      </c>
      <c r="R87" s="300">
        <f t="shared" si="17"/>
        <v>521730</v>
      </c>
    </row>
    <row r="88" spans="1:18" s="209" customFormat="1" x14ac:dyDescent="0.25">
      <c r="A88" s="210">
        <v>81</v>
      </c>
      <c r="B88" s="152" t="s">
        <v>146</v>
      </c>
      <c r="C88" s="153" t="s">
        <v>153</v>
      </c>
      <c r="D88" s="200">
        <v>319000</v>
      </c>
      <c r="E88" s="173">
        <v>975000</v>
      </c>
      <c r="F88" s="216">
        <f t="shared" si="9"/>
        <v>1294000</v>
      </c>
      <c r="G88" s="261">
        <f t="shared" si="10"/>
        <v>24000</v>
      </c>
      <c r="H88" s="262">
        <v>120000</v>
      </c>
      <c r="I88" s="261">
        <f t="shared" si="11"/>
        <v>144000</v>
      </c>
      <c r="J88" s="247">
        <v>281625.87755097402</v>
      </c>
      <c r="K88" s="247">
        <v>1130503.5102038945</v>
      </c>
      <c r="L88" s="194">
        <v>1412129.3877548685</v>
      </c>
      <c r="M88" s="220">
        <f t="shared" si="12"/>
        <v>24000</v>
      </c>
      <c r="N88" s="220">
        <f t="shared" si="13"/>
        <v>120000</v>
      </c>
      <c r="O88" s="220">
        <f t="shared" si="14"/>
        <v>144000</v>
      </c>
      <c r="P88" s="301">
        <f t="shared" si="15"/>
        <v>22320</v>
      </c>
      <c r="Q88" s="301">
        <f t="shared" si="16"/>
        <v>111600</v>
      </c>
      <c r="R88" s="300">
        <f t="shared" si="17"/>
        <v>133920</v>
      </c>
    </row>
    <row r="89" spans="1:18" s="209" customFormat="1" x14ac:dyDescent="0.25">
      <c r="A89" s="210">
        <v>82</v>
      </c>
      <c r="B89" s="158" t="s">
        <v>79</v>
      </c>
      <c r="C89" s="153" t="s">
        <v>153</v>
      </c>
      <c r="D89" s="200">
        <v>59000</v>
      </c>
      <c r="E89" s="173">
        <v>181000</v>
      </c>
      <c r="F89" s="216">
        <f t="shared" si="9"/>
        <v>240000</v>
      </c>
      <c r="G89" s="261">
        <f t="shared" si="10"/>
        <v>50000</v>
      </c>
      <c r="H89" s="262">
        <v>250000</v>
      </c>
      <c r="I89" s="261">
        <f t="shared" si="11"/>
        <v>300000</v>
      </c>
      <c r="J89" s="247">
        <v>51496.639999999999</v>
      </c>
      <c r="K89" s="247">
        <v>209986.56000000003</v>
      </c>
      <c r="L89" s="194">
        <v>261483.2</v>
      </c>
      <c r="M89" s="220">
        <f t="shared" si="12"/>
        <v>50000</v>
      </c>
      <c r="N89" s="220">
        <f t="shared" si="13"/>
        <v>181000</v>
      </c>
      <c r="O89" s="220">
        <f t="shared" si="14"/>
        <v>231000</v>
      </c>
      <c r="P89" s="301">
        <f t="shared" si="15"/>
        <v>46500</v>
      </c>
      <c r="Q89" s="301">
        <f t="shared" si="16"/>
        <v>168330</v>
      </c>
      <c r="R89" s="300">
        <f t="shared" si="17"/>
        <v>214830</v>
      </c>
    </row>
    <row r="90" spans="1:18" s="209" customFormat="1" x14ac:dyDescent="0.25">
      <c r="A90" s="210">
        <v>83</v>
      </c>
      <c r="B90" s="152" t="s">
        <v>179</v>
      </c>
      <c r="C90" s="153" t="s">
        <v>153</v>
      </c>
      <c r="D90" s="200">
        <v>43000</v>
      </c>
      <c r="E90" s="173">
        <v>131000</v>
      </c>
      <c r="F90" s="216">
        <f t="shared" si="9"/>
        <v>174000</v>
      </c>
      <c r="G90" s="261">
        <f t="shared" si="10"/>
        <v>30000</v>
      </c>
      <c r="H90" s="262">
        <v>150000</v>
      </c>
      <c r="I90" s="261">
        <f t="shared" si="11"/>
        <v>180000</v>
      </c>
      <c r="J90" s="247">
        <v>36961.422791132398</v>
      </c>
      <c r="K90" s="247">
        <v>151845.69116452942</v>
      </c>
      <c r="L90" s="194">
        <v>188807.11395566183</v>
      </c>
      <c r="M90" s="220">
        <f t="shared" si="12"/>
        <v>30000</v>
      </c>
      <c r="N90" s="220">
        <f t="shared" si="13"/>
        <v>131000</v>
      </c>
      <c r="O90" s="220">
        <f t="shared" si="14"/>
        <v>161000</v>
      </c>
      <c r="P90" s="301">
        <f t="shared" si="15"/>
        <v>27900</v>
      </c>
      <c r="Q90" s="301">
        <f t="shared" si="16"/>
        <v>121830</v>
      </c>
      <c r="R90" s="300">
        <f t="shared" si="17"/>
        <v>149730</v>
      </c>
    </row>
    <row r="91" spans="1:18" s="209" customFormat="1" x14ac:dyDescent="0.25">
      <c r="A91" s="210">
        <v>84</v>
      </c>
      <c r="B91" s="158" t="s">
        <v>77</v>
      </c>
      <c r="C91" s="153" t="s">
        <v>153</v>
      </c>
      <c r="D91" s="200">
        <v>74000</v>
      </c>
      <c r="E91" s="173">
        <v>350000</v>
      </c>
      <c r="F91" s="216">
        <f t="shared" si="9"/>
        <v>424000</v>
      </c>
      <c r="G91" s="261">
        <f t="shared" si="10"/>
        <v>76000</v>
      </c>
      <c r="H91" s="262">
        <v>380000</v>
      </c>
      <c r="I91" s="261">
        <f t="shared" si="11"/>
        <v>456000</v>
      </c>
      <c r="J91" s="247">
        <v>87363.424183448005</v>
      </c>
      <c r="K91" s="247">
        <v>405453.69673379121</v>
      </c>
      <c r="L91" s="194">
        <v>492817.12091723923</v>
      </c>
      <c r="M91" s="220">
        <f t="shared" si="12"/>
        <v>74000</v>
      </c>
      <c r="N91" s="220">
        <f t="shared" si="13"/>
        <v>350000</v>
      </c>
      <c r="O91" s="220">
        <f t="shared" si="14"/>
        <v>424000</v>
      </c>
      <c r="P91" s="301">
        <f t="shared" si="15"/>
        <v>68820</v>
      </c>
      <c r="Q91" s="301">
        <f t="shared" si="16"/>
        <v>325500</v>
      </c>
      <c r="R91" s="300">
        <f t="shared" si="17"/>
        <v>394320</v>
      </c>
    </row>
    <row r="92" spans="1:18" s="209" customFormat="1" x14ac:dyDescent="0.25">
      <c r="A92" s="210">
        <v>85</v>
      </c>
      <c r="B92" s="166" t="s">
        <v>33</v>
      </c>
      <c r="C92" s="153" t="s">
        <v>153</v>
      </c>
      <c r="D92" s="200">
        <v>53000</v>
      </c>
      <c r="E92" s="173">
        <v>161000</v>
      </c>
      <c r="F92" s="216">
        <f t="shared" si="9"/>
        <v>214000</v>
      </c>
      <c r="G92" s="261">
        <f t="shared" si="10"/>
        <v>38000</v>
      </c>
      <c r="H92" s="262">
        <v>190000</v>
      </c>
      <c r="I92" s="261">
        <f t="shared" si="11"/>
        <v>228000</v>
      </c>
      <c r="J92" s="247">
        <v>45550.363598342003</v>
      </c>
      <c r="K92" s="247">
        <v>186201.45439336804</v>
      </c>
      <c r="L92" s="194">
        <v>231751.81799171004</v>
      </c>
      <c r="M92" s="220">
        <f t="shared" si="12"/>
        <v>38000</v>
      </c>
      <c r="N92" s="220">
        <f t="shared" si="13"/>
        <v>161000</v>
      </c>
      <c r="O92" s="220">
        <f t="shared" si="14"/>
        <v>199000</v>
      </c>
      <c r="P92" s="301">
        <f t="shared" si="15"/>
        <v>35340</v>
      </c>
      <c r="Q92" s="301">
        <f t="shared" si="16"/>
        <v>149730</v>
      </c>
      <c r="R92" s="300">
        <f t="shared" si="17"/>
        <v>185070</v>
      </c>
    </row>
    <row r="93" spans="1:18" s="209" customFormat="1" ht="22.5" x14ac:dyDescent="0.25">
      <c r="A93" s="210"/>
      <c r="B93" s="156" t="s">
        <v>90</v>
      </c>
      <c r="C93" s="153" t="s">
        <v>153</v>
      </c>
      <c r="D93" s="200">
        <v>0</v>
      </c>
      <c r="E93" s="173">
        <v>0</v>
      </c>
      <c r="F93" s="216">
        <f t="shared" si="9"/>
        <v>0</v>
      </c>
      <c r="G93" s="261">
        <f t="shared" si="10"/>
        <v>0</v>
      </c>
      <c r="H93" s="262"/>
      <c r="I93" s="261">
        <f t="shared" si="11"/>
        <v>0</v>
      </c>
      <c r="J93" s="247">
        <v>0</v>
      </c>
      <c r="K93" s="247">
        <v>0</v>
      </c>
      <c r="L93" s="194">
        <v>0</v>
      </c>
      <c r="M93" s="220">
        <f t="shared" si="12"/>
        <v>0</v>
      </c>
      <c r="N93" s="220">
        <f t="shared" si="13"/>
        <v>0</v>
      </c>
      <c r="O93" s="220">
        <f t="shared" si="14"/>
        <v>0</v>
      </c>
      <c r="P93" s="301">
        <f t="shared" si="15"/>
        <v>0</v>
      </c>
      <c r="Q93" s="301">
        <f t="shared" si="16"/>
        <v>0</v>
      </c>
      <c r="R93" s="300">
        <f t="shared" si="17"/>
        <v>0</v>
      </c>
    </row>
    <row r="94" spans="1:18" s="209" customFormat="1" x14ac:dyDescent="0.25">
      <c r="A94" s="210">
        <v>86</v>
      </c>
      <c r="B94" s="152" t="s">
        <v>26</v>
      </c>
      <c r="C94" s="153" t="s">
        <v>153</v>
      </c>
      <c r="D94" s="200">
        <v>34000</v>
      </c>
      <c r="E94" s="173">
        <v>103000</v>
      </c>
      <c r="F94" s="216">
        <f t="shared" si="9"/>
        <v>137000</v>
      </c>
      <c r="G94" s="261">
        <f t="shared" si="10"/>
        <v>26000</v>
      </c>
      <c r="H94" s="262">
        <v>130000</v>
      </c>
      <c r="I94" s="261">
        <f t="shared" si="11"/>
        <v>156000</v>
      </c>
      <c r="J94" s="247">
        <v>28748.096000000001</v>
      </c>
      <c r="K94" s="247">
        <v>118992.38400000002</v>
      </c>
      <c r="L94" s="194">
        <v>147740.48000000001</v>
      </c>
      <c r="M94" s="220">
        <f t="shared" si="12"/>
        <v>26000</v>
      </c>
      <c r="N94" s="220">
        <f t="shared" si="13"/>
        <v>103000</v>
      </c>
      <c r="O94" s="220">
        <f t="shared" si="14"/>
        <v>129000</v>
      </c>
      <c r="P94" s="301">
        <f t="shared" si="15"/>
        <v>24180</v>
      </c>
      <c r="Q94" s="301">
        <f t="shared" si="16"/>
        <v>95790</v>
      </c>
      <c r="R94" s="300">
        <f t="shared" si="17"/>
        <v>119970</v>
      </c>
    </row>
    <row r="95" spans="1:18" s="209" customFormat="1" x14ac:dyDescent="0.25">
      <c r="A95" s="210">
        <v>87</v>
      </c>
      <c r="B95" s="152" t="s">
        <v>181</v>
      </c>
      <c r="C95" s="153" t="s">
        <v>153</v>
      </c>
      <c r="D95" s="200">
        <v>132000</v>
      </c>
      <c r="E95" s="173">
        <v>402000</v>
      </c>
      <c r="F95" s="216">
        <f t="shared" si="9"/>
        <v>534000</v>
      </c>
      <c r="G95" s="261">
        <f t="shared" si="10"/>
        <v>96000</v>
      </c>
      <c r="H95" s="262">
        <v>480000</v>
      </c>
      <c r="I95" s="261">
        <f t="shared" si="11"/>
        <v>576000</v>
      </c>
      <c r="J95" s="247">
        <v>115653.833331389</v>
      </c>
      <c r="K95" s="247">
        <v>466615.33332555508</v>
      </c>
      <c r="L95" s="194">
        <v>582269.16665694409</v>
      </c>
      <c r="M95" s="220">
        <f t="shared" si="12"/>
        <v>96000</v>
      </c>
      <c r="N95" s="220">
        <f t="shared" si="13"/>
        <v>402000</v>
      </c>
      <c r="O95" s="220">
        <f t="shared" si="14"/>
        <v>498000</v>
      </c>
      <c r="P95" s="301">
        <f t="shared" si="15"/>
        <v>89280</v>
      </c>
      <c r="Q95" s="301">
        <f t="shared" si="16"/>
        <v>373860</v>
      </c>
      <c r="R95" s="300">
        <f t="shared" si="17"/>
        <v>463140</v>
      </c>
    </row>
    <row r="96" spans="1:18" s="209" customFormat="1" x14ac:dyDescent="0.25">
      <c r="A96" s="210">
        <v>88</v>
      </c>
      <c r="B96" s="166" t="s">
        <v>34</v>
      </c>
      <c r="C96" s="153" t="s">
        <v>153</v>
      </c>
      <c r="D96" s="200">
        <v>148000</v>
      </c>
      <c r="E96" s="173">
        <v>453000</v>
      </c>
      <c r="F96" s="216">
        <f t="shared" si="9"/>
        <v>601000</v>
      </c>
      <c r="G96" s="261">
        <f t="shared" si="10"/>
        <v>112000</v>
      </c>
      <c r="H96" s="262">
        <v>560000</v>
      </c>
      <c r="I96" s="261">
        <f t="shared" si="11"/>
        <v>672000</v>
      </c>
      <c r="J96" s="247">
        <v>130241.60000000001</v>
      </c>
      <c r="K96" s="247">
        <v>524966.40000000002</v>
      </c>
      <c r="L96" s="194">
        <v>655208</v>
      </c>
      <c r="M96" s="220">
        <f t="shared" si="12"/>
        <v>112000</v>
      </c>
      <c r="N96" s="220">
        <f t="shared" si="13"/>
        <v>453000</v>
      </c>
      <c r="O96" s="220">
        <f t="shared" si="14"/>
        <v>565000</v>
      </c>
      <c r="P96" s="301">
        <f t="shared" si="15"/>
        <v>104160</v>
      </c>
      <c r="Q96" s="301">
        <f t="shared" si="16"/>
        <v>421290</v>
      </c>
      <c r="R96" s="300">
        <f t="shared" si="17"/>
        <v>525450</v>
      </c>
    </row>
    <row r="97" spans="1:18" s="209" customFormat="1" x14ac:dyDescent="0.25">
      <c r="A97" s="210">
        <v>89</v>
      </c>
      <c r="B97" s="166" t="s">
        <v>408</v>
      </c>
      <c r="C97" s="153" t="s">
        <v>153</v>
      </c>
      <c r="D97" s="200">
        <v>64000</v>
      </c>
      <c r="E97" s="173">
        <v>196000</v>
      </c>
      <c r="F97" s="216">
        <f t="shared" si="9"/>
        <v>260000</v>
      </c>
      <c r="G97" s="261">
        <f t="shared" si="10"/>
        <v>46000</v>
      </c>
      <c r="H97" s="262">
        <v>230000</v>
      </c>
      <c r="I97" s="261">
        <f t="shared" si="11"/>
        <v>276000</v>
      </c>
      <c r="J97" s="247">
        <v>55929.689599999998</v>
      </c>
      <c r="K97" s="247">
        <v>227718.75840000005</v>
      </c>
      <c r="L97" s="194">
        <v>283648.44800000003</v>
      </c>
      <c r="M97" s="220">
        <f t="shared" si="12"/>
        <v>46000</v>
      </c>
      <c r="N97" s="220">
        <f t="shared" si="13"/>
        <v>196000</v>
      </c>
      <c r="O97" s="220">
        <f t="shared" si="14"/>
        <v>242000</v>
      </c>
      <c r="P97" s="301">
        <f t="shared" si="15"/>
        <v>42780</v>
      </c>
      <c r="Q97" s="301">
        <f t="shared" si="16"/>
        <v>182280</v>
      </c>
      <c r="R97" s="300">
        <f t="shared" si="17"/>
        <v>225060</v>
      </c>
    </row>
    <row r="98" spans="1:18" s="209" customFormat="1" x14ac:dyDescent="0.25">
      <c r="A98" s="210">
        <v>90</v>
      </c>
      <c r="B98" s="158" t="s">
        <v>80</v>
      </c>
      <c r="C98" s="153" t="s">
        <v>153</v>
      </c>
      <c r="D98" s="200">
        <v>121000</v>
      </c>
      <c r="E98" s="173">
        <v>369000</v>
      </c>
      <c r="F98" s="216">
        <f t="shared" si="9"/>
        <v>490000</v>
      </c>
      <c r="G98" s="261">
        <f t="shared" si="10"/>
        <v>90000</v>
      </c>
      <c r="H98" s="262">
        <v>450000</v>
      </c>
      <c r="I98" s="261">
        <f t="shared" si="11"/>
        <v>540000</v>
      </c>
      <c r="J98" s="247">
        <v>106086.503830506</v>
      </c>
      <c r="K98" s="247">
        <v>428346.01532202319</v>
      </c>
      <c r="L98" s="194">
        <v>534432.51915252919</v>
      </c>
      <c r="M98" s="220">
        <f t="shared" si="12"/>
        <v>90000</v>
      </c>
      <c r="N98" s="220">
        <f t="shared" si="13"/>
        <v>369000</v>
      </c>
      <c r="O98" s="220">
        <f t="shared" si="14"/>
        <v>459000</v>
      </c>
      <c r="P98" s="301">
        <f t="shared" si="15"/>
        <v>83700</v>
      </c>
      <c r="Q98" s="301">
        <f t="shared" si="16"/>
        <v>343170</v>
      </c>
      <c r="R98" s="300">
        <f t="shared" si="17"/>
        <v>426870</v>
      </c>
    </row>
    <row r="99" spans="1:18" s="209" customFormat="1" x14ac:dyDescent="0.25">
      <c r="A99" s="210">
        <v>91</v>
      </c>
      <c r="B99" s="158" t="s">
        <v>409</v>
      </c>
      <c r="C99" s="153" t="s">
        <v>153</v>
      </c>
      <c r="D99" s="200">
        <v>31000</v>
      </c>
      <c r="E99" s="173">
        <v>95000</v>
      </c>
      <c r="F99" s="216">
        <f t="shared" si="9"/>
        <v>126000</v>
      </c>
      <c r="G99" s="261">
        <f t="shared" si="10"/>
        <v>24000</v>
      </c>
      <c r="H99" s="262">
        <v>120000</v>
      </c>
      <c r="I99" s="261">
        <f t="shared" si="11"/>
        <v>144000</v>
      </c>
      <c r="J99" s="247">
        <v>26582.764138145201</v>
      </c>
      <c r="K99" s="247">
        <v>110331.05655258091</v>
      </c>
      <c r="L99" s="194">
        <v>136913.8206907261</v>
      </c>
      <c r="M99" s="220">
        <f t="shared" si="12"/>
        <v>24000</v>
      </c>
      <c r="N99" s="220">
        <f t="shared" si="13"/>
        <v>95000</v>
      </c>
      <c r="O99" s="220">
        <f t="shared" si="14"/>
        <v>119000</v>
      </c>
      <c r="P99" s="301">
        <f t="shared" si="15"/>
        <v>22320</v>
      </c>
      <c r="Q99" s="301">
        <f t="shared" si="16"/>
        <v>88350</v>
      </c>
      <c r="R99" s="300">
        <f t="shared" si="17"/>
        <v>110670</v>
      </c>
    </row>
    <row r="100" spans="1:18" s="209" customFormat="1" x14ac:dyDescent="0.25">
      <c r="A100" s="210">
        <v>92</v>
      </c>
      <c r="B100" s="158" t="s">
        <v>306</v>
      </c>
      <c r="C100" s="153" t="s">
        <v>153</v>
      </c>
      <c r="D100" s="200">
        <v>252000</v>
      </c>
      <c r="E100" s="173">
        <v>1642000</v>
      </c>
      <c r="F100" s="216">
        <f t="shared" si="9"/>
        <v>1894000</v>
      </c>
      <c r="G100" s="261">
        <f t="shared" si="10"/>
        <v>34000</v>
      </c>
      <c r="H100" s="262">
        <v>170000</v>
      </c>
      <c r="I100" s="261">
        <f t="shared" si="11"/>
        <v>204000</v>
      </c>
      <c r="J100" s="247">
        <v>475132.45433600002</v>
      </c>
      <c r="K100" s="247">
        <v>1904529.8173440003</v>
      </c>
      <c r="L100" s="194">
        <v>2379662.2716800002</v>
      </c>
      <c r="M100" s="220">
        <f t="shared" si="12"/>
        <v>34000</v>
      </c>
      <c r="N100" s="220">
        <f t="shared" si="13"/>
        <v>170000</v>
      </c>
      <c r="O100" s="220">
        <f t="shared" si="14"/>
        <v>204000</v>
      </c>
      <c r="P100" s="301">
        <f t="shared" si="15"/>
        <v>31620</v>
      </c>
      <c r="Q100" s="301">
        <f t="shared" si="16"/>
        <v>158100</v>
      </c>
      <c r="R100" s="300">
        <f t="shared" si="17"/>
        <v>189720</v>
      </c>
    </row>
    <row r="101" spans="1:18" s="209" customFormat="1" x14ac:dyDescent="0.25">
      <c r="A101" s="210">
        <v>93</v>
      </c>
      <c r="B101" s="152" t="s">
        <v>187</v>
      </c>
      <c r="C101" s="153" t="s">
        <v>153</v>
      </c>
      <c r="D101" s="200">
        <v>74000</v>
      </c>
      <c r="E101" s="173">
        <v>739000</v>
      </c>
      <c r="F101" s="216">
        <f t="shared" si="9"/>
        <v>813000</v>
      </c>
      <c r="G101" s="261">
        <f t="shared" si="10"/>
        <v>160000</v>
      </c>
      <c r="H101" s="262">
        <v>800000</v>
      </c>
      <c r="I101" s="261">
        <f t="shared" si="11"/>
        <v>960000</v>
      </c>
      <c r="J101" s="247">
        <v>234294.57500627401</v>
      </c>
      <c r="K101" s="247">
        <v>941178.30002509698</v>
      </c>
      <c r="L101" s="194">
        <v>1175472.8750313709</v>
      </c>
      <c r="M101" s="220">
        <f t="shared" si="12"/>
        <v>74000</v>
      </c>
      <c r="N101" s="220">
        <f t="shared" si="13"/>
        <v>739000</v>
      </c>
      <c r="O101" s="220">
        <f t="shared" si="14"/>
        <v>813000</v>
      </c>
      <c r="P101" s="301">
        <f t="shared" si="15"/>
        <v>68820</v>
      </c>
      <c r="Q101" s="301">
        <f t="shared" si="16"/>
        <v>687270</v>
      </c>
      <c r="R101" s="300">
        <f t="shared" si="17"/>
        <v>756090</v>
      </c>
    </row>
    <row r="102" spans="1:18" s="209" customFormat="1" x14ac:dyDescent="0.25">
      <c r="A102" s="210">
        <v>94</v>
      </c>
      <c r="B102" s="152" t="s">
        <v>188</v>
      </c>
      <c r="C102" s="153" t="s">
        <v>153</v>
      </c>
      <c r="D102" s="200">
        <v>57000</v>
      </c>
      <c r="E102" s="173">
        <v>173000</v>
      </c>
      <c r="F102" s="216">
        <f t="shared" si="9"/>
        <v>230000</v>
      </c>
      <c r="G102" s="261">
        <f t="shared" si="10"/>
        <v>42000</v>
      </c>
      <c r="H102" s="262">
        <v>210000</v>
      </c>
      <c r="I102" s="261">
        <f t="shared" si="11"/>
        <v>252000</v>
      </c>
      <c r="J102" s="247">
        <v>49172.354289201699</v>
      </c>
      <c r="K102" s="247">
        <v>200689.41715680721</v>
      </c>
      <c r="L102" s="194">
        <v>249861.7714460089</v>
      </c>
      <c r="M102" s="220">
        <f t="shared" si="12"/>
        <v>42000</v>
      </c>
      <c r="N102" s="220">
        <f t="shared" si="13"/>
        <v>173000</v>
      </c>
      <c r="O102" s="220">
        <f t="shared" si="14"/>
        <v>215000</v>
      </c>
      <c r="P102" s="301">
        <f t="shared" si="15"/>
        <v>39060</v>
      </c>
      <c r="Q102" s="301">
        <f t="shared" si="16"/>
        <v>160890</v>
      </c>
      <c r="R102" s="300">
        <f t="shared" si="17"/>
        <v>199950</v>
      </c>
    </row>
    <row r="103" spans="1:18" s="209" customFormat="1" x14ac:dyDescent="0.25">
      <c r="A103" s="210">
        <v>95</v>
      </c>
      <c r="B103" s="158" t="s">
        <v>190</v>
      </c>
      <c r="C103" s="153" t="s">
        <v>153</v>
      </c>
      <c r="D103" s="200">
        <v>40000</v>
      </c>
      <c r="E103" s="173">
        <v>121000</v>
      </c>
      <c r="F103" s="216">
        <f t="shared" si="9"/>
        <v>161000</v>
      </c>
      <c r="G103" s="261">
        <f t="shared" si="10"/>
        <v>30000</v>
      </c>
      <c r="H103" s="262">
        <v>150000</v>
      </c>
      <c r="I103" s="261">
        <f t="shared" si="11"/>
        <v>180000</v>
      </c>
      <c r="J103" s="247">
        <v>33997.760000000002</v>
      </c>
      <c r="K103" s="247">
        <v>139991.04000000001</v>
      </c>
      <c r="L103" s="194">
        <v>173988.80000000002</v>
      </c>
      <c r="M103" s="220">
        <f t="shared" si="12"/>
        <v>30000</v>
      </c>
      <c r="N103" s="220">
        <f t="shared" si="13"/>
        <v>121000</v>
      </c>
      <c r="O103" s="220">
        <f t="shared" si="14"/>
        <v>151000</v>
      </c>
      <c r="P103" s="301">
        <f t="shared" si="15"/>
        <v>27900</v>
      </c>
      <c r="Q103" s="301">
        <f t="shared" si="16"/>
        <v>112530</v>
      </c>
      <c r="R103" s="300">
        <f t="shared" si="17"/>
        <v>140430</v>
      </c>
    </row>
    <row r="104" spans="1:18" s="209" customFormat="1" x14ac:dyDescent="0.25">
      <c r="A104" s="210">
        <v>96</v>
      </c>
      <c r="B104" s="158" t="s">
        <v>410</v>
      </c>
      <c r="C104" s="153" t="s">
        <v>153</v>
      </c>
      <c r="D104" s="200">
        <v>186000</v>
      </c>
      <c r="E104" s="173">
        <v>517000</v>
      </c>
      <c r="F104" s="216">
        <f t="shared" si="9"/>
        <v>703000</v>
      </c>
      <c r="G104" s="261">
        <f t="shared" si="10"/>
        <v>136000</v>
      </c>
      <c r="H104" s="262">
        <v>680000</v>
      </c>
      <c r="I104" s="261">
        <f t="shared" si="11"/>
        <v>816000</v>
      </c>
      <c r="J104" s="247">
        <v>163511.68941994701</v>
      </c>
      <c r="K104" s="247">
        <v>658046.75767978642</v>
      </c>
      <c r="L104" s="194">
        <v>821558.4470997334</v>
      </c>
      <c r="M104" s="220">
        <f t="shared" si="12"/>
        <v>136000</v>
      </c>
      <c r="N104" s="220">
        <f t="shared" si="13"/>
        <v>517000</v>
      </c>
      <c r="O104" s="220">
        <f t="shared" si="14"/>
        <v>653000</v>
      </c>
      <c r="P104" s="301">
        <f t="shared" si="15"/>
        <v>126480</v>
      </c>
      <c r="Q104" s="301">
        <f t="shared" si="16"/>
        <v>480810</v>
      </c>
      <c r="R104" s="300">
        <f t="shared" si="17"/>
        <v>607290</v>
      </c>
    </row>
    <row r="105" spans="1:18" s="209" customFormat="1" x14ac:dyDescent="0.25">
      <c r="A105" s="210">
        <v>97</v>
      </c>
      <c r="B105" s="158" t="s">
        <v>411</v>
      </c>
      <c r="C105" s="153" t="s">
        <v>153</v>
      </c>
      <c r="D105" s="200">
        <v>90000</v>
      </c>
      <c r="E105" s="173">
        <v>249000</v>
      </c>
      <c r="F105" s="216">
        <f t="shared" si="9"/>
        <v>339000</v>
      </c>
      <c r="G105" s="261">
        <f t="shared" si="10"/>
        <v>6000</v>
      </c>
      <c r="H105" s="262">
        <v>30000</v>
      </c>
      <c r="I105" s="261">
        <f t="shared" si="11"/>
        <v>36000</v>
      </c>
      <c r="J105" s="247">
        <v>78319.087279761399</v>
      </c>
      <c r="K105" s="247">
        <v>317276.34911904577</v>
      </c>
      <c r="L105" s="194">
        <v>395595.43639880716</v>
      </c>
      <c r="M105" s="220">
        <f t="shared" si="12"/>
        <v>6000</v>
      </c>
      <c r="N105" s="220">
        <f t="shared" si="13"/>
        <v>30000</v>
      </c>
      <c r="O105" s="220">
        <f t="shared" si="14"/>
        <v>36000</v>
      </c>
      <c r="P105" s="301">
        <f t="shared" si="15"/>
        <v>5580</v>
      </c>
      <c r="Q105" s="301">
        <f t="shared" si="16"/>
        <v>27900</v>
      </c>
      <c r="R105" s="300">
        <f t="shared" si="17"/>
        <v>33480</v>
      </c>
    </row>
    <row r="106" spans="1:18" s="209" customFormat="1" x14ac:dyDescent="0.25">
      <c r="A106" s="210">
        <v>98</v>
      </c>
      <c r="B106" s="158" t="s">
        <v>412</v>
      </c>
      <c r="C106" s="153" t="s">
        <v>153</v>
      </c>
      <c r="D106" s="200">
        <v>70000</v>
      </c>
      <c r="E106" s="173">
        <v>194000</v>
      </c>
      <c r="F106" s="216">
        <f t="shared" si="9"/>
        <v>264000</v>
      </c>
      <c r="G106" s="261">
        <f t="shared" si="10"/>
        <v>46400</v>
      </c>
      <c r="H106" s="262">
        <v>232000</v>
      </c>
      <c r="I106" s="261">
        <f t="shared" si="11"/>
        <v>278400</v>
      </c>
      <c r="J106" s="247">
        <v>60607.302940547997</v>
      </c>
      <c r="K106" s="247">
        <v>246429.21176219225</v>
      </c>
      <c r="L106" s="194">
        <v>307036.51470274024</v>
      </c>
      <c r="M106" s="220">
        <f t="shared" si="12"/>
        <v>46400</v>
      </c>
      <c r="N106" s="220">
        <f t="shared" si="13"/>
        <v>194000</v>
      </c>
      <c r="O106" s="220">
        <f t="shared" si="14"/>
        <v>240400</v>
      </c>
      <c r="P106" s="301">
        <f t="shared" si="15"/>
        <v>43152</v>
      </c>
      <c r="Q106" s="301">
        <f t="shared" si="16"/>
        <v>180420</v>
      </c>
      <c r="R106" s="300">
        <f t="shared" si="17"/>
        <v>223572</v>
      </c>
    </row>
    <row r="107" spans="1:18" s="209" customFormat="1" x14ac:dyDescent="0.25">
      <c r="A107" s="210">
        <v>99</v>
      </c>
      <c r="B107" s="158" t="s">
        <v>413</v>
      </c>
      <c r="C107" s="153" t="s">
        <v>153</v>
      </c>
      <c r="D107" s="200">
        <v>48000</v>
      </c>
      <c r="E107" s="173">
        <v>146000</v>
      </c>
      <c r="F107" s="216">
        <f t="shared" si="9"/>
        <v>194000</v>
      </c>
      <c r="G107" s="261">
        <f t="shared" si="10"/>
        <v>36000</v>
      </c>
      <c r="H107" s="262">
        <v>180000</v>
      </c>
      <c r="I107" s="261">
        <f t="shared" si="11"/>
        <v>216000</v>
      </c>
      <c r="J107" s="247">
        <v>41288.959999999999</v>
      </c>
      <c r="K107" s="247">
        <v>169155.84000000003</v>
      </c>
      <c r="L107" s="194">
        <v>210444.80000000002</v>
      </c>
      <c r="M107" s="220">
        <f t="shared" si="12"/>
        <v>36000</v>
      </c>
      <c r="N107" s="220">
        <f t="shared" si="13"/>
        <v>146000</v>
      </c>
      <c r="O107" s="220">
        <f t="shared" si="14"/>
        <v>182000</v>
      </c>
      <c r="P107" s="301">
        <f t="shared" si="15"/>
        <v>33480</v>
      </c>
      <c r="Q107" s="301">
        <f t="shared" si="16"/>
        <v>135780</v>
      </c>
      <c r="R107" s="300">
        <f t="shared" si="17"/>
        <v>169260</v>
      </c>
    </row>
    <row r="108" spans="1:18" s="209" customFormat="1" x14ac:dyDescent="0.25">
      <c r="A108" s="210">
        <v>100</v>
      </c>
      <c r="B108" s="158" t="s">
        <v>414</v>
      </c>
      <c r="C108" s="153" t="s">
        <v>153</v>
      </c>
      <c r="D108" s="200">
        <v>44000</v>
      </c>
      <c r="E108" s="173">
        <v>133000</v>
      </c>
      <c r="F108" s="216">
        <f t="shared" si="9"/>
        <v>177000</v>
      </c>
      <c r="G108" s="261">
        <f t="shared" si="10"/>
        <v>32000</v>
      </c>
      <c r="H108" s="262">
        <v>160000</v>
      </c>
      <c r="I108" s="261">
        <f t="shared" si="11"/>
        <v>192000</v>
      </c>
      <c r="J108" s="247">
        <v>37497.536</v>
      </c>
      <c r="K108" s="247">
        <v>153990.14400000003</v>
      </c>
      <c r="L108" s="194">
        <v>191487.68000000002</v>
      </c>
      <c r="M108" s="220">
        <f t="shared" si="12"/>
        <v>32000</v>
      </c>
      <c r="N108" s="220">
        <f t="shared" si="13"/>
        <v>133000</v>
      </c>
      <c r="O108" s="220">
        <f t="shared" si="14"/>
        <v>165000</v>
      </c>
      <c r="P108" s="301">
        <f t="shared" si="15"/>
        <v>29760</v>
      </c>
      <c r="Q108" s="301">
        <f t="shared" si="16"/>
        <v>123690</v>
      </c>
      <c r="R108" s="300">
        <f t="shared" si="17"/>
        <v>153450</v>
      </c>
    </row>
    <row r="109" spans="1:18" s="209" customFormat="1" x14ac:dyDescent="0.25">
      <c r="A109" s="210">
        <v>101</v>
      </c>
      <c r="B109" s="158" t="s">
        <v>193</v>
      </c>
      <c r="C109" s="153" t="s">
        <v>153</v>
      </c>
      <c r="D109" s="200">
        <v>26000</v>
      </c>
      <c r="E109" s="173">
        <v>80000</v>
      </c>
      <c r="F109" s="216">
        <f t="shared" si="9"/>
        <v>106000</v>
      </c>
      <c r="G109" s="261">
        <f t="shared" si="10"/>
        <v>19000</v>
      </c>
      <c r="H109" s="262">
        <v>95000</v>
      </c>
      <c r="I109" s="261">
        <f t="shared" si="11"/>
        <v>114000</v>
      </c>
      <c r="J109" s="247">
        <v>22331.84</v>
      </c>
      <c r="K109" s="247">
        <v>93327.360000000015</v>
      </c>
      <c r="L109" s="194">
        <v>115659.20000000001</v>
      </c>
      <c r="M109" s="220">
        <f t="shared" si="12"/>
        <v>19000</v>
      </c>
      <c r="N109" s="220">
        <f t="shared" si="13"/>
        <v>80000</v>
      </c>
      <c r="O109" s="220">
        <f t="shared" si="14"/>
        <v>99000</v>
      </c>
      <c r="P109" s="301">
        <f t="shared" si="15"/>
        <v>17670</v>
      </c>
      <c r="Q109" s="301">
        <f t="shared" si="16"/>
        <v>74400</v>
      </c>
      <c r="R109" s="300">
        <f t="shared" si="17"/>
        <v>92070</v>
      </c>
    </row>
    <row r="110" spans="1:18" s="209" customFormat="1" x14ac:dyDescent="0.25">
      <c r="A110" s="210">
        <v>102</v>
      </c>
      <c r="B110" s="158" t="s">
        <v>194</v>
      </c>
      <c r="C110" s="153" t="s">
        <v>153</v>
      </c>
      <c r="D110" s="200">
        <v>44000</v>
      </c>
      <c r="E110" s="173">
        <v>135000</v>
      </c>
      <c r="F110" s="216">
        <f t="shared" si="9"/>
        <v>179000</v>
      </c>
      <c r="G110" s="261">
        <f t="shared" si="10"/>
        <v>32000</v>
      </c>
      <c r="H110" s="262">
        <v>160000</v>
      </c>
      <c r="I110" s="261">
        <f t="shared" si="11"/>
        <v>192000</v>
      </c>
      <c r="J110" s="247">
        <v>38146.8251567189</v>
      </c>
      <c r="K110" s="247">
        <v>156587.3006268758</v>
      </c>
      <c r="L110" s="194">
        <v>194734.1257835947</v>
      </c>
      <c r="M110" s="220">
        <f t="shared" si="12"/>
        <v>32000</v>
      </c>
      <c r="N110" s="220">
        <f t="shared" si="13"/>
        <v>135000</v>
      </c>
      <c r="O110" s="220">
        <f t="shared" si="14"/>
        <v>167000</v>
      </c>
      <c r="P110" s="301">
        <f t="shared" si="15"/>
        <v>29760</v>
      </c>
      <c r="Q110" s="301">
        <f t="shared" si="16"/>
        <v>125550</v>
      </c>
      <c r="R110" s="300">
        <f t="shared" si="17"/>
        <v>155310</v>
      </c>
    </row>
    <row r="111" spans="1:18" s="209" customFormat="1" x14ac:dyDescent="0.25">
      <c r="A111" s="210">
        <v>103</v>
      </c>
      <c r="B111" s="152" t="s">
        <v>196</v>
      </c>
      <c r="C111" s="153" t="s">
        <v>153</v>
      </c>
      <c r="D111" s="200">
        <v>24000</v>
      </c>
      <c r="E111" s="173">
        <v>72000</v>
      </c>
      <c r="F111" s="216">
        <f t="shared" si="9"/>
        <v>96000</v>
      </c>
      <c r="G111" s="261">
        <f t="shared" si="10"/>
        <v>18000</v>
      </c>
      <c r="H111" s="262">
        <v>90000</v>
      </c>
      <c r="I111" s="261">
        <f t="shared" si="11"/>
        <v>108000</v>
      </c>
      <c r="J111" s="247">
        <v>19854.457565649001</v>
      </c>
      <c r="K111" s="247">
        <v>83417.830262596006</v>
      </c>
      <c r="L111" s="194">
        <v>103272.28782824501</v>
      </c>
      <c r="M111" s="220">
        <f t="shared" si="12"/>
        <v>18000</v>
      </c>
      <c r="N111" s="220">
        <f t="shared" si="13"/>
        <v>72000</v>
      </c>
      <c r="O111" s="220">
        <f t="shared" si="14"/>
        <v>90000</v>
      </c>
      <c r="P111" s="301">
        <f t="shared" si="15"/>
        <v>16740</v>
      </c>
      <c r="Q111" s="301">
        <f t="shared" si="16"/>
        <v>66960</v>
      </c>
      <c r="R111" s="300">
        <f t="shared" si="17"/>
        <v>83700</v>
      </c>
    </row>
    <row r="112" spans="1:18" s="209" customFormat="1" ht="22.5" x14ac:dyDescent="0.25">
      <c r="A112" s="210"/>
      <c r="B112" s="156" t="s">
        <v>28</v>
      </c>
      <c r="C112" s="153" t="s">
        <v>153</v>
      </c>
      <c r="D112" s="200">
        <v>0</v>
      </c>
      <c r="E112" s="173">
        <v>0</v>
      </c>
      <c r="F112" s="216">
        <f t="shared" si="9"/>
        <v>0</v>
      </c>
      <c r="G112" s="261">
        <f t="shared" si="10"/>
        <v>0</v>
      </c>
      <c r="H112" s="262"/>
      <c r="I112" s="261">
        <f t="shared" si="11"/>
        <v>0</v>
      </c>
      <c r="J112" s="247">
        <v>0</v>
      </c>
      <c r="K112" s="247">
        <v>0</v>
      </c>
      <c r="L112" s="194">
        <v>0</v>
      </c>
      <c r="M112" s="220">
        <f t="shared" si="12"/>
        <v>0</v>
      </c>
      <c r="N112" s="220">
        <f t="shared" si="13"/>
        <v>0</v>
      </c>
      <c r="O112" s="220">
        <f t="shared" si="14"/>
        <v>0</v>
      </c>
      <c r="P112" s="301">
        <f t="shared" si="15"/>
        <v>0</v>
      </c>
      <c r="Q112" s="301">
        <f t="shared" si="16"/>
        <v>0</v>
      </c>
      <c r="R112" s="300">
        <f t="shared" si="17"/>
        <v>0</v>
      </c>
    </row>
    <row r="113" spans="1:18" s="209" customFormat="1" x14ac:dyDescent="0.25">
      <c r="A113" s="210">
        <v>104</v>
      </c>
      <c r="B113" s="152" t="s">
        <v>114</v>
      </c>
      <c r="C113" s="153" t="s">
        <v>153</v>
      </c>
      <c r="D113" s="200">
        <v>129000</v>
      </c>
      <c r="E113" s="173">
        <v>393000</v>
      </c>
      <c r="F113" s="216">
        <f t="shared" si="9"/>
        <v>522000</v>
      </c>
      <c r="G113" s="261">
        <f t="shared" si="10"/>
        <v>96000</v>
      </c>
      <c r="H113" s="262">
        <v>480000</v>
      </c>
      <c r="I113" s="261">
        <f t="shared" si="11"/>
        <v>576000</v>
      </c>
      <c r="J113" s="247">
        <v>113081.927940637</v>
      </c>
      <c r="K113" s="247">
        <v>456327.71176254703</v>
      </c>
      <c r="L113" s="194">
        <v>569409.63970318402</v>
      </c>
      <c r="M113" s="220">
        <f t="shared" si="12"/>
        <v>96000</v>
      </c>
      <c r="N113" s="220">
        <f t="shared" si="13"/>
        <v>393000</v>
      </c>
      <c r="O113" s="220">
        <f t="shared" si="14"/>
        <v>489000</v>
      </c>
      <c r="P113" s="301">
        <f t="shared" si="15"/>
        <v>89280</v>
      </c>
      <c r="Q113" s="301">
        <f t="shared" si="16"/>
        <v>365490</v>
      </c>
      <c r="R113" s="300">
        <f t="shared" si="17"/>
        <v>454770</v>
      </c>
    </row>
    <row r="114" spans="1:18" s="209" customFormat="1" x14ac:dyDescent="0.25">
      <c r="A114" s="210">
        <v>105</v>
      </c>
      <c r="B114" s="158" t="s">
        <v>191</v>
      </c>
      <c r="C114" s="153" t="s">
        <v>153</v>
      </c>
      <c r="D114" s="200">
        <v>40000</v>
      </c>
      <c r="E114" s="173">
        <v>121000</v>
      </c>
      <c r="F114" s="216">
        <f t="shared" si="9"/>
        <v>161000</v>
      </c>
      <c r="G114" s="261">
        <f t="shared" si="10"/>
        <v>4000</v>
      </c>
      <c r="H114" s="262">
        <v>20000</v>
      </c>
      <c r="I114" s="261">
        <f t="shared" si="11"/>
        <v>24000</v>
      </c>
      <c r="J114" s="247">
        <v>33997.760000000002</v>
      </c>
      <c r="K114" s="247">
        <v>139991.04000000001</v>
      </c>
      <c r="L114" s="194">
        <v>173988.80000000002</v>
      </c>
      <c r="M114" s="220">
        <f t="shared" si="12"/>
        <v>4000</v>
      </c>
      <c r="N114" s="220">
        <f t="shared" si="13"/>
        <v>20000</v>
      </c>
      <c r="O114" s="220">
        <f t="shared" si="14"/>
        <v>24000</v>
      </c>
      <c r="P114" s="301">
        <f t="shared" si="15"/>
        <v>3720</v>
      </c>
      <c r="Q114" s="301">
        <f t="shared" si="16"/>
        <v>18600</v>
      </c>
      <c r="R114" s="300">
        <f t="shared" si="17"/>
        <v>22320</v>
      </c>
    </row>
    <row r="115" spans="1:18" s="209" customFormat="1" x14ac:dyDescent="0.25">
      <c r="A115" s="210">
        <v>106</v>
      </c>
      <c r="B115" s="158" t="s">
        <v>115</v>
      </c>
      <c r="C115" s="153" t="s">
        <v>153</v>
      </c>
      <c r="D115" s="200">
        <v>92000</v>
      </c>
      <c r="E115" s="173">
        <v>257000</v>
      </c>
      <c r="F115" s="216">
        <f t="shared" si="9"/>
        <v>349000</v>
      </c>
      <c r="G115" s="261">
        <f t="shared" si="10"/>
        <v>62000</v>
      </c>
      <c r="H115" s="262">
        <v>310000</v>
      </c>
      <c r="I115" s="261">
        <f t="shared" si="11"/>
        <v>372000</v>
      </c>
      <c r="J115" s="247">
        <v>80691.419841961397</v>
      </c>
      <c r="K115" s="247">
        <v>326765.67936784588</v>
      </c>
      <c r="L115" s="194">
        <v>407457.09920980729</v>
      </c>
      <c r="M115" s="220">
        <f t="shared" si="12"/>
        <v>62000</v>
      </c>
      <c r="N115" s="220">
        <f t="shared" si="13"/>
        <v>257000</v>
      </c>
      <c r="O115" s="220">
        <f t="shared" si="14"/>
        <v>319000</v>
      </c>
      <c r="P115" s="301">
        <f t="shared" si="15"/>
        <v>57660</v>
      </c>
      <c r="Q115" s="301">
        <f t="shared" si="16"/>
        <v>239010</v>
      </c>
      <c r="R115" s="300">
        <f t="shared" si="17"/>
        <v>296670</v>
      </c>
    </row>
    <row r="116" spans="1:18" s="209" customFormat="1" x14ac:dyDescent="0.25">
      <c r="A116" s="210">
        <v>107</v>
      </c>
      <c r="B116" s="158" t="s">
        <v>116</v>
      </c>
      <c r="C116" s="153" t="s">
        <v>153</v>
      </c>
      <c r="D116" s="200">
        <v>80000</v>
      </c>
      <c r="E116" s="173">
        <v>223000</v>
      </c>
      <c r="F116" s="216">
        <f t="shared" si="9"/>
        <v>303000</v>
      </c>
      <c r="G116" s="261">
        <f t="shared" si="10"/>
        <v>54000</v>
      </c>
      <c r="H116" s="262">
        <v>270000</v>
      </c>
      <c r="I116" s="261">
        <f t="shared" si="11"/>
        <v>324000</v>
      </c>
      <c r="J116" s="247">
        <v>70055.079469878197</v>
      </c>
      <c r="K116" s="247">
        <v>284220.31787951267</v>
      </c>
      <c r="L116" s="194">
        <v>354275.3973493909</v>
      </c>
      <c r="M116" s="220">
        <f t="shared" si="12"/>
        <v>54000</v>
      </c>
      <c r="N116" s="220">
        <f t="shared" si="13"/>
        <v>223000</v>
      </c>
      <c r="O116" s="220">
        <f t="shared" si="14"/>
        <v>277000</v>
      </c>
      <c r="P116" s="301">
        <f t="shared" si="15"/>
        <v>50220</v>
      </c>
      <c r="Q116" s="301">
        <f t="shared" si="16"/>
        <v>207390</v>
      </c>
      <c r="R116" s="300">
        <f t="shared" si="17"/>
        <v>257610</v>
      </c>
    </row>
    <row r="117" spans="1:18" s="209" customFormat="1" x14ac:dyDescent="0.25">
      <c r="A117" s="210">
        <v>108</v>
      </c>
      <c r="B117" s="158" t="s">
        <v>192</v>
      </c>
      <c r="C117" s="153" t="s">
        <v>153</v>
      </c>
      <c r="D117" s="200">
        <v>86000</v>
      </c>
      <c r="E117" s="173">
        <v>239000</v>
      </c>
      <c r="F117" s="216">
        <f t="shared" si="9"/>
        <v>325000</v>
      </c>
      <c r="G117" s="261">
        <f t="shared" si="10"/>
        <v>58000</v>
      </c>
      <c r="H117" s="262">
        <v>290000</v>
      </c>
      <c r="I117" s="261">
        <f t="shared" si="11"/>
        <v>348000</v>
      </c>
      <c r="J117" s="247">
        <v>75077.060656084694</v>
      </c>
      <c r="K117" s="247">
        <v>304308.24262433912</v>
      </c>
      <c r="L117" s="194">
        <v>379385.3032804238</v>
      </c>
      <c r="M117" s="220">
        <f t="shared" si="12"/>
        <v>58000</v>
      </c>
      <c r="N117" s="220">
        <f t="shared" si="13"/>
        <v>239000</v>
      </c>
      <c r="O117" s="220">
        <f t="shared" si="14"/>
        <v>297000</v>
      </c>
      <c r="P117" s="301">
        <f t="shared" si="15"/>
        <v>53940</v>
      </c>
      <c r="Q117" s="301">
        <f t="shared" si="16"/>
        <v>222270</v>
      </c>
      <c r="R117" s="300">
        <f t="shared" si="17"/>
        <v>276210</v>
      </c>
    </row>
    <row r="118" spans="1:18" s="209" customFormat="1" x14ac:dyDescent="0.25">
      <c r="A118" s="210">
        <v>109</v>
      </c>
      <c r="B118" s="158" t="s">
        <v>195</v>
      </c>
      <c r="C118" s="153" t="s">
        <v>153</v>
      </c>
      <c r="D118" s="200">
        <v>26000</v>
      </c>
      <c r="E118" s="173">
        <v>79000</v>
      </c>
      <c r="F118" s="216">
        <f t="shared" si="9"/>
        <v>105000</v>
      </c>
      <c r="G118" s="261">
        <f t="shared" si="10"/>
        <v>19000</v>
      </c>
      <c r="H118" s="262">
        <v>95000</v>
      </c>
      <c r="I118" s="261">
        <f t="shared" si="11"/>
        <v>114000</v>
      </c>
      <c r="J118" s="247">
        <v>22049.663625190999</v>
      </c>
      <c r="K118" s="247">
        <v>92198.654500764009</v>
      </c>
      <c r="L118" s="194">
        <v>114248.318125955</v>
      </c>
      <c r="M118" s="220">
        <f t="shared" si="12"/>
        <v>19000</v>
      </c>
      <c r="N118" s="220">
        <f t="shared" si="13"/>
        <v>79000</v>
      </c>
      <c r="O118" s="220">
        <f t="shared" si="14"/>
        <v>98000</v>
      </c>
      <c r="P118" s="301">
        <f t="shared" si="15"/>
        <v>17670</v>
      </c>
      <c r="Q118" s="301">
        <f t="shared" si="16"/>
        <v>73470</v>
      </c>
      <c r="R118" s="300">
        <f t="shared" si="17"/>
        <v>91140</v>
      </c>
    </row>
    <row r="119" spans="1:18" s="209" customFormat="1" x14ac:dyDescent="0.25">
      <c r="A119" s="210">
        <v>110</v>
      </c>
      <c r="B119" s="158" t="s">
        <v>193</v>
      </c>
      <c r="C119" s="153" t="s">
        <v>153</v>
      </c>
      <c r="D119" s="200">
        <v>38000</v>
      </c>
      <c r="E119" s="173">
        <v>107000</v>
      </c>
      <c r="F119" s="216">
        <f t="shared" si="9"/>
        <v>145000</v>
      </c>
      <c r="G119" s="261">
        <f t="shared" si="10"/>
        <v>26000</v>
      </c>
      <c r="H119" s="262">
        <v>130000</v>
      </c>
      <c r="I119" s="261">
        <f t="shared" si="11"/>
        <v>156000</v>
      </c>
      <c r="J119" s="247">
        <v>32900.408670123601</v>
      </c>
      <c r="K119" s="247">
        <v>135601.63468049446</v>
      </c>
      <c r="L119" s="194">
        <v>168502.04335061807</v>
      </c>
      <c r="M119" s="220">
        <f t="shared" si="12"/>
        <v>26000</v>
      </c>
      <c r="N119" s="220">
        <f t="shared" si="13"/>
        <v>107000</v>
      </c>
      <c r="O119" s="220">
        <f t="shared" si="14"/>
        <v>133000</v>
      </c>
      <c r="P119" s="301">
        <f t="shared" si="15"/>
        <v>24180</v>
      </c>
      <c r="Q119" s="301">
        <f t="shared" si="16"/>
        <v>99510</v>
      </c>
      <c r="R119" s="300">
        <f t="shared" si="17"/>
        <v>123690</v>
      </c>
    </row>
    <row r="120" spans="1:18" s="209" customFormat="1" x14ac:dyDescent="0.25">
      <c r="A120" s="210">
        <v>111</v>
      </c>
      <c r="B120" s="158" t="s">
        <v>194</v>
      </c>
      <c r="C120" s="153" t="s">
        <v>153</v>
      </c>
      <c r="D120" s="200">
        <v>37000</v>
      </c>
      <c r="E120" s="173">
        <v>102000</v>
      </c>
      <c r="F120" s="216">
        <f t="shared" si="9"/>
        <v>139000</v>
      </c>
      <c r="G120" s="261">
        <f t="shared" si="10"/>
        <v>26000</v>
      </c>
      <c r="H120" s="262">
        <v>130000</v>
      </c>
      <c r="I120" s="261">
        <f t="shared" si="11"/>
        <v>156000</v>
      </c>
      <c r="J120" s="247">
        <v>31373.915706197098</v>
      </c>
      <c r="K120" s="247">
        <v>129495.66282478851</v>
      </c>
      <c r="L120" s="194">
        <v>160869.5785309856</v>
      </c>
      <c r="M120" s="220">
        <f t="shared" si="12"/>
        <v>26000</v>
      </c>
      <c r="N120" s="220">
        <f t="shared" si="13"/>
        <v>102000</v>
      </c>
      <c r="O120" s="220">
        <f t="shared" si="14"/>
        <v>128000</v>
      </c>
      <c r="P120" s="301">
        <f t="shared" si="15"/>
        <v>24180</v>
      </c>
      <c r="Q120" s="301">
        <f t="shared" si="16"/>
        <v>94860</v>
      </c>
      <c r="R120" s="300">
        <f t="shared" si="17"/>
        <v>119040</v>
      </c>
    </row>
    <row r="121" spans="1:18" s="209" customFormat="1" x14ac:dyDescent="0.25">
      <c r="A121" s="210">
        <v>112</v>
      </c>
      <c r="B121" s="152" t="s">
        <v>196</v>
      </c>
      <c r="C121" s="153" t="s">
        <v>153</v>
      </c>
      <c r="D121" s="200">
        <v>17000</v>
      </c>
      <c r="E121" s="173">
        <v>51000</v>
      </c>
      <c r="F121" s="216">
        <f t="shared" si="9"/>
        <v>68000</v>
      </c>
      <c r="G121" s="261">
        <f t="shared" si="10"/>
        <v>12000</v>
      </c>
      <c r="H121" s="262">
        <v>60000</v>
      </c>
      <c r="I121" s="261">
        <f t="shared" si="11"/>
        <v>72000</v>
      </c>
      <c r="J121" s="247">
        <v>13709.264173039101</v>
      </c>
      <c r="K121" s="247">
        <v>58837.056692156468</v>
      </c>
      <c r="L121" s="194">
        <v>72546.320865195565</v>
      </c>
      <c r="M121" s="220">
        <f t="shared" si="12"/>
        <v>12000</v>
      </c>
      <c r="N121" s="220">
        <f t="shared" si="13"/>
        <v>51000</v>
      </c>
      <c r="O121" s="220">
        <f t="shared" si="14"/>
        <v>63000</v>
      </c>
      <c r="P121" s="301">
        <f t="shared" si="15"/>
        <v>11160</v>
      </c>
      <c r="Q121" s="301">
        <f t="shared" si="16"/>
        <v>47430</v>
      </c>
      <c r="R121" s="300">
        <f t="shared" si="17"/>
        <v>58590</v>
      </c>
    </row>
    <row r="122" spans="1:18" s="209" customFormat="1" x14ac:dyDescent="0.25">
      <c r="A122" s="210">
        <v>113</v>
      </c>
      <c r="B122" s="152" t="s">
        <v>197</v>
      </c>
      <c r="C122" s="153" t="s">
        <v>153</v>
      </c>
      <c r="D122" s="200">
        <v>77000</v>
      </c>
      <c r="E122" s="173">
        <v>808000</v>
      </c>
      <c r="F122" s="216">
        <f t="shared" si="9"/>
        <v>885000</v>
      </c>
      <c r="G122" s="261">
        <f t="shared" si="10"/>
        <v>160000</v>
      </c>
      <c r="H122" s="262">
        <v>800000</v>
      </c>
      <c r="I122" s="261">
        <f t="shared" si="11"/>
        <v>960000</v>
      </c>
      <c r="J122" s="247">
        <v>256107.719213873</v>
      </c>
      <c r="K122" s="247">
        <v>1028430.8768554904</v>
      </c>
      <c r="L122" s="194">
        <v>1284538.5960693634</v>
      </c>
      <c r="M122" s="220">
        <f t="shared" si="12"/>
        <v>77000</v>
      </c>
      <c r="N122" s="220">
        <f t="shared" si="13"/>
        <v>800000</v>
      </c>
      <c r="O122" s="220">
        <f t="shared" si="14"/>
        <v>877000</v>
      </c>
      <c r="P122" s="301">
        <f t="shared" si="15"/>
        <v>71610</v>
      </c>
      <c r="Q122" s="301">
        <f t="shared" si="16"/>
        <v>744000</v>
      </c>
      <c r="R122" s="300">
        <f t="shared" si="17"/>
        <v>815610</v>
      </c>
    </row>
    <row r="123" spans="1:18" s="209" customFormat="1" x14ac:dyDescent="0.25">
      <c r="A123" s="210">
        <v>114</v>
      </c>
      <c r="B123" s="152" t="s">
        <v>198</v>
      </c>
      <c r="C123" s="153" t="s">
        <v>153</v>
      </c>
      <c r="D123" s="200">
        <v>59000</v>
      </c>
      <c r="E123" s="173">
        <v>180000</v>
      </c>
      <c r="F123" s="216">
        <f t="shared" si="9"/>
        <v>239000</v>
      </c>
      <c r="G123" s="261">
        <f t="shared" si="10"/>
        <v>46000</v>
      </c>
      <c r="H123" s="262">
        <v>230000</v>
      </c>
      <c r="I123" s="261">
        <f t="shared" si="11"/>
        <v>276000</v>
      </c>
      <c r="J123" s="247">
        <v>51198.462559292901</v>
      </c>
      <c r="K123" s="247">
        <v>208793.85023717175</v>
      </c>
      <c r="L123" s="194">
        <v>259992.31279646466</v>
      </c>
      <c r="M123" s="220">
        <f t="shared" si="12"/>
        <v>46000</v>
      </c>
      <c r="N123" s="220">
        <f t="shared" si="13"/>
        <v>180000</v>
      </c>
      <c r="O123" s="220">
        <f t="shared" si="14"/>
        <v>226000</v>
      </c>
      <c r="P123" s="301">
        <f t="shared" si="15"/>
        <v>42780</v>
      </c>
      <c r="Q123" s="301">
        <f t="shared" si="16"/>
        <v>167400</v>
      </c>
      <c r="R123" s="300">
        <f t="shared" si="17"/>
        <v>210180</v>
      </c>
    </row>
    <row r="124" spans="1:18" s="209" customFormat="1" ht="22.5" x14ac:dyDescent="0.25">
      <c r="A124" s="210"/>
      <c r="B124" s="156" t="s">
        <v>35</v>
      </c>
      <c r="C124" s="153" t="s">
        <v>153</v>
      </c>
      <c r="D124" s="200">
        <v>0</v>
      </c>
      <c r="E124" s="173">
        <v>0</v>
      </c>
      <c r="F124" s="216">
        <f t="shared" si="9"/>
        <v>0</v>
      </c>
      <c r="G124" s="261">
        <f t="shared" si="10"/>
        <v>0</v>
      </c>
      <c r="H124" s="262"/>
      <c r="I124" s="261">
        <f t="shared" si="11"/>
        <v>0</v>
      </c>
      <c r="J124" s="247">
        <v>0</v>
      </c>
      <c r="K124" s="247">
        <v>0</v>
      </c>
      <c r="L124" s="194">
        <v>0</v>
      </c>
      <c r="M124" s="220">
        <f t="shared" si="12"/>
        <v>0</v>
      </c>
      <c r="N124" s="220">
        <f t="shared" si="13"/>
        <v>0</v>
      </c>
      <c r="O124" s="220">
        <f t="shared" si="14"/>
        <v>0</v>
      </c>
      <c r="P124" s="301">
        <f t="shared" si="15"/>
        <v>0</v>
      </c>
      <c r="Q124" s="301">
        <f t="shared" si="16"/>
        <v>0</v>
      </c>
      <c r="R124" s="300">
        <f t="shared" si="17"/>
        <v>0</v>
      </c>
    </row>
    <row r="125" spans="1:18" s="209" customFormat="1" x14ac:dyDescent="0.25">
      <c r="A125" s="210">
        <v>115</v>
      </c>
      <c r="B125" s="160" t="s">
        <v>30</v>
      </c>
      <c r="C125" s="153" t="s">
        <v>153</v>
      </c>
      <c r="D125" s="200">
        <v>17000</v>
      </c>
      <c r="E125" s="173">
        <v>52000</v>
      </c>
      <c r="F125" s="216">
        <f t="shared" si="9"/>
        <v>69000</v>
      </c>
      <c r="G125" s="261">
        <f t="shared" si="10"/>
        <v>12000</v>
      </c>
      <c r="H125" s="262">
        <v>60000</v>
      </c>
      <c r="I125" s="261">
        <f t="shared" si="11"/>
        <v>72000</v>
      </c>
      <c r="J125" s="247">
        <v>13957.103839470001</v>
      </c>
      <c r="K125" s="247">
        <v>59828.415357880018</v>
      </c>
      <c r="L125" s="194">
        <v>73785.519197350019</v>
      </c>
      <c r="M125" s="220">
        <f t="shared" si="12"/>
        <v>12000</v>
      </c>
      <c r="N125" s="220">
        <f t="shared" si="13"/>
        <v>52000</v>
      </c>
      <c r="O125" s="220">
        <f t="shared" si="14"/>
        <v>64000</v>
      </c>
      <c r="P125" s="301">
        <f t="shared" si="15"/>
        <v>11160</v>
      </c>
      <c r="Q125" s="301">
        <f t="shared" si="16"/>
        <v>48360</v>
      </c>
      <c r="R125" s="300">
        <f t="shared" si="17"/>
        <v>59520</v>
      </c>
    </row>
    <row r="126" spans="1:18" s="209" customFormat="1" x14ac:dyDescent="0.25">
      <c r="A126" s="210">
        <v>116</v>
      </c>
      <c r="B126" s="158" t="s">
        <v>81</v>
      </c>
      <c r="C126" s="153" t="s">
        <v>153</v>
      </c>
      <c r="D126" s="200">
        <v>118000</v>
      </c>
      <c r="E126" s="173">
        <v>327000</v>
      </c>
      <c r="F126" s="216">
        <f t="shared" si="9"/>
        <v>445000</v>
      </c>
      <c r="G126" s="261">
        <f t="shared" si="10"/>
        <v>80000</v>
      </c>
      <c r="H126" s="262">
        <v>400000</v>
      </c>
      <c r="I126" s="261">
        <f t="shared" si="11"/>
        <v>480000</v>
      </c>
      <c r="J126" s="247">
        <v>103118.830552839</v>
      </c>
      <c r="K126" s="247">
        <v>416475.32221135538</v>
      </c>
      <c r="L126" s="194">
        <v>519594.15276419441</v>
      </c>
      <c r="M126" s="220">
        <f t="shared" si="12"/>
        <v>80000</v>
      </c>
      <c r="N126" s="220">
        <f t="shared" si="13"/>
        <v>327000</v>
      </c>
      <c r="O126" s="220">
        <f t="shared" si="14"/>
        <v>407000</v>
      </c>
      <c r="P126" s="301">
        <f t="shared" si="15"/>
        <v>74400</v>
      </c>
      <c r="Q126" s="301">
        <f t="shared" si="16"/>
        <v>304110</v>
      </c>
      <c r="R126" s="300">
        <f t="shared" si="17"/>
        <v>378510</v>
      </c>
    </row>
    <row r="127" spans="1:18" s="209" customFormat="1" x14ac:dyDescent="0.25">
      <c r="A127" s="210">
        <v>117</v>
      </c>
      <c r="B127" s="158" t="s">
        <v>141</v>
      </c>
      <c r="C127" s="153" t="s">
        <v>153</v>
      </c>
      <c r="D127" s="200">
        <v>101000</v>
      </c>
      <c r="E127" s="173">
        <v>281000</v>
      </c>
      <c r="F127" s="216">
        <f t="shared" si="9"/>
        <v>382000</v>
      </c>
      <c r="G127" s="261">
        <f t="shared" si="10"/>
        <v>70000</v>
      </c>
      <c r="H127" s="262">
        <v>350000</v>
      </c>
      <c r="I127" s="261">
        <f t="shared" si="11"/>
        <v>420000</v>
      </c>
      <c r="J127" s="247">
        <v>88342.937295427299</v>
      </c>
      <c r="K127" s="247">
        <v>357371.74918170902</v>
      </c>
      <c r="L127" s="194">
        <v>445714.68647713633</v>
      </c>
      <c r="M127" s="220">
        <f t="shared" si="12"/>
        <v>70000</v>
      </c>
      <c r="N127" s="220">
        <f t="shared" si="13"/>
        <v>281000</v>
      </c>
      <c r="O127" s="220">
        <f t="shared" si="14"/>
        <v>351000</v>
      </c>
      <c r="P127" s="301">
        <f t="shared" si="15"/>
        <v>65100</v>
      </c>
      <c r="Q127" s="301">
        <f t="shared" si="16"/>
        <v>261330</v>
      </c>
      <c r="R127" s="300">
        <f t="shared" si="17"/>
        <v>326430</v>
      </c>
    </row>
    <row r="128" spans="1:18" s="209" customFormat="1" x14ac:dyDescent="0.25">
      <c r="A128" s="210">
        <v>118</v>
      </c>
      <c r="B128" s="158" t="s">
        <v>143</v>
      </c>
      <c r="C128" s="153" t="s">
        <v>153</v>
      </c>
      <c r="D128" s="200">
        <v>134000</v>
      </c>
      <c r="E128" s="173">
        <v>371000</v>
      </c>
      <c r="F128" s="216">
        <f t="shared" si="9"/>
        <v>505000</v>
      </c>
      <c r="G128" s="261">
        <f t="shared" si="10"/>
        <v>92000</v>
      </c>
      <c r="H128" s="262">
        <v>460000</v>
      </c>
      <c r="I128" s="261">
        <f t="shared" si="11"/>
        <v>552000</v>
      </c>
      <c r="J128" s="247">
        <v>117191.580730683</v>
      </c>
      <c r="K128" s="247">
        <v>472766.32292273338</v>
      </c>
      <c r="L128" s="194">
        <v>589957.90365341632</v>
      </c>
      <c r="M128" s="220">
        <f t="shared" si="12"/>
        <v>92000</v>
      </c>
      <c r="N128" s="220">
        <f t="shared" si="13"/>
        <v>371000</v>
      </c>
      <c r="O128" s="220">
        <f t="shared" si="14"/>
        <v>463000</v>
      </c>
      <c r="P128" s="301">
        <f t="shared" si="15"/>
        <v>85560</v>
      </c>
      <c r="Q128" s="301">
        <f t="shared" si="16"/>
        <v>345030</v>
      </c>
      <c r="R128" s="300">
        <f t="shared" si="17"/>
        <v>430590</v>
      </c>
    </row>
    <row r="129" spans="1:18" s="209" customFormat="1" x14ac:dyDescent="0.25">
      <c r="A129" s="210">
        <v>119</v>
      </c>
      <c r="B129" s="152" t="s">
        <v>142</v>
      </c>
      <c r="C129" s="153" t="s">
        <v>153</v>
      </c>
      <c r="D129" s="200">
        <v>134000</v>
      </c>
      <c r="E129" s="173">
        <v>371000</v>
      </c>
      <c r="F129" s="216">
        <f t="shared" si="9"/>
        <v>505000</v>
      </c>
      <c r="G129" s="261">
        <f t="shared" si="10"/>
        <v>92000</v>
      </c>
      <c r="H129" s="262">
        <v>460000</v>
      </c>
      <c r="I129" s="261">
        <f t="shared" si="11"/>
        <v>552000</v>
      </c>
      <c r="J129" s="247">
        <v>117191.580730683</v>
      </c>
      <c r="K129" s="247">
        <v>472766.32292273338</v>
      </c>
      <c r="L129" s="194">
        <v>589957.90365341632</v>
      </c>
      <c r="M129" s="220">
        <f t="shared" si="12"/>
        <v>92000</v>
      </c>
      <c r="N129" s="220">
        <f t="shared" si="13"/>
        <v>371000</v>
      </c>
      <c r="O129" s="220">
        <f t="shared" si="14"/>
        <v>463000</v>
      </c>
      <c r="P129" s="301">
        <f t="shared" si="15"/>
        <v>85560</v>
      </c>
      <c r="Q129" s="301">
        <f t="shared" si="16"/>
        <v>345030</v>
      </c>
      <c r="R129" s="300">
        <f t="shared" si="17"/>
        <v>430590</v>
      </c>
    </row>
    <row r="130" spans="1:18" s="209" customFormat="1" x14ac:dyDescent="0.25">
      <c r="A130" s="210">
        <v>120</v>
      </c>
      <c r="B130" s="160" t="s">
        <v>200</v>
      </c>
      <c r="C130" s="153" t="s">
        <v>153</v>
      </c>
      <c r="D130" s="200">
        <v>27000</v>
      </c>
      <c r="E130" s="173">
        <v>82000</v>
      </c>
      <c r="F130" s="216">
        <f t="shared" si="9"/>
        <v>109000</v>
      </c>
      <c r="G130" s="261">
        <f t="shared" si="10"/>
        <v>20000</v>
      </c>
      <c r="H130" s="262">
        <v>100000</v>
      </c>
      <c r="I130" s="261">
        <f t="shared" si="11"/>
        <v>120000</v>
      </c>
      <c r="J130" s="247">
        <v>22800.737419363501</v>
      </c>
      <c r="K130" s="247">
        <v>95202.949677454177</v>
      </c>
      <c r="L130" s="194">
        <v>118003.68709681768</v>
      </c>
      <c r="M130" s="220">
        <f t="shared" si="12"/>
        <v>20000</v>
      </c>
      <c r="N130" s="220">
        <f t="shared" si="13"/>
        <v>82000</v>
      </c>
      <c r="O130" s="220">
        <f t="shared" si="14"/>
        <v>102000</v>
      </c>
      <c r="P130" s="301">
        <f t="shared" si="15"/>
        <v>18600</v>
      </c>
      <c r="Q130" s="301">
        <f t="shared" si="16"/>
        <v>76260</v>
      </c>
      <c r="R130" s="300">
        <f t="shared" si="17"/>
        <v>94860</v>
      </c>
    </row>
    <row r="131" spans="1:18" s="209" customFormat="1" x14ac:dyDescent="0.25">
      <c r="A131" s="210">
        <v>121</v>
      </c>
      <c r="B131" s="152" t="s">
        <v>415</v>
      </c>
      <c r="C131" s="153" t="s">
        <v>153</v>
      </c>
      <c r="D131" s="200">
        <v>266000</v>
      </c>
      <c r="E131" s="173">
        <v>1302000</v>
      </c>
      <c r="F131" s="216">
        <f t="shared" si="9"/>
        <v>1568000</v>
      </c>
      <c r="G131" s="261">
        <f t="shared" si="10"/>
        <v>280000</v>
      </c>
      <c r="H131" s="262">
        <v>1400000</v>
      </c>
      <c r="I131" s="261">
        <f t="shared" si="11"/>
        <v>1680000</v>
      </c>
      <c r="J131" s="247">
        <v>376582.08319999999</v>
      </c>
      <c r="K131" s="247">
        <v>1510328.3328000002</v>
      </c>
      <c r="L131" s="194">
        <v>1886910.4160000002</v>
      </c>
      <c r="M131" s="220">
        <f t="shared" si="12"/>
        <v>266000</v>
      </c>
      <c r="N131" s="220">
        <f t="shared" si="13"/>
        <v>1302000</v>
      </c>
      <c r="O131" s="220">
        <f t="shared" si="14"/>
        <v>1568000</v>
      </c>
      <c r="P131" s="301">
        <f t="shared" si="15"/>
        <v>247380</v>
      </c>
      <c r="Q131" s="301">
        <f t="shared" si="16"/>
        <v>1210860</v>
      </c>
      <c r="R131" s="300">
        <f t="shared" si="17"/>
        <v>1458240</v>
      </c>
    </row>
    <row r="132" spans="1:18" s="209" customFormat="1" x14ac:dyDescent="0.25">
      <c r="A132" s="210">
        <v>122</v>
      </c>
      <c r="B132" s="158" t="s">
        <v>201</v>
      </c>
      <c r="C132" s="153" t="s">
        <v>153</v>
      </c>
      <c r="D132" s="200">
        <v>216000</v>
      </c>
      <c r="E132" s="173">
        <v>660000</v>
      </c>
      <c r="F132" s="216">
        <f t="shared" si="9"/>
        <v>876000</v>
      </c>
      <c r="G132" s="261">
        <f t="shared" si="10"/>
        <v>160000</v>
      </c>
      <c r="H132" s="262">
        <v>800000</v>
      </c>
      <c r="I132" s="261">
        <f t="shared" si="11"/>
        <v>960000</v>
      </c>
      <c r="J132" s="247">
        <v>190450.75121710901</v>
      </c>
      <c r="K132" s="247">
        <v>765803.0048684373</v>
      </c>
      <c r="L132" s="194">
        <v>956253.75608554634</v>
      </c>
      <c r="M132" s="220">
        <f t="shared" si="12"/>
        <v>160000</v>
      </c>
      <c r="N132" s="220">
        <f t="shared" si="13"/>
        <v>660000</v>
      </c>
      <c r="O132" s="220">
        <f t="shared" si="14"/>
        <v>820000</v>
      </c>
      <c r="P132" s="301">
        <f t="shared" si="15"/>
        <v>148800</v>
      </c>
      <c r="Q132" s="301">
        <f t="shared" si="16"/>
        <v>613800</v>
      </c>
      <c r="R132" s="300">
        <f t="shared" si="17"/>
        <v>762600</v>
      </c>
    </row>
    <row r="133" spans="1:18" s="209" customFormat="1" x14ac:dyDescent="0.25">
      <c r="A133" s="210">
        <v>123</v>
      </c>
      <c r="B133" s="152" t="s">
        <v>467</v>
      </c>
      <c r="C133" s="153" t="s">
        <v>153</v>
      </c>
      <c r="D133" s="200">
        <v>77000</v>
      </c>
      <c r="E133" s="173">
        <v>213000</v>
      </c>
      <c r="F133" s="216">
        <f t="shared" ref="F133:F196" si="18">(D133+E133)</f>
        <v>290000</v>
      </c>
      <c r="G133" s="261">
        <f t="shared" ref="G133:G196" si="19">+H133*20%</f>
        <v>52000</v>
      </c>
      <c r="H133" s="262">
        <v>260000</v>
      </c>
      <c r="I133" s="261">
        <f t="shared" ref="I133:I196" si="20">+H133+G133</f>
        <v>312000</v>
      </c>
      <c r="J133" s="247">
        <v>66704.028600444697</v>
      </c>
      <c r="K133" s="247">
        <v>270816.11440177896</v>
      </c>
      <c r="L133" s="194">
        <v>337520.14300222369</v>
      </c>
      <c r="M133" s="220">
        <f t="shared" ref="M133:M196" si="21">MIN(D133,J133,G133)</f>
        <v>52000</v>
      </c>
      <c r="N133" s="220">
        <f t="shared" ref="N133:N196" si="22">MIN(E133,K133,H133)</f>
        <v>213000</v>
      </c>
      <c r="O133" s="220">
        <f t="shared" ref="O133:O196" si="23">M133+N133</f>
        <v>265000</v>
      </c>
      <c r="P133" s="301">
        <f t="shared" ref="P133:P196" si="24">M133-(M133*7%)</f>
        <v>48360</v>
      </c>
      <c r="Q133" s="301">
        <f t="shared" ref="Q133:Q196" si="25">N133-(N133*7%)</f>
        <v>198090</v>
      </c>
      <c r="R133" s="300">
        <f t="shared" ref="R133:R196" si="26">Q133+P133</f>
        <v>246450</v>
      </c>
    </row>
    <row r="134" spans="1:18" s="209" customFormat="1" x14ac:dyDescent="0.25">
      <c r="A134" s="210">
        <v>124</v>
      </c>
      <c r="B134" s="160" t="s">
        <v>468</v>
      </c>
      <c r="C134" s="153" t="s">
        <v>153</v>
      </c>
      <c r="D134" s="200">
        <v>46000</v>
      </c>
      <c r="E134" s="173">
        <v>141000</v>
      </c>
      <c r="F134" s="216">
        <f t="shared" si="18"/>
        <v>187000</v>
      </c>
      <c r="G134" s="261">
        <f t="shared" si="19"/>
        <v>32000</v>
      </c>
      <c r="H134" s="262">
        <v>160000</v>
      </c>
      <c r="I134" s="261">
        <f t="shared" si="20"/>
        <v>192000</v>
      </c>
      <c r="J134" s="247">
        <v>39830.720000000001</v>
      </c>
      <c r="K134" s="247">
        <v>163322.88</v>
      </c>
      <c r="L134" s="194">
        <v>203153.6</v>
      </c>
      <c r="M134" s="220">
        <f t="shared" si="21"/>
        <v>32000</v>
      </c>
      <c r="N134" s="220">
        <f t="shared" si="22"/>
        <v>141000</v>
      </c>
      <c r="O134" s="220">
        <f t="shared" si="23"/>
        <v>173000</v>
      </c>
      <c r="P134" s="301">
        <f t="shared" si="24"/>
        <v>29760</v>
      </c>
      <c r="Q134" s="301">
        <f t="shared" si="25"/>
        <v>131130</v>
      </c>
      <c r="R134" s="300">
        <f t="shared" si="26"/>
        <v>160890</v>
      </c>
    </row>
    <row r="135" spans="1:18" s="209" customFormat="1" x14ac:dyDescent="0.25">
      <c r="A135" s="210">
        <v>125</v>
      </c>
      <c r="B135" s="160" t="s">
        <v>465</v>
      </c>
      <c r="C135" s="153" t="s">
        <v>153</v>
      </c>
      <c r="D135" s="200">
        <v>33000</v>
      </c>
      <c r="E135" s="173">
        <v>101000</v>
      </c>
      <c r="F135" s="216">
        <f t="shared" si="18"/>
        <v>134000</v>
      </c>
      <c r="G135" s="261">
        <f t="shared" si="19"/>
        <v>24000</v>
      </c>
      <c r="H135" s="262">
        <v>120000</v>
      </c>
      <c r="I135" s="261">
        <f t="shared" si="20"/>
        <v>144000</v>
      </c>
      <c r="J135" s="247">
        <v>28164.799999999999</v>
      </c>
      <c r="K135" s="247">
        <v>116659.20000000001</v>
      </c>
      <c r="L135" s="194">
        <v>144824</v>
      </c>
      <c r="M135" s="220">
        <f t="shared" si="21"/>
        <v>24000</v>
      </c>
      <c r="N135" s="220">
        <f t="shared" si="22"/>
        <v>101000</v>
      </c>
      <c r="O135" s="220">
        <f t="shared" si="23"/>
        <v>125000</v>
      </c>
      <c r="P135" s="301">
        <f t="shared" si="24"/>
        <v>22320</v>
      </c>
      <c r="Q135" s="301">
        <f t="shared" si="25"/>
        <v>93930</v>
      </c>
      <c r="R135" s="300">
        <f t="shared" si="26"/>
        <v>116250</v>
      </c>
    </row>
    <row r="136" spans="1:18" s="209" customFormat="1" x14ac:dyDescent="0.25">
      <c r="A136" s="210">
        <v>126</v>
      </c>
      <c r="B136" s="152" t="s">
        <v>418</v>
      </c>
      <c r="C136" s="153" t="s">
        <v>153</v>
      </c>
      <c r="D136" s="200">
        <v>44000</v>
      </c>
      <c r="E136" s="173">
        <v>134000</v>
      </c>
      <c r="F136" s="216">
        <f t="shared" si="18"/>
        <v>178000</v>
      </c>
      <c r="G136" s="261">
        <f t="shared" si="19"/>
        <v>36000</v>
      </c>
      <c r="H136" s="262">
        <v>180000</v>
      </c>
      <c r="I136" s="261">
        <f t="shared" si="20"/>
        <v>216000</v>
      </c>
      <c r="J136" s="247">
        <v>37774.236193438002</v>
      </c>
      <c r="K136" s="247">
        <v>155096.94477375204</v>
      </c>
      <c r="L136" s="194">
        <v>192871.18096719004</v>
      </c>
      <c r="M136" s="220">
        <f t="shared" si="21"/>
        <v>36000</v>
      </c>
      <c r="N136" s="220">
        <f t="shared" si="22"/>
        <v>134000</v>
      </c>
      <c r="O136" s="220">
        <f t="shared" si="23"/>
        <v>170000</v>
      </c>
      <c r="P136" s="301">
        <f t="shared" si="24"/>
        <v>33480</v>
      </c>
      <c r="Q136" s="301">
        <f t="shared" si="25"/>
        <v>124620</v>
      </c>
      <c r="R136" s="300">
        <f t="shared" si="26"/>
        <v>158100</v>
      </c>
    </row>
    <row r="137" spans="1:18" s="209" customFormat="1" x14ac:dyDescent="0.25">
      <c r="A137" s="210">
        <v>127</v>
      </c>
      <c r="B137" s="152" t="s">
        <v>337</v>
      </c>
      <c r="C137" s="153" t="s">
        <v>153</v>
      </c>
      <c r="D137" s="200">
        <v>61000</v>
      </c>
      <c r="E137" s="173">
        <v>187000</v>
      </c>
      <c r="F137" s="216">
        <f t="shared" si="18"/>
        <v>248000</v>
      </c>
      <c r="G137" s="261">
        <f t="shared" si="19"/>
        <v>44000</v>
      </c>
      <c r="H137" s="262">
        <v>220000</v>
      </c>
      <c r="I137" s="261">
        <f t="shared" si="20"/>
        <v>264000</v>
      </c>
      <c r="J137" s="247">
        <v>53188.6057361692</v>
      </c>
      <c r="K137" s="247">
        <v>216754.42294467703</v>
      </c>
      <c r="L137" s="194">
        <v>269943.02868084621</v>
      </c>
      <c r="M137" s="220">
        <f t="shared" si="21"/>
        <v>44000</v>
      </c>
      <c r="N137" s="220">
        <f t="shared" si="22"/>
        <v>187000</v>
      </c>
      <c r="O137" s="220">
        <f t="shared" si="23"/>
        <v>231000</v>
      </c>
      <c r="P137" s="301">
        <f t="shared" si="24"/>
        <v>40920</v>
      </c>
      <c r="Q137" s="301">
        <f t="shared" si="25"/>
        <v>173910</v>
      </c>
      <c r="R137" s="300">
        <f t="shared" si="26"/>
        <v>214830</v>
      </c>
    </row>
    <row r="138" spans="1:18" s="209" customFormat="1" x14ac:dyDescent="0.25">
      <c r="A138" s="210">
        <v>128</v>
      </c>
      <c r="B138" s="166" t="s">
        <v>38</v>
      </c>
      <c r="C138" s="153" t="s">
        <v>153</v>
      </c>
      <c r="D138" s="200">
        <v>47000</v>
      </c>
      <c r="E138" s="173">
        <v>143000</v>
      </c>
      <c r="F138" s="216">
        <f t="shared" si="18"/>
        <v>190000</v>
      </c>
      <c r="G138" s="261">
        <f t="shared" si="19"/>
        <v>36000</v>
      </c>
      <c r="H138" s="262">
        <v>180000</v>
      </c>
      <c r="I138" s="261">
        <f t="shared" si="20"/>
        <v>216000</v>
      </c>
      <c r="J138" s="247">
        <v>40362.385895699503</v>
      </c>
      <c r="K138" s="247">
        <v>165449.5435827981</v>
      </c>
      <c r="L138" s="194">
        <v>205811.92947849759</v>
      </c>
      <c r="M138" s="220">
        <f t="shared" si="21"/>
        <v>36000</v>
      </c>
      <c r="N138" s="220">
        <f t="shared" si="22"/>
        <v>143000</v>
      </c>
      <c r="O138" s="220">
        <f t="shared" si="23"/>
        <v>179000</v>
      </c>
      <c r="P138" s="301">
        <f t="shared" si="24"/>
        <v>33480</v>
      </c>
      <c r="Q138" s="301">
        <f t="shared" si="25"/>
        <v>132990</v>
      </c>
      <c r="R138" s="300">
        <f t="shared" si="26"/>
        <v>166470</v>
      </c>
    </row>
    <row r="139" spans="1:18" s="209" customFormat="1" x14ac:dyDescent="0.25">
      <c r="A139" s="210">
        <v>129</v>
      </c>
      <c r="B139" s="161" t="s">
        <v>419</v>
      </c>
      <c r="C139" s="153" t="s">
        <v>153</v>
      </c>
      <c r="D139" s="200">
        <v>29000</v>
      </c>
      <c r="E139" s="173">
        <v>42000</v>
      </c>
      <c r="F139" s="216">
        <f t="shared" si="18"/>
        <v>71000</v>
      </c>
      <c r="G139" s="261">
        <f t="shared" si="19"/>
        <v>12600</v>
      </c>
      <c r="H139" s="262">
        <v>63000</v>
      </c>
      <c r="I139" s="261">
        <f t="shared" si="20"/>
        <v>75600</v>
      </c>
      <c r="J139" s="247">
        <v>33997.760000000002</v>
      </c>
      <c r="K139" s="247">
        <v>139991.04000000001</v>
      </c>
      <c r="L139" s="194">
        <v>173988.80000000002</v>
      </c>
      <c r="M139" s="220">
        <f t="shared" si="21"/>
        <v>12600</v>
      </c>
      <c r="N139" s="220">
        <f t="shared" si="22"/>
        <v>42000</v>
      </c>
      <c r="O139" s="220">
        <f t="shared" si="23"/>
        <v>54600</v>
      </c>
      <c r="P139" s="301">
        <f t="shared" si="24"/>
        <v>11718</v>
      </c>
      <c r="Q139" s="301">
        <f t="shared" si="25"/>
        <v>39060</v>
      </c>
      <c r="R139" s="300">
        <f t="shared" si="26"/>
        <v>50778</v>
      </c>
    </row>
    <row r="140" spans="1:18" s="209" customFormat="1" x14ac:dyDescent="0.25">
      <c r="A140" s="210">
        <v>130</v>
      </c>
      <c r="B140" s="161" t="s">
        <v>426</v>
      </c>
      <c r="C140" s="153" t="s">
        <v>153</v>
      </c>
      <c r="D140" s="200">
        <v>446000</v>
      </c>
      <c r="E140" s="173">
        <v>1742000</v>
      </c>
      <c r="F140" s="216">
        <f t="shared" si="18"/>
        <v>2188000</v>
      </c>
      <c r="G140" s="261">
        <f t="shared" si="19"/>
        <v>400000</v>
      </c>
      <c r="H140" s="262">
        <v>2000000</v>
      </c>
      <c r="I140" s="261">
        <f t="shared" si="20"/>
        <v>2400000</v>
      </c>
      <c r="J140" s="247">
        <v>504151.03519999998</v>
      </c>
      <c r="K140" s="247">
        <v>2020604.1408000004</v>
      </c>
      <c r="L140" s="194">
        <v>2524755.1760000004</v>
      </c>
      <c r="M140" s="220">
        <f t="shared" si="21"/>
        <v>400000</v>
      </c>
      <c r="N140" s="220">
        <f t="shared" si="22"/>
        <v>1742000</v>
      </c>
      <c r="O140" s="220">
        <f t="shared" si="23"/>
        <v>2142000</v>
      </c>
      <c r="P140" s="301">
        <f t="shared" si="24"/>
        <v>372000</v>
      </c>
      <c r="Q140" s="301">
        <f t="shared" si="25"/>
        <v>1620060</v>
      </c>
      <c r="R140" s="300">
        <f t="shared" si="26"/>
        <v>1992060</v>
      </c>
    </row>
    <row r="141" spans="1:18" s="209" customFormat="1" x14ac:dyDescent="0.25">
      <c r="A141" s="210">
        <v>131</v>
      </c>
      <c r="B141" s="152" t="s">
        <v>416</v>
      </c>
      <c r="C141" s="153" t="s">
        <v>153</v>
      </c>
      <c r="D141" s="200">
        <v>284000</v>
      </c>
      <c r="E141" s="173">
        <v>867000</v>
      </c>
      <c r="F141" s="216">
        <f t="shared" si="18"/>
        <v>1151000</v>
      </c>
      <c r="G141" s="261">
        <f t="shared" si="19"/>
        <v>220000</v>
      </c>
      <c r="H141" s="262">
        <v>1100000</v>
      </c>
      <c r="I141" s="261">
        <f t="shared" si="20"/>
        <v>1320000</v>
      </c>
      <c r="J141" s="247">
        <v>250515.51475141899</v>
      </c>
      <c r="K141" s="247">
        <v>1006062.0590056749</v>
      </c>
      <c r="L141" s="194">
        <v>1256577.5737570939</v>
      </c>
      <c r="M141" s="220">
        <f t="shared" si="21"/>
        <v>220000</v>
      </c>
      <c r="N141" s="220">
        <f t="shared" si="22"/>
        <v>867000</v>
      </c>
      <c r="O141" s="220">
        <f t="shared" si="23"/>
        <v>1087000</v>
      </c>
      <c r="P141" s="301">
        <f t="shared" si="24"/>
        <v>204600</v>
      </c>
      <c r="Q141" s="301">
        <f t="shared" si="25"/>
        <v>806310</v>
      </c>
      <c r="R141" s="300">
        <f t="shared" si="26"/>
        <v>1010910</v>
      </c>
    </row>
    <row r="142" spans="1:18" s="209" customFormat="1" x14ac:dyDescent="0.25">
      <c r="A142" s="210">
        <v>132</v>
      </c>
      <c r="B142" s="158" t="s">
        <v>417</v>
      </c>
      <c r="C142" s="153" t="s">
        <v>153</v>
      </c>
      <c r="D142" s="200">
        <v>160000</v>
      </c>
      <c r="E142" s="173">
        <v>489000</v>
      </c>
      <c r="F142" s="216">
        <f t="shared" si="18"/>
        <v>649000</v>
      </c>
      <c r="G142" s="261">
        <f t="shared" si="19"/>
        <v>120000</v>
      </c>
      <c r="H142" s="262">
        <v>600000</v>
      </c>
      <c r="I142" s="261">
        <f t="shared" si="20"/>
        <v>720000</v>
      </c>
      <c r="J142" s="247">
        <v>140755.211774319</v>
      </c>
      <c r="K142" s="247">
        <v>567020.84709727485</v>
      </c>
      <c r="L142" s="194">
        <v>707776.05887159379</v>
      </c>
      <c r="M142" s="220">
        <f t="shared" si="21"/>
        <v>120000</v>
      </c>
      <c r="N142" s="220">
        <f t="shared" si="22"/>
        <v>489000</v>
      </c>
      <c r="O142" s="220">
        <f t="shared" si="23"/>
        <v>609000</v>
      </c>
      <c r="P142" s="301">
        <f t="shared" si="24"/>
        <v>111600</v>
      </c>
      <c r="Q142" s="301">
        <f t="shared" si="25"/>
        <v>454770</v>
      </c>
      <c r="R142" s="300">
        <f t="shared" si="26"/>
        <v>566370</v>
      </c>
    </row>
    <row r="143" spans="1:18" s="209" customFormat="1" x14ac:dyDescent="0.25">
      <c r="A143" s="210">
        <v>133</v>
      </c>
      <c r="B143" s="158" t="s">
        <v>466</v>
      </c>
      <c r="C143" s="153" t="s">
        <v>153</v>
      </c>
      <c r="D143" s="200">
        <v>62000</v>
      </c>
      <c r="E143" s="173">
        <v>190000</v>
      </c>
      <c r="F143" s="216">
        <f t="shared" si="18"/>
        <v>252000</v>
      </c>
      <c r="G143" s="261">
        <f t="shared" si="19"/>
        <v>50000</v>
      </c>
      <c r="H143" s="262">
        <v>250000</v>
      </c>
      <c r="I143" s="261">
        <f t="shared" si="20"/>
        <v>300000</v>
      </c>
      <c r="J143" s="247">
        <v>54132.600185397299</v>
      </c>
      <c r="K143" s="247">
        <v>220530.40074158937</v>
      </c>
      <c r="L143" s="194">
        <v>274663.00092698669</v>
      </c>
      <c r="M143" s="220">
        <f t="shared" si="21"/>
        <v>50000</v>
      </c>
      <c r="N143" s="220">
        <f t="shared" si="22"/>
        <v>190000</v>
      </c>
      <c r="O143" s="220">
        <f t="shared" si="23"/>
        <v>240000</v>
      </c>
      <c r="P143" s="301">
        <f t="shared" si="24"/>
        <v>46500</v>
      </c>
      <c r="Q143" s="301">
        <f t="shared" si="25"/>
        <v>176700</v>
      </c>
      <c r="R143" s="300">
        <f t="shared" si="26"/>
        <v>223200</v>
      </c>
    </row>
    <row r="144" spans="1:18" s="209" customFormat="1" x14ac:dyDescent="0.25">
      <c r="A144" s="210">
        <v>134</v>
      </c>
      <c r="B144" s="211" t="s">
        <v>420</v>
      </c>
      <c r="C144" s="153" t="s">
        <v>153</v>
      </c>
      <c r="D144" s="200">
        <v>254000</v>
      </c>
      <c r="E144" s="173">
        <v>861000</v>
      </c>
      <c r="F144" s="216">
        <f t="shared" si="18"/>
        <v>1115000</v>
      </c>
      <c r="G144" s="261">
        <f t="shared" si="19"/>
        <v>196000</v>
      </c>
      <c r="H144" s="262">
        <v>980000</v>
      </c>
      <c r="I144" s="261">
        <f t="shared" si="20"/>
        <v>1176000</v>
      </c>
      <c r="J144" s="247">
        <v>248709.01759999999</v>
      </c>
      <c r="K144" s="247">
        <v>998836.0704000002</v>
      </c>
      <c r="L144" s="194">
        <v>1247545.0880000002</v>
      </c>
      <c r="M144" s="220">
        <f t="shared" si="21"/>
        <v>196000</v>
      </c>
      <c r="N144" s="220">
        <f t="shared" si="22"/>
        <v>861000</v>
      </c>
      <c r="O144" s="220">
        <f t="shared" si="23"/>
        <v>1057000</v>
      </c>
      <c r="P144" s="301">
        <f t="shared" si="24"/>
        <v>182280</v>
      </c>
      <c r="Q144" s="301">
        <f t="shared" si="25"/>
        <v>800730</v>
      </c>
      <c r="R144" s="300">
        <f t="shared" si="26"/>
        <v>983010</v>
      </c>
    </row>
    <row r="145" spans="1:18" s="209" customFormat="1" x14ac:dyDescent="0.25">
      <c r="A145" s="210">
        <v>135</v>
      </c>
      <c r="B145" s="211" t="s">
        <v>421</v>
      </c>
      <c r="C145" s="153" t="s">
        <v>153</v>
      </c>
      <c r="D145" s="200">
        <v>247000</v>
      </c>
      <c r="E145" s="173">
        <v>754000</v>
      </c>
      <c r="F145" s="216">
        <f t="shared" si="18"/>
        <v>1001000</v>
      </c>
      <c r="G145" s="261">
        <f t="shared" si="19"/>
        <v>177400</v>
      </c>
      <c r="H145" s="262">
        <v>887000</v>
      </c>
      <c r="I145" s="261">
        <f t="shared" si="20"/>
        <v>1064400</v>
      </c>
      <c r="J145" s="247">
        <v>217736</v>
      </c>
      <c r="K145" s="247">
        <v>874944</v>
      </c>
      <c r="L145" s="194">
        <v>1092680</v>
      </c>
      <c r="M145" s="220">
        <f t="shared" si="21"/>
        <v>177400</v>
      </c>
      <c r="N145" s="220">
        <f t="shared" si="22"/>
        <v>754000</v>
      </c>
      <c r="O145" s="220">
        <f t="shared" si="23"/>
        <v>931400</v>
      </c>
      <c r="P145" s="301">
        <f t="shared" si="24"/>
        <v>164982</v>
      </c>
      <c r="Q145" s="301">
        <f t="shared" si="25"/>
        <v>701220</v>
      </c>
      <c r="R145" s="300">
        <f t="shared" si="26"/>
        <v>866202</v>
      </c>
    </row>
    <row r="146" spans="1:18" s="209" customFormat="1" x14ac:dyDescent="0.25">
      <c r="A146" s="210">
        <v>136</v>
      </c>
      <c r="B146" s="211" t="s">
        <v>422</v>
      </c>
      <c r="C146" s="153" t="s">
        <v>153</v>
      </c>
      <c r="D146" s="200">
        <v>58000</v>
      </c>
      <c r="E146" s="173">
        <v>178000</v>
      </c>
      <c r="F146" s="216">
        <f t="shared" si="18"/>
        <v>236000</v>
      </c>
      <c r="G146" s="261">
        <f t="shared" si="19"/>
        <v>44000</v>
      </c>
      <c r="H146" s="262">
        <v>220000</v>
      </c>
      <c r="I146" s="261">
        <f t="shared" si="20"/>
        <v>264000</v>
      </c>
      <c r="J146" s="247">
        <v>50587.342399236899</v>
      </c>
      <c r="K146" s="247">
        <v>206349.36959694797</v>
      </c>
      <c r="L146" s="194">
        <v>256936.71199618487</v>
      </c>
      <c r="M146" s="220">
        <f t="shared" si="21"/>
        <v>44000</v>
      </c>
      <c r="N146" s="220">
        <f t="shared" si="22"/>
        <v>178000</v>
      </c>
      <c r="O146" s="220">
        <f t="shared" si="23"/>
        <v>222000</v>
      </c>
      <c r="P146" s="301">
        <f t="shared" si="24"/>
        <v>40920</v>
      </c>
      <c r="Q146" s="301">
        <f t="shared" si="25"/>
        <v>165540</v>
      </c>
      <c r="R146" s="300">
        <f t="shared" si="26"/>
        <v>206460</v>
      </c>
    </row>
    <row r="147" spans="1:18" s="209" customFormat="1" x14ac:dyDescent="0.25">
      <c r="A147" s="210">
        <v>137</v>
      </c>
      <c r="B147" s="211" t="s">
        <v>423</v>
      </c>
      <c r="C147" s="153" t="s">
        <v>153</v>
      </c>
      <c r="D147" s="200">
        <v>299000</v>
      </c>
      <c r="E147" s="173">
        <v>1504000</v>
      </c>
      <c r="F147" s="216">
        <f t="shared" si="18"/>
        <v>1803000</v>
      </c>
      <c r="G147" s="261">
        <f t="shared" si="19"/>
        <v>320000</v>
      </c>
      <c r="H147" s="262">
        <v>1600000</v>
      </c>
      <c r="I147" s="261">
        <f t="shared" si="20"/>
        <v>1920000</v>
      </c>
      <c r="J147" s="247">
        <v>435209.61561219703</v>
      </c>
      <c r="K147" s="247">
        <v>1744838.4624487874</v>
      </c>
      <c r="L147" s="194">
        <v>2180048.0780609846</v>
      </c>
      <c r="M147" s="220">
        <f t="shared" si="21"/>
        <v>299000</v>
      </c>
      <c r="N147" s="220">
        <f t="shared" si="22"/>
        <v>1504000</v>
      </c>
      <c r="O147" s="220">
        <f t="shared" si="23"/>
        <v>1803000</v>
      </c>
      <c r="P147" s="301">
        <f t="shared" si="24"/>
        <v>278070</v>
      </c>
      <c r="Q147" s="301">
        <f t="shared" si="25"/>
        <v>1398720</v>
      </c>
      <c r="R147" s="300">
        <f t="shared" si="26"/>
        <v>1676790</v>
      </c>
    </row>
    <row r="148" spans="1:18" s="209" customFormat="1" ht="22.5" x14ac:dyDescent="0.25">
      <c r="A148" s="210">
        <v>138</v>
      </c>
      <c r="B148" s="212" t="s">
        <v>427</v>
      </c>
      <c r="C148" s="153" t="s">
        <v>153</v>
      </c>
      <c r="D148" s="200">
        <v>246000</v>
      </c>
      <c r="E148" s="173">
        <v>750000</v>
      </c>
      <c r="F148" s="216">
        <f t="shared" si="18"/>
        <v>996000</v>
      </c>
      <c r="G148" s="261">
        <f t="shared" si="19"/>
        <v>182000</v>
      </c>
      <c r="H148" s="262">
        <v>910000</v>
      </c>
      <c r="I148" s="261">
        <f t="shared" si="20"/>
        <v>1092000</v>
      </c>
      <c r="J148" s="247">
        <v>216591.45886907401</v>
      </c>
      <c r="K148" s="247">
        <v>870365.83547629789</v>
      </c>
      <c r="L148" s="194">
        <v>1086957.2943453719</v>
      </c>
      <c r="M148" s="220">
        <f t="shared" si="21"/>
        <v>182000</v>
      </c>
      <c r="N148" s="220">
        <f t="shared" si="22"/>
        <v>750000</v>
      </c>
      <c r="O148" s="220">
        <f t="shared" si="23"/>
        <v>932000</v>
      </c>
      <c r="P148" s="301">
        <f t="shared" si="24"/>
        <v>169260</v>
      </c>
      <c r="Q148" s="301">
        <f t="shared" si="25"/>
        <v>697500</v>
      </c>
      <c r="R148" s="300">
        <f t="shared" si="26"/>
        <v>866760</v>
      </c>
    </row>
    <row r="149" spans="1:18" s="209" customFormat="1" x14ac:dyDescent="0.25">
      <c r="A149" s="210">
        <v>139</v>
      </c>
      <c r="B149" s="158" t="s">
        <v>424</v>
      </c>
      <c r="C149" s="153" t="s">
        <v>153</v>
      </c>
      <c r="D149" s="200">
        <v>724000</v>
      </c>
      <c r="E149" s="173">
        <v>2210000</v>
      </c>
      <c r="F149" s="216">
        <f t="shared" si="18"/>
        <v>2934000</v>
      </c>
      <c r="G149" s="261">
        <f t="shared" si="19"/>
        <v>520000</v>
      </c>
      <c r="H149" s="262">
        <v>2600000</v>
      </c>
      <c r="I149" s="261">
        <f t="shared" si="20"/>
        <v>3120000</v>
      </c>
      <c r="J149" s="247">
        <v>640042.304</v>
      </c>
      <c r="K149" s="247">
        <v>2564169.216</v>
      </c>
      <c r="L149" s="194">
        <v>3204211.52</v>
      </c>
      <c r="M149" s="220">
        <f t="shared" si="21"/>
        <v>520000</v>
      </c>
      <c r="N149" s="220">
        <f t="shared" si="22"/>
        <v>2210000</v>
      </c>
      <c r="O149" s="220">
        <f t="shared" si="23"/>
        <v>2730000</v>
      </c>
      <c r="P149" s="301">
        <f t="shared" si="24"/>
        <v>483600</v>
      </c>
      <c r="Q149" s="301">
        <f t="shared" si="25"/>
        <v>2055300</v>
      </c>
      <c r="R149" s="300">
        <f t="shared" si="26"/>
        <v>2538900</v>
      </c>
    </row>
    <row r="150" spans="1:18" s="209" customFormat="1" ht="22.5" x14ac:dyDescent="0.25">
      <c r="A150" s="210">
        <v>140</v>
      </c>
      <c r="B150" s="212" t="s">
        <v>425</v>
      </c>
      <c r="C150" s="153" t="s">
        <v>153</v>
      </c>
      <c r="D150" s="200">
        <v>354000</v>
      </c>
      <c r="E150" s="173">
        <v>1080000</v>
      </c>
      <c r="F150" s="216">
        <f t="shared" si="18"/>
        <v>1434000</v>
      </c>
      <c r="G150" s="261">
        <f t="shared" si="19"/>
        <v>260000</v>
      </c>
      <c r="H150" s="262">
        <v>1300000</v>
      </c>
      <c r="I150" s="261">
        <f t="shared" si="20"/>
        <v>1560000</v>
      </c>
      <c r="J150" s="247">
        <v>312221.000920297</v>
      </c>
      <c r="K150" s="247">
        <v>1252884.0036811868</v>
      </c>
      <c r="L150" s="194">
        <v>1565105.0046014837</v>
      </c>
      <c r="M150" s="220">
        <f t="shared" si="21"/>
        <v>260000</v>
      </c>
      <c r="N150" s="220">
        <f t="shared" si="22"/>
        <v>1080000</v>
      </c>
      <c r="O150" s="220">
        <f t="shared" si="23"/>
        <v>1340000</v>
      </c>
      <c r="P150" s="301">
        <f t="shared" si="24"/>
        <v>241800</v>
      </c>
      <c r="Q150" s="301">
        <f t="shared" si="25"/>
        <v>1004400</v>
      </c>
      <c r="R150" s="300">
        <f t="shared" si="26"/>
        <v>1246200</v>
      </c>
    </row>
    <row r="151" spans="1:18" s="209" customFormat="1" ht="22.5" x14ac:dyDescent="0.25">
      <c r="A151" s="210"/>
      <c r="B151" s="156" t="s">
        <v>39</v>
      </c>
      <c r="C151" s="153" t="s">
        <v>153</v>
      </c>
      <c r="D151" s="200">
        <v>0</v>
      </c>
      <c r="E151" s="173">
        <v>0</v>
      </c>
      <c r="F151" s="216">
        <f t="shared" si="18"/>
        <v>0</v>
      </c>
      <c r="G151" s="261">
        <f t="shared" si="19"/>
        <v>0</v>
      </c>
      <c r="H151" s="262"/>
      <c r="I151" s="261">
        <f t="shared" si="20"/>
        <v>0</v>
      </c>
      <c r="J151" s="247">
        <v>0</v>
      </c>
      <c r="K151" s="247">
        <v>0</v>
      </c>
      <c r="L151" s="194">
        <v>0</v>
      </c>
      <c r="M151" s="220">
        <f t="shared" si="21"/>
        <v>0</v>
      </c>
      <c r="N151" s="220">
        <f t="shared" si="22"/>
        <v>0</v>
      </c>
      <c r="O151" s="220">
        <f t="shared" si="23"/>
        <v>0</v>
      </c>
      <c r="P151" s="301">
        <f t="shared" si="24"/>
        <v>0</v>
      </c>
      <c r="Q151" s="301">
        <f t="shared" si="25"/>
        <v>0</v>
      </c>
      <c r="R151" s="300">
        <f t="shared" si="26"/>
        <v>0</v>
      </c>
    </row>
    <row r="152" spans="1:18" s="209" customFormat="1" x14ac:dyDescent="0.25">
      <c r="A152" s="210">
        <v>141</v>
      </c>
      <c r="B152" s="152" t="s">
        <v>40</v>
      </c>
      <c r="C152" s="153" t="s">
        <v>153</v>
      </c>
      <c r="D152" s="200">
        <v>470000</v>
      </c>
      <c r="E152" s="173">
        <v>1454000</v>
      </c>
      <c r="F152" s="216">
        <f t="shared" si="18"/>
        <v>1924000</v>
      </c>
      <c r="G152" s="261">
        <f t="shared" si="19"/>
        <v>36000</v>
      </c>
      <c r="H152" s="262">
        <v>180000</v>
      </c>
      <c r="I152" s="261">
        <f t="shared" si="20"/>
        <v>216000</v>
      </c>
      <c r="J152" s="247">
        <v>461490.85138582799</v>
      </c>
      <c r="K152" s="247">
        <v>1849963.4055433117</v>
      </c>
      <c r="L152" s="194">
        <v>2311454.2569291396</v>
      </c>
      <c r="M152" s="220">
        <f t="shared" si="21"/>
        <v>36000</v>
      </c>
      <c r="N152" s="220">
        <f t="shared" si="22"/>
        <v>180000</v>
      </c>
      <c r="O152" s="220">
        <f t="shared" si="23"/>
        <v>216000</v>
      </c>
      <c r="P152" s="301">
        <f t="shared" si="24"/>
        <v>33480</v>
      </c>
      <c r="Q152" s="301">
        <f t="shared" si="25"/>
        <v>167400</v>
      </c>
      <c r="R152" s="300">
        <f t="shared" si="26"/>
        <v>200880</v>
      </c>
    </row>
    <row r="153" spans="1:18" s="209" customFormat="1" ht="22.5" x14ac:dyDescent="0.25">
      <c r="A153" s="210">
        <v>142</v>
      </c>
      <c r="B153" s="152" t="s">
        <v>209</v>
      </c>
      <c r="C153" s="153" t="s">
        <v>153</v>
      </c>
      <c r="D153" s="200">
        <v>221000</v>
      </c>
      <c r="E153" s="173">
        <v>615000</v>
      </c>
      <c r="F153" s="216">
        <f t="shared" si="18"/>
        <v>836000</v>
      </c>
      <c r="G153" s="261">
        <f t="shared" si="19"/>
        <v>150000</v>
      </c>
      <c r="H153" s="262">
        <v>750000</v>
      </c>
      <c r="I153" s="261">
        <f t="shared" si="20"/>
        <v>900000</v>
      </c>
      <c r="J153" s="247">
        <v>194757.66432955</v>
      </c>
      <c r="K153" s="247">
        <v>783030.6573181987</v>
      </c>
      <c r="L153" s="194">
        <v>977788.3216477487</v>
      </c>
      <c r="M153" s="220">
        <f t="shared" si="21"/>
        <v>150000</v>
      </c>
      <c r="N153" s="220">
        <f t="shared" si="22"/>
        <v>615000</v>
      </c>
      <c r="O153" s="220">
        <f t="shared" si="23"/>
        <v>765000</v>
      </c>
      <c r="P153" s="301">
        <f t="shared" si="24"/>
        <v>139500</v>
      </c>
      <c r="Q153" s="301">
        <f t="shared" si="25"/>
        <v>571950</v>
      </c>
      <c r="R153" s="300">
        <f t="shared" si="26"/>
        <v>711450</v>
      </c>
    </row>
    <row r="154" spans="1:18" s="209" customFormat="1" x14ac:dyDescent="0.25">
      <c r="A154" s="210">
        <v>143</v>
      </c>
      <c r="B154" s="152" t="s">
        <v>208</v>
      </c>
      <c r="C154" s="153" t="s">
        <v>153</v>
      </c>
      <c r="D154" s="200">
        <v>99000</v>
      </c>
      <c r="E154" s="173">
        <v>303000</v>
      </c>
      <c r="F154" s="216">
        <f t="shared" si="18"/>
        <v>402000</v>
      </c>
      <c r="G154" s="261">
        <f t="shared" si="19"/>
        <v>76000</v>
      </c>
      <c r="H154" s="262">
        <v>380000</v>
      </c>
      <c r="I154" s="261">
        <f t="shared" si="20"/>
        <v>456000</v>
      </c>
      <c r="J154" s="247">
        <v>86902.707200000004</v>
      </c>
      <c r="K154" s="247">
        <v>351610.82880000008</v>
      </c>
      <c r="L154" s="194">
        <v>438513.53600000008</v>
      </c>
      <c r="M154" s="220">
        <f t="shared" si="21"/>
        <v>76000</v>
      </c>
      <c r="N154" s="220">
        <f t="shared" si="22"/>
        <v>303000</v>
      </c>
      <c r="O154" s="220">
        <f t="shared" si="23"/>
        <v>379000</v>
      </c>
      <c r="P154" s="301">
        <f t="shared" si="24"/>
        <v>70680</v>
      </c>
      <c r="Q154" s="301">
        <f t="shared" si="25"/>
        <v>281790</v>
      </c>
      <c r="R154" s="300">
        <f t="shared" si="26"/>
        <v>352470</v>
      </c>
    </row>
    <row r="155" spans="1:18" s="209" customFormat="1" x14ac:dyDescent="0.25">
      <c r="A155" s="210">
        <v>144</v>
      </c>
      <c r="B155" s="152" t="s">
        <v>41</v>
      </c>
      <c r="C155" s="153" t="s">
        <v>153</v>
      </c>
      <c r="D155" s="200">
        <v>391000</v>
      </c>
      <c r="E155" s="173">
        <v>1455000</v>
      </c>
      <c r="F155" s="216">
        <f t="shared" si="18"/>
        <v>1846000</v>
      </c>
      <c r="G155" s="261">
        <f t="shared" si="19"/>
        <v>336000</v>
      </c>
      <c r="H155" s="262">
        <v>1680000</v>
      </c>
      <c r="I155" s="261">
        <f t="shared" si="20"/>
        <v>2016000</v>
      </c>
      <c r="J155" s="247">
        <v>462098.47541980399</v>
      </c>
      <c r="K155" s="247">
        <v>1852393.9016792176</v>
      </c>
      <c r="L155" s="194">
        <v>2314492.3770990213</v>
      </c>
      <c r="M155" s="220">
        <f t="shared" si="21"/>
        <v>336000</v>
      </c>
      <c r="N155" s="220">
        <f t="shared" si="22"/>
        <v>1455000</v>
      </c>
      <c r="O155" s="220">
        <f t="shared" si="23"/>
        <v>1791000</v>
      </c>
      <c r="P155" s="301">
        <f t="shared" si="24"/>
        <v>312480</v>
      </c>
      <c r="Q155" s="301">
        <f t="shared" si="25"/>
        <v>1353150</v>
      </c>
      <c r="R155" s="300">
        <f t="shared" si="26"/>
        <v>1665630</v>
      </c>
    </row>
    <row r="156" spans="1:18" s="209" customFormat="1" ht="22.5" x14ac:dyDescent="0.25">
      <c r="A156" s="210">
        <v>145</v>
      </c>
      <c r="B156" s="152" t="s">
        <v>210</v>
      </c>
      <c r="C156" s="153" t="s">
        <v>153</v>
      </c>
      <c r="D156" s="200">
        <v>221000</v>
      </c>
      <c r="E156" s="173">
        <v>615000</v>
      </c>
      <c r="F156" s="216">
        <f t="shared" si="18"/>
        <v>836000</v>
      </c>
      <c r="G156" s="261">
        <f t="shared" si="19"/>
        <v>156000</v>
      </c>
      <c r="H156" s="262">
        <v>780000</v>
      </c>
      <c r="I156" s="261">
        <f t="shared" si="20"/>
        <v>936000</v>
      </c>
      <c r="J156" s="247">
        <v>194757.66432955</v>
      </c>
      <c r="K156" s="247">
        <v>783030.6573181987</v>
      </c>
      <c r="L156" s="194">
        <v>977788.3216477487</v>
      </c>
      <c r="M156" s="220">
        <f t="shared" si="21"/>
        <v>156000</v>
      </c>
      <c r="N156" s="220">
        <f t="shared" si="22"/>
        <v>615000</v>
      </c>
      <c r="O156" s="220">
        <f t="shared" si="23"/>
        <v>771000</v>
      </c>
      <c r="P156" s="301">
        <f t="shared" si="24"/>
        <v>145080</v>
      </c>
      <c r="Q156" s="301">
        <f t="shared" si="25"/>
        <v>571950</v>
      </c>
      <c r="R156" s="300">
        <f t="shared" si="26"/>
        <v>717030</v>
      </c>
    </row>
    <row r="157" spans="1:18" s="209" customFormat="1" x14ac:dyDescent="0.25">
      <c r="A157" s="210">
        <v>146</v>
      </c>
      <c r="B157" s="152" t="s">
        <v>212</v>
      </c>
      <c r="C157" s="153" t="s">
        <v>153</v>
      </c>
      <c r="D157" s="200">
        <v>65000</v>
      </c>
      <c r="E157" s="173">
        <v>199000</v>
      </c>
      <c r="F157" s="216">
        <f t="shared" si="18"/>
        <v>264000</v>
      </c>
      <c r="G157" s="261">
        <f t="shared" si="19"/>
        <v>52000</v>
      </c>
      <c r="H157" s="262">
        <v>260000</v>
      </c>
      <c r="I157" s="261">
        <f t="shared" si="20"/>
        <v>312000</v>
      </c>
      <c r="J157" s="247">
        <v>56751.505951971703</v>
      </c>
      <c r="K157" s="247">
        <v>231006.0238078871</v>
      </c>
      <c r="L157" s="194">
        <v>287757.52975985879</v>
      </c>
      <c r="M157" s="220">
        <f t="shared" si="21"/>
        <v>52000</v>
      </c>
      <c r="N157" s="220">
        <f t="shared" si="22"/>
        <v>199000</v>
      </c>
      <c r="O157" s="220">
        <f t="shared" si="23"/>
        <v>251000</v>
      </c>
      <c r="P157" s="301">
        <f t="shared" si="24"/>
        <v>48360</v>
      </c>
      <c r="Q157" s="301">
        <f t="shared" si="25"/>
        <v>185070</v>
      </c>
      <c r="R157" s="300">
        <f t="shared" si="26"/>
        <v>233430</v>
      </c>
    </row>
    <row r="158" spans="1:18" s="209" customFormat="1" ht="22.5" x14ac:dyDescent="0.25">
      <c r="A158" s="210">
        <v>147</v>
      </c>
      <c r="B158" s="152" t="s">
        <v>213</v>
      </c>
      <c r="C158" s="153" t="s">
        <v>153</v>
      </c>
      <c r="D158" s="200">
        <v>101000</v>
      </c>
      <c r="E158" s="173">
        <v>444000</v>
      </c>
      <c r="F158" s="216">
        <f t="shared" si="18"/>
        <v>545000</v>
      </c>
      <c r="G158" s="261">
        <f t="shared" si="19"/>
        <v>98000</v>
      </c>
      <c r="H158" s="262">
        <v>490000</v>
      </c>
      <c r="I158" s="261">
        <f t="shared" si="20"/>
        <v>588000</v>
      </c>
      <c r="J158" s="247">
        <v>127878.83689689</v>
      </c>
      <c r="K158" s="247">
        <v>515515.34758756135</v>
      </c>
      <c r="L158" s="194">
        <v>643394.18448445131</v>
      </c>
      <c r="M158" s="220">
        <f t="shared" si="21"/>
        <v>98000</v>
      </c>
      <c r="N158" s="220">
        <f t="shared" si="22"/>
        <v>444000</v>
      </c>
      <c r="O158" s="220">
        <f t="shared" si="23"/>
        <v>542000</v>
      </c>
      <c r="P158" s="301">
        <f t="shared" si="24"/>
        <v>91140</v>
      </c>
      <c r="Q158" s="301">
        <f t="shared" si="25"/>
        <v>412920</v>
      </c>
      <c r="R158" s="300">
        <f t="shared" si="26"/>
        <v>504060</v>
      </c>
    </row>
    <row r="159" spans="1:18" s="209" customFormat="1" x14ac:dyDescent="0.25">
      <c r="A159" s="210">
        <v>148</v>
      </c>
      <c r="B159" s="152" t="s">
        <v>214</v>
      </c>
      <c r="C159" s="153" t="s">
        <v>153</v>
      </c>
      <c r="D159" s="200">
        <v>101000</v>
      </c>
      <c r="E159" s="173">
        <v>494000</v>
      </c>
      <c r="F159" s="216">
        <f t="shared" si="18"/>
        <v>595000</v>
      </c>
      <c r="G159" s="261">
        <f t="shared" si="19"/>
        <v>106000</v>
      </c>
      <c r="H159" s="262">
        <v>530000</v>
      </c>
      <c r="I159" s="261">
        <f t="shared" si="20"/>
        <v>636000</v>
      </c>
      <c r="J159" s="247">
        <v>142383.55445857899</v>
      </c>
      <c r="K159" s="247">
        <v>573534.21783431433</v>
      </c>
      <c r="L159" s="194">
        <v>715917.77229289338</v>
      </c>
      <c r="M159" s="220">
        <f t="shared" si="21"/>
        <v>101000</v>
      </c>
      <c r="N159" s="220">
        <f t="shared" si="22"/>
        <v>494000</v>
      </c>
      <c r="O159" s="220">
        <f t="shared" si="23"/>
        <v>595000</v>
      </c>
      <c r="P159" s="301">
        <f t="shared" si="24"/>
        <v>93930</v>
      </c>
      <c r="Q159" s="301">
        <f t="shared" si="25"/>
        <v>459420</v>
      </c>
      <c r="R159" s="300">
        <f t="shared" si="26"/>
        <v>553350</v>
      </c>
    </row>
    <row r="160" spans="1:18" s="209" customFormat="1" x14ac:dyDescent="0.25">
      <c r="A160" s="210">
        <v>149</v>
      </c>
      <c r="B160" s="152" t="s">
        <v>541</v>
      </c>
      <c r="C160" s="153" t="s">
        <v>153</v>
      </c>
      <c r="D160" s="200">
        <v>100000</v>
      </c>
      <c r="E160" s="173">
        <v>317000</v>
      </c>
      <c r="F160" s="216">
        <f t="shared" si="18"/>
        <v>417000</v>
      </c>
      <c r="G160" s="261">
        <f t="shared" si="19"/>
        <v>68000</v>
      </c>
      <c r="H160" s="262">
        <v>340000</v>
      </c>
      <c r="I160" s="261">
        <f t="shared" si="20"/>
        <v>408000</v>
      </c>
      <c r="J160" s="247">
        <v>90789.525035876402</v>
      </c>
      <c r="K160" s="247">
        <v>367158.10014350584</v>
      </c>
      <c r="L160" s="194">
        <v>457947.62517938227</v>
      </c>
      <c r="M160" s="220">
        <f t="shared" si="21"/>
        <v>68000</v>
      </c>
      <c r="N160" s="220">
        <f t="shared" si="22"/>
        <v>317000</v>
      </c>
      <c r="O160" s="220">
        <f t="shared" si="23"/>
        <v>385000</v>
      </c>
      <c r="P160" s="301">
        <f t="shared" si="24"/>
        <v>63240</v>
      </c>
      <c r="Q160" s="301">
        <f t="shared" si="25"/>
        <v>294810</v>
      </c>
      <c r="R160" s="300">
        <f t="shared" si="26"/>
        <v>358050</v>
      </c>
    </row>
    <row r="161" spans="1:18" s="209" customFormat="1" x14ac:dyDescent="0.25">
      <c r="A161" s="210">
        <v>150</v>
      </c>
      <c r="B161" s="152" t="s">
        <v>542</v>
      </c>
      <c r="C161" s="153" t="s">
        <v>153</v>
      </c>
      <c r="D161" s="200">
        <v>32000</v>
      </c>
      <c r="E161" s="173">
        <v>96000</v>
      </c>
      <c r="F161" s="216">
        <f t="shared" si="18"/>
        <v>128000</v>
      </c>
      <c r="G161" s="261">
        <f t="shared" si="19"/>
        <v>24000</v>
      </c>
      <c r="H161" s="262">
        <v>120000</v>
      </c>
      <c r="I161" s="261">
        <f t="shared" si="20"/>
        <v>144000</v>
      </c>
      <c r="J161" s="247">
        <v>26983.149885578699</v>
      </c>
      <c r="K161" s="247">
        <v>111932.59954231512</v>
      </c>
      <c r="L161" s="194">
        <v>138915.74942789381</v>
      </c>
      <c r="M161" s="220">
        <f t="shared" si="21"/>
        <v>24000</v>
      </c>
      <c r="N161" s="220">
        <f t="shared" si="22"/>
        <v>96000</v>
      </c>
      <c r="O161" s="220">
        <f t="shared" si="23"/>
        <v>120000</v>
      </c>
      <c r="P161" s="301">
        <f t="shared" si="24"/>
        <v>22320</v>
      </c>
      <c r="Q161" s="301">
        <f t="shared" si="25"/>
        <v>89280</v>
      </c>
      <c r="R161" s="300">
        <f t="shared" si="26"/>
        <v>111600</v>
      </c>
    </row>
    <row r="162" spans="1:18" s="209" customFormat="1" x14ac:dyDescent="0.25">
      <c r="A162" s="210">
        <v>151</v>
      </c>
      <c r="B162" s="152" t="s">
        <v>215</v>
      </c>
      <c r="C162" s="153" t="s">
        <v>153</v>
      </c>
      <c r="D162" s="200">
        <v>12000</v>
      </c>
      <c r="E162" s="173">
        <v>35000</v>
      </c>
      <c r="F162" s="216">
        <f t="shared" si="18"/>
        <v>47000</v>
      </c>
      <c r="G162" s="261">
        <f t="shared" si="19"/>
        <v>9000</v>
      </c>
      <c r="H162" s="262">
        <v>45000</v>
      </c>
      <c r="I162" s="261">
        <f t="shared" si="20"/>
        <v>54000</v>
      </c>
      <c r="J162" s="247">
        <v>9207.68</v>
      </c>
      <c r="K162" s="247">
        <v>40830.720000000001</v>
      </c>
      <c r="L162" s="194">
        <v>50038.400000000001</v>
      </c>
      <c r="M162" s="220">
        <f t="shared" si="21"/>
        <v>9000</v>
      </c>
      <c r="N162" s="220">
        <f t="shared" si="22"/>
        <v>35000</v>
      </c>
      <c r="O162" s="220">
        <f t="shared" si="23"/>
        <v>44000</v>
      </c>
      <c r="P162" s="301">
        <f t="shared" si="24"/>
        <v>8370</v>
      </c>
      <c r="Q162" s="301">
        <f t="shared" si="25"/>
        <v>32550</v>
      </c>
      <c r="R162" s="300">
        <f t="shared" si="26"/>
        <v>40920</v>
      </c>
    </row>
    <row r="163" spans="1:18" s="209" customFormat="1" x14ac:dyDescent="0.25">
      <c r="A163" s="210">
        <v>152</v>
      </c>
      <c r="B163" s="152" t="s">
        <v>216</v>
      </c>
      <c r="C163" s="153" t="s">
        <v>153</v>
      </c>
      <c r="D163" s="200">
        <v>2000</v>
      </c>
      <c r="E163" s="173">
        <v>6000</v>
      </c>
      <c r="F163" s="216">
        <f t="shared" si="18"/>
        <v>8000</v>
      </c>
      <c r="G163" s="261">
        <f t="shared" si="19"/>
        <v>1600</v>
      </c>
      <c r="H163" s="262">
        <v>8000</v>
      </c>
      <c r="I163" s="261">
        <f t="shared" si="20"/>
        <v>9600</v>
      </c>
      <c r="J163" s="247">
        <v>656.18432000000007</v>
      </c>
      <c r="K163" s="247">
        <v>6624.7372800000003</v>
      </c>
      <c r="L163" s="194">
        <v>7280.9216000000006</v>
      </c>
      <c r="M163" s="220">
        <f t="shared" si="21"/>
        <v>656.18432000000007</v>
      </c>
      <c r="N163" s="220">
        <f t="shared" si="22"/>
        <v>6000</v>
      </c>
      <c r="O163" s="220">
        <f t="shared" si="23"/>
        <v>6656.1843200000003</v>
      </c>
      <c r="P163" s="301">
        <f t="shared" si="24"/>
        <v>610.25141760000008</v>
      </c>
      <c r="Q163" s="301">
        <f t="shared" si="25"/>
        <v>5580</v>
      </c>
      <c r="R163" s="300">
        <f t="shared" si="26"/>
        <v>6190.2514176000004</v>
      </c>
    </row>
    <row r="164" spans="1:18" s="209" customFormat="1" x14ac:dyDescent="0.25">
      <c r="A164" s="210">
        <v>153</v>
      </c>
      <c r="B164" s="152" t="s">
        <v>217</v>
      </c>
      <c r="C164" s="153" t="s">
        <v>153</v>
      </c>
      <c r="D164" s="200">
        <v>2000</v>
      </c>
      <c r="E164" s="173">
        <v>6000</v>
      </c>
      <c r="F164" s="216">
        <f t="shared" si="18"/>
        <v>8000</v>
      </c>
      <c r="G164" s="261">
        <f t="shared" si="19"/>
        <v>1600</v>
      </c>
      <c r="H164" s="262">
        <v>8000</v>
      </c>
      <c r="I164" s="261">
        <f t="shared" si="20"/>
        <v>9600</v>
      </c>
      <c r="J164" s="247">
        <v>656.18432000000007</v>
      </c>
      <c r="K164" s="247">
        <v>6624.7372800000003</v>
      </c>
      <c r="L164" s="194">
        <v>7280.9216000000006</v>
      </c>
      <c r="M164" s="220">
        <f t="shared" si="21"/>
        <v>656.18432000000007</v>
      </c>
      <c r="N164" s="220">
        <f t="shared" si="22"/>
        <v>6000</v>
      </c>
      <c r="O164" s="220">
        <f t="shared" si="23"/>
        <v>6656.1843200000003</v>
      </c>
      <c r="P164" s="301">
        <f t="shared" si="24"/>
        <v>610.25141760000008</v>
      </c>
      <c r="Q164" s="301">
        <f t="shared" si="25"/>
        <v>5580</v>
      </c>
      <c r="R164" s="300">
        <f t="shared" si="26"/>
        <v>6190.2514176000004</v>
      </c>
    </row>
    <row r="165" spans="1:18" s="209" customFormat="1" x14ac:dyDescent="0.25">
      <c r="A165" s="210">
        <v>154</v>
      </c>
      <c r="B165" s="152" t="s">
        <v>218</v>
      </c>
      <c r="C165" s="153" t="s">
        <v>153</v>
      </c>
      <c r="D165" s="200">
        <v>1000</v>
      </c>
      <c r="E165" s="173">
        <v>4000</v>
      </c>
      <c r="F165" s="216">
        <f t="shared" si="18"/>
        <v>5000</v>
      </c>
      <c r="G165" s="261">
        <f t="shared" si="19"/>
        <v>12000</v>
      </c>
      <c r="H165" s="262">
        <v>60000</v>
      </c>
      <c r="I165" s="261">
        <f t="shared" si="20"/>
        <v>72000</v>
      </c>
      <c r="J165" s="247">
        <v>129.11680000000001</v>
      </c>
      <c r="K165" s="247">
        <v>4516.4672</v>
      </c>
      <c r="L165" s="194">
        <v>4645.5839999999998</v>
      </c>
      <c r="M165" s="220">
        <f t="shared" si="21"/>
        <v>129.11680000000001</v>
      </c>
      <c r="N165" s="220">
        <f t="shared" si="22"/>
        <v>4000</v>
      </c>
      <c r="O165" s="220">
        <f t="shared" si="23"/>
        <v>4129.1167999999998</v>
      </c>
      <c r="P165" s="301">
        <f t="shared" si="24"/>
        <v>120.078624</v>
      </c>
      <c r="Q165" s="301">
        <f t="shared" si="25"/>
        <v>3720</v>
      </c>
      <c r="R165" s="300">
        <f t="shared" si="26"/>
        <v>3840.0786240000002</v>
      </c>
    </row>
    <row r="166" spans="1:18" s="209" customFormat="1" x14ac:dyDescent="0.25">
      <c r="A166" s="210">
        <v>155</v>
      </c>
      <c r="B166" s="152" t="s">
        <v>219</v>
      </c>
      <c r="C166" s="153" t="s">
        <v>153</v>
      </c>
      <c r="D166" s="200">
        <v>12000</v>
      </c>
      <c r="E166" s="173">
        <v>35000</v>
      </c>
      <c r="F166" s="216">
        <f t="shared" si="18"/>
        <v>47000</v>
      </c>
      <c r="G166" s="261">
        <f t="shared" si="19"/>
        <v>9000</v>
      </c>
      <c r="H166" s="262">
        <v>45000</v>
      </c>
      <c r="I166" s="261">
        <f t="shared" si="20"/>
        <v>54000</v>
      </c>
      <c r="J166" s="247">
        <v>9207.68</v>
      </c>
      <c r="K166" s="247">
        <v>40830.720000000001</v>
      </c>
      <c r="L166" s="194">
        <v>50038.400000000001</v>
      </c>
      <c r="M166" s="220">
        <f t="shared" si="21"/>
        <v>9000</v>
      </c>
      <c r="N166" s="220">
        <f t="shared" si="22"/>
        <v>35000</v>
      </c>
      <c r="O166" s="220">
        <f t="shared" si="23"/>
        <v>44000</v>
      </c>
      <c r="P166" s="301">
        <f t="shared" si="24"/>
        <v>8370</v>
      </c>
      <c r="Q166" s="301">
        <f t="shared" si="25"/>
        <v>32550</v>
      </c>
      <c r="R166" s="300">
        <f t="shared" si="26"/>
        <v>40920</v>
      </c>
    </row>
    <row r="167" spans="1:18" s="209" customFormat="1" ht="22.5" x14ac:dyDescent="0.25">
      <c r="A167" s="210">
        <v>156</v>
      </c>
      <c r="B167" s="161" t="s">
        <v>224</v>
      </c>
      <c r="C167" s="153" t="s">
        <v>153</v>
      </c>
      <c r="D167" s="200">
        <v>158000</v>
      </c>
      <c r="E167" s="173">
        <v>439000</v>
      </c>
      <c r="F167" s="216">
        <f t="shared" si="18"/>
        <v>597000</v>
      </c>
      <c r="G167" s="261">
        <f t="shared" si="19"/>
        <v>106000</v>
      </c>
      <c r="H167" s="262">
        <v>530000</v>
      </c>
      <c r="I167" s="261">
        <f t="shared" si="20"/>
        <v>636000</v>
      </c>
      <c r="J167" s="247">
        <v>138728.165387708</v>
      </c>
      <c r="K167" s="247">
        <v>558912.66155083419</v>
      </c>
      <c r="L167" s="194">
        <v>697640.82693854219</v>
      </c>
      <c r="M167" s="220">
        <f t="shared" si="21"/>
        <v>106000</v>
      </c>
      <c r="N167" s="220">
        <f t="shared" si="22"/>
        <v>439000</v>
      </c>
      <c r="O167" s="220">
        <f t="shared" si="23"/>
        <v>545000</v>
      </c>
      <c r="P167" s="301">
        <f t="shared" si="24"/>
        <v>98580</v>
      </c>
      <c r="Q167" s="301">
        <f t="shared" si="25"/>
        <v>408270</v>
      </c>
      <c r="R167" s="300">
        <f t="shared" si="26"/>
        <v>506850</v>
      </c>
    </row>
    <row r="168" spans="1:18" s="209" customFormat="1" ht="22.5" x14ac:dyDescent="0.25">
      <c r="A168" s="210">
        <v>157</v>
      </c>
      <c r="B168" s="152" t="s">
        <v>226</v>
      </c>
      <c r="C168" s="153" t="s">
        <v>153</v>
      </c>
      <c r="D168" s="200">
        <v>147000</v>
      </c>
      <c r="E168" s="173">
        <v>449000</v>
      </c>
      <c r="F168" s="216">
        <f t="shared" si="18"/>
        <v>596000</v>
      </c>
      <c r="G168" s="261">
        <f t="shared" si="19"/>
        <v>106000</v>
      </c>
      <c r="H168" s="262">
        <v>530000</v>
      </c>
      <c r="I168" s="261">
        <f t="shared" si="20"/>
        <v>636000</v>
      </c>
      <c r="J168" s="247">
        <v>129252.691951812</v>
      </c>
      <c r="K168" s="247">
        <v>521010.76780724898</v>
      </c>
      <c r="L168" s="194">
        <v>650263.45975906099</v>
      </c>
      <c r="M168" s="220">
        <f t="shared" si="21"/>
        <v>106000</v>
      </c>
      <c r="N168" s="220">
        <f t="shared" si="22"/>
        <v>449000</v>
      </c>
      <c r="O168" s="220">
        <f t="shared" si="23"/>
        <v>555000</v>
      </c>
      <c r="P168" s="301">
        <f t="shared" si="24"/>
        <v>98580</v>
      </c>
      <c r="Q168" s="301">
        <f t="shared" si="25"/>
        <v>417570</v>
      </c>
      <c r="R168" s="300">
        <f t="shared" si="26"/>
        <v>516150</v>
      </c>
    </row>
    <row r="169" spans="1:18" s="209" customFormat="1" x14ac:dyDescent="0.25">
      <c r="A169" s="210">
        <v>158</v>
      </c>
      <c r="B169" s="152" t="s">
        <v>42</v>
      </c>
      <c r="C169" s="153" t="s">
        <v>153</v>
      </c>
      <c r="D169" s="200">
        <v>38000</v>
      </c>
      <c r="E169" s="173">
        <v>104000</v>
      </c>
      <c r="F169" s="216">
        <f t="shared" si="18"/>
        <v>142000</v>
      </c>
      <c r="G169" s="261">
        <f t="shared" si="19"/>
        <v>26000</v>
      </c>
      <c r="H169" s="262">
        <v>130000</v>
      </c>
      <c r="I169" s="261">
        <f t="shared" si="20"/>
        <v>156000</v>
      </c>
      <c r="J169" s="247">
        <v>32227.970653578799</v>
      </c>
      <c r="K169" s="247">
        <v>132911.88261431543</v>
      </c>
      <c r="L169" s="194">
        <v>165139.85326789424</v>
      </c>
      <c r="M169" s="220">
        <f t="shared" si="21"/>
        <v>26000</v>
      </c>
      <c r="N169" s="220">
        <f t="shared" si="22"/>
        <v>104000</v>
      </c>
      <c r="O169" s="220">
        <f t="shared" si="23"/>
        <v>130000</v>
      </c>
      <c r="P169" s="301">
        <f t="shared" si="24"/>
        <v>24180</v>
      </c>
      <c r="Q169" s="301">
        <f t="shared" si="25"/>
        <v>96720</v>
      </c>
      <c r="R169" s="300">
        <f t="shared" si="26"/>
        <v>120900</v>
      </c>
    </row>
    <row r="170" spans="1:18" s="209" customFormat="1" x14ac:dyDescent="0.25">
      <c r="A170" s="210">
        <v>159</v>
      </c>
      <c r="B170" s="211" t="s">
        <v>95</v>
      </c>
      <c r="C170" s="153" t="s">
        <v>153</v>
      </c>
      <c r="D170" s="200">
        <v>242000</v>
      </c>
      <c r="E170" s="173">
        <v>739000</v>
      </c>
      <c r="F170" s="216">
        <f t="shared" si="18"/>
        <v>981000</v>
      </c>
      <c r="G170" s="261">
        <f t="shared" si="19"/>
        <v>17200</v>
      </c>
      <c r="H170" s="262">
        <v>86000</v>
      </c>
      <c r="I170" s="261">
        <f t="shared" si="20"/>
        <v>103200</v>
      </c>
      <c r="J170" s="247">
        <v>213413.795968121</v>
      </c>
      <c r="K170" s="247">
        <v>857655.18387248274</v>
      </c>
      <c r="L170" s="194">
        <v>1071068.9798406037</v>
      </c>
      <c r="M170" s="220">
        <f t="shared" si="21"/>
        <v>17200</v>
      </c>
      <c r="N170" s="220">
        <f t="shared" si="22"/>
        <v>86000</v>
      </c>
      <c r="O170" s="220">
        <f t="shared" si="23"/>
        <v>103200</v>
      </c>
      <c r="P170" s="301">
        <f t="shared" si="24"/>
        <v>15996</v>
      </c>
      <c r="Q170" s="301">
        <f t="shared" si="25"/>
        <v>79980</v>
      </c>
      <c r="R170" s="300">
        <f t="shared" si="26"/>
        <v>95976</v>
      </c>
    </row>
    <row r="171" spans="1:18" s="209" customFormat="1" x14ac:dyDescent="0.25">
      <c r="A171" s="210">
        <v>160</v>
      </c>
      <c r="B171" s="211" t="s">
        <v>228</v>
      </c>
      <c r="C171" s="153" t="s">
        <v>153</v>
      </c>
      <c r="D171" s="200">
        <v>1000</v>
      </c>
      <c r="E171" s="173">
        <v>2000</v>
      </c>
      <c r="F171" s="216">
        <f t="shared" si="18"/>
        <v>3000</v>
      </c>
      <c r="G171" s="261">
        <f t="shared" si="19"/>
        <v>600</v>
      </c>
      <c r="H171" s="262">
        <v>3000</v>
      </c>
      <c r="I171" s="261">
        <f t="shared" si="20"/>
        <v>3600</v>
      </c>
      <c r="J171" s="247">
        <v>-246.50488048</v>
      </c>
      <c r="K171" s="247">
        <v>3013.9804780800009</v>
      </c>
      <c r="L171" s="194">
        <v>2767.475597600001</v>
      </c>
      <c r="M171" s="220">
        <f t="shared" si="21"/>
        <v>-246.50488048</v>
      </c>
      <c r="N171" s="220">
        <f t="shared" si="22"/>
        <v>2000</v>
      </c>
      <c r="O171" s="220">
        <f t="shared" si="23"/>
        <v>1753.4951195200001</v>
      </c>
      <c r="P171" s="301">
        <f t="shared" si="24"/>
        <v>-229.24953884639999</v>
      </c>
      <c r="Q171" s="301">
        <f t="shared" si="25"/>
        <v>1860</v>
      </c>
      <c r="R171" s="300">
        <f t="shared" si="26"/>
        <v>1630.7504611536001</v>
      </c>
    </row>
    <row r="172" spans="1:18" s="209" customFormat="1" x14ac:dyDescent="0.25">
      <c r="A172" s="210">
        <v>161</v>
      </c>
      <c r="B172" s="211" t="s">
        <v>229</v>
      </c>
      <c r="C172" s="153" t="s">
        <v>153</v>
      </c>
      <c r="D172" s="200">
        <v>27000</v>
      </c>
      <c r="E172" s="173">
        <v>83000</v>
      </c>
      <c r="F172" s="216">
        <f t="shared" si="18"/>
        <v>110000</v>
      </c>
      <c r="G172" s="261">
        <f t="shared" si="19"/>
        <v>20000</v>
      </c>
      <c r="H172" s="262">
        <v>100000</v>
      </c>
      <c r="I172" s="261">
        <f t="shared" si="20"/>
        <v>120000</v>
      </c>
      <c r="J172" s="247">
        <v>23123.1435114505</v>
      </c>
      <c r="K172" s="247">
        <v>96492.57404580219</v>
      </c>
      <c r="L172" s="194">
        <v>119615.71755725269</v>
      </c>
      <c r="M172" s="220">
        <f t="shared" si="21"/>
        <v>20000</v>
      </c>
      <c r="N172" s="220">
        <f t="shared" si="22"/>
        <v>83000</v>
      </c>
      <c r="O172" s="220">
        <f t="shared" si="23"/>
        <v>103000</v>
      </c>
      <c r="P172" s="301">
        <f t="shared" si="24"/>
        <v>18600</v>
      </c>
      <c r="Q172" s="301">
        <f t="shared" si="25"/>
        <v>77190</v>
      </c>
      <c r="R172" s="300">
        <f t="shared" si="26"/>
        <v>95790</v>
      </c>
    </row>
    <row r="173" spans="1:18" s="209" customFormat="1" x14ac:dyDescent="0.25">
      <c r="A173" s="210">
        <v>162</v>
      </c>
      <c r="B173" s="211" t="s">
        <v>241</v>
      </c>
      <c r="C173" s="153" t="s">
        <v>153</v>
      </c>
      <c r="D173" s="200">
        <v>59000</v>
      </c>
      <c r="E173" s="173">
        <v>181000</v>
      </c>
      <c r="F173" s="216">
        <f t="shared" si="18"/>
        <v>240000</v>
      </c>
      <c r="G173" s="261">
        <f t="shared" si="19"/>
        <v>46000</v>
      </c>
      <c r="H173" s="262">
        <v>230000</v>
      </c>
      <c r="I173" s="261">
        <f t="shared" si="20"/>
        <v>276000</v>
      </c>
      <c r="J173" s="247">
        <v>51496.639999999999</v>
      </c>
      <c r="K173" s="247">
        <v>209986.56000000003</v>
      </c>
      <c r="L173" s="194">
        <v>261483.2</v>
      </c>
      <c r="M173" s="220">
        <f t="shared" si="21"/>
        <v>46000</v>
      </c>
      <c r="N173" s="220">
        <f t="shared" si="22"/>
        <v>181000</v>
      </c>
      <c r="O173" s="220">
        <f t="shared" si="23"/>
        <v>227000</v>
      </c>
      <c r="P173" s="301">
        <f t="shared" si="24"/>
        <v>42780</v>
      </c>
      <c r="Q173" s="301">
        <f t="shared" si="25"/>
        <v>168330</v>
      </c>
      <c r="R173" s="300">
        <f t="shared" si="26"/>
        <v>211110</v>
      </c>
    </row>
    <row r="174" spans="1:18" s="209" customFormat="1" x14ac:dyDescent="0.25">
      <c r="A174" s="210">
        <v>163</v>
      </c>
      <c r="B174" s="158" t="s">
        <v>85</v>
      </c>
      <c r="C174" s="153" t="s">
        <v>153</v>
      </c>
      <c r="D174" s="200">
        <v>76000</v>
      </c>
      <c r="E174" s="173">
        <v>259000</v>
      </c>
      <c r="F174" s="216">
        <f t="shared" si="18"/>
        <v>335000</v>
      </c>
      <c r="G174" s="261">
        <f t="shared" si="19"/>
        <v>60000</v>
      </c>
      <c r="H174" s="262">
        <v>300000</v>
      </c>
      <c r="I174" s="261">
        <f t="shared" si="20"/>
        <v>360000</v>
      </c>
      <c r="J174" s="247">
        <v>74245.183999999994</v>
      </c>
      <c r="K174" s="247">
        <v>300980.73600000003</v>
      </c>
      <c r="L174" s="194">
        <v>375225.92000000004</v>
      </c>
      <c r="M174" s="220">
        <f t="shared" si="21"/>
        <v>60000</v>
      </c>
      <c r="N174" s="220">
        <f t="shared" si="22"/>
        <v>259000</v>
      </c>
      <c r="O174" s="220">
        <f t="shared" si="23"/>
        <v>319000</v>
      </c>
      <c r="P174" s="301">
        <f t="shared" si="24"/>
        <v>55800</v>
      </c>
      <c r="Q174" s="301">
        <f t="shared" si="25"/>
        <v>240870</v>
      </c>
      <c r="R174" s="300">
        <f t="shared" si="26"/>
        <v>296670</v>
      </c>
    </row>
    <row r="175" spans="1:18" s="209" customFormat="1" x14ac:dyDescent="0.25">
      <c r="A175" s="210">
        <v>164</v>
      </c>
      <c r="B175" s="158" t="s">
        <v>120</v>
      </c>
      <c r="C175" s="153" t="s">
        <v>153</v>
      </c>
      <c r="D175" s="200">
        <v>1119000</v>
      </c>
      <c r="E175" s="173">
        <v>5842000</v>
      </c>
      <c r="F175" s="216">
        <f t="shared" si="18"/>
        <v>6961000</v>
      </c>
      <c r="G175" s="261">
        <f t="shared" si="19"/>
        <v>1250000</v>
      </c>
      <c r="H175" s="262">
        <v>6250000</v>
      </c>
      <c r="I175" s="261">
        <f t="shared" si="20"/>
        <v>7500000</v>
      </c>
      <c r="J175" s="247">
        <v>1693228.7914799999</v>
      </c>
      <c r="K175" s="247">
        <v>6776915.1659200005</v>
      </c>
      <c r="L175" s="194">
        <v>8470143.9573999997</v>
      </c>
      <c r="M175" s="220">
        <f t="shared" si="21"/>
        <v>1119000</v>
      </c>
      <c r="N175" s="220">
        <f t="shared" si="22"/>
        <v>5842000</v>
      </c>
      <c r="O175" s="220">
        <f t="shared" si="23"/>
        <v>6961000</v>
      </c>
      <c r="P175" s="301">
        <f t="shared" si="24"/>
        <v>1040670</v>
      </c>
      <c r="Q175" s="301">
        <f t="shared" si="25"/>
        <v>5433060</v>
      </c>
      <c r="R175" s="300">
        <f t="shared" si="26"/>
        <v>6473730</v>
      </c>
    </row>
    <row r="176" spans="1:18" s="209" customFormat="1" x14ac:dyDescent="0.25">
      <c r="A176" s="210">
        <v>165</v>
      </c>
      <c r="B176" s="158" t="s">
        <v>67</v>
      </c>
      <c r="C176" s="153" t="s">
        <v>153</v>
      </c>
      <c r="D176" s="200">
        <v>223000</v>
      </c>
      <c r="E176" s="173">
        <v>682000</v>
      </c>
      <c r="F176" s="216">
        <f t="shared" si="18"/>
        <v>905000</v>
      </c>
      <c r="G176" s="261">
        <f t="shared" si="19"/>
        <v>170000</v>
      </c>
      <c r="H176" s="262">
        <v>850000</v>
      </c>
      <c r="I176" s="261">
        <f t="shared" si="20"/>
        <v>1020000</v>
      </c>
      <c r="J176" s="247">
        <v>196749.90341421199</v>
      </c>
      <c r="K176" s="247">
        <v>790999.61365684785</v>
      </c>
      <c r="L176" s="194">
        <v>987749.5170710599</v>
      </c>
      <c r="M176" s="220">
        <f t="shared" si="21"/>
        <v>170000</v>
      </c>
      <c r="N176" s="220">
        <f t="shared" si="22"/>
        <v>682000</v>
      </c>
      <c r="O176" s="220">
        <f t="shared" si="23"/>
        <v>852000</v>
      </c>
      <c r="P176" s="301">
        <f t="shared" si="24"/>
        <v>158100</v>
      </c>
      <c r="Q176" s="301">
        <f t="shared" si="25"/>
        <v>634260</v>
      </c>
      <c r="R176" s="300">
        <f t="shared" si="26"/>
        <v>792360</v>
      </c>
    </row>
    <row r="177" spans="1:18" s="209" customFormat="1" x14ac:dyDescent="0.25">
      <c r="A177" s="210">
        <v>166</v>
      </c>
      <c r="B177" s="161" t="s">
        <v>543</v>
      </c>
      <c r="C177" s="153" t="s">
        <v>153</v>
      </c>
      <c r="D177" s="200">
        <v>139000</v>
      </c>
      <c r="E177" s="173">
        <v>425000</v>
      </c>
      <c r="F177" s="216">
        <f t="shared" si="18"/>
        <v>564000</v>
      </c>
      <c r="G177" s="261">
        <f t="shared" si="19"/>
        <v>100000</v>
      </c>
      <c r="H177" s="262">
        <v>500000</v>
      </c>
      <c r="I177" s="261">
        <f t="shared" si="20"/>
        <v>600000</v>
      </c>
      <c r="J177" s="247">
        <v>122328.23602677599</v>
      </c>
      <c r="K177" s="247">
        <v>493312.94410710467</v>
      </c>
      <c r="L177" s="194">
        <v>615641.1801338807</v>
      </c>
      <c r="M177" s="220">
        <f t="shared" si="21"/>
        <v>100000</v>
      </c>
      <c r="N177" s="220">
        <f t="shared" si="22"/>
        <v>425000</v>
      </c>
      <c r="O177" s="220">
        <f t="shared" si="23"/>
        <v>525000</v>
      </c>
      <c r="P177" s="301">
        <f t="shared" si="24"/>
        <v>93000</v>
      </c>
      <c r="Q177" s="301">
        <f t="shared" si="25"/>
        <v>395250</v>
      </c>
      <c r="R177" s="300">
        <f t="shared" si="26"/>
        <v>488250</v>
      </c>
    </row>
    <row r="178" spans="1:18" s="209" customFormat="1" x14ac:dyDescent="0.25">
      <c r="A178" s="210">
        <v>167</v>
      </c>
      <c r="B178" s="161" t="s">
        <v>544</v>
      </c>
      <c r="C178" s="153" t="s">
        <v>153</v>
      </c>
      <c r="D178" s="200">
        <v>245000</v>
      </c>
      <c r="E178" s="173">
        <v>682000</v>
      </c>
      <c r="F178" s="216">
        <f t="shared" si="18"/>
        <v>927000</v>
      </c>
      <c r="G178" s="261">
        <f t="shared" si="19"/>
        <v>164000</v>
      </c>
      <c r="H178" s="262">
        <v>820000</v>
      </c>
      <c r="I178" s="261">
        <f t="shared" si="20"/>
        <v>984000</v>
      </c>
      <c r="J178" s="247">
        <v>216020.881259566</v>
      </c>
      <c r="K178" s="247">
        <v>868083.52503826469</v>
      </c>
      <c r="L178" s="194">
        <v>1084104.4062978306</v>
      </c>
      <c r="M178" s="220">
        <f t="shared" si="21"/>
        <v>164000</v>
      </c>
      <c r="N178" s="220">
        <f t="shared" si="22"/>
        <v>682000</v>
      </c>
      <c r="O178" s="220">
        <f t="shared" si="23"/>
        <v>846000</v>
      </c>
      <c r="P178" s="301">
        <f t="shared" si="24"/>
        <v>152520</v>
      </c>
      <c r="Q178" s="301">
        <f t="shared" si="25"/>
        <v>634260</v>
      </c>
      <c r="R178" s="300">
        <f t="shared" si="26"/>
        <v>786780</v>
      </c>
    </row>
    <row r="179" spans="1:18" s="209" customFormat="1" x14ac:dyDescent="0.25">
      <c r="A179" s="210">
        <v>168</v>
      </c>
      <c r="B179" s="161" t="s">
        <v>545</v>
      </c>
      <c r="C179" s="153" t="s">
        <v>153</v>
      </c>
      <c r="D179" s="200">
        <v>131000</v>
      </c>
      <c r="E179" s="173">
        <v>400000</v>
      </c>
      <c r="F179" s="216">
        <f t="shared" si="18"/>
        <v>531000</v>
      </c>
      <c r="G179" s="261">
        <f t="shared" si="19"/>
        <v>92000</v>
      </c>
      <c r="H179" s="262">
        <v>460000</v>
      </c>
      <c r="I179" s="261">
        <f t="shared" si="20"/>
        <v>552000</v>
      </c>
      <c r="J179" s="247">
        <v>114871.7504</v>
      </c>
      <c r="K179" s="247">
        <v>463487.00160000002</v>
      </c>
      <c r="L179" s="194">
        <v>578358.75199999998</v>
      </c>
      <c r="M179" s="220">
        <f t="shared" si="21"/>
        <v>92000</v>
      </c>
      <c r="N179" s="220">
        <f t="shared" si="22"/>
        <v>400000</v>
      </c>
      <c r="O179" s="220">
        <f t="shared" si="23"/>
        <v>492000</v>
      </c>
      <c r="P179" s="301">
        <f t="shared" si="24"/>
        <v>85560</v>
      </c>
      <c r="Q179" s="301">
        <f t="shared" si="25"/>
        <v>372000</v>
      </c>
      <c r="R179" s="300">
        <f t="shared" si="26"/>
        <v>457560</v>
      </c>
    </row>
    <row r="180" spans="1:18" s="209" customFormat="1" x14ac:dyDescent="0.25">
      <c r="A180" s="210">
        <v>169</v>
      </c>
      <c r="B180" s="161" t="s">
        <v>234</v>
      </c>
      <c r="C180" s="153" t="s">
        <v>153</v>
      </c>
      <c r="D180" s="200">
        <v>127000</v>
      </c>
      <c r="E180" s="173">
        <v>530000</v>
      </c>
      <c r="F180" s="216">
        <f t="shared" si="18"/>
        <v>657000</v>
      </c>
      <c r="G180" s="261">
        <f t="shared" si="19"/>
        <v>116000</v>
      </c>
      <c r="H180" s="262">
        <v>580000</v>
      </c>
      <c r="I180" s="261">
        <f t="shared" si="20"/>
        <v>696000</v>
      </c>
      <c r="J180" s="247">
        <v>152829.73759999999</v>
      </c>
      <c r="K180" s="247">
        <v>615318.95040000009</v>
      </c>
      <c r="L180" s="194">
        <v>768148.68800000008</v>
      </c>
      <c r="M180" s="220">
        <f t="shared" si="21"/>
        <v>116000</v>
      </c>
      <c r="N180" s="220">
        <f t="shared" si="22"/>
        <v>530000</v>
      </c>
      <c r="O180" s="220">
        <f t="shared" si="23"/>
        <v>646000</v>
      </c>
      <c r="P180" s="301">
        <f t="shared" si="24"/>
        <v>107880</v>
      </c>
      <c r="Q180" s="301">
        <f t="shared" si="25"/>
        <v>492900</v>
      </c>
      <c r="R180" s="300">
        <f t="shared" si="26"/>
        <v>600780</v>
      </c>
    </row>
    <row r="181" spans="1:18" s="209" customFormat="1" x14ac:dyDescent="0.25">
      <c r="A181" s="210">
        <v>170</v>
      </c>
      <c r="B181" s="161" t="s">
        <v>546</v>
      </c>
      <c r="C181" s="153" t="s">
        <v>153</v>
      </c>
      <c r="D181" s="200">
        <v>155000</v>
      </c>
      <c r="E181" s="173">
        <v>1257000</v>
      </c>
      <c r="F181" s="216">
        <f t="shared" si="18"/>
        <v>1412000</v>
      </c>
      <c r="G181" s="261">
        <f t="shared" si="19"/>
        <v>250000</v>
      </c>
      <c r="H181" s="262">
        <v>1250000</v>
      </c>
      <c r="I181" s="261">
        <f t="shared" si="20"/>
        <v>1500000</v>
      </c>
      <c r="J181" s="247">
        <v>377391.19315200002</v>
      </c>
      <c r="K181" s="247">
        <v>1513564.7726080001</v>
      </c>
      <c r="L181" s="194">
        <v>1890955.9657600001</v>
      </c>
      <c r="M181" s="220">
        <f t="shared" si="21"/>
        <v>155000</v>
      </c>
      <c r="N181" s="220">
        <f t="shared" si="22"/>
        <v>1250000</v>
      </c>
      <c r="O181" s="220">
        <f t="shared" si="23"/>
        <v>1405000</v>
      </c>
      <c r="P181" s="301">
        <f t="shared" si="24"/>
        <v>144150</v>
      </c>
      <c r="Q181" s="301">
        <f t="shared" si="25"/>
        <v>1162500</v>
      </c>
      <c r="R181" s="300">
        <f t="shared" si="26"/>
        <v>1306650</v>
      </c>
    </row>
    <row r="182" spans="1:18" s="209" customFormat="1" x14ac:dyDescent="0.25">
      <c r="A182" s="210">
        <v>171</v>
      </c>
      <c r="B182" s="158" t="s">
        <v>84</v>
      </c>
      <c r="C182" s="153" t="s">
        <v>153</v>
      </c>
      <c r="D182" s="200">
        <v>159000</v>
      </c>
      <c r="E182" s="173">
        <v>540000</v>
      </c>
      <c r="F182" s="216">
        <f t="shared" si="18"/>
        <v>699000</v>
      </c>
      <c r="G182" s="261">
        <f t="shared" si="19"/>
        <v>124000</v>
      </c>
      <c r="H182" s="262">
        <v>620000</v>
      </c>
      <c r="I182" s="261">
        <f t="shared" si="20"/>
        <v>744000</v>
      </c>
      <c r="J182" s="247">
        <v>155695.238946692</v>
      </c>
      <c r="K182" s="247">
        <v>626780.95578676765</v>
      </c>
      <c r="L182" s="194">
        <v>782476.19473345962</v>
      </c>
      <c r="M182" s="220">
        <f t="shared" si="21"/>
        <v>124000</v>
      </c>
      <c r="N182" s="220">
        <f t="shared" si="22"/>
        <v>540000</v>
      </c>
      <c r="O182" s="220">
        <f t="shared" si="23"/>
        <v>664000</v>
      </c>
      <c r="P182" s="301">
        <f t="shared" si="24"/>
        <v>115320</v>
      </c>
      <c r="Q182" s="301">
        <f t="shared" si="25"/>
        <v>502200</v>
      </c>
      <c r="R182" s="300">
        <f t="shared" si="26"/>
        <v>617520</v>
      </c>
    </row>
    <row r="183" spans="1:18" s="209" customFormat="1" x14ac:dyDescent="0.25">
      <c r="A183" s="210">
        <v>172</v>
      </c>
      <c r="B183" s="158" t="s">
        <v>236</v>
      </c>
      <c r="C183" s="153" t="s">
        <v>153</v>
      </c>
      <c r="D183" s="200">
        <v>171000</v>
      </c>
      <c r="E183" s="173">
        <v>521000</v>
      </c>
      <c r="F183" s="216">
        <f t="shared" si="18"/>
        <v>692000</v>
      </c>
      <c r="G183" s="261">
        <f t="shared" si="19"/>
        <v>122400</v>
      </c>
      <c r="H183" s="262">
        <v>612000</v>
      </c>
      <c r="I183" s="261">
        <f t="shared" si="20"/>
        <v>734400</v>
      </c>
      <c r="J183" s="247">
        <v>150141.84317393901</v>
      </c>
      <c r="K183" s="247">
        <v>604567.37269575638</v>
      </c>
      <c r="L183" s="194">
        <v>754709.21586969541</v>
      </c>
      <c r="M183" s="220">
        <f t="shared" si="21"/>
        <v>122400</v>
      </c>
      <c r="N183" s="220">
        <f t="shared" si="22"/>
        <v>521000</v>
      </c>
      <c r="O183" s="220">
        <f t="shared" si="23"/>
        <v>643400</v>
      </c>
      <c r="P183" s="301">
        <f t="shared" si="24"/>
        <v>113832</v>
      </c>
      <c r="Q183" s="301">
        <f t="shared" si="25"/>
        <v>484530</v>
      </c>
      <c r="R183" s="300">
        <f t="shared" si="26"/>
        <v>598362</v>
      </c>
    </row>
    <row r="184" spans="1:18" s="209" customFormat="1" x14ac:dyDescent="0.25">
      <c r="A184" s="210">
        <v>173</v>
      </c>
      <c r="B184" s="211" t="s">
        <v>239</v>
      </c>
      <c r="C184" s="153" t="s">
        <v>153</v>
      </c>
      <c r="D184" s="200">
        <v>24000</v>
      </c>
      <c r="E184" s="173">
        <v>75000</v>
      </c>
      <c r="F184" s="216">
        <f t="shared" si="18"/>
        <v>99000</v>
      </c>
      <c r="G184" s="261">
        <f t="shared" si="19"/>
        <v>17400</v>
      </c>
      <c r="H184" s="262">
        <v>87000</v>
      </c>
      <c r="I184" s="261">
        <f t="shared" si="20"/>
        <v>104400</v>
      </c>
      <c r="J184" s="247">
        <v>20633.492208487802</v>
      </c>
      <c r="K184" s="247">
        <v>86533.96883395109</v>
      </c>
      <c r="L184" s="194">
        <v>107167.4610424389</v>
      </c>
      <c r="M184" s="220">
        <f t="shared" si="21"/>
        <v>17400</v>
      </c>
      <c r="N184" s="220">
        <f t="shared" si="22"/>
        <v>75000</v>
      </c>
      <c r="O184" s="220">
        <f t="shared" si="23"/>
        <v>92400</v>
      </c>
      <c r="P184" s="301">
        <f t="shared" si="24"/>
        <v>16182</v>
      </c>
      <c r="Q184" s="301">
        <f t="shared" si="25"/>
        <v>69750</v>
      </c>
      <c r="R184" s="300">
        <f t="shared" si="26"/>
        <v>85932</v>
      </c>
    </row>
    <row r="185" spans="1:18" s="209" customFormat="1" x14ac:dyDescent="0.25">
      <c r="A185" s="210">
        <v>174</v>
      </c>
      <c r="B185" s="211" t="s">
        <v>240</v>
      </c>
      <c r="C185" s="153" t="s">
        <v>153</v>
      </c>
      <c r="D185" s="200">
        <v>80000</v>
      </c>
      <c r="E185" s="173">
        <v>246000</v>
      </c>
      <c r="F185" s="216">
        <f t="shared" si="18"/>
        <v>326000</v>
      </c>
      <c r="G185" s="261">
        <f t="shared" si="19"/>
        <v>58000</v>
      </c>
      <c r="H185" s="262">
        <v>290000</v>
      </c>
      <c r="I185" s="261">
        <f t="shared" si="20"/>
        <v>348000</v>
      </c>
      <c r="J185" s="247">
        <v>70202.576355328303</v>
      </c>
      <c r="K185" s="247">
        <v>284810.30542131327</v>
      </c>
      <c r="L185" s="194">
        <v>355012.88177664159</v>
      </c>
      <c r="M185" s="220">
        <f t="shared" si="21"/>
        <v>58000</v>
      </c>
      <c r="N185" s="220">
        <f t="shared" si="22"/>
        <v>246000</v>
      </c>
      <c r="O185" s="220">
        <f t="shared" si="23"/>
        <v>304000</v>
      </c>
      <c r="P185" s="301">
        <f t="shared" si="24"/>
        <v>53940</v>
      </c>
      <c r="Q185" s="301">
        <f t="shared" si="25"/>
        <v>228780</v>
      </c>
      <c r="R185" s="300">
        <f t="shared" si="26"/>
        <v>282720</v>
      </c>
    </row>
    <row r="186" spans="1:18" s="209" customFormat="1" x14ac:dyDescent="0.25">
      <c r="A186" s="210">
        <v>175</v>
      </c>
      <c r="B186" s="211" t="s">
        <v>428</v>
      </c>
      <c r="C186" s="153" t="s">
        <v>153</v>
      </c>
      <c r="D186" s="200">
        <v>98000</v>
      </c>
      <c r="E186" s="173">
        <v>298000</v>
      </c>
      <c r="F186" s="216">
        <f t="shared" si="18"/>
        <v>396000</v>
      </c>
      <c r="G186" s="261">
        <f t="shared" si="19"/>
        <v>70000</v>
      </c>
      <c r="H186" s="262">
        <v>350000</v>
      </c>
      <c r="I186" s="261">
        <f t="shared" si="20"/>
        <v>420000</v>
      </c>
      <c r="J186" s="247">
        <v>85304.476160000006</v>
      </c>
      <c r="K186" s="247">
        <v>345217.90463999996</v>
      </c>
      <c r="L186" s="194">
        <v>430522.38079999998</v>
      </c>
      <c r="M186" s="220">
        <f t="shared" si="21"/>
        <v>70000</v>
      </c>
      <c r="N186" s="220">
        <f t="shared" si="22"/>
        <v>298000</v>
      </c>
      <c r="O186" s="220">
        <f t="shared" si="23"/>
        <v>368000</v>
      </c>
      <c r="P186" s="301">
        <f t="shared" si="24"/>
        <v>65100</v>
      </c>
      <c r="Q186" s="301">
        <f t="shared" si="25"/>
        <v>277140</v>
      </c>
      <c r="R186" s="300">
        <f t="shared" si="26"/>
        <v>342240</v>
      </c>
    </row>
    <row r="187" spans="1:18" s="209" customFormat="1" x14ac:dyDescent="0.25">
      <c r="A187" s="210">
        <v>176</v>
      </c>
      <c r="B187" s="211" t="s">
        <v>272</v>
      </c>
      <c r="C187" s="153" t="s">
        <v>153</v>
      </c>
      <c r="D187" s="200">
        <v>86000</v>
      </c>
      <c r="E187" s="173">
        <v>262000</v>
      </c>
      <c r="F187" s="216">
        <f t="shared" si="18"/>
        <v>348000</v>
      </c>
      <c r="G187" s="261">
        <f t="shared" si="19"/>
        <v>62000</v>
      </c>
      <c r="H187" s="262">
        <v>310000</v>
      </c>
      <c r="I187" s="261">
        <f t="shared" si="20"/>
        <v>372000</v>
      </c>
      <c r="J187" s="247">
        <v>74915.974400000006</v>
      </c>
      <c r="K187" s="247">
        <v>303663.89760000003</v>
      </c>
      <c r="L187" s="194">
        <v>378579.87200000003</v>
      </c>
      <c r="M187" s="220">
        <f t="shared" si="21"/>
        <v>62000</v>
      </c>
      <c r="N187" s="220">
        <f t="shared" si="22"/>
        <v>262000</v>
      </c>
      <c r="O187" s="220">
        <f t="shared" si="23"/>
        <v>324000</v>
      </c>
      <c r="P187" s="301">
        <f t="shared" si="24"/>
        <v>57660</v>
      </c>
      <c r="Q187" s="301">
        <f t="shared" si="25"/>
        <v>243660</v>
      </c>
      <c r="R187" s="300">
        <f t="shared" si="26"/>
        <v>301320</v>
      </c>
    </row>
    <row r="188" spans="1:18" s="209" customFormat="1" x14ac:dyDescent="0.25">
      <c r="A188" s="210">
        <v>177</v>
      </c>
      <c r="B188" s="211" t="s">
        <v>273</v>
      </c>
      <c r="C188" s="153" t="s">
        <v>153</v>
      </c>
      <c r="D188" s="200">
        <v>161000</v>
      </c>
      <c r="E188" s="173">
        <v>491000</v>
      </c>
      <c r="F188" s="216">
        <f t="shared" si="18"/>
        <v>652000</v>
      </c>
      <c r="G188" s="261">
        <f t="shared" si="19"/>
        <v>116000</v>
      </c>
      <c r="H188" s="262">
        <v>580000</v>
      </c>
      <c r="I188" s="261">
        <f t="shared" si="20"/>
        <v>696000</v>
      </c>
      <c r="J188" s="247">
        <v>141411.60124587399</v>
      </c>
      <c r="K188" s="247">
        <v>569646.40498349478</v>
      </c>
      <c r="L188" s="194">
        <v>711058.00622936874</v>
      </c>
      <c r="M188" s="220">
        <f t="shared" si="21"/>
        <v>116000</v>
      </c>
      <c r="N188" s="220">
        <f t="shared" si="22"/>
        <v>491000</v>
      </c>
      <c r="O188" s="220">
        <f t="shared" si="23"/>
        <v>607000</v>
      </c>
      <c r="P188" s="301">
        <f t="shared" si="24"/>
        <v>107880</v>
      </c>
      <c r="Q188" s="301">
        <f t="shared" si="25"/>
        <v>456630</v>
      </c>
      <c r="R188" s="300">
        <f t="shared" si="26"/>
        <v>564510</v>
      </c>
    </row>
    <row r="189" spans="1:18" s="209" customFormat="1" x14ac:dyDescent="0.25">
      <c r="A189" s="210">
        <v>178</v>
      </c>
      <c r="B189" s="211" t="s">
        <v>94</v>
      </c>
      <c r="C189" s="153" t="s">
        <v>153</v>
      </c>
      <c r="D189" s="200">
        <v>53000</v>
      </c>
      <c r="E189" s="173">
        <v>162000</v>
      </c>
      <c r="F189" s="216">
        <f t="shared" si="18"/>
        <v>215000</v>
      </c>
      <c r="G189" s="261">
        <f t="shared" si="19"/>
        <v>38000</v>
      </c>
      <c r="H189" s="262">
        <v>190000</v>
      </c>
      <c r="I189" s="261">
        <f t="shared" si="20"/>
        <v>228000</v>
      </c>
      <c r="J189" s="247">
        <v>46020.569291254498</v>
      </c>
      <c r="K189" s="247">
        <v>188082.27716501823</v>
      </c>
      <c r="L189" s="194">
        <v>234102.84645627273</v>
      </c>
      <c r="M189" s="220">
        <f t="shared" si="21"/>
        <v>38000</v>
      </c>
      <c r="N189" s="220">
        <f t="shared" si="22"/>
        <v>162000</v>
      </c>
      <c r="O189" s="220">
        <f t="shared" si="23"/>
        <v>200000</v>
      </c>
      <c r="P189" s="301">
        <f t="shared" si="24"/>
        <v>35340</v>
      </c>
      <c r="Q189" s="301">
        <f t="shared" si="25"/>
        <v>150660</v>
      </c>
      <c r="R189" s="300">
        <f t="shared" si="26"/>
        <v>186000</v>
      </c>
    </row>
    <row r="190" spans="1:18" s="209" customFormat="1" x14ac:dyDescent="0.25">
      <c r="A190" s="210">
        <v>179</v>
      </c>
      <c r="B190" s="166" t="s">
        <v>230</v>
      </c>
      <c r="C190" s="153" t="s">
        <v>153</v>
      </c>
      <c r="D190" s="200">
        <v>73000</v>
      </c>
      <c r="E190" s="173">
        <v>644000</v>
      </c>
      <c r="F190" s="216">
        <f t="shared" si="18"/>
        <v>717000</v>
      </c>
      <c r="G190" s="261">
        <f t="shared" si="19"/>
        <v>130000</v>
      </c>
      <c r="H190" s="262">
        <v>650000</v>
      </c>
      <c r="I190" s="261">
        <f t="shared" si="20"/>
        <v>780000</v>
      </c>
      <c r="J190" s="247">
        <v>203950.67250943999</v>
      </c>
      <c r="K190" s="247">
        <v>819802.69003776007</v>
      </c>
      <c r="L190" s="194">
        <v>1023753.3625472001</v>
      </c>
      <c r="M190" s="220">
        <f t="shared" si="21"/>
        <v>73000</v>
      </c>
      <c r="N190" s="220">
        <f t="shared" si="22"/>
        <v>644000</v>
      </c>
      <c r="O190" s="220">
        <f t="shared" si="23"/>
        <v>717000</v>
      </c>
      <c r="P190" s="301">
        <f t="shared" si="24"/>
        <v>67890</v>
      </c>
      <c r="Q190" s="301">
        <f t="shared" si="25"/>
        <v>598920</v>
      </c>
      <c r="R190" s="300">
        <f t="shared" si="26"/>
        <v>666810</v>
      </c>
    </row>
    <row r="191" spans="1:18" s="209" customFormat="1" x14ac:dyDescent="0.25">
      <c r="A191" s="210">
        <v>180</v>
      </c>
      <c r="B191" s="166" t="s">
        <v>231</v>
      </c>
      <c r="C191" s="153" t="s">
        <v>153</v>
      </c>
      <c r="D191" s="200">
        <v>6000</v>
      </c>
      <c r="E191" s="173">
        <v>18000</v>
      </c>
      <c r="F191" s="216">
        <f t="shared" si="18"/>
        <v>24000</v>
      </c>
      <c r="G191" s="261">
        <f t="shared" si="19"/>
        <v>5000</v>
      </c>
      <c r="H191" s="262">
        <v>25000</v>
      </c>
      <c r="I191" s="261">
        <f t="shared" si="20"/>
        <v>30000</v>
      </c>
      <c r="J191" s="247">
        <v>4595.1533595077099</v>
      </c>
      <c r="K191" s="247">
        <v>22380.61343803085</v>
      </c>
      <c r="L191" s="194">
        <v>26975.766797538559</v>
      </c>
      <c r="M191" s="220">
        <f t="shared" si="21"/>
        <v>4595.1533595077099</v>
      </c>
      <c r="N191" s="220">
        <f t="shared" si="22"/>
        <v>18000</v>
      </c>
      <c r="O191" s="220">
        <f t="shared" si="23"/>
        <v>22595.153359507709</v>
      </c>
      <c r="P191" s="301">
        <f t="shared" si="24"/>
        <v>4273.4926243421705</v>
      </c>
      <c r="Q191" s="301">
        <f t="shared" si="25"/>
        <v>16740</v>
      </c>
      <c r="R191" s="300">
        <f t="shared" si="26"/>
        <v>21013.492624342172</v>
      </c>
    </row>
    <row r="192" spans="1:18" s="209" customFormat="1" ht="22.5" x14ac:dyDescent="0.25">
      <c r="A192" s="210">
        <v>181</v>
      </c>
      <c r="B192" s="166" t="s">
        <v>223</v>
      </c>
      <c r="C192" s="153" t="s">
        <v>153</v>
      </c>
      <c r="D192" s="200">
        <v>158000</v>
      </c>
      <c r="E192" s="173">
        <v>483000</v>
      </c>
      <c r="F192" s="216">
        <f t="shared" si="18"/>
        <v>641000</v>
      </c>
      <c r="G192" s="261">
        <f t="shared" si="19"/>
        <v>120000</v>
      </c>
      <c r="H192" s="262">
        <v>600000</v>
      </c>
      <c r="I192" s="261">
        <f t="shared" si="20"/>
        <v>720000</v>
      </c>
      <c r="J192" s="247">
        <v>139014.06740462701</v>
      </c>
      <c r="K192" s="247">
        <v>560056.26961850759</v>
      </c>
      <c r="L192" s="194">
        <v>699070.33702313458</v>
      </c>
      <c r="M192" s="220">
        <f t="shared" si="21"/>
        <v>120000</v>
      </c>
      <c r="N192" s="220">
        <f t="shared" si="22"/>
        <v>483000</v>
      </c>
      <c r="O192" s="220">
        <f t="shared" si="23"/>
        <v>603000</v>
      </c>
      <c r="P192" s="301">
        <f t="shared" si="24"/>
        <v>111600</v>
      </c>
      <c r="Q192" s="301">
        <f t="shared" si="25"/>
        <v>449190</v>
      </c>
      <c r="R192" s="300">
        <f t="shared" si="26"/>
        <v>560790</v>
      </c>
    </row>
    <row r="193" spans="1:18" s="209" customFormat="1" x14ac:dyDescent="0.25">
      <c r="A193" s="210">
        <v>182</v>
      </c>
      <c r="B193" s="161" t="s">
        <v>222</v>
      </c>
      <c r="C193" s="153" t="s">
        <v>153</v>
      </c>
      <c r="D193" s="200">
        <v>51000</v>
      </c>
      <c r="E193" s="173">
        <v>154000</v>
      </c>
      <c r="F193" s="216">
        <f t="shared" si="18"/>
        <v>205000</v>
      </c>
      <c r="G193" s="261">
        <f t="shared" si="19"/>
        <v>36400</v>
      </c>
      <c r="H193" s="262">
        <v>182000</v>
      </c>
      <c r="I193" s="261">
        <f t="shared" si="20"/>
        <v>218400</v>
      </c>
      <c r="J193" s="247">
        <v>43777.016413643199</v>
      </c>
      <c r="K193" s="247">
        <v>179108.06565457303</v>
      </c>
      <c r="L193" s="194">
        <v>222885.08206821623</v>
      </c>
      <c r="M193" s="220">
        <f t="shared" si="21"/>
        <v>36400</v>
      </c>
      <c r="N193" s="220">
        <f t="shared" si="22"/>
        <v>154000</v>
      </c>
      <c r="O193" s="220">
        <f t="shared" si="23"/>
        <v>190400</v>
      </c>
      <c r="P193" s="301">
        <f t="shared" si="24"/>
        <v>33852</v>
      </c>
      <c r="Q193" s="301">
        <f t="shared" si="25"/>
        <v>143220</v>
      </c>
      <c r="R193" s="300">
        <f t="shared" si="26"/>
        <v>177072</v>
      </c>
    </row>
    <row r="194" spans="1:18" s="209" customFormat="1" ht="22.5" x14ac:dyDescent="0.25">
      <c r="A194" s="210"/>
      <c r="B194" s="163" t="s">
        <v>44</v>
      </c>
      <c r="C194" s="153" t="s">
        <v>153</v>
      </c>
      <c r="D194" s="200">
        <v>0</v>
      </c>
      <c r="E194" s="173">
        <v>0</v>
      </c>
      <c r="F194" s="216">
        <f t="shared" si="18"/>
        <v>0</v>
      </c>
      <c r="G194" s="261">
        <f t="shared" si="19"/>
        <v>0</v>
      </c>
      <c r="H194" s="262"/>
      <c r="I194" s="261">
        <f t="shared" si="20"/>
        <v>0</v>
      </c>
      <c r="J194" s="247">
        <v>0</v>
      </c>
      <c r="K194" s="247">
        <v>0</v>
      </c>
      <c r="L194" s="194">
        <v>0</v>
      </c>
      <c r="M194" s="220">
        <f t="shared" si="21"/>
        <v>0</v>
      </c>
      <c r="N194" s="220">
        <f t="shared" si="22"/>
        <v>0</v>
      </c>
      <c r="O194" s="220">
        <f t="shared" si="23"/>
        <v>0</v>
      </c>
      <c r="P194" s="301">
        <f t="shared" si="24"/>
        <v>0</v>
      </c>
      <c r="Q194" s="301">
        <f t="shared" si="25"/>
        <v>0</v>
      </c>
      <c r="R194" s="300">
        <f t="shared" si="26"/>
        <v>0</v>
      </c>
    </row>
    <row r="195" spans="1:18" s="209" customFormat="1" x14ac:dyDescent="0.25">
      <c r="A195" s="210">
        <v>183</v>
      </c>
      <c r="B195" s="158" t="s">
        <v>86</v>
      </c>
      <c r="C195" s="153" t="s">
        <v>153</v>
      </c>
      <c r="D195" s="200">
        <v>32000</v>
      </c>
      <c r="E195" s="173">
        <v>90000</v>
      </c>
      <c r="F195" s="216">
        <f t="shared" si="18"/>
        <v>122000</v>
      </c>
      <c r="G195" s="261">
        <f t="shared" si="19"/>
        <v>22000</v>
      </c>
      <c r="H195" s="262">
        <v>110000</v>
      </c>
      <c r="I195" s="261">
        <f t="shared" si="20"/>
        <v>132000</v>
      </c>
      <c r="J195" s="247">
        <v>27534.830324855498</v>
      </c>
      <c r="K195" s="247">
        <v>114139.32129942224</v>
      </c>
      <c r="L195" s="194">
        <v>141674.15162427773</v>
      </c>
      <c r="M195" s="220">
        <f t="shared" si="21"/>
        <v>22000</v>
      </c>
      <c r="N195" s="220">
        <f t="shared" si="22"/>
        <v>90000</v>
      </c>
      <c r="O195" s="220">
        <f t="shared" si="23"/>
        <v>112000</v>
      </c>
      <c r="P195" s="301">
        <f t="shared" si="24"/>
        <v>20460</v>
      </c>
      <c r="Q195" s="301">
        <f t="shared" si="25"/>
        <v>83700</v>
      </c>
      <c r="R195" s="300">
        <f t="shared" si="26"/>
        <v>104160</v>
      </c>
    </row>
    <row r="196" spans="1:18" s="209" customFormat="1" x14ac:dyDescent="0.25">
      <c r="A196" s="210">
        <v>184</v>
      </c>
      <c r="B196" s="166" t="s">
        <v>45</v>
      </c>
      <c r="C196" s="153" t="s">
        <v>153</v>
      </c>
      <c r="D196" s="200">
        <v>205000</v>
      </c>
      <c r="E196" s="173">
        <v>599000</v>
      </c>
      <c r="F196" s="216">
        <f t="shared" si="18"/>
        <v>804000</v>
      </c>
      <c r="G196" s="261">
        <f t="shared" si="19"/>
        <v>14400</v>
      </c>
      <c r="H196" s="262">
        <v>72000</v>
      </c>
      <c r="I196" s="261">
        <f t="shared" si="20"/>
        <v>86400</v>
      </c>
      <c r="J196" s="247">
        <v>189472.67804950001</v>
      </c>
      <c r="K196" s="247">
        <v>761890.71219800087</v>
      </c>
      <c r="L196" s="194">
        <v>951363.39024750085</v>
      </c>
      <c r="M196" s="220">
        <f t="shared" si="21"/>
        <v>14400</v>
      </c>
      <c r="N196" s="220">
        <f t="shared" si="22"/>
        <v>72000</v>
      </c>
      <c r="O196" s="220">
        <f t="shared" si="23"/>
        <v>86400</v>
      </c>
      <c r="P196" s="301">
        <f t="shared" si="24"/>
        <v>13392</v>
      </c>
      <c r="Q196" s="301">
        <f t="shared" si="25"/>
        <v>66960</v>
      </c>
      <c r="R196" s="300">
        <f t="shared" si="26"/>
        <v>80352</v>
      </c>
    </row>
    <row r="197" spans="1:18" s="209" customFormat="1" x14ac:dyDescent="0.25">
      <c r="A197" s="210">
        <v>185</v>
      </c>
      <c r="B197" s="164" t="s">
        <v>243</v>
      </c>
      <c r="C197" s="153" t="s">
        <v>153</v>
      </c>
      <c r="D197" s="200">
        <v>115000</v>
      </c>
      <c r="E197" s="173">
        <v>352000</v>
      </c>
      <c r="F197" s="216">
        <f t="shared" ref="F197:F260" si="27">(D197+E197)</f>
        <v>467000</v>
      </c>
      <c r="G197" s="261">
        <f t="shared" ref="G197:G260" si="28">+H197*20%</f>
        <v>83000</v>
      </c>
      <c r="H197" s="262">
        <v>415000</v>
      </c>
      <c r="I197" s="261">
        <f t="shared" ref="I197:I260" si="29">+H197+G197</f>
        <v>498000</v>
      </c>
      <c r="J197" s="247">
        <v>101076.8</v>
      </c>
      <c r="K197" s="247">
        <v>408307.20000000001</v>
      </c>
      <c r="L197" s="194">
        <v>509384</v>
      </c>
      <c r="M197" s="220">
        <f t="shared" ref="M197:M260" si="30">MIN(D197,J197,G197)</f>
        <v>83000</v>
      </c>
      <c r="N197" s="220">
        <f t="shared" ref="N197:N260" si="31">MIN(E197,K197,H197)</f>
        <v>352000</v>
      </c>
      <c r="O197" s="220">
        <f t="shared" ref="O197:O260" si="32">M197+N197</f>
        <v>435000</v>
      </c>
      <c r="P197" s="301">
        <f t="shared" ref="P197:P260" si="33">M197-(M197*7%)</f>
        <v>77190</v>
      </c>
      <c r="Q197" s="301">
        <f t="shared" ref="Q197:Q260" si="34">N197-(N197*7%)</f>
        <v>327360</v>
      </c>
      <c r="R197" s="300">
        <f t="shared" ref="R197:R260" si="35">Q197+P197</f>
        <v>404550</v>
      </c>
    </row>
    <row r="198" spans="1:18" s="209" customFormat="1" x14ac:dyDescent="0.25">
      <c r="A198" s="210">
        <v>186</v>
      </c>
      <c r="B198" s="166" t="s">
        <v>46</v>
      </c>
      <c r="C198" s="153" t="s">
        <v>153</v>
      </c>
      <c r="D198" s="200">
        <v>28000</v>
      </c>
      <c r="E198" s="173">
        <v>79000</v>
      </c>
      <c r="F198" s="216">
        <f t="shared" si="27"/>
        <v>107000</v>
      </c>
      <c r="G198" s="261">
        <f t="shared" si="28"/>
        <v>19000</v>
      </c>
      <c r="H198" s="262">
        <v>95000</v>
      </c>
      <c r="I198" s="261">
        <f t="shared" si="29"/>
        <v>114000</v>
      </c>
      <c r="J198" s="247">
        <v>23668.782655999901</v>
      </c>
      <c r="K198" s="247">
        <v>98675.130624000012</v>
      </c>
      <c r="L198" s="194">
        <v>122343.91327999992</v>
      </c>
      <c r="M198" s="220">
        <f t="shared" si="30"/>
        <v>19000</v>
      </c>
      <c r="N198" s="220">
        <f t="shared" si="31"/>
        <v>79000</v>
      </c>
      <c r="O198" s="220">
        <f t="shared" si="32"/>
        <v>98000</v>
      </c>
      <c r="P198" s="301">
        <f t="shared" si="33"/>
        <v>17670</v>
      </c>
      <c r="Q198" s="301">
        <f t="shared" si="34"/>
        <v>73470</v>
      </c>
      <c r="R198" s="300">
        <f t="shared" si="35"/>
        <v>91140</v>
      </c>
    </row>
    <row r="199" spans="1:18" s="209" customFormat="1" x14ac:dyDescent="0.25">
      <c r="A199" s="210">
        <v>187</v>
      </c>
      <c r="B199" s="158" t="s">
        <v>87</v>
      </c>
      <c r="C199" s="153" t="s">
        <v>153</v>
      </c>
      <c r="D199" s="200">
        <v>24000</v>
      </c>
      <c r="E199" s="173">
        <v>74000</v>
      </c>
      <c r="F199" s="216">
        <f t="shared" si="27"/>
        <v>98000</v>
      </c>
      <c r="G199" s="261">
        <f t="shared" si="28"/>
        <v>17600</v>
      </c>
      <c r="H199" s="262">
        <v>88000</v>
      </c>
      <c r="I199" s="261">
        <f t="shared" si="29"/>
        <v>105600</v>
      </c>
      <c r="J199" s="247">
        <v>20495.1173902878</v>
      </c>
      <c r="K199" s="247">
        <v>85980.469561151171</v>
      </c>
      <c r="L199" s="194">
        <v>106475.58695143898</v>
      </c>
      <c r="M199" s="220">
        <f t="shared" si="30"/>
        <v>17600</v>
      </c>
      <c r="N199" s="220">
        <f t="shared" si="31"/>
        <v>74000</v>
      </c>
      <c r="O199" s="220">
        <f t="shared" si="32"/>
        <v>91600</v>
      </c>
      <c r="P199" s="301">
        <f t="shared" si="33"/>
        <v>16368</v>
      </c>
      <c r="Q199" s="301">
        <f t="shared" si="34"/>
        <v>68820</v>
      </c>
      <c r="R199" s="300">
        <f t="shared" si="35"/>
        <v>85188</v>
      </c>
    </row>
    <row r="200" spans="1:18" s="209" customFormat="1" x14ac:dyDescent="0.25">
      <c r="A200" s="210">
        <v>188</v>
      </c>
      <c r="B200" s="152" t="s">
        <v>129</v>
      </c>
      <c r="C200" s="153" t="s">
        <v>153</v>
      </c>
      <c r="D200" s="200">
        <v>59000</v>
      </c>
      <c r="E200" s="173">
        <v>180000</v>
      </c>
      <c r="F200" s="216">
        <f t="shared" si="27"/>
        <v>239000</v>
      </c>
      <c r="G200" s="261">
        <f t="shared" si="28"/>
        <v>43000</v>
      </c>
      <c r="H200" s="262">
        <v>215000</v>
      </c>
      <c r="I200" s="261">
        <f t="shared" si="29"/>
        <v>258000</v>
      </c>
      <c r="J200" s="247">
        <v>51146.116305979303</v>
      </c>
      <c r="K200" s="247">
        <v>208584.46522391704</v>
      </c>
      <c r="L200" s="194">
        <v>259730.58152989636</v>
      </c>
      <c r="M200" s="220">
        <f t="shared" si="30"/>
        <v>43000</v>
      </c>
      <c r="N200" s="220">
        <f t="shared" si="31"/>
        <v>180000</v>
      </c>
      <c r="O200" s="220">
        <f t="shared" si="32"/>
        <v>223000</v>
      </c>
      <c r="P200" s="301">
        <f t="shared" si="33"/>
        <v>39990</v>
      </c>
      <c r="Q200" s="301">
        <f t="shared" si="34"/>
        <v>167400</v>
      </c>
      <c r="R200" s="300">
        <f t="shared" si="35"/>
        <v>207390</v>
      </c>
    </row>
    <row r="201" spans="1:18" s="209" customFormat="1" ht="22.5" x14ac:dyDescent="0.25">
      <c r="A201" s="210"/>
      <c r="B201" s="163" t="s">
        <v>59</v>
      </c>
      <c r="C201" s="153" t="s">
        <v>153</v>
      </c>
      <c r="D201" s="200">
        <v>0</v>
      </c>
      <c r="E201" s="173">
        <v>0</v>
      </c>
      <c r="F201" s="216">
        <f t="shared" si="27"/>
        <v>0</v>
      </c>
      <c r="G201" s="261">
        <f t="shared" si="28"/>
        <v>0</v>
      </c>
      <c r="H201" s="262"/>
      <c r="I201" s="261">
        <f t="shared" si="29"/>
        <v>0</v>
      </c>
      <c r="J201" s="247">
        <v>0</v>
      </c>
      <c r="K201" s="247">
        <v>0</v>
      </c>
      <c r="L201" s="194">
        <v>0</v>
      </c>
      <c r="M201" s="220">
        <f t="shared" si="30"/>
        <v>0</v>
      </c>
      <c r="N201" s="220">
        <f t="shared" si="31"/>
        <v>0</v>
      </c>
      <c r="O201" s="220">
        <f t="shared" si="32"/>
        <v>0</v>
      </c>
      <c r="P201" s="301">
        <f t="shared" si="33"/>
        <v>0</v>
      </c>
      <c r="Q201" s="301">
        <f t="shared" si="34"/>
        <v>0</v>
      </c>
      <c r="R201" s="300">
        <f t="shared" si="35"/>
        <v>0</v>
      </c>
    </row>
    <row r="202" spans="1:18" s="209" customFormat="1" x14ac:dyDescent="0.25">
      <c r="A202" s="210">
        <v>189</v>
      </c>
      <c r="B202" s="166" t="s">
        <v>60</v>
      </c>
      <c r="C202" s="153" t="s">
        <v>153</v>
      </c>
      <c r="D202" s="200">
        <v>23000</v>
      </c>
      <c r="E202" s="173">
        <v>172000</v>
      </c>
      <c r="F202" s="216">
        <f t="shared" si="27"/>
        <v>195000</v>
      </c>
      <c r="G202" s="261">
        <f t="shared" si="28"/>
        <v>34000</v>
      </c>
      <c r="H202" s="262">
        <v>170000</v>
      </c>
      <c r="I202" s="261">
        <f t="shared" si="29"/>
        <v>204000</v>
      </c>
      <c r="J202" s="247">
        <v>48949.3809548094</v>
      </c>
      <c r="K202" s="247">
        <v>199797.52381923806</v>
      </c>
      <c r="L202" s="194">
        <v>248746.90477404746</v>
      </c>
      <c r="M202" s="220">
        <f t="shared" si="30"/>
        <v>23000</v>
      </c>
      <c r="N202" s="220">
        <f t="shared" si="31"/>
        <v>170000</v>
      </c>
      <c r="O202" s="220">
        <f t="shared" si="32"/>
        <v>193000</v>
      </c>
      <c r="P202" s="301">
        <f t="shared" si="33"/>
        <v>21390</v>
      </c>
      <c r="Q202" s="301">
        <f t="shared" si="34"/>
        <v>158100</v>
      </c>
      <c r="R202" s="300">
        <f t="shared" si="35"/>
        <v>179490</v>
      </c>
    </row>
    <row r="203" spans="1:18" s="209" customFormat="1" x14ac:dyDescent="0.25">
      <c r="A203" s="210">
        <v>190</v>
      </c>
      <c r="B203" s="166" t="s">
        <v>131</v>
      </c>
      <c r="C203" s="153" t="s">
        <v>153</v>
      </c>
      <c r="D203" s="200">
        <v>12000</v>
      </c>
      <c r="E203" s="173">
        <v>37000</v>
      </c>
      <c r="F203" s="216">
        <f t="shared" si="27"/>
        <v>49000</v>
      </c>
      <c r="G203" s="261">
        <f t="shared" si="28"/>
        <v>9000</v>
      </c>
      <c r="H203" s="262">
        <v>45000</v>
      </c>
      <c r="I203" s="261">
        <f t="shared" si="29"/>
        <v>54000</v>
      </c>
      <c r="J203" s="247">
        <v>9779.4825835936008</v>
      </c>
      <c r="K203" s="247">
        <v>43117.930334374279</v>
      </c>
      <c r="L203" s="194">
        <v>52897.412917967878</v>
      </c>
      <c r="M203" s="220">
        <f t="shared" si="30"/>
        <v>9000</v>
      </c>
      <c r="N203" s="220">
        <f t="shared" si="31"/>
        <v>37000</v>
      </c>
      <c r="O203" s="220">
        <f t="shared" si="32"/>
        <v>46000</v>
      </c>
      <c r="P203" s="301">
        <f t="shared" si="33"/>
        <v>8370</v>
      </c>
      <c r="Q203" s="301">
        <f t="shared" si="34"/>
        <v>34410</v>
      </c>
      <c r="R203" s="300">
        <f t="shared" si="35"/>
        <v>42780</v>
      </c>
    </row>
    <row r="204" spans="1:18" s="209" customFormat="1" x14ac:dyDescent="0.25">
      <c r="A204" s="210">
        <v>191</v>
      </c>
      <c r="B204" s="166" t="s">
        <v>547</v>
      </c>
      <c r="C204" s="153" t="s">
        <v>153</v>
      </c>
      <c r="D204" s="200">
        <v>23000</v>
      </c>
      <c r="E204" s="173">
        <v>80000</v>
      </c>
      <c r="F204" s="216">
        <f t="shared" si="27"/>
        <v>103000</v>
      </c>
      <c r="G204" s="261">
        <f t="shared" si="28"/>
        <v>18200</v>
      </c>
      <c r="H204" s="262">
        <v>91000</v>
      </c>
      <c r="I204" s="261">
        <f t="shared" si="29"/>
        <v>109200</v>
      </c>
      <c r="J204" s="247">
        <v>22331.84</v>
      </c>
      <c r="K204" s="247">
        <v>93327.360000000015</v>
      </c>
      <c r="L204" s="194">
        <v>115659.20000000001</v>
      </c>
      <c r="M204" s="220">
        <f t="shared" si="30"/>
        <v>18200</v>
      </c>
      <c r="N204" s="220">
        <f t="shared" si="31"/>
        <v>80000</v>
      </c>
      <c r="O204" s="220">
        <f t="shared" si="32"/>
        <v>98200</v>
      </c>
      <c r="P204" s="301">
        <f t="shared" si="33"/>
        <v>16926</v>
      </c>
      <c r="Q204" s="301">
        <f t="shared" si="34"/>
        <v>74400</v>
      </c>
      <c r="R204" s="300">
        <f t="shared" si="35"/>
        <v>91326</v>
      </c>
    </row>
    <row r="205" spans="1:18" s="209" customFormat="1" x14ac:dyDescent="0.25">
      <c r="A205" s="210">
        <v>192</v>
      </c>
      <c r="B205" s="166" t="s">
        <v>245</v>
      </c>
      <c r="C205" s="153" t="s">
        <v>153</v>
      </c>
      <c r="D205" s="200">
        <v>23000</v>
      </c>
      <c r="E205" s="173">
        <v>94000</v>
      </c>
      <c r="F205" s="216">
        <f t="shared" si="27"/>
        <v>117000</v>
      </c>
      <c r="G205" s="261">
        <f t="shared" si="28"/>
        <v>22000</v>
      </c>
      <c r="H205" s="262">
        <v>110000</v>
      </c>
      <c r="I205" s="261">
        <f t="shared" si="29"/>
        <v>132000</v>
      </c>
      <c r="J205" s="247">
        <v>26200</v>
      </c>
      <c r="K205" s="247">
        <v>108800</v>
      </c>
      <c r="L205" s="194">
        <v>135000</v>
      </c>
      <c r="M205" s="220">
        <f t="shared" si="30"/>
        <v>22000</v>
      </c>
      <c r="N205" s="220">
        <f t="shared" si="31"/>
        <v>94000</v>
      </c>
      <c r="O205" s="220">
        <f t="shared" si="32"/>
        <v>116000</v>
      </c>
      <c r="P205" s="301">
        <f t="shared" si="33"/>
        <v>20460</v>
      </c>
      <c r="Q205" s="301">
        <f t="shared" si="34"/>
        <v>87420</v>
      </c>
      <c r="R205" s="300">
        <f t="shared" si="35"/>
        <v>107880</v>
      </c>
    </row>
    <row r="206" spans="1:18" s="209" customFormat="1" x14ac:dyDescent="0.25">
      <c r="A206" s="210">
        <v>193</v>
      </c>
      <c r="B206" s="166" t="s">
        <v>61</v>
      </c>
      <c r="C206" s="153" t="s">
        <v>153</v>
      </c>
      <c r="D206" s="200">
        <v>18000</v>
      </c>
      <c r="E206" s="173">
        <v>54000</v>
      </c>
      <c r="F206" s="216">
        <f t="shared" si="27"/>
        <v>72000</v>
      </c>
      <c r="G206" s="261">
        <f t="shared" si="28"/>
        <v>13000</v>
      </c>
      <c r="H206" s="262">
        <v>65000</v>
      </c>
      <c r="I206" s="261">
        <f t="shared" si="29"/>
        <v>78000</v>
      </c>
      <c r="J206" s="247">
        <v>14666.429406621601</v>
      </c>
      <c r="K206" s="247">
        <v>62665.717626486381</v>
      </c>
      <c r="L206" s="194">
        <v>77332.147033107976</v>
      </c>
      <c r="M206" s="220">
        <f t="shared" si="30"/>
        <v>13000</v>
      </c>
      <c r="N206" s="220">
        <f t="shared" si="31"/>
        <v>54000</v>
      </c>
      <c r="O206" s="220">
        <f t="shared" si="32"/>
        <v>67000</v>
      </c>
      <c r="P206" s="301">
        <f t="shared" si="33"/>
        <v>12090</v>
      </c>
      <c r="Q206" s="301">
        <f t="shared" si="34"/>
        <v>50220</v>
      </c>
      <c r="R206" s="300">
        <f t="shared" si="35"/>
        <v>62310</v>
      </c>
    </row>
    <row r="207" spans="1:18" s="209" customFormat="1" x14ac:dyDescent="0.25">
      <c r="A207" s="210">
        <v>194</v>
      </c>
      <c r="B207" s="166" t="s">
        <v>118</v>
      </c>
      <c r="C207" s="153" t="s">
        <v>153</v>
      </c>
      <c r="D207" s="200">
        <v>51000</v>
      </c>
      <c r="E207" s="173">
        <v>154000</v>
      </c>
      <c r="F207" s="216">
        <f t="shared" si="27"/>
        <v>205000</v>
      </c>
      <c r="G207" s="261">
        <f t="shared" si="28"/>
        <v>36000</v>
      </c>
      <c r="H207" s="262">
        <v>180000</v>
      </c>
      <c r="I207" s="261">
        <f t="shared" si="29"/>
        <v>216000</v>
      </c>
      <c r="J207" s="247">
        <v>43781.315437121302</v>
      </c>
      <c r="K207" s="247">
        <v>179125.26174848527</v>
      </c>
      <c r="L207" s="194">
        <v>222906.57718560658</v>
      </c>
      <c r="M207" s="220">
        <f t="shared" si="30"/>
        <v>36000</v>
      </c>
      <c r="N207" s="220">
        <f t="shared" si="31"/>
        <v>154000</v>
      </c>
      <c r="O207" s="220">
        <f t="shared" si="32"/>
        <v>190000</v>
      </c>
      <c r="P207" s="301">
        <f t="shared" si="33"/>
        <v>33480</v>
      </c>
      <c r="Q207" s="301">
        <f t="shared" si="34"/>
        <v>143220</v>
      </c>
      <c r="R207" s="300">
        <f t="shared" si="35"/>
        <v>176700</v>
      </c>
    </row>
    <row r="208" spans="1:18" s="209" customFormat="1" x14ac:dyDescent="0.25">
      <c r="A208" s="210">
        <v>195</v>
      </c>
      <c r="B208" s="166" t="s">
        <v>104</v>
      </c>
      <c r="C208" s="153" t="s">
        <v>153</v>
      </c>
      <c r="D208" s="200">
        <v>63000</v>
      </c>
      <c r="E208" s="173">
        <v>193000</v>
      </c>
      <c r="F208" s="216">
        <f t="shared" si="27"/>
        <v>256000</v>
      </c>
      <c r="G208" s="261">
        <f t="shared" si="28"/>
        <v>50000</v>
      </c>
      <c r="H208" s="262">
        <v>250000</v>
      </c>
      <c r="I208" s="261">
        <f t="shared" si="29"/>
        <v>300000</v>
      </c>
      <c r="J208" s="247">
        <v>55012.514273546702</v>
      </c>
      <c r="K208" s="247">
        <v>224050.05709418678</v>
      </c>
      <c r="L208" s="194">
        <v>279062.57136773347</v>
      </c>
      <c r="M208" s="220">
        <f t="shared" si="30"/>
        <v>50000</v>
      </c>
      <c r="N208" s="220">
        <f t="shared" si="31"/>
        <v>193000</v>
      </c>
      <c r="O208" s="220">
        <f t="shared" si="32"/>
        <v>243000</v>
      </c>
      <c r="P208" s="301">
        <f t="shared" si="33"/>
        <v>46500</v>
      </c>
      <c r="Q208" s="301">
        <f t="shared" si="34"/>
        <v>179490</v>
      </c>
      <c r="R208" s="300">
        <f t="shared" si="35"/>
        <v>225990</v>
      </c>
    </row>
    <row r="209" spans="1:18" s="209" customFormat="1" x14ac:dyDescent="0.25">
      <c r="A209" s="210">
        <v>196</v>
      </c>
      <c r="B209" s="166" t="s">
        <v>247</v>
      </c>
      <c r="C209" s="153" t="s">
        <v>153</v>
      </c>
      <c r="D209" s="200">
        <v>5000</v>
      </c>
      <c r="E209" s="173">
        <v>15000</v>
      </c>
      <c r="F209" s="216">
        <f t="shared" si="27"/>
        <v>20000</v>
      </c>
      <c r="G209" s="261">
        <f t="shared" si="28"/>
        <v>4000</v>
      </c>
      <c r="H209" s="262">
        <v>20000</v>
      </c>
      <c r="I209" s="261">
        <f t="shared" si="29"/>
        <v>24000</v>
      </c>
      <c r="J209" s="247">
        <v>3800</v>
      </c>
      <c r="K209" s="247">
        <v>19200</v>
      </c>
      <c r="L209" s="194">
        <v>23000</v>
      </c>
      <c r="M209" s="220">
        <f t="shared" si="30"/>
        <v>3800</v>
      </c>
      <c r="N209" s="220">
        <f t="shared" si="31"/>
        <v>15000</v>
      </c>
      <c r="O209" s="220">
        <f t="shared" si="32"/>
        <v>18800</v>
      </c>
      <c r="P209" s="301">
        <f t="shared" si="33"/>
        <v>3534</v>
      </c>
      <c r="Q209" s="301">
        <f t="shared" si="34"/>
        <v>13950</v>
      </c>
      <c r="R209" s="300">
        <f t="shared" si="35"/>
        <v>17484</v>
      </c>
    </row>
    <row r="210" spans="1:18" s="209" customFormat="1" x14ac:dyDescent="0.25">
      <c r="A210" s="210">
        <v>197</v>
      </c>
      <c r="B210" s="166" t="s">
        <v>248</v>
      </c>
      <c r="C210" s="153" t="s">
        <v>153</v>
      </c>
      <c r="D210" s="200">
        <v>11000</v>
      </c>
      <c r="E210" s="173">
        <v>30000</v>
      </c>
      <c r="F210" s="216">
        <f t="shared" si="27"/>
        <v>41000</v>
      </c>
      <c r="G210" s="261">
        <f t="shared" si="28"/>
        <v>7600</v>
      </c>
      <c r="H210" s="262">
        <v>38000</v>
      </c>
      <c r="I210" s="261">
        <f t="shared" si="29"/>
        <v>45600</v>
      </c>
      <c r="J210" s="247">
        <v>8438.3327047958701</v>
      </c>
      <c r="K210" s="247">
        <v>37753.330819183459</v>
      </c>
      <c r="L210" s="194">
        <v>46191.663523979325</v>
      </c>
      <c r="M210" s="220">
        <f t="shared" si="30"/>
        <v>7600</v>
      </c>
      <c r="N210" s="220">
        <f t="shared" si="31"/>
        <v>30000</v>
      </c>
      <c r="O210" s="220">
        <f t="shared" si="32"/>
        <v>37600</v>
      </c>
      <c r="P210" s="301">
        <f t="shared" si="33"/>
        <v>7068</v>
      </c>
      <c r="Q210" s="301">
        <f t="shared" si="34"/>
        <v>27900</v>
      </c>
      <c r="R210" s="300">
        <f t="shared" si="35"/>
        <v>34968</v>
      </c>
    </row>
    <row r="211" spans="1:18" s="209" customFormat="1" x14ac:dyDescent="0.25">
      <c r="A211" s="210">
        <v>198</v>
      </c>
      <c r="B211" s="166" t="s">
        <v>249</v>
      </c>
      <c r="C211" s="153" t="s">
        <v>153</v>
      </c>
      <c r="D211" s="200">
        <v>9000</v>
      </c>
      <c r="E211" s="173">
        <v>27000</v>
      </c>
      <c r="F211" s="216">
        <f t="shared" si="27"/>
        <v>36000</v>
      </c>
      <c r="G211" s="261">
        <f t="shared" si="28"/>
        <v>7000</v>
      </c>
      <c r="H211" s="262">
        <v>35000</v>
      </c>
      <c r="I211" s="261">
        <f t="shared" si="29"/>
        <v>42000</v>
      </c>
      <c r="J211" s="247">
        <v>6822.5920640000004</v>
      </c>
      <c r="K211" s="247">
        <v>31290.368256000005</v>
      </c>
      <c r="L211" s="194">
        <v>38112.960320000006</v>
      </c>
      <c r="M211" s="220">
        <f t="shared" si="30"/>
        <v>6822.5920640000004</v>
      </c>
      <c r="N211" s="220">
        <f t="shared" si="31"/>
        <v>27000</v>
      </c>
      <c r="O211" s="220">
        <f t="shared" si="32"/>
        <v>33822.592063999997</v>
      </c>
      <c r="P211" s="301">
        <f t="shared" si="33"/>
        <v>6345.0106195200005</v>
      </c>
      <c r="Q211" s="301">
        <f t="shared" si="34"/>
        <v>25110</v>
      </c>
      <c r="R211" s="300">
        <f t="shared" si="35"/>
        <v>31455.010619519999</v>
      </c>
    </row>
    <row r="212" spans="1:18" s="209" customFormat="1" x14ac:dyDescent="0.25">
      <c r="A212" s="210">
        <v>199</v>
      </c>
      <c r="B212" s="166" t="s">
        <v>100</v>
      </c>
      <c r="C212" s="153" t="s">
        <v>153</v>
      </c>
      <c r="D212" s="200">
        <v>16000</v>
      </c>
      <c r="E212" s="173">
        <v>50000</v>
      </c>
      <c r="F212" s="216">
        <f t="shared" si="27"/>
        <v>66000</v>
      </c>
      <c r="G212" s="261">
        <f t="shared" si="28"/>
        <v>13000</v>
      </c>
      <c r="H212" s="262">
        <v>65000</v>
      </c>
      <c r="I212" s="261">
        <f t="shared" si="29"/>
        <v>78000</v>
      </c>
      <c r="J212" s="247">
        <v>13582.4</v>
      </c>
      <c r="K212" s="247">
        <v>58329.600000000006</v>
      </c>
      <c r="L212" s="194">
        <v>71912</v>
      </c>
      <c r="M212" s="220">
        <f t="shared" si="30"/>
        <v>13000</v>
      </c>
      <c r="N212" s="220">
        <f t="shared" si="31"/>
        <v>50000</v>
      </c>
      <c r="O212" s="220">
        <f t="shared" si="32"/>
        <v>63000</v>
      </c>
      <c r="P212" s="301">
        <f t="shared" si="33"/>
        <v>12090</v>
      </c>
      <c r="Q212" s="301">
        <f t="shared" si="34"/>
        <v>46500</v>
      </c>
      <c r="R212" s="300">
        <f t="shared" si="35"/>
        <v>58590</v>
      </c>
    </row>
    <row r="213" spans="1:18" s="209" customFormat="1" ht="22.5" x14ac:dyDescent="0.25">
      <c r="A213" s="210"/>
      <c r="B213" s="165" t="s">
        <v>47</v>
      </c>
      <c r="C213" s="153" t="s">
        <v>153</v>
      </c>
      <c r="D213" s="200">
        <v>0</v>
      </c>
      <c r="E213" s="173">
        <v>0</v>
      </c>
      <c r="F213" s="216">
        <f t="shared" si="27"/>
        <v>0</v>
      </c>
      <c r="G213" s="261">
        <f t="shared" si="28"/>
        <v>0</v>
      </c>
      <c r="H213" s="262"/>
      <c r="I213" s="261">
        <f t="shared" si="29"/>
        <v>0</v>
      </c>
      <c r="J213" s="247">
        <v>0</v>
      </c>
      <c r="K213" s="247">
        <v>0</v>
      </c>
      <c r="L213" s="194">
        <v>0</v>
      </c>
      <c r="M213" s="220">
        <f t="shared" si="30"/>
        <v>0</v>
      </c>
      <c r="N213" s="220">
        <f t="shared" si="31"/>
        <v>0</v>
      </c>
      <c r="O213" s="220">
        <f t="shared" si="32"/>
        <v>0</v>
      </c>
      <c r="P213" s="301">
        <f t="shared" si="33"/>
        <v>0</v>
      </c>
      <c r="Q213" s="301">
        <f t="shared" si="34"/>
        <v>0</v>
      </c>
      <c r="R213" s="300">
        <f t="shared" si="35"/>
        <v>0</v>
      </c>
    </row>
    <row r="214" spans="1:18" s="209" customFormat="1" x14ac:dyDescent="0.25">
      <c r="A214" s="210">
        <v>200</v>
      </c>
      <c r="B214" s="166" t="s">
        <v>548</v>
      </c>
      <c r="C214" s="153" t="s">
        <v>153</v>
      </c>
      <c r="D214" s="200">
        <v>177000</v>
      </c>
      <c r="E214" s="173">
        <v>541000</v>
      </c>
      <c r="F214" s="216">
        <f t="shared" si="27"/>
        <v>718000</v>
      </c>
      <c r="G214" s="261">
        <f t="shared" si="28"/>
        <v>128000</v>
      </c>
      <c r="H214" s="262">
        <v>640000</v>
      </c>
      <c r="I214" s="261">
        <f t="shared" si="29"/>
        <v>768000</v>
      </c>
      <c r="J214" s="247">
        <v>155962.148443735</v>
      </c>
      <c r="K214" s="247">
        <v>627848.59377494152</v>
      </c>
      <c r="L214" s="194">
        <v>783810.74221867649</v>
      </c>
      <c r="M214" s="220">
        <f t="shared" si="30"/>
        <v>128000</v>
      </c>
      <c r="N214" s="220">
        <f t="shared" si="31"/>
        <v>541000</v>
      </c>
      <c r="O214" s="220">
        <f t="shared" si="32"/>
        <v>669000</v>
      </c>
      <c r="P214" s="301">
        <f t="shared" si="33"/>
        <v>119040</v>
      </c>
      <c r="Q214" s="301">
        <f t="shared" si="34"/>
        <v>503130</v>
      </c>
      <c r="R214" s="300">
        <f t="shared" si="35"/>
        <v>622170</v>
      </c>
    </row>
    <row r="215" spans="1:18" s="209" customFormat="1" x14ac:dyDescent="0.25">
      <c r="A215" s="210">
        <v>201</v>
      </c>
      <c r="B215" s="166" t="s">
        <v>431</v>
      </c>
      <c r="C215" s="153" t="s">
        <v>153</v>
      </c>
      <c r="D215" s="200">
        <v>395000</v>
      </c>
      <c r="E215" s="173">
        <v>1207000</v>
      </c>
      <c r="F215" s="216">
        <f t="shared" si="27"/>
        <v>1602000</v>
      </c>
      <c r="G215" s="261">
        <f t="shared" si="28"/>
        <v>300000</v>
      </c>
      <c r="H215" s="262">
        <v>1500000</v>
      </c>
      <c r="I215" s="261">
        <f t="shared" si="29"/>
        <v>1800000</v>
      </c>
      <c r="J215" s="247">
        <v>348977.6</v>
      </c>
      <c r="K215" s="247">
        <v>1399910.4000000001</v>
      </c>
      <c r="L215" s="194">
        <v>1748888</v>
      </c>
      <c r="M215" s="220">
        <f t="shared" si="30"/>
        <v>300000</v>
      </c>
      <c r="N215" s="220">
        <f t="shared" si="31"/>
        <v>1207000</v>
      </c>
      <c r="O215" s="220">
        <f t="shared" si="32"/>
        <v>1507000</v>
      </c>
      <c r="P215" s="301">
        <f t="shared" si="33"/>
        <v>279000</v>
      </c>
      <c r="Q215" s="301">
        <f t="shared" si="34"/>
        <v>1122510</v>
      </c>
      <c r="R215" s="300">
        <f t="shared" si="35"/>
        <v>1401510</v>
      </c>
    </row>
    <row r="216" spans="1:18" s="209" customFormat="1" x14ac:dyDescent="0.25">
      <c r="A216" s="210">
        <v>202</v>
      </c>
      <c r="B216" s="166" t="s">
        <v>549</v>
      </c>
      <c r="C216" s="153" t="s">
        <v>153</v>
      </c>
      <c r="D216" s="200">
        <v>127000</v>
      </c>
      <c r="E216" s="173">
        <v>387000</v>
      </c>
      <c r="F216" s="216">
        <f t="shared" si="27"/>
        <v>514000</v>
      </c>
      <c r="G216" s="261">
        <f t="shared" si="28"/>
        <v>90000</v>
      </c>
      <c r="H216" s="262">
        <v>450000</v>
      </c>
      <c r="I216" s="261">
        <f t="shared" si="29"/>
        <v>540000</v>
      </c>
      <c r="J216" s="247">
        <v>111179.944829079</v>
      </c>
      <c r="K216" s="247">
        <v>448719.77931631432</v>
      </c>
      <c r="L216" s="194">
        <v>559899.72414539335</v>
      </c>
      <c r="M216" s="220">
        <f t="shared" si="30"/>
        <v>90000</v>
      </c>
      <c r="N216" s="220">
        <f t="shared" si="31"/>
        <v>387000</v>
      </c>
      <c r="O216" s="220">
        <f t="shared" si="32"/>
        <v>477000</v>
      </c>
      <c r="P216" s="301">
        <f t="shared" si="33"/>
        <v>83700</v>
      </c>
      <c r="Q216" s="301">
        <f t="shared" si="34"/>
        <v>359910</v>
      </c>
      <c r="R216" s="300">
        <f t="shared" si="35"/>
        <v>443610</v>
      </c>
    </row>
    <row r="217" spans="1:18" s="209" customFormat="1" x14ac:dyDescent="0.25">
      <c r="A217" s="210">
        <v>203</v>
      </c>
      <c r="B217" s="166" t="s">
        <v>322</v>
      </c>
      <c r="C217" s="153" t="s">
        <v>153</v>
      </c>
      <c r="D217" s="200">
        <v>21000</v>
      </c>
      <c r="E217" s="173">
        <v>65000</v>
      </c>
      <c r="F217" s="216">
        <f t="shared" si="27"/>
        <v>86000</v>
      </c>
      <c r="G217" s="261">
        <f t="shared" si="28"/>
        <v>16000</v>
      </c>
      <c r="H217" s="262">
        <v>80000</v>
      </c>
      <c r="I217" s="261">
        <f t="shared" si="29"/>
        <v>96000</v>
      </c>
      <c r="J217" s="247">
        <v>17957.12</v>
      </c>
      <c r="K217" s="247">
        <v>75828.48000000001</v>
      </c>
      <c r="L217" s="194">
        <v>93785.600000000006</v>
      </c>
      <c r="M217" s="220">
        <f t="shared" si="30"/>
        <v>16000</v>
      </c>
      <c r="N217" s="220">
        <f t="shared" si="31"/>
        <v>65000</v>
      </c>
      <c r="O217" s="220">
        <f t="shared" si="32"/>
        <v>81000</v>
      </c>
      <c r="P217" s="301">
        <f t="shared" si="33"/>
        <v>14880</v>
      </c>
      <c r="Q217" s="301">
        <f t="shared" si="34"/>
        <v>60450</v>
      </c>
      <c r="R217" s="300">
        <f t="shared" si="35"/>
        <v>75330</v>
      </c>
    </row>
    <row r="218" spans="1:18" s="209" customFormat="1" x14ac:dyDescent="0.25">
      <c r="A218" s="210">
        <v>204</v>
      </c>
      <c r="B218" s="166" t="s">
        <v>50</v>
      </c>
      <c r="C218" s="153" t="s">
        <v>153</v>
      </c>
      <c r="D218" s="200">
        <v>36000</v>
      </c>
      <c r="E218" s="173">
        <v>109000</v>
      </c>
      <c r="F218" s="216">
        <f t="shared" si="27"/>
        <v>145000</v>
      </c>
      <c r="G218" s="261">
        <f t="shared" si="28"/>
        <v>26000</v>
      </c>
      <c r="H218" s="262">
        <v>130000</v>
      </c>
      <c r="I218" s="261">
        <f t="shared" si="29"/>
        <v>156000</v>
      </c>
      <c r="J218" s="247">
        <v>30601.252325003301</v>
      </c>
      <c r="K218" s="247">
        <v>126405.00930001315</v>
      </c>
      <c r="L218" s="194">
        <v>157006.26162501646</v>
      </c>
      <c r="M218" s="220">
        <f t="shared" si="30"/>
        <v>26000</v>
      </c>
      <c r="N218" s="220">
        <f t="shared" si="31"/>
        <v>109000</v>
      </c>
      <c r="O218" s="220">
        <f t="shared" si="32"/>
        <v>135000</v>
      </c>
      <c r="P218" s="301">
        <f t="shared" si="33"/>
        <v>24180</v>
      </c>
      <c r="Q218" s="301">
        <f t="shared" si="34"/>
        <v>101370</v>
      </c>
      <c r="R218" s="300">
        <f t="shared" si="35"/>
        <v>125550</v>
      </c>
    </row>
    <row r="219" spans="1:18" s="209" customFormat="1" x14ac:dyDescent="0.25">
      <c r="A219" s="210">
        <v>205</v>
      </c>
      <c r="B219" s="166" t="s">
        <v>51</v>
      </c>
      <c r="C219" s="153" t="s">
        <v>153</v>
      </c>
      <c r="D219" s="200">
        <v>60000</v>
      </c>
      <c r="E219" s="173">
        <v>182000</v>
      </c>
      <c r="F219" s="216">
        <f t="shared" si="27"/>
        <v>242000</v>
      </c>
      <c r="G219" s="261">
        <f t="shared" si="28"/>
        <v>44000</v>
      </c>
      <c r="H219" s="262">
        <v>220000</v>
      </c>
      <c r="I219" s="261">
        <f t="shared" si="29"/>
        <v>264000</v>
      </c>
      <c r="J219" s="247">
        <v>51671.628799999999</v>
      </c>
      <c r="K219" s="247">
        <v>210686.51520000002</v>
      </c>
      <c r="L219" s="194">
        <v>262358.14400000003</v>
      </c>
      <c r="M219" s="220">
        <f t="shared" si="30"/>
        <v>44000</v>
      </c>
      <c r="N219" s="220">
        <f t="shared" si="31"/>
        <v>182000</v>
      </c>
      <c r="O219" s="220">
        <f t="shared" si="32"/>
        <v>226000</v>
      </c>
      <c r="P219" s="301">
        <f t="shared" si="33"/>
        <v>40920</v>
      </c>
      <c r="Q219" s="301">
        <f t="shared" si="34"/>
        <v>169260</v>
      </c>
      <c r="R219" s="300">
        <f t="shared" si="35"/>
        <v>210180</v>
      </c>
    </row>
    <row r="220" spans="1:18" s="209" customFormat="1" x14ac:dyDescent="0.25">
      <c r="A220" s="210">
        <v>206</v>
      </c>
      <c r="B220" s="166" t="s">
        <v>52</v>
      </c>
      <c r="C220" s="153" t="s">
        <v>153</v>
      </c>
      <c r="D220" s="200">
        <v>106000</v>
      </c>
      <c r="E220" s="173">
        <v>322000</v>
      </c>
      <c r="F220" s="216">
        <f t="shared" si="27"/>
        <v>428000</v>
      </c>
      <c r="G220" s="261">
        <f t="shared" si="28"/>
        <v>80000</v>
      </c>
      <c r="H220" s="262">
        <v>400000</v>
      </c>
      <c r="I220" s="261">
        <f t="shared" si="29"/>
        <v>480000</v>
      </c>
      <c r="J220" s="247">
        <v>92365.973183634604</v>
      </c>
      <c r="K220" s="247">
        <v>373463.89273453841</v>
      </c>
      <c r="L220" s="194">
        <v>465829.86591817299</v>
      </c>
      <c r="M220" s="220">
        <f t="shared" si="30"/>
        <v>80000</v>
      </c>
      <c r="N220" s="220">
        <f t="shared" si="31"/>
        <v>322000</v>
      </c>
      <c r="O220" s="220">
        <f t="shared" si="32"/>
        <v>402000</v>
      </c>
      <c r="P220" s="301">
        <f t="shared" si="33"/>
        <v>74400</v>
      </c>
      <c r="Q220" s="301">
        <f t="shared" si="34"/>
        <v>299460</v>
      </c>
      <c r="R220" s="300">
        <f t="shared" si="35"/>
        <v>373860</v>
      </c>
    </row>
    <row r="221" spans="1:18" s="209" customFormat="1" x14ac:dyDescent="0.25">
      <c r="A221" s="210">
        <v>207</v>
      </c>
      <c r="B221" s="166" t="s">
        <v>53</v>
      </c>
      <c r="C221" s="153" t="s">
        <v>153</v>
      </c>
      <c r="D221" s="200">
        <v>113000</v>
      </c>
      <c r="E221" s="173">
        <v>346000</v>
      </c>
      <c r="F221" s="216">
        <f t="shared" si="27"/>
        <v>459000</v>
      </c>
      <c r="G221" s="261">
        <f t="shared" si="28"/>
        <v>90000</v>
      </c>
      <c r="H221" s="262">
        <v>450000</v>
      </c>
      <c r="I221" s="261">
        <f t="shared" si="29"/>
        <v>540000</v>
      </c>
      <c r="J221" s="247">
        <v>99412.461725796005</v>
      </c>
      <c r="K221" s="247">
        <v>401649.84690318292</v>
      </c>
      <c r="L221" s="194">
        <v>501062.30862897891</v>
      </c>
      <c r="M221" s="220">
        <f t="shared" si="30"/>
        <v>90000</v>
      </c>
      <c r="N221" s="220">
        <f t="shared" si="31"/>
        <v>346000</v>
      </c>
      <c r="O221" s="220">
        <f t="shared" si="32"/>
        <v>436000</v>
      </c>
      <c r="P221" s="301">
        <f t="shared" si="33"/>
        <v>83700</v>
      </c>
      <c r="Q221" s="301">
        <f t="shared" si="34"/>
        <v>321780</v>
      </c>
      <c r="R221" s="300">
        <f t="shared" si="35"/>
        <v>405480</v>
      </c>
    </row>
    <row r="222" spans="1:18" s="209" customFormat="1" x14ac:dyDescent="0.25">
      <c r="A222" s="210">
        <v>208</v>
      </c>
      <c r="B222" s="166" t="s">
        <v>54</v>
      </c>
      <c r="C222" s="153" t="s">
        <v>153</v>
      </c>
      <c r="D222" s="200">
        <v>134000</v>
      </c>
      <c r="E222" s="173">
        <v>443000</v>
      </c>
      <c r="F222" s="216">
        <f t="shared" si="27"/>
        <v>577000</v>
      </c>
      <c r="G222" s="261">
        <f t="shared" si="28"/>
        <v>102000</v>
      </c>
      <c r="H222" s="262">
        <v>510000</v>
      </c>
      <c r="I222" s="261">
        <f t="shared" si="29"/>
        <v>612000</v>
      </c>
      <c r="J222" s="247">
        <v>127598.41589444</v>
      </c>
      <c r="K222" s="247">
        <v>514393.66357776051</v>
      </c>
      <c r="L222" s="194">
        <v>641992.07947220048</v>
      </c>
      <c r="M222" s="220">
        <f t="shared" si="30"/>
        <v>102000</v>
      </c>
      <c r="N222" s="220">
        <f t="shared" si="31"/>
        <v>443000</v>
      </c>
      <c r="O222" s="220">
        <f t="shared" si="32"/>
        <v>545000</v>
      </c>
      <c r="P222" s="301">
        <f t="shared" si="33"/>
        <v>94860</v>
      </c>
      <c r="Q222" s="301">
        <f t="shared" si="34"/>
        <v>411990</v>
      </c>
      <c r="R222" s="300">
        <f t="shared" si="35"/>
        <v>506850</v>
      </c>
    </row>
    <row r="223" spans="1:18" s="209" customFormat="1" x14ac:dyDescent="0.25">
      <c r="A223" s="210">
        <v>209</v>
      </c>
      <c r="B223" s="166" t="s">
        <v>550</v>
      </c>
      <c r="C223" s="153" t="s">
        <v>153</v>
      </c>
      <c r="D223" s="200">
        <v>187000</v>
      </c>
      <c r="E223" s="173">
        <v>569000</v>
      </c>
      <c r="F223" s="216">
        <f t="shared" si="27"/>
        <v>756000</v>
      </c>
      <c r="G223" s="261">
        <f t="shared" si="28"/>
        <v>140000</v>
      </c>
      <c r="H223" s="262">
        <v>700000</v>
      </c>
      <c r="I223" s="261">
        <f t="shared" si="29"/>
        <v>840000</v>
      </c>
      <c r="J223" s="247">
        <v>164045.973271522</v>
      </c>
      <c r="K223" s="247">
        <v>660183.8930860887</v>
      </c>
      <c r="L223" s="194">
        <v>824229.86635761068</v>
      </c>
      <c r="M223" s="220">
        <f t="shared" si="30"/>
        <v>140000</v>
      </c>
      <c r="N223" s="220">
        <f t="shared" si="31"/>
        <v>569000</v>
      </c>
      <c r="O223" s="220">
        <f t="shared" si="32"/>
        <v>709000</v>
      </c>
      <c r="P223" s="301">
        <f t="shared" si="33"/>
        <v>130200</v>
      </c>
      <c r="Q223" s="301">
        <f t="shared" si="34"/>
        <v>529170</v>
      </c>
      <c r="R223" s="300">
        <f t="shared" si="35"/>
        <v>659370</v>
      </c>
    </row>
    <row r="224" spans="1:18" s="209" customFormat="1" x14ac:dyDescent="0.25">
      <c r="A224" s="210">
        <v>210</v>
      </c>
      <c r="B224" s="166" t="s">
        <v>551</v>
      </c>
      <c r="C224" s="153" t="s">
        <v>153</v>
      </c>
      <c r="D224" s="200">
        <v>280000</v>
      </c>
      <c r="E224" s="173">
        <v>855000</v>
      </c>
      <c r="F224" s="216">
        <f t="shared" si="27"/>
        <v>1135000</v>
      </c>
      <c r="G224" s="261">
        <f t="shared" si="28"/>
        <v>220000</v>
      </c>
      <c r="H224" s="262">
        <v>1100000</v>
      </c>
      <c r="I224" s="261">
        <f t="shared" si="29"/>
        <v>1320000</v>
      </c>
      <c r="J224" s="247">
        <v>246900.8</v>
      </c>
      <c r="K224" s="247">
        <v>991603.20000000007</v>
      </c>
      <c r="L224" s="194">
        <v>1238504</v>
      </c>
      <c r="M224" s="220">
        <f t="shared" si="30"/>
        <v>220000</v>
      </c>
      <c r="N224" s="220">
        <f t="shared" si="31"/>
        <v>855000</v>
      </c>
      <c r="O224" s="220">
        <f t="shared" si="32"/>
        <v>1075000</v>
      </c>
      <c r="P224" s="301">
        <f t="shared" si="33"/>
        <v>204600</v>
      </c>
      <c r="Q224" s="301">
        <f t="shared" si="34"/>
        <v>795150</v>
      </c>
      <c r="R224" s="300">
        <f t="shared" si="35"/>
        <v>999750</v>
      </c>
    </row>
    <row r="225" spans="1:18" s="209" customFormat="1" x14ac:dyDescent="0.25">
      <c r="A225" s="210">
        <v>211</v>
      </c>
      <c r="B225" s="166" t="s">
        <v>433</v>
      </c>
      <c r="C225" s="153" t="s">
        <v>153</v>
      </c>
      <c r="D225" s="200">
        <v>293000</v>
      </c>
      <c r="E225" s="173">
        <v>895000</v>
      </c>
      <c r="F225" s="216">
        <f t="shared" si="27"/>
        <v>1188000</v>
      </c>
      <c r="G225" s="261">
        <f t="shared" si="28"/>
        <v>230000</v>
      </c>
      <c r="H225" s="262">
        <v>1150000</v>
      </c>
      <c r="I225" s="261">
        <f t="shared" si="29"/>
        <v>1380000</v>
      </c>
      <c r="J225" s="247">
        <v>258566.72</v>
      </c>
      <c r="K225" s="247">
        <v>1038266.8800000001</v>
      </c>
      <c r="L225" s="194">
        <v>1296833.6000000001</v>
      </c>
      <c r="M225" s="220">
        <f t="shared" si="30"/>
        <v>230000</v>
      </c>
      <c r="N225" s="220">
        <f t="shared" si="31"/>
        <v>895000</v>
      </c>
      <c r="O225" s="220">
        <f t="shared" si="32"/>
        <v>1125000</v>
      </c>
      <c r="P225" s="301">
        <f t="shared" si="33"/>
        <v>213900</v>
      </c>
      <c r="Q225" s="301">
        <f t="shared" si="34"/>
        <v>832350</v>
      </c>
      <c r="R225" s="300">
        <f t="shared" si="35"/>
        <v>1046250</v>
      </c>
    </row>
    <row r="226" spans="1:18" s="209" customFormat="1" x14ac:dyDescent="0.25">
      <c r="A226" s="210">
        <v>212</v>
      </c>
      <c r="B226" s="213" t="s">
        <v>552</v>
      </c>
      <c r="C226" s="153" t="s">
        <v>153</v>
      </c>
      <c r="D226" s="200">
        <v>116000</v>
      </c>
      <c r="E226" s="173">
        <v>323000</v>
      </c>
      <c r="F226" s="216">
        <f t="shared" si="27"/>
        <v>439000</v>
      </c>
      <c r="G226" s="261">
        <f t="shared" si="28"/>
        <v>78000</v>
      </c>
      <c r="H226" s="262">
        <v>390000</v>
      </c>
      <c r="I226" s="261">
        <f t="shared" si="29"/>
        <v>468000</v>
      </c>
      <c r="J226" s="247">
        <v>101899.933895137</v>
      </c>
      <c r="K226" s="247">
        <v>411599.73558054864</v>
      </c>
      <c r="L226" s="194">
        <v>513499.66947568563</v>
      </c>
      <c r="M226" s="220">
        <f t="shared" si="30"/>
        <v>78000</v>
      </c>
      <c r="N226" s="220">
        <f t="shared" si="31"/>
        <v>323000</v>
      </c>
      <c r="O226" s="220">
        <f t="shared" si="32"/>
        <v>401000</v>
      </c>
      <c r="P226" s="301">
        <f t="shared" si="33"/>
        <v>72540</v>
      </c>
      <c r="Q226" s="301">
        <f t="shared" si="34"/>
        <v>300390</v>
      </c>
      <c r="R226" s="300">
        <f t="shared" si="35"/>
        <v>372930</v>
      </c>
    </row>
    <row r="227" spans="1:18" s="209" customFormat="1" x14ac:dyDescent="0.25">
      <c r="A227" s="210">
        <v>213</v>
      </c>
      <c r="B227" s="213" t="s">
        <v>553</v>
      </c>
      <c r="C227" s="153" t="s">
        <v>153</v>
      </c>
      <c r="D227" s="200">
        <v>1351000</v>
      </c>
      <c r="E227" s="173">
        <v>4123000</v>
      </c>
      <c r="F227" s="216">
        <f t="shared" si="27"/>
        <v>5474000</v>
      </c>
      <c r="G227" s="261">
        <f t="shared" si="28"/>
        <v>980000</v>
      </c>
      <c r="H227" s="262">
        <v>4900000</v>
      </c>
      <c r="I227" s="261">
        <f t="shared" si="29"/>
        <v>5880000</v>
      </c>
      <c r="J227" s="247">
        <v>1194756.8</v>
      </c>
      <c r="K227" s="247">
        <v>4783027.2</v>
      </c>
      <c r="L227" s="194">
        <v>5977784</v>
      </c>
      <c r="M227" s="220">
        <f t="shared" si="30"/>
        <v>980000</v>
      </c>
      <c r="N227" s="220">
        <f t="shared" si="31"/>
        <v>4123000</v>
      </c>
      <c r="O227" s="220">
        <f t="shared" si="32"/>
        <v>5103000</v>
      </c>
      <c r="P227" s="301">
        <f t="shared" si="33"/>
        <v>911400</v>
      </c>
      <c r="Q227" s="301">
        <f t="shared" si="34"/>
        <v>3834390</v>
      </c>
      <c r="R227" s="300">
        <f t="shared" si="35"/>
        <v>4745790</v>
      </c>
    </row>
    <row r="228" spans="1:18" s="209" customFormat="1" x14ac:dyDescent="0.25">
      <c r="A228" s="210">
        <v>214</v>
      </c>
      <c r="B228" s="213" t="s">
        <v>554</v>
      </c>
      <c r="C228" s="153" t="s">
        <v>153</v>
      </c>
      <c r="D228" s="200">
        <v>129000</v>
      </c>
      <c r="E228" s="173">
        <v>392000</v>
      </c>
      <c r="F228" s="216">
        <f t="shared" si="27"/>
        <v>521000</v>
      </c>
      <c r="G228" s="261">
        <f t="shared" si="28"/>
        <v>96000</v>
      </c>
      <c r="H228" s="262">
        <v>480000</v>
      </c>
      <c r="I228" s="261">
        <f t="shared" si="29"/>
        <v>576000</v>
      </c>
      <c r="J228" s="247">
        <v>112742.72</v>
      </c>
      <c r="K228" s="247">
        <v>454970.88</v>
      </c>
      <c r="L228" s="194">
        <v>567713.6</v>
      </c>
      <c r="M228" s="220">
        <f t="shared" si="30"/>
        <v>96000</v>
      </c>
      <c r="N228" s="220">
        <f t="shared" si="31"/>
        <v>392000</v>
      </c>
      <c r="O228" s="220">
        <f t="shared" si="32"/>
        <v>488000</v>
      </c>
      <c r="P228" s="301">
        <f t="shared" si="33"/>
        <v>89280</v>
      </c>
      <c r="Q228" s="301">
        <f t="shared" si="34"/>
        <v>364560</v>
      </c>
      <c r="R228" s="300">
        <f t="shared" si="35"/>
        <v>453840</v>
      </c>
    </row>
    <row r="229" spans="1:18" s="209" customFormat="1" x14ac:dyDescent="0.25">
      <c r="A229" s="210">
        <v>215</v>
      </c>
      <c r="B229" s="213" t="s">
        <v>555</v>
      </c>
      <c r="C229" s="153" t="s">
        <v>153</v>
      </c>
      <c r="D229" s="200">
        <v>1977000</v>
      </c>
      <c r="E229" s="173">
        <v>6034000</v>
      </c>
      <c r="F229" s="216">
        <f t="shared" si="27"/>
        <v>8011000</v>
      </c>
      <c r="G229" s="261">
        <f t="shared" si="28"/>
        <v>1420000</v>
      </c>
      <c r="H229" s="262">
        <v>7100000</v>
      </c>
      <c r="I229" s="261">
        <f t="shared" si="29"/>
        <v>8520000</v>
      </c>
      <c r="J229" s="247">
        <v>1748888</v>
      </c>
      <c r="K229" s="247">
        <v>6999552</v>
      </c>
      <c r="L229" s="194">
        <v>8748440</v>
      </c>
      <c r="M229" s="220">
        <f t="shared" si="30"/>
        <v>1420000</v>
      </c>
      <c r="N229" s="220">
        <f t="shared" si="31"/>
        <v>6034000</v>
      </c>
      <c r="O229" s="220">
        <f t="shared" si="32"/>
        <v>7454000</v>
      </c>
      <c r="P229" s="301">
        <f t="shared" si="33"/>
        <v>1320600</v>
      </c>
      <c r="Q229" s="301">
        <f t="shared" si="34"/>
        <v>5611620</v>
      </c>
      <c r="R229" s="300">
        <f t="shared" si="35"/>
        <v>6932220</v>
      </c>
    </row>
    <row r="230" spans="1:18" s="209" customFormat="1" x14ac:dyDescent="0.25">
      <c r="A230" s="210">
        <v>216</v>
      </c>
      <c r="B230" s="158" t="s">
        <v>88</v>
      </c>
      <c r="C230" s="153" t="s">
        <v>153</v>
      </c>
      <c r="D230" s="200">
        <v>78000</v>
      </c>
      <c r="E230" s="173">
        <v>239000</v>
      </c>
      <c r="F230" s="216">
        <f t="shared" si="27"/>
        <v>317000</v>
      </c>
      <c r="G230" s="261">
        <f t="shared" si="28"/>
        <v>58000</v>
      </c>
      <c r="H230" s="262">
        <v>290000</v>
      </c>
      <c r="I230" s="261">
        <f t="shared" si="29"/>
        <v>348000</v>
      </c>
      <c r="J230" s="247">
        <v>68450.704942414202</v>
      </c>
      <c r="K230" s="247">
        <v>277802.81976965687</v>
      </c>
      <c r="L230" s="194">
        <v>346253.52471207106</v>
      </c>
      <c r="M230" s="220">
        <f t="shared" si="30"/>
        <v>58000</v>
      </c>
      <c r="N230" s="220">
        <f t="shared" si="31"/>
        <v>239000</v>
      </c>
      <c r="O230" s="220">
        <f t="shared" si="32"/>
        <v>297000</v>
      </c>
      <c r="P230" s="301">
        <f t="shared" si="33"/>
        <v>53940</v>
      </c>
      <c r="Q230" s="301">
        <f t="shared" si="34"/>
        <v>222270</v>
      </c>
      <c r="R230" s="300">
        <f t="shared" si="35"/>
        <v>276210</v>
      </c>
    </row>
    <row r="231" spans="1:18" s="209" customFormat="1" x14ac:dyDescent="0.25">
      <c r="A231" s="210">
        <v>217</v>
      </c>
      <c r="B231" s="158" t="s">
        <v>330</v>
      </c>
      <c r="C231" s="153" t="s">
        <v>153</v>
      </c>
      <c r="D231" s="200">
        <v>23000</v>
      </c>
      <c r="E231" s="173">
        <v>69000</v>
      </c>
      <c r="F231" s="216">
        <f t="shared" si="27"/>
        <v>92000</v>
      </c>
      <c r="G231" s="261">
        <f t="shared" si="28"/>
        <v>16000</v>
      </c>
      <c r="H231" s="262">
        <v>80000</v>
      </c>
      <c r="I231" s="261">
        <f t="shared" si="29"/>
        <v>96000</v>
      </c>
      <c r="J231" s="247">
        <v>18977.887999999999</v>
      </c>
      <c r="K231" s="247">
        <v>79911.552000000011</v>
      </c>
      <c r="L231" s="194">
        <v>98889.44</v>
      </c>
      <c r="M231" s="220">
        <f t="shared" si="30"/>
        <v>16000</v>
      </c>
      <c r="N231" s="220">
        <f t="shared" si="31"/>
        <v>69000</v>
      </c>
      <c r="O231" s="220">
        <f t="shared" si="32"/>
        <v>85000</v>
      </c>
      <c r="P231" s="301">
        <f t="shared" si="33"/>
        <v>14880</v>
      </c>
      <c r="Q231" s="301">
        <f t="shared" si="34"/>
        <v>64170</v>
      </c>
      <c r="R231" s="300">
        <f t="shared" si="35"/>
        <v>79050</v>
      </c>
    </row>
    <row r="232" spans="1:18" s="209" customFormat="1" x14ac:dyDescent="0.25">
      <c r="A232" s="210">
        <v>218</v>
      </c>
      <c r="B232" s="213" t="s">
        <v>556</v>
      </c>
      <c r="C232" s="153" t="s">
        <v>153</v>
      </c>
      <c r="D232" s="200">
        <v>79000</v>
      </c>
      <c r="E232" s="173">
        <v>240000</v>
      </c>
      <c r="F232" s="216">
        <f t="shared" si="27"/>
        <v>319000</v>
      </c>
      <c r="G232" s="261">
        <f t="shared" si="28"/>
        <v>58000</v>
      </c>
      <c r="H232" s="262">
        <v>290000</v>
      </c>
      <c r="I232" s="261">
        <f t="shared" si="29"/>
        <v>348000</v>
      </c>
      <c r="J232" s="247">
        <v>68591.929110904704</v>
      </c>
      <c r="K232" s="247">
        <v>278367.71644361893</v>
      </c>
      <c r="L232" s="194">
        <v>346959.64555452362</v>
      </c>
      <c r="M232" s="220">
        <f t="shared" si="30"/>
        <v>58000</v>
      </c>
      <c r="N232" s="220">
        <f t="shared" si="31"/>
        <v>240000</v>
      </c>
      <c r="O232" s="220">
        <f t="shared" si="32"/>
        <v>298000</v>
      </c>
      <c r="P232" s="301">
        <f t="shared" si="33"/>
        <v>53940</v>
      </c>
      <c r="Q232" s="301">
        <f t="shared" si="34"/>
        <v>223200</v>
      </c>
      <c r="R232" s="300">
        <f t="shared" si="35"/>
        <v>277140</v>
      </c>
    </row>
    <row r="233" spans="1:18" s="209" customFormat="1" x14ac:dyDescent="0.25">
      <c r="A233" s="210">
        <v>219</v>
      </c>
      <c r="B233" s="158" t="s">
        <v>557</v>
      </c>
      <c r="C233" s="153" t="s">
        <v>153</v>
      </c>
      <c r="D233" s="200">
        <v>186000</v>
      </c>
      <c r="E233" s="173">
        <v>568000</v>
      </c>
      <c r="F233" s="216">
        <f t="shared" si="27"/>
        <v>754000</v>
      </c>
      <c r="G233" s="261">
        <f t="shared" si="28"/>
        <v>134000</v>
      </c>
      <c r="H233" s="262">
        <v>670000</v>
      </c>
      <c r="I233" s="261">
        <f t="shared" si="29"/>
        <v>804000</v>
      </c>
      <c r="J233" s="247">
        <v>163640.45446564999</v>
      </c>
      <c r="K233" s="247">
        <v>658561.81786260009</v>
      </c>
      <c r="L233" s="194">
        <v>822202.27232825011</v>
      </c>
      <c r="M233" s="220">
        <f t="shared" si="30"/>
        <v>134000</v>
      </c>
      <c r="N233" s="220">
        <f t="shared" si="31"/>
        <v>568000</v>
      </c>
      <c r="O233" s="220">
        <f t="shared" si="32"/>
        <v>702000</v>
      </c>
      <c r="P233" s="301">
        <f t="shared" si="33"/>
        <v>124620</v>
      </c>
      <c r="Q233" s="301">
        <f t="shared" si="34"/>
        <v>528240</v>
      </c>
      <c r="R233" s="300">
        <f t="shared" si="35"/>
        <v>652860</v>
      </c>
    </row>
    <row r="234" spans="1:18" s="209" customFormat="1" x14ac:dyDescent="0.25">
      <c r="A234" s="210">
        <v>220</v>
      </c>
      <c r="B234" s="158" t="s">
        <v>439</v>
      </c>
      <c r="C234" s="153" t="s">
        <v>153</v>
      </c>
      <c r="D234" s="200">
        <v>60000</v>
      </c>
      <c r="E234" s="173">
        <v>182000</v>
      </c>
      <c r="F234" s="216">
        <f t="shared" si="27"/>
        <v>242000</v>
      </c>
      <c r="G234" s="261">
        <f t="shared" si="28"/>
        <v>44000</v>
      </c>
      <c r="H234" s="262">
        <v>220000</v>
      </c>
      <c r="I234" s="261">
        <f t="shared" si="29"/>
        <v>264000</v>
      </c>
      <c r="J234" s="247">
        <v>51772.753671389699</v>
      </c>
      <c r="K234" s="247">
        <v>211091.01468555874</v>
      </c>
      <c r="L234" s="194">
        <v>262863.76835694845</v>
      </c>
      <c r="M234" s="220">
        <f t="shared" si="30"/>
        <v>44000</v>
      </c>
      <c r="N234" s="220">
        <f t="shared" si="31"/>
        <v>182000</v>
      </c>
      <c r="O234" s="220">
        <f t="shared" si="32"/>
        <v>226000</v>
      </c>
      <c r="P234" s="301">
        <f t="shared" si="33"/>
        <v>40920</v>
      </c>
      <c r="Q234" s="301">
        <f t="shared" si="34"/>
        <v>169260</v>
      </c>
      <c r="R234" s="300">
        <f t="shared" si="35"/>
        <v>210180</v>
      </c>
    </row>
    <row r="235" spans="1:18" s="209" customFormat="1" x14ac:dyDescent="0.25">
      <c r="A235" s="210">
        <v>221</v>
      </c>
      <c r="B235" s="158" t="s">
        <v>441</v>
      </c>
      <c r="C235" s="153" t="s">
        <v>153</v>
      </c>
      <c r="D235" s="200">
        <v>610000</v>
      </c>
      <c r="E235" s="173">
        <v>1861000</v>
      </c>
      <c r="F235" s="216">
        <f t="shared" si="27"/>
        <v>2471000</v>
      </c>
      <c r="G235" s="261">
        <f t="shared" si="28"/>
        <v>440000</v>
      </c>
      <c r="H235" s="262">
        <v>2200000</v>
      </c>
      <c r="I235" s="261">
        <f t="shared" si="29"/>
        <v>2640000</v>
      </c>
      <c r="J235" s="247">
        <v>538548.80000000005</v>
      </c>
      <c r="K235" s="247">
        <v>2158195.2000000002</v>
      </c>
      <c r="L235" s="194">
        <v>2696744</v>
      </c>
      <c r="M235" s="220">
        <f t="shared" si="30"/>
        <v>440000</v>
      </c>
      <c r="N235" s="220">
        <f t="shared" si="31"/>
        <v>1861000</v>
      </c>
      <c r="O235" s="220">
        <f t="shared" si="32"/>
        <v>2301000</v>
      </c>
      <c r="P235" s="301">
        <f t="shared" si="33"/>
        <v>409200</v>
      </c>
      <c r="Q235" s="301">
        <f t="shared" si="34"/>
        <v>1730730</v>
      </c>
      <c r="R235" s="300">
        <f t="shared" si="35"/>
        <v>2139930</v>
      </c>
    </row>
    <row r="236" spans="1:18" s="209" customFormat="1" x14ac:dyDescent="0.25">
      <c r="A236" s="210">
        <v>222</v>
      </c>
      <c r="B236" s="166" t="s">
        <v>55</v>
      </c>
      <c r="C236" s="153" t="s">
        <v>153</v>
      </c>
      <c r="D236" s="200">
        <v>129000</v>
      </c>
      <c r="E236" s="173">
        <v>395000</v>
      </c>
      <c r="F236" s="216">
        <f t="shared" si="27"/>
        <v>524000</v>
      </c>
      <c r="G236" s="261">
        <f t="shared" si="28"/>
        <v>96000</v>
      </c>
      <c r="H236" s="262">
        <v>480000</v>
      </c>
      <c r="I236" s="261">
        <f t="shared" si="29"/>
        <v>576000</v>
      </c>
      <c r="J236" s="247">
        <v>113505.43881011799</v>
      </c>
      <c r="K236" s="247">
        <v>458021.75524047168</v>
      </c>
      <c r="L236" s="194">
        <v>571527.19405058969</v>
      </c>
      <c r="M236" s="220">
        <f t="shared" si="30"/>
        <v>96000</v>
      </c>
      <c r="N236" s="220">
        <f t="shared" si="31"/>
        <v>395000</v>
      </c>
      <c r="O236" s="220">
        <f t="shared" si="32"/>
        <v>491000</v>
      </c>
      <c r="P236" s="301">
        <f t="shared" si="33"/>
        <v>89280</v>
      </c>
      <c r="Q236" s="301">
        <f t="shared" si="34"/>
        <v>367350</v>
      </c>
      <c r="R236" s="300">
        <f t="shared" si="35"/>
        <v>456630</v>
      </c>
    </row>
    <row r="237" spans="1:18" s="209" customFormat="1" ht="22.5" x14ac:dyDescent="0.25">
      <c r="A237" s="210"/>
      <c r="B237" s="163" t="s">
        <v>98</v>
      </c>
      <c r="C237" s="153" t="s">
        <v>153</v>
      </c>
      <c r="D237" s="200">
        <v>0</v>
      </c>
      <c r="E237" s="173">
        <v>0</v>
      </c>
      <c r="F237" s="216">
        <f t="shared" si="27"/>
        <v>0</v>
      </c>
      <c r="G237" s="261">
        <f t="shared" si="28"/>
        <v>0</v>
      </c>
      <c r="H237" s="262"/>
      <c r="I237" s="261">
        <f t="shared" si="29"/>
        <v>0</v>
      </c>
      <c r="J237" s="247">
        <v>0</v>
      </c>
      <c r="K237" s="247">
        <v>0</v>
      </c>
      <c r="L237" s="194">
        <v>0</v>
      </c>
      <c r="M237" s="220">
        <f t="shared" si="30"/>
        <v>0</v>
      </c>
      <c r="N237" s="220">
        <f t="shared" si="31"/>
        <v>0</v>
      </c>
      <c r="O237" s="220">
        <f t="shared" si="32"/>
        <v>0</v>
      </c>
      <c r="P237" s="301">
        <f t="shared" si="33"/>
        <v>0</v>
      </c>
      <c r="Q237" s="301">
        <f t="shared" si="34"/>
        <v>0</v>
      </c>
      <c r="R237" s="300">
        <f t="shared" si="35"/>
        <v>0</v>
      </c>
    </row>
    <row r="238" spans="1:18" s="209" customFormat="1" x14ac:dyDescent="0.25">
      <c r="A238" s="210">
        <v>223</v>
      </c>
      <c r="B238" s="158" t="s">
        <v>558</v>
      </c>
      <c r="C238" s="153" t="s">
        <v>153</v>
      </c>
      <c r="D238" s="200">
        <v>113000</v>
      </c>
      <c r="E238" s="173">
        <v>234000</v>
      </c>
      <c r="F238" s="216">
        <f t="shared" si="27"/>
        <v>347000</v>
      </c>
      <c r="G238" s="261">
        <f t="shared" si="28"/>
        <v>62000</v>
      </c>
      <c r="H238" s="262">
        <v>310000</v>
      </c>
      <c r="I238" s="261">
        <f t="shared" si="29"/>
        <v>372000</v>
      </c>
      <c r="J238" s="247">
        <v>99619.814400000003</v>
      </c>
      <c r="K238" s="247">
        <v>402479.25760000001</v>
      </c>
      <c r="L238" s="194">
        <v>502099.07200000004</v>
      </c>
      <c r="M238" s="220">
        <f t="shared" si="30"/>
        <v>62000</v>
      </c>
      <c r="N238" s="220">
        <f t="shared" si="31"/>
        <v>234000</v>
      </c>
      <c r="O238" s="220">
        <f t="shared" si="32"/>
        <v>296000</v>
      </c>
      <c r="P238" s="301">
        <f t="shared" si="33"/>
        <v>57660</v>
      </c>
      <c r="Q238" s="301">
        <f t="shared" si="34"/>
        <v>217620</v>
      </c>
      <c r="R238" s="300">
        <f t="shared" si="35"/>
        <v>275280</v>
      </c>
    </row>
    <row r="239" spans="1:18" s="209" customFormat="1" x14ac:dyDescent="0.25">
      <c r="A239" s="210">
        <v>224</v>
      </c>
      <c r="B239" s="166" t="s">
        <v>254</v>
      </c>
      <c r="C239" s="153" t="s">
        <v>153</v>
      </c>
      <c r="D239" s="200">
        <v>22000</v>
      </c>
      <c r="E239" s="173">
        <v>66000</v>
      </c>
      <c r="F239" s="216">
        <f t="shared" si="27"/>
        <v>88000</v>
      </c>
      <c r="G239" s="261">
        <f t="shared" si="28"/>
        <v>15600</v>
      </c>
      <c r="H239" s="262">
        <v>78000</v>
      </c>
      <c r="I239" s="261">
        <f t="shared" si="29"/>
        <v>93600</v>
      </c>
      <c r="J239" s="247">
        <v>18207.383665315701</v>
      </c>
      <c r="K239" s="247">
        <v>76829.534661262849</v>
      </c>
      <c r="L239" s="194">
        <v>95036.918326578554</v>
      </c>
      <c r="M239" s="220">
        <f t="shared" si="30"/>
        <v>15600</v>
      </c>
      <c r="N239" s="220">
        <f t="shared" si="31"/>
        <v>66000</v>
      </c>
      <c r="O239" s="220">
        <f t="shared" si="32"/>
        <v>81600</v>
      </c>
      <c r="P239" s="301">
        <f t="shared" si="33"/>
        <v>14508</v>
      </c>
      <c r="Q239" s="301">
        <f t="shared" si="34"/>
        <v>61380</v>
      </c>
      <c r="R239" s="300">
        <f t="shared" si="35"/>
        <v>75888</v>
      </c>
    </row>
    <row r="240" spans="1:18" s="209" customFormat="1" x14ac:dyDescent="0.25">
      <c r="A240" s="210">
        <v>225</v>
      </c>
      <c r="B240" s="166" t="s">
        <v>447</v>
      </c>
      <c r="C240" s="153" t="s">
        <v>153</v>
      </c>
      <c r="D240" s="200">
        <v>201000</v>
      </c>
      <c r="E240" s="173">
        <v>613000</v>
      </c>
      <c r="F240" s="216">
        <f t="shared" si="27"/>
        <v>814000</v>
      </c>
      <c r="G240" s="261">
        <f t="shared" si="28"/>
        <v>144000</v>
      </c>
      <c r="H240" s="262">
        <v>720000</v>
      </c>
      <c r="I240" s="261">
        <f t="shared" si="29"/>
        <v>864000</v>
      </c>
      <c r="J240" s="247">
        <v>176905.28</v>
      </c>
      <c r="K240" s="247">
        <v>711621.12000000011</v>
      </c>
      <c r="L240" s="194">
        <v>888526.40000000014</v>
      </c>
      <c r="M240" s="220">
        <f t="shared" si="30"/>
        <v>144000</v>
      </c>
      <c r="N240" s="220">
        <f t="shared" si="31"/>
        <v>613000</v>
      </c>
      <c r="O240" s="220">
        <f t="shared" si="32"/>
        <v>757000</v>
      </c>
      <c r="P240" s="301">
        <f t="shared" si="33"/>
        <v>133920</v>
      </c>
      <c r="Q240" s="301">
        <f t="shared" si="34"/>
        <v>570090</v>
      </c>
      <c r="R240" s="300">
        <f t="shared" si="35"/>
        <v>704010</v>
      </c>
    </row>
    <row r="241" spans="1:18" s="209" customFormat="1" x14ac:dyDescent="0.25">
      <c r="A241" s="210">
        <v>226</v>
      </c>
      <c r="B241" s="166" t="s">
        <v>448</v>
      </c>
      <c r="C241" s="153" t="s">
        <v>153</v>
      </c>
      <c r="D241" s="200">
        <v>59000</v>
      </c>
      <c r="E241" s="173">
        <v>181000</v>
      </c>
      <c r="F241" s="216">
        <f t="shared" si="27"/>
        <v>240000</v>
      </c>
      <c r="G241" s="261">
        <f t="shared" si="28"/>
        <v>44000</v>
      </c>
      <c r="H241" s="262">
        <v>220000</v>
      </c>
      <c r="I241" s="261">
        <f t="shared" si="29"/>
        <v>264000</v>
      </c>
      <c r="J241" s="247">
        <v>51496.639999999999</v>
      </c>
      <c r="K241" s="247">
        <v>209986.56000000003</v>
      </c>
      <c r="L241" s="194">
        <v>261483.2</v>
      </c>
      <c r="M241" s="220">
        <f t="shared" si="30"/>
        <v>44000</v>
      </c>
      <c r="N241" s="220">
        <f t="shared" si="31"/>
        <v>181000</v>
      </c>
      <c r="O241" s="220">
        <f t="shared" si="32"/>
        <v>225000</v>
      </c>
      <c r="P241" s="301">
        <f t="shared" si="33"/>
        <v>40920</v>
      </c>
      <c r="Q241" s="301">
        <f t="shared" si="34"/>
        <v>168330</v>
      </c>
      <c r="R241" s="300">
        <f t="shared" si="35"/>
        <v>209250</v>
      </c>
    </row>
    <row r="242" spans="1:18" s="209" customFormat="1" x14ac:dyDescent="0.25">
      <c r="A242" s="210">
        <v>227</v>
      </c>
      <c r="B242" s="158" t="s">
        <v>69</v>
      </c>
      <c r="C242" s="153" t="s">
        <v>153</v>
      </c>
      <c r="D242" s="200">
        <v>25000</v>
      </c>
      <c r="E242" s="173">
        <v>76000</v>
      </c>
      <c r="F242" s="216">
        <f t="shared" si="27"/>
        <v>101000</v>
      </c>
      <c r="G242" s="261">
        <f t="shared" si="28"/>
        <v>18000</v>
      </c>
      <c r="H242" s="262">
        <v>90000</v>
      </c>
      <c r="I242" s="261">
        <f t="shared" si="29"/>
        <v>108000</v>
      </c>
      <c r="J242" s="247">
        <v>20938.823941922201</v>
      </c>
      <c r="K242" s="247">
        <v>87755.295767688716</v>
      </c>
      <c r="L242" s="194">
        <v>108694.11970961091</v>
      </c>
      <c r="M242" s="220">
        <f t="shared" si="30"/>
        <v>18000</v>
      </c>
      <c r="N242" s="220">
        <f t="shared" si="31"/>
        <v>76000</v>
      </c>
      <c r="O242" s="220">
        <f t="shared" si="32"/>
        <v>94000</v>
      </c>
      <c r="P242" s="301">
        <f t="shared" si="33"/>
        <v>16740</v>
      </c>
      <c r="Q242" s="301">
        <f t="shared" si="34"/>
        <v>70680</v>
      </c>
      <c r="R242" s="300">
        <f t="shared" si="35"/>
        <v>87420</v>
      </c>
    </row>
    <row r="243" spans="1:18" s="209" customFormat="1" x14ac:dyDescent="0.25">
      <c r="A243" s="210">
        <v>228</v>
      </c>
      <c r="B243" s="158" t="s">
        <v>70</v>
      </c>
      <c r="C243" s="153" t="s">
        <v>153</v>
      </c>
      <c r="D243" s="200">
        <v>115000</v>
      </c>
      <c r="E243" s="173">
        <v>352000</v>
      </c>
      <c r="F243" s="216">
        <f t="shared" si="27"/>
        <v>467000</v>
      </c>
      <c r="G243" s="261">
        <f t="shared" si="28"/>
        <v>84000</v>
      </c>
      <c r="H243" s="262">
        <v>420000</v>
      </c>
      <c r="I243" s="261">
        <f t="shared" si="29"/>
        <v>504000</v>
      </c>
      <c r="J243" s="247">
        <v>101076.8</v>
      </c>
      <c r="K243" s="247">
        <v>408307.20000000001</v>
      </c>
      <c r="L243" s="194">
        <v>509384</v>
      </c>
      <c r="M243" s="220">
        <f t="shared" si="30"/>
        <v>84000</v>
      </c>
      <c r="N243" s="220">
        <f t="shared" si="31"/>
        <v>352000</v>
      </c>
      <c r="O243" s="220">
        <f t="shared" si="32"/>
        <v>436000</v>
      </c>
      <c r="P243" s="301">
        <f t="shared" si="33"/>
        <v>78120</v>
      </c>
      <c r="Q243" s="301">
        <f t="shared" si="34"/>
        <v>327360</v>
      </c>
      <c r="R243" s="300">
        <f t="shared" si="35"/>
        <v>405480</v>
      </c>
    </row>
    <row r="244" spans="1:18" s="209" customFormat="1" x14ac:dyDescent="0.25">
      <c r="A244" s="210">
        <v>229</v>
      </c>
      <c r="B244" s="158" t="s">
        <v>1</v>
      </c>
      <c r="C244" s="153" t="s">
        <v>153</v>
      </c>
      <c r="D244" s="200">
        <v>38000</v>
      </c>
      <c r="E244" s="173">
        <v>115000</v>
      </c>
      <c r="F244" s="216">
        <f t="shared" si="27"/>
        <v>153000</v>
      </c>
      <c r="G244" s="261">
        <f t="shared" si="28"/>
        <v>27000</v>
      </c>
      <c r="H244" s="262">
        <v>135000</v>
      </c>
      <c r="I244" s="261">
        <f t="shared" si="29"/>
        <v>162000</v>
      </c>
      <c r="J244" s="247">
        <v>32277.991372578603</v>
      </c>
      <c r="K244" s="247">
        <v>133111.96549031429</v>
      </c>
      <c r="L244" s="194">
        <v>165389.9568628929</v>
      </c>
      <c r="M244" s="220">
        <f t="shared" si="30"/>
        <v>27000</v>
      </c>
      <c r="N244" s="220">
        <f t="shared" si="31"/>
        <v>115000</v>
      </c>
      <c r="O244" s="220">
        <f t="shared" si="32"/>
        <v>142000</v>
      </c>
      <c r="P244" s="301">
        <f t="shared" si="33"/>
        <v>25110</v>
      </c>
      <c r="Q244" s="301">
        <f t="shared" si="34"/>
        <v>106950</v>
      </c>
      <c r="R244" s="300">
        <f t="shared" si="35"/>
        <v>132060</v>
      </c>
    </row>
    <row r="245" spans="1:18" s="209" customFormat="1" x14ac:dyDescent="0.25">
      <c r="A245" s="210">
        <v>230</v>
      </c>
      <c r="B245" s="166" t="s">
        <v>56</v>
      </c>
      <c r="C245" s="153" t="s">
        <v>153</v>
      </c>
      <c r="D245" s="200">
        <v>27000</v>
      </c>
      <c r="E245" s="173">
        <v>83000</v>
      </c>
      <c r="F245" s="216">
        <f t="shared" si="27"/>
        <v>110000</v>
      </c>
      <c r="G245" s="261">
        <f t="shared" si="28"/>
        <v>19400</v>
      </c>
      <c r="H245" s="262">
        <v>97000</v>
      </c>
      <c r="I245" s="261">
        <f t="shared" si="29"/>
        <v>116400</v>
      </c>
      <c r="J245" s="247">
        <v>22944.300800000001</v>
      </c>
      <c r="K245" s="247">
        <v>95777.203200000018</v>
      </c>
      <c r="L245" s="194">
        <v>118721.50400000002</v>
      </c>
      <c r="M245" s="220">
        <f t="shared" si="30"/>
        <v>19400</v>
      </c>
      <c r="N245" s="220">
        <f t="shared" si="31"/>
        <v>83000</v>
      </c>
      <c r="O245" s="220">
        <f t="shared" si="32"/>
        <v>102400</v>
      </c>
      <c r="P245" s="301">
        <f t="shared" si="33"/>
        <v>18042</v>
      </c>
      <c r="Q245" s="301">
        <f t="shared" si="34"/>
        <v>77190</v>
      </c>
      <c r="R245" s="300">
        <f t="shared" si="35"/>
        <v>95232</v>
      </c>
    </row>
    <row r="246" spans="1:18" s="209" customFormat="1" x14ac:dyDescent="0.25">
      <c r="A246" s="210">
        <v>231</v>
      </c>
      <c r="B246" s="166" t="s">
        <v>57</v>
      </c>
      <c r="C246" s="153" t="s">
        <v>153</v>
      </c>
      <c r="D246" s="200">
        <v>10000</v>
      </c>
      <c r="E246" s="173">
        <v>32000</v>
      </c>
      <c r="F246" s="216">
        <f t="shared" si="27"/>
        <v>42000</v>
      </c>
      <c r="G246" s="261">
        <f t="shared" si="28"/>
        <v>8000</v>
      </c>
      <c r="H246" s="262">
        <v>40000</v>
      </c>
      <c r="I246" s="261">
        <f t="shared" si="29"/>
        <v>48000</v>
      </c>
      <c r="J246" s="247">
        <v>8245.2415999999994</v>
      </c>
      <c r="K246" s="247">
        <v>36980.966400000005</v>
      </c>
      <c r="L246" s="194">
        <v>45226.208000000006</v>
      </c>
      <c r="M246" s="220">
        <f t="shared" si="30"/>
        <v>8000</v>
      </c>
      <c r="N246" s="220">
        <f t="shared" si="31"/>
        <v>32000</v>
      </c>
      <c r="O246" s="220">
        <f t="shared" si="32"/>
        <v>40000</v>
      </c>
      <c r="P246" s="301">
        <f t="shared" si="33"/>
        <v>7440</v>
      </c>
      <c r="Q246" s="301">
        <f t="shared" si="34"/>
        <v>29760</v>
      </c>
      <c r="R246" s="300">
        <f t="shared" si="35"/>
        <v>37200</v>
      </c>
    </row>
    <row r="247" spans="1:18" s="209" customFormat="1" x14ac:dyDescent="0.25">
      <c r="A247" s="210">
        <v>232</v>
      </c>
      <c r="B247" s="166" t="s">
        <v>257</v>
      </c>
      <c r="C247" s="153" t="s">
        <v>153</v>
      </c>
      <c r="D247" s="200">
        <v>43000</v>
      </c>
      <c r="E247" s="173">
        <v>131000</v>
      </c>
      <c r="F247" s="216">
        <f t="shared" si="27"/>
        <v>174000</v>
      </c>
      <c r="G247" s="261">
        <f t="shared" si="28"/>
        <v>30000</v>
      </c>
      <c r="H247" s="262">
        <v>150000</v>
      </c>
      <c r="I247" s="261">
        <f t="shared" si="29"/>
        <v>180000</v>
      </c>
      <c r="J247" s="247">
        <v>36930.042304000002</v>
      </c>
      <c r="K247" s="247">
        <v>151720.16921600001</v>
      </c>
      <c r="L247" s="194">
        <v>188650.21152000001</v>
      </c>
      <c r="M247" s="220">
        <f t="shared" si="30"/>
        <v>30000</v>
      </c>
      <c r="N247" s="220">
        <f t="shared" si="31"/>
        <v>131000</v>
      </c>
      <c r="O247" s="220">
        <f t="shared" si="32"/>
        <v>161000</v>
      </c>
      <c r="P247" s="301">
        <f t="shared" si="33"/>
        <v>27900</v>
      </c>
      <c r="Q247" s="301">
        <f t="shared" si="34"/>
        <v>121830</v>
      </c>
      <c r="R247" s="300">
        <f t="shared" si="35"/>
        <v>149730</v>
      </c>
    </row>
    <row r="248" spans="1:18" s="209" customFormat="1" x14ac:dyDescent="0.25">
      <c r="A248" s="210">
        <v>233</v>
      </c>
      <c r="B248" s="166" t="s">
        <v>258</v>
      </c>
      <c r="C248" s="153" t="s">
        <v>153</v>
      </c>
      <c r="D248" s="200">
        <v>35000</v>
      </c>
      <c r="E248" s="173">
        <v>108000</v>
      </c>
      <c r="F248" s="216">
        <f t="shared" si="27"/>
        <v>143000</v>
      </c>
      <c r="G248" s="261">
        <f t="shared" si="28"/>
        <v>25600</v>
      </c>
      <c r="H248" s="262">
        <v>128000</v>
      </c>
      <c r="I248" s="261">
        <f t="shared" si="29"/>
        <v>153600</v>
      </c>
      <c r="J248" s="247">
        <v>30347.542530259801</v>
      </c>
      <c r="K248" s="247">
        <v>125390.17012103906</v>
      </c>
      <c r="L248" s="194">
        <v>155737.71265129885</v>
      </c>
      <c r="M248" s="220">
        <f t="shared" si="30"/>
        <v>25600</v>
      </c>
      <c r="N248" s="220">
        <f t="shared" si="31"/>
        <v>108000</v>
      </c>
      <c r="O248" s="220">
        <f t="shared" si="32"/>
        <v>133600</v>
      </c>
      <c r="P248" s="301">
        <f t="shared" si="33"/>
        <v>23808</v>
      </c>
      <c r="Q248" s="301">
        <f t="shared" si="34"/>
        <v>100440</v>
      </c>
      <c r="R248" s="300">
        <f t="shared" si="35"/>
        <v>124248</v>
      </c>
    </row>
    <row r="249" spans="1:18" s="209" customFormat="1" x14ac:dyDescent="0.25">
      <c r="A249" s="210">
        <v>234</v>
      </c>
      <c r="B249" s="166" t="s">
        <v>259</v>
      </c>
      <c r="C249" s="153" t="s">
        <v>153</v>
      </c>
      <c r="D249" s="200">
        <v>12000</v>
      </c>
      <c r="E249" s="173">
        <v>35000</v>
      </c>
      <c r="F249" s="216">
        <f t="shared" si="27"/>
        <v>47000</v>
      </c>
      <c r="G249" s="261">
        <f t="shared" si="28"/>
        <v>14000</v>
      </c>
      <c r="H249" s="262">
        <v>70000</v>
      </c>
      <c r="I249" s="261">
        <f t="shared" si="29"/>
        <v>84000</v>
      </c>
      <c r="J249" s="247">
        <v>9207.68</v>
      </c>
      <c r="K249" s="247">
        <v>40830.720000000001</v>
      </c>
      <c r="L249" s="194">
        <v>50038.400000000001</v>
      </c>
      <c r="M249" s="220">
        <f t="shared" si="30"/>
        <v>9207.68</v>
      </c>
      <c r="N249" s="220">
        <f t="shared" si="31"/>
        <v>35000</v>
      </c>
      <c r="O249" s="220">
        <f t="shared" si="32"/>
        <v>44207.68</v>
      </c>
      <c r="P249" s="301">
        <f t="shared" si="33"/>
        <v>8563.1424000000006</v>
      </c>
      <c r="Q249" s="301">
        <f t="shared" si="34"/>
        <v>32550</v>
      </c>
      <c r="R249" s="300">
        <f t="shared" si="35"/>
        <v>41113.142399999997</v>
      </c>
    </row>
    <row r="250" spans="1:18" s="209" customFormat="1" x14ac:dyDescent="0.25">
      <c r="A250" s="210">
        <v>235</v>
      </c>
      <c r="B250" s="152" t="s">
        <v>260</v>
      </c>
      <c r="C250" s="153" t="s">
        <v>153</v>
      </c>
      <c r="D250" s="200">
        <v>11000</v>
      </c>
      <c r="E250" s="173">
        <v>32000</v>
      </c>
      <c r="F250" s="216">
        <f t="shared" si="27"/>
        <v>43000</v>
      </c>
      <c r="G250" s="261">
        <f t="shared" si="28"/>
        <v>9000</v>
      </c>
      <c r="H250" s="262">
        <v>45000</v>
      </c>
      <c r="I250" s="261">
        <f t="shared" si="29"/>
        <v>54000</v>
      </c>
      <c r="J250" s="247">
        <v>8413.1022720000001</v>
      </c>
      <c r="K250" s="247">
        <v>37652.409088000008</v>
      </c>
      <c r="L250" s="194">
        <v>46065.511360000004</v>
      </c>
      <c r="M250" s="220">
        <f t="shared" si="30"/>
        <v>8413.1022720000001</v>
      </c>
      <c r="N250" s="220">
        <f t="shared" si="31"/>
        <v>32000</v>
      </c>
      <c r="O250" s="220">
        <f t="shared" si="32"/>
        <v>40413.102272000004</v>
      </c>
      <c r="P250" s="301">
        <f t="shared" si="33"/>
        <v>7824.18511296</v>
      </c>
      <c r="Q250" s="301">
        <f t="shared" si="34"/>
        <v>29760</v>
      </c>
      <c r="R250" s="300">
        <f t="shared" si="35"/>
        <v>37584.185112959996</v>
      </c>
    </row>
    <row r="251" spans="1:18" s="209" customFormat="1" x14ac:dyDescent="0.25">
      <c r="A251" s="210">
        <v>236</v>
      </c>
      <c r="B251" s="167" t="s">
        <v>261</v>
      </c>
      <c r="C251" s="153" t="s">
        <v>153</v>
      </c>
      <c r="D251" s="200">
        <v>112000</v>
      </c>
      <c r="E251" s="173">
        <v>343000</v>
      </c>
      <c r="F251" s="216">
        <f t="shared" si="27"/>
        <v>455000</v>
      </c>
      <c r="G251" s="261">
        <f t="shared" si="28"/>
        <v>98000</v>
      </c>
      <c r="H251" s="262">
        <v>490000</v>
      </c>
      <c r="I251" s="261">
        <f t="shared" si="29"/>
        <v>588000</v>
      </c>
      <c r="J251" s="247">
        <v>98411.199999999997</v>
      </c>
      <c r="K251" s="247">
        <v>397644.80000000005</v>
      </c>
      <c r="L251" s="194">
        <v>496056.00000000006</v>
      </c>
      <c r="M251" s="220">
        <f t="shared" si="30"/>
        <v>98000</v>
      </c>
      <c r="N251" s="220">
        <f t="shared" si="31"/>
        <v>343000</v>
      </c>
      <c r="O251" s="220">
        <f t="shared" si="32"/>
        <v>441000</v>
      </c>
      <c r="P251" s="301">
        <f t="shared" si="33"/>
        <v>91140</v>
      </c>
      <c r="Q251" s="301">
        <f t="shared" si="34"/>
        <v>318990</v>
      </c>
      <c r="R251" s="300">
        <f t="shared" si="35"/>
        <v>410130</v>
      </c>
    </row>
    <row r="252" spans="1:18" s="209" customFormat="1" x14ac:dyDescent="0.25">
      <c r="A252" s="210">
        <v>237</v>
      </c>
      <c r="B252" s="213" t="s">
        <v>455</v>
      </c>
      <c r="C252" s="153" t="s">
        <v>153</v>
      </c>
      <c r="D252" s="200">
        <v>9000</v>
      </c>
      <c r="E252" s="173">
        <v>25000</v>
      </c>
      <c r="F252" s="216">
        <f t="shared" si="27"/>
        <v>34000</v>
      </c>
      <c r="G252" s="261">
        <f t="shared" si="28"/>
        <v>10000</v>
      </c>
      <c r="H252" s="262">
        <v>50000</v>
      </c>
      <c r="I252" s="261">
        <f t="shared" si="29"/>
        <v>60000</v>
      </c>
      <c r="J252" s="247">
        <v>6991.1552000000001</v>
      </c>
      <c r="K252" s="247">
        <v>31964.620800000004</v>
      </c>
      <c r="L252" s="194">
        <v>38955.776000000005</v>
      </c>
      <c r="M252" s="220">
        <f t="shared" si="30"/>
        <v>6991.1552000000001</v>
      </c>
      <c r="N252" s="220">
        <f t="shared" si="31"/>
        <v>25000</v>
      </c>
      <c r="O252" s="220">
        <f t="shared" si="32"/>
        <v>31991.155200000001</v>
      </c>
      <c r="P252" s="301">
        <f t="shared" si="33"/>
        <v>6501.7743360000004</v>
      </c>
      <c r="Q252" s="301">
        <f t="shared" si="34"/>
        <v>23250</v>
      </c>
      <c r="R252" s="300">
        <f t="shared" si="35"/>
        <v>29751.774336000002</v>
      </c>
    </row>
    <row r="253" spans="1:18" s="209" customFormat="1" x14ac:dyDescent="0.25">
      <c r="A253" s="210">
        <v>238</v>
      </c>
      <c r="B253" s="152" t="s">
        <v>442</v>
      </c>
      <c r="C253" s="153" t="s">
        <v>153</v>
      </c>
      <c r="D253" s="200">
        <v>96000</v>
      </c>
      <c r="E253" s="173">
        <v>558000</v>
      </c>
      <c r="F253" s="216">
        <f t="shared" si="27"/>
        <v>654000</v>
      </c>
      <c r="G253" s="261">
        <f t="shared" si="28"/>
        <v>118000</v>
      </c>
      <c r="H253" s="262">
        <v>590000</v>
      </c>
      <c r="I253" s="261">
        <f t="shared" si="29"/>
        <v>708000</v>
      </c>
      <c r="J253" s="247">
        <v>193667.35680000001</v>
      </c>
      <c r="K253" s="247">
        <v>778669.42720000003</v>
      </c>
      <c r="L253" s="194">
        <v>972336.78399999999</v>
      </c>
      <c r="M253" s="220">
        <f t="shared" si="30"/>
        <v>96000</v>
      </c>
      <c r="N253" s="220">
        <f t="shared" si="31"/>
        <v>558000</v>
      </c>
      <c r="O253" s="220">
        <f t="shared" si="32"/>
        <v>654000</v>
      </c>
      <c r="P253" s="301">
        <f t="shared" si="33"/>
        <v>89280</v>
      </c>
      <c r="Q253" s="301">
        <f t="shared" si="34"/>
        <v>518940</v>
      </c>
      <c r="R253" s="300">
        <f t="shared" si="35"/>
        <v>608220</v>
      </c>
    </row>
    <row r="254" spans="1:18" s="209" customFormat="1" x14ac:dyDescent="0.25">
      <c r="A254" s="210">
        <v>239</v>
      </c>
      <c r="B254" s="152" t="s">
        <v>443</v>
      </c>
      <c r="C254" s="153" t="s">
        <v>153</v>
      </c>
      <c r="D254" s="200">
        <v>96000</v>
      </c>
      <c r="E254" s="173">
        <v>681000</v>
      </c>
      <c r="F254" s="216">
        <f t="shared" si="27"/>
        <v>777000</v>
      </c>
      <c r="G254" s="261">
        <f t="shared" si="28"/>
        <v>138000</v>
      </c>
      <c r="H254" s="262">
        <v>690000</v>
      </c>
      <c r="I254" s="261">
        <f t="shared" si="29"/>
        <v>828000</v>
      </c>
      <c r="J254" s="247">
        <v>229400</v>
      </c>
      <c r="K254" s="247">
        <v>921600</v>
      </c>
      <c r="L254" s="194">
        <v>1151000</v>
      </c>
      <c r="M254" s="220">
        <f t="shared" si="30"/>
        <v>96000</v>
      </c>
      <c r="N254" s="220">
        <f t="shared" si="31"/>
        <v>681000</v>
      </c>
      <c r="O254" s="220">
        <f t="shared" si="32"/>
        <v>777000</v>
      </c>
      <c r="P254" s="301">
        <f t="shared" si="33"/>
        <v>89280</v>
      </c>
      <c r="Q254" s="301">
        <f t="shared" si="34"/>
        <v>633330</v>
      </c>
      <c r="R254" s="300">
        <f t="shared" si="35"/>
        <v>722610</v>
      </c>
    </row>
    <row r="255" spans="1:18" s="209" customFormat="1" x14ac:dyDescent="0.25">
      <c r="A255" s="210">
        <v>240</v>
      </c>
      <c r="B255" s="152" t="s">
        <v>444</v>
      </c>
      <c r="C255" s="153" t="s">
        <v>153</v>
      </c>
      <c r="D255" s="200">
        <v>96000</v>
      </c>
      <c r="E255" s="173">
        <v>715000</v>
      </c>
      <c r="F255" s="216">
        <f t="shared" si="27"/>
        <v>811000</v>
      </c>
      <c r="G255" s="261">
        <f t="shared" si="28"/>
        <v>156000</v>
      </c>
      <c r="H255" s="262">
        <v>780000</v>
      </c>
      <c r="I255" s="261">
        <f t="shared" si="29"/>
        <v>936000</v>
      </c>
      <c r="J255" s="247">
        <v>239000</v>
      </c>
      <c r="K255" s="247">
        <v>960000</v>
      </c>
      <c r="L255" s="194">
        <v>1199000</v>
      </c>
      <c r="M255" s="220">
        <f t="shared" si="30"/>
        <v>96000</v>
      </c>
      <c r="N255" s="220">
        <f t="shared" si="31"/>
        <v>715000</v>
      </c>
      <c r="O255" s="220">
        <f t="shared" si="32"/>
        <v>811000</v>
      </c>
      <c r="P255" s="301">
        <f t="shared" si="33"/>
        <v>89280</v>
      </c>
      <c r="Q255" s="301">
        <f t="shared" si="34"/>
        <v>664950</v>
      </c>
      <c r="R255" s="300">
        <f t="shared" si="35"/>
        <v>754230</v>
      </c>
    </row>
    <row r="256" spans="1:18" s="209" customFormat="1" ht="22.5" x14ac:dyDescent="0.25">
      <c r="A256" s="214"/>
      <c r="B256" s="163" t="s">
        <v>62</v>
      </c>
      <c r="C256" s="153" t="s">
        <v>153</v>
      </c>
      <c r="D256" s="200">
        <v>0</v>
      </c>
      <c r="E256" s="173">
        <v>0</v>
      </c>
      <c r="F256" s="216">
        <f t="shared" si="27"/>
        <v>0</v>
      </c>
      <c r="G256" s="261">
        <f t="shared" si="28"/>
        <v>0</v>
      </c>
      <c r="H256" s="262"/>
      <c r="I256" s="261">
        <f t="shared" si="29"/>
        <v>0</v>
      </c>
      <c r="J256" s="247">
        <v>0</v>
      </c>
      <c r="K256" s="247">
        <v>0</v>
      </c>
      <c r="L256" s="194">
        <v>0</v>
      </c>
      <c r="M256" s="220">
        <f t="shared" si="30"/>
        <v>0</v>
      </c>
      <c r="N256" s="220">
        <f t="shared" si="31"/>
        <v>0</v>
      </c>
      <c r="O256" s="220">
        <f t="shared" si="32"/>
        <v>0</v>
      </c>
      <c r="P256" s="301">
        <f t="shared" si="33"/>
        <v>0</v>
      </c>
      <c r="Q256" s="301">
        <f t="shared" si="34"/>
        <v>0</v>
      </c>
      <c r="R256" s="300">
        <f t="shared" si="35"/>
        <v>0</v>
      </c>
    </row>
    <row r="257" spans="1:18" s="209" customFormat="1" ht="22.5" x14ac:dyDescent="0.25">
      <c r="A257" s="214">
        <v>241</v>
      </c>
      <c r="B257" s="166" t="s">
        <v>382</v>
      </c>
      <c r="C257" s="153" t="s">
        <v>153</v>
      </c>
      <c r="D257" s="200">
        <v>469000</v>
      </c>
      <c r="E257" s="173">
        <v>1430000</v>
      </c>
      <c r="F257" s="216">
        <f t="shared" si="27"/>
        <v>1899000</v>
      </c>
      <c r="G257" s="261">
        <f t="shared" si="28"/>
        <v>340000</v>
      </c>
      <c r="H257" s="262">
        <v>1700000</v>
      </c>
      <c r="I257" s="261">
        <f t="shared" si="29"/>
        <v>2040000</v>
      </c>
      <c r="J257" s="247">
        <v>413728.99731200002</v>
      </c>
      <c r="K257" s="247">
        <v>1658915.9892480001</v>
      </c>
      <c r="L257" s="194">
        <v>2072644.9865600001</v>
      </c>
      <c r="M257" s="220">
        <f t="shared" si="30"/>
        <v>340000</v>
      </c>
      <c r="N257" s="220">
        <f t="shared" si="31"/>
        <v>1430000</v>
      </c>
      <c r="O257" s="220">
        <f t="shared" si="32"/>
        <v>1770000</v>
      </c>
      <c r="P257" s="301">
        <f t="shared" si="33"/>
        <v>316200</v>
      </c>
      <c r="Q257" s="301">
        <f t="shared" si="34"/>
        <v>1329900</v>
      </c>
      <c r="R257" s="300">
        <f t="shared" si="35"/>
        <v>1646100</v>
      </c>
    </row>
    <row r="258" spans="1:18" s="209" customFormat="1" x14ac:dyDescent="0.25">
      <c r="A258" s="214">
        <v>242</v>
      </c>
      <c r="B258" s="166" t="s">
        <v>559</v>
      </c>
      <c r="C258" s="153" t="s">
        <v>153</v>
      </c>
      <c r="D258" s="200">
        <v>388000</v>
      </c>
      <c r="E258" s="173">
        <v>2298000</v>
      </c>
      <c r="F258" s="216">
        <f t="shared" si="27"/>
        <v>2686000</v>
      </c>
      <c r="G258" s="261">
        <f t="shared" si="28"/>
        <v>490000</v>
      </c>
      <c r="H258" s="262">
        <v>2450000</v>
      </c>
      <c r="I258" s="261">
        <f t="shared" si="29"/>
        <v>2940000</v>
      </c>
      <c r="J258" s="247">
        <v>665415.68000000005</v>
      </c>
      <c r="K258" s="247">
        <v>2665662.7200000007</v>
      </c>
      <c r="L258" s="194">
        <v>3331078.4000000008</v>
      </c>
      <c r="M258" s="220">
        <f t="shared" si="30"/>
        <v>388000</v>
      </c>
      <c r="N258" s="220">
        <f t="shared" si="31"/>
        <v>2298000</v>
      </c>
      <c r="O258" s="220">
        <f t="shared" si="32"/>
        <v>2686000</v>
      </c>
      <c r="P258" s="301">
        <f t="shared" si="33"/>
        <v>360840</v>
      </c>
      <c r="Q258" s="301">
        <f t="shared" si="34"/>
        <v>2137140</v>
      </c>
      <c r="R258" s="300">
        <f t="shared" si="35"/>
        <v>2497980</v>
      </c>
    </row>
    <row r="259" spans="1:18" s="209" customFormat="1" x14ac:dyDescent="0.25">
      <c r="A259" s="214">
        <v>243</v>
      </c>
      <c r="B259" s="166" t="s">
        <v>134</v>
      </c>
      <c r="C259" s="153" t="s">
        <v>153</v>
      </c>
      <c r="D259" s="200">
        <v>103000</v>
      </c>
      <c r="E259" s="173">
        <v>315000</v>
      </c>
      <c r="F259" s="216">
        <f t="shared" si="27"/>
        <v>418000</v>
      </c>
      <c r="G259" s="261">
        <f t="shared" si="28"/>
        <v>76000</v>
      </c>
      <c r="H259" s="262">
        <v>380000</v>
      </c>
      <c r="I259" s="261">
        <f t="shared" si="29"/>
        <v>456000</v>
      </c>
      <c r="J259" s="247">
        <v>90371.475353688598</v>
      </c>
      <c r="K259" s="247">
        <v>365485.90141475463</v>
      </c>
      <c r="L259" s="194">
        <v>455857.37676844321</v>
      </c>
      <c r="M259" s="220">
        <f t="shared" si="30"/>
        <v>76000</v>
      </c>
      <c r="N259" s="220">
        <f t="shared" si="31"/>
        <v>315000</v>
      </c>
      <c r="O259" s="220">
        <f t="shared" si="32"/>
        <v>391000</v>
      </c>
      <c r="P259" s="301">
        <f t="shared" si="33"/>
        <v>70680</v>
      </c>
      <c r="Q259" s="301">
        <f t="shared" si="34"/>
        <v>292950</v>
      </c>
      <c r="R259" s="300">
        <f t="shared" si="35"/>
        <v>363630</v>
      </c>
    </row>
    <row r="260" spans="1:18" s="209" customFormat="1" x14ac:dyDescent="0.25">
      <c r="A260" s="214">
        <v>244</v>
      </c>
      <c r="B260" s="215" t="s">
        <v>264</v>
      </c>
      <c r="C260" s="153" t="s">
        <v>153</v>
      </c>
      <c r="D260" s="200">
        <v>412000</v>
      </c>
      <c r="E260" s="173">
        <v>1256000</v>
      </c>
      <c r="F260" s="216">
        <f t="shared" si="27"/>
        <v>1668000</v>
      </c>
      <c r="G260" s="261">
        <f t="shared" si="28"/>
        <v>300000</v>
      </c>
      <c r="H260" s="262">
        <v>1500000</v>
      </c>
      <c r="I260" s="261">
        <f t="shared" si="29"/>
        <v>1800000</v>
      </c>
      <c r="J260" s="247">
        <v>363310.932608</v>
      </c>
      <c r="K260" s="247">
        <v>1457243.7304320002</v>
      </c>
      <c r="L260" s="194">
        <v>1820554.6630400002</v>
      </c>
      <c r="M260" s="220">
        <f t="shared" si="30"/>
        <v>300000</v>
      </c>
      <c r="N260" s="220">
        <f t="shared" si="31"/>
        <v>1256000</v>
      </c>
      <c r="O260" s="220">
        <f t="shared" si="32"/>
        <v>1556000</v>
      </c>
      <c r="P260" s="301">
        <f t="shared" si="33"/>
        <v>279000</v>
      </c>
      <c r="Q260" s="301">
        <f t="shared" si="34"/>
        <v>1168080</v>
      </c>
      <c r="R260" s="300">
        <f t="shared" si="35"/>
        <v>1447080</v>
      </c>
    </row>
    <row r="261" spans="1:18" s="209" customFormat="1" x14ac:dyDescent="0.25">
      <c r="A261" s="214">
        <v>245</v>
      </c>
      <c r="B261" s="158" t="s">
        <v>73</v>
      </c>
      <c r="C261" s="153" t="s">
        <v>153</v>
      </c>
      <c r="D261" s="200">
        <v>23000</v>
      </c>
      <c r="E261" s="173">
        <v>70000</v>
      </c>
      <c r="F261" s="216">
        <f t="shared" ref="F261:F262" si="36">(D261+E261)</f>
        <v>93000</v>
      </c>
      <c r="G261" s="261">
        <f t="shared" ref="G261:G262" si="37">+H261*20%</f>
        <v>19000</v>
      </c>
      <c r="H261" s="262">
        <v>95000</v>
      </c>
      <c r="I261" s="261">
        <f t="shared" ref="I261:I262" si="38">+H261+G261</f>
        <v>114000</v>
      </c>
      <c r="J261" s="247">
        <v>19415.36</v>
      </c>
      <c r="K261" s="247">
        <v>81661.440000000002</v>
      </c>
      <c r="L261" s="194">
        <v>101076.8</v>
      </c>
      <c r="M261" s="220">
        <f t="shared" ref="M261:M262" si="39">MIN(D261,J261,G261)</f>
        <v>19000</v>
      </c>
      <c r="N261" s="220">
        <f t="shared" ref="N261:N262" si="40">MIN(E261,K261,H261)</f>
        <v>70000</v>
      </c>
      <c r="O261" s="220">
        <f t="shared" ref="O261:O262" si="41">M261+N261</f>
        <v>89000</v>
      </c>
      <c r="P261" s="301">
        <f t="shared" ref="P261:P263" si="42">M261-(M261*7%)</f>
        <v>17670</v>
      </c>
      <c r="Q261" s="301">
        <f t="shared" ref="Q261:Q263" si="43">N261-(N261*7%)</f>
        <v>65100</v>
      </c>
      <c r="R261" s="300">
        <f t="shared" ref="R261:R263" si="44">Q261+P261</f>
        <v>82770</v>
      </c>
    </row>
    <row r="262" spans="1:18" s="209" customFormat="1" x14ac:dyDescent="0.25">
      <c r="A262" s="214">
        <v>246</v>
      </c>
      <c r="B262" s="158" t="s">
        <v>72</v>
      </c>
      <c r="C262" s="153" t="s">
        <v>153</v>
      </c>
      <c r="D262" s="200">
        <v>95000</v>
      </c>
      <c r="E262" s="173">
        <v>289000</v>
      </c>
      <c r="F262" s="216">
        <f t="shared" si="36"/>
        <v>384000</v>
      </c>
      <c r="G262" s="261">
        <f t="shared" si="37"/>
        <v>80000</v>
      </c>
      <c r="H262" s="262">
        <v>400000</v>
      </c>
      <c r="I262" s="261">
        <f t="shared" si="38"/>
        <v>480000</v>
      </c>
      <c r="J262" s="247">
        <v>82907.1296</v>
      </c>
      <c r="K262" s="247">
        <v>335628.51840000006</v>
      </c>
      <c r="L262" s="194">
        <v>418535.64800000004</v>
      </c>
      <c r="M262" s="220">
        <f t="shared" si="39"/>
        <v>80000</v>
      </c>
      <c r="N262" s="220">
        <f t="shared" si="40"/>
        <v>289000</v>
      </c>
      <c r="O262" s="220">
        <f t="shared" si="41"/>
        <v>369000</v>
      </c>
      <c r="P262" s="301">
        <f t="shared" si="42"/>
        <v>74400</v>
      </c>
      <c r="Q262" s="301">
        <f t="shared" si="43"/>
        <v>268770</v>
      </c>
      <c r="R262" s="300">
        <f t="shared" si="44"/>
        <v>343170</v>
      </c>
    </row>
    <row r="263" spans="1:18" s="209" customFormat="1" x14ac:dyDescent="0.25">
      <c r="A263" s="284" t="s">
        <v>491</v>
      </c>
      <c r="B263" s="284"/>
      <c r="C263" s="284"/>
      <c r="D263" s="202">
        <f t="shared" ref="D263:N263" si="45">SUM(D4:D262)</f>
        <v>47184000</v>
      </c>
      <c r="E263" s="202">
        <f t="shared" si="45"/>
        <v>157032000</v>
      </c>
      <c r="F263" s="202">
        <f t="shared" si="45"/>
        <v>204216000</v>
      </c>
      <c r="G263" s="235">
        <f t="shared" si="45"/>
        <v>35916200</v>
      </c>
      <c r="H263" s="235">
        <f t="shared" si="45"/>
        <v>179581000</v>
      </c>
      <c r="I263" s="235">
        <f t="shared" si="45"/>
        <v>215497200</v>
      </c>
      <c r="J263" s="177">
        <f t="shared" si="45"/>
        <v>46762689.382966749</v>
      </c>
      <c r="K263" s="177">
        <f t="shared" si="45"/>
        <v>189682757.53186703</v>
      </c>
      <c r="L263" s="177">
        <f t="shared" si="45"/>
        <v>236445446.91483375</v>
      </c>
      <c r="M263" s="220">
        <f t="shared" si="45"/>
        <v>33223451.570223127</v>
      </c>
      <c r="N263" s="220">
        <f t="shared" si="45"/>
        <v>146679000</v>
      </c>
      <c r="O263" s="221">
        <f t="shared" ref="O263" si="46">M263+N263</f>
        <v>179902451.57022312</v>
      </c>
      <c r="P263" s="301">
        <f t="shared" si="42"/>
        <v>30897809.960307509</v>
      </c>
      <c r="Q263" s="301">
        <f t="shared" si="43"/>
        <v>136411470</v>
      </c>
      <c r="R263" s="300">
        <f t="shared" si="44"/>
        <v>167309279.96030751</v>
      </c>
    </row>
  </sheetData>
  <mergeCells count="7">
    <mergeCell ref="P2:R2"/>
    <mergeCell ref="M2:O2"/>
    <mergeCell ref="A263:C263"/>
    <mergeCell ref="A1:C1"/>
    <mergeCell ref="D2:F2"/>
    <mergeCell ref="J2:L2"/>
    <mergeCell ref="G2:I2"/>
  </mergeCells>
  <pageMargins left="0.7" right="0.7" top="0.75" bottom="0.75" header="0.3" footer="0.3"/>
  <pageSetup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00B0F0"/>
  </sheetPr>
  <dimension ref="A1:R215"/>
  <sheetViews>
    <sheetView topLeftCell="H195" workbookViewId="0">
      <selection activeCell="P2" sqref="P2:R4"/>
    </sheetView>
  </sheetViews>
  <sheetFormatPr baseColWidth="10" defaultRowHeight="15" x14ac:dyDescent="0.25"/>
  <cols>
    <col min="2" max="2" width="44.85546875" bestFit="1" customWidth="1"/>
    <col min="4" max="5" width="15.5703125" bestFit="1" customWidth="1"/>
    <col min="6" max="6" width="16.7109375" bestFit="1" customWidth="1"/>
    <col min="7" max="9" width="16.7109375" customWidth="1"/>
    <col min="10" max="10" width="15.140625" bestFit="1" customWidth="1"/>
    <col min="11" max="12" width="16.28515625" bestFit="1" customWidth="1"/>
    <col min="13" max="14" width="15.140625" bestFit="1" customWidth="1"/>
    <col min="15" max="15" width="16.85546875" bestFit="1" customWidth="1"/>
    <col min="16" max="16" width="14.28515625" customWidth="1"/>
    <col min="17" max="17" width="14.42578125" customWidth="1"/>
    <col min="18" max="18" width="12.7109375" customWidth="1"/>
  </cols>
  <sheetData>
    <row r="1" spans="1:18" x14ac:dyDescent="0.25">
      <c r="A1" s="279" t="s">
        <v>560</v>
      </c>
      <c r="B1" s="279"/>
      <c r="C1" s="279"/>
      <c r="D1" s="44"/>
      <c r="E1" s="44"/>
      <c r="F1" s="44"/>
      <c r="G1" s="44"/>
      <c r="H1" s="44"/>
      <c r="I1" s="44"/>
    </row>
    <row r="2" spans="1:18" x14ac:dyDescent="0.25">
      <c r="A2" s="28"/>
      <c r="B2" s="27"/>
      <c r="C2" s="27"/>
      <c r="D2" s="280" t="s">
        <v>473</v>
      </c>
      <c r="E2" s="280"/>
      <c r="F2" s="280"/>
      <c r="G2" s="288" t="s">
        <v>572</v>
      </c>
      <c r="H2" s="289"/>
      <c r="I2" s="290"/>
      <c r="J2" s="277" t="s">
        <v>490</v>
      </c>
      <c r="K2" s="277"/>
      <c r="L2" s="277"/>
      <c r="M2" s="266" t="s">
        <v>480</v>
      </c>
      <c r="N2" s="266"/>
      <c r="O2" s="266"/>
      <c r="P2" s="295" t="s">
        <v>576</v>
      </c>
      <c r="Q2" s="296"/>
      <c r="R2" s="297"/>
    </row>
    <row r="3" spans="1:18" ht="45" x14ac:dyDescent="0.25">
      <c r="A3" s="29" t="s">
        <v>0</v>
      </c>
      <c r="B3" s="30" t="s">
        <v>91</v>
      </c>
      <c r="C3" s="45" t="s">
        <v>152</v>
      </c>
      <c r="D3" s="199" t="s">
        <v>469</v>
      </c>
      <c r="E3" s="199" t="s">
        <v>470</v>
      </c>
      <c r="F3" s="172" t="s">
        <v>471</v>
      </c>
      <c r="G3" s="234" t="s">
        <v>469</v>
      </c>
      <c r="H3" s="234" t="s">
        <v>470</v>
      </c>
      <c r="I3" s="175" t="s">
        <v>471</v>
      </c>
      <c r="J3" s="115" t="s">
        <v>469</v>
      </c>
      <c r="K3" s="115" t="s">
        <v>470</v>
      </c>
      <c r="L3" s="116" t="s">
        <v>471</v>
      </c>
      <c r="M3" s="97" t="s">
        <v>469</v>
      </c>
      <c r="N3" s="97" t="s">
        <v>470</v>
      </c>
      <c r="O3" s="98" t="s">
        <v>471</v>
      </c>
      <c r="P3" s="298" t="s">
        <v>574</v>
      </c>
      <c r="Q3" s="298" t="s">
        <v>575</v>
      </c>
      <c r="R3" s="299" t="s">
        <v>471</v>
      </c>
    </row>
    <row r="4" spans="1:18" ht="33.75" x14ac:dyDescent="0.25">
      <c r="A4" s="151">
        <v>1</v>
      </c>
      <c r="B4" s="152" t="s">
        <v>154</v>
      </c>
      <c r="C4" s="153" t="s">
        <v>153</v>
      </c>
      <c r="D4" s="200">
        <v>2102000</v>
      </c>
      <c r="E4" s="173">
        <v>4847000</v>
      </c>
      <c r="F4" s="202">
        <f>(D4+E4)</f>
        <v>6949000</v>
      </c>
      <c r="G4" s="261">
        <f>+H4*20%</f>
        <v>1420000</v>
      </c>
      <c r="H4" s="261">
        <v>7100000</v>
      </c>
      <c r="I4" s="261">
        <f>+H4+G4</f>
        <v>8520000</v>
      </c>
      <c r="J4" s="205">
        <v>1799500</v>
      </c>
      <c r="K4" s="205">
        <v>4107247.8438862259</v>
      </c>
      <c r="L4" s="205">
        <v>5906747.8438862264</v>
      </c>
      <c r="M4" s="219">
        <f>MIN(D4,G4,J4)</f>
        <v>1420000</v>
      </c>
      <c r="N4" s="219">
        <f>MIN(E4,H4,K4)</f>
        <v>4107247.8438862259</v>
      </c>
      <c r="O4" s="219">
        <f>(M4+N4)</f>
        <v>5527247.8438862264</v>
      </c>
      <c r="P4" s="301">
        <f>M4-(M4*7%)</f>
        <v>1320600</v>
      </c>
      <c r="Q4" s="301">
        <f>N4-(N4*7%)</f>
        <v>3819740.4948141901</v>
      </c>
      <c r="R4" s="300">
        <f>Q4+P4</f>
        <v>5140340.4948141901</v>
      </c>
    </row>
    <row r="5" spans="1:18" x14ac:dyDescent="0.25">
      <c r="A5" s="151">
        <v>2</v>
      </c>
      <c r="B5" s="152" t="s">
        <v>155</v>
      </c>
      <c r="C5" s="153" t="s">
        <v>153</v>
      </c>
      <c r="D5" s="200">
        <v>164000</v>
      </c>
      <c r="E5" s="173">
        <v>378000</v>
      </c>
      <c r="F5" s="202">
        <f t="shared" ref="F5:F68" si="0">(D5+E5)</f>
        <v>542000</v>
      </c>
      <c r="G5" s="261">
        <f t="shared" ref="G5:G68" si="1">+H5*20%</f>
        <v>116000</v>
      </c>
      <c r="H5" s="262">
        <v>580000</v>
      </c>
      <c r="I5" s="261">
        <f t="shared" ref="I5:I68" si="2">+H5+G5</f>
        <v>696000</v>
      </c>
      <c r="J5" s="205">
        <v>149500</v>
      </c>
      <c r="K5" s="205">
        <v>320642.48021047504</v>
      </c>
      <c r="L5" s="205">
        <v>470142.48021047504</v>
      </c>
      <c r="M5" s="219">
        <f t="shared" ref="M5:M68" si="3">MIN(D5,G5,J5)</f>
        <v>116000</v>
      </c>
      <c r="N5" s="219">
        <f t="shared" ref="N5:N68" si="4">MIN(E5,H5,K5)</f>
        <v>320642.48021047504</v>
      </c>
      <c r="O5" s="219">
        <f>(M5+N5)</f>
        <v>436642.48021047504</v>
      </c>
      <c r="P5" s="301">
        <f t="shared" ref="P5:P68" si="5">M5-(M5*7%)</f>
        <v>107880</v>
      </c>
      <c r="Q5" s="301">
        <f t="shared" ref="Q5:Q68" si="6">N5-(N5*7%)</f>
        <v>298197.50659574178</v>
      </c>
      <c r="R5" s="300">
        <f t="shared" ref="R5:R68" si="7">Q5+P5</f>
        <v>406077.50659574178</v>
      </c>
    </row>
    <row r="6" spans="1:18" x14ac:dyDescent="0.25">
      <c r="A6" s="151">
        <v>3</v>
      </c>
      <c r="B6" s="152" t="s">
        <v>156</v>
      </c>
      <c r="C6" s="153" t="s">
        <v>153</v>
      </c>
      <c r="D6" s="200">
        <v>66000</v>
      </c>
      <c r="E6" s="173">
        <v>152000</v>
      </c>
      <c r="F6" s="202">
        <f t="shared" si="0"/>
        <v>218000</v>
      </c>
      <c r="G6" s="261">
        <f t="shared" si="1"/>
        <v>60000</v>
      </c>
      <c r="H6" s="262">
        <v>300000</v>
      </c>
      <c r="I6" s="261">
        <f t="shared" si="2"/>
        <v>360000</v>
      </c>
      <c r="J6" s="205">
        <v>649500</v>
      </c>
      <c r="K6" s="205">
        <v>128915.626353475</v>
      </c>
      <c r="L6" s="205">
        <v>778415.62635347503</v>
      </c>
      <c r="M6" s="219">
        <f t="shared" si="3"/>
        <v>60000</v>
      </c>
      <c r="N6" s="219">
        <f t="shared" si="4"/>
        <v>128915.626353475</v>
      </c>
      <c r="O6" s="219">
        <f t="shared" ref="O6:O68" si="8">(M6+N6)</f>
        <v>188915.626353475</v>
      </c>
      <c r="P6" s="301">
        <f t="shared" si="5"/>
        <v>55800</v>
      </c>
      <c r="Q6" s="301">
        <f t="shared" si="6"/>
        <v>119891.53250873175</v>
      </c>
      <c r="R6" s="300">
        <f t="shared" si="7"/>
        <v>175691.53250873176</v>
      </c>
    </row>
    <row r="7" spans="1:18" x14ac:dyDescent="0.25">
      <c r="A7" s="151">
        <v>4</v>
      </c>
      <c r="B7" s="152" t="s">
        <v>133</v>
      </c>
      <c r="C7" s="153" t="s">
        <v>153</v>
      </c>
      <c r="D7" s="200">
        <v>809000</v>
      </c>
      <c r="E7" s="173">
        <v>1866000</v>
      </c>
      <c r="F7" s="202">
        <f t="shared" si="0"/>
        <v>2675000</v>
      </c>
      <c r="G7" s="261">
        <f t="shared" si="1"/>
        <v>520000</v>
      </c>
      <c r="H7" s="262">
        <v>2600000</v>
      </c>
      <c r="I7" s="261">
        <f t="shared" si="2"/>
        <v>3120000</v>
      </c>
      <c r="J7" s="205">
        <v>899500</v>
      </c>
      <c r="K7" s="205">
        <v>1581246.5443202502</v>
      </c>
      <c r="L7" s="205">
        <v>2480746.5443202499</v>
      </c>
      <c r="M7" s="219">
        <f t="shared" si="3"/>
        <v>520000</v>
      </c>
      <c r="N7" s="219">
        <f t="shared" si="4"/>
        <v>1581246.5443202502</v>
      </c>
      <c r="O7" s="219">
        <f t="shared" si="8"/>
        <v>2101246.5443202499</v>
      </c>
      <c r="P7" s="301">
        <f t="shared" si="5"/>
        <v>483600</v>
      </c>
      <c r="Q7" s="301">
        <f t="shared" si="6"/>
        <v>1470559.2862178327</v>
      </c>
      <c r="R7" s="300">
        <f t="shared" si="7"/>
        <v>1954159.2862178327</v>
      </c>
    </row>
    <row r="8" spans="1:18" x14ac:dyDescent="0.25">
      <c r="A8" s="151">
        <v>5</v>
      </c>
      <c r="B8" s="152" t="s">
        <v>4</v>
      </c>
      <c r="C8" s="153" t="s">
        <v>153</v>
      </c>
      <c r="D8" s="200">
        <v>385000</v>
      </c>
      <c r="E8" s="173">
        <v>888000</v>
      </c>
      <c r="F8" s="202">
        <f t="shared" si="0"/>
        <v>1273000</v>
      </c>
      <c r="G8" s="261">
        <f t="shared" si="1"/>
        <v>280000</v>
      </c>
      <c r="H8" s="262">
        <v>1400000</v>
      </c>
      <c r="I8" s="261">
        <f t="shared" si="2"/>
        <v>1680000</v>
      </c>
      <c r="J8" s="205">
        <v>899500</v>
      </c>
      <c r="K8" s="205">
        <v>752651.01366376015</v>
      </c>
      <c r="L8" s="205">
        <v>1652151.0136637602</v>
      </c>
      <c r="M8" s="219">
        <f t="shared" si="3"/>
        <v>280000</v>
      </c>
      <c r="N8" s="219">
        <f t="shared" si="4"/>
        <v>752651.01366376015</v>
      </c>
      <c r="O8" s="219">
        <f t="shared" si="8"/>
        <v>1032651.0136637602</v>
      </c>
      <c r="P8" s="301">
        <f t="shared" si="5"/>
        <v>260400</v>
      </c>
      <c r="Q8" s="301">
        <f t="shared" si="6"/>
        <v>699965.44270729693</v>
      </c>
      <c r="R8" s="300">
        <f t="shared" si="7"/>
        <v>960365.44270729693</v>
      </c>
    </row>
    <row r="9" spans="1:18" x14ac:dyDescent="0.25">
      <c r="A9" s="151">
        <v>6</v>
      </c>
      <c r="B9" s="152" t="s">
        <v>96</v>
      </c>
      <c r="C9" s="153" t="s">
        <v>153</v>
      </c>
      <c r="D9" s="200">
        <v>252000</v>
      </c>
      <c r="E9" s="173">
        <v>581000</v>
      </c>
      <c r="F9" s="202">
        <f t="shared" si="0"/>
        <v>833000</v>
      </c>
      <c r="G9" s="261">
        <f t="shared" si="1"/>
        <v>170000</v>
      </c>
      <c r="H9" s="262">
        <v>850000</v>
      </c>
      <c r="I9" s="261">
        <f t="shared" si="2"/>
        <v>1020000</v>
      </c>
      <c r="J9" s="205">
        <v>899500</v>
      </c>
      <c r="K9" s="205">
        <v>492351.13325626566</v>
      </c>
      <c r="L9" s="205">
        <v>1391851.1332562657</v>
      </c>
      <c r="M9" s="219">
        <f t="shared" si="3"/>
        <v>170000</v>
      </c>
      <c r="N9" s="219">
        <f t="shared" si="4"/>
        <v>492351.13325626566</v>
      </c>
      <c r="O9" s="219">
        <f t="shared" si="8"/>
        <v>662351.13325626566</v>
      </c>
      <c r="P9" s="301">
        <f t="shared" si="5"/>
        <v>158100</v>
      </c>
      <c r="Q9" s="301">
        <f t="shared" si="6"/>
        <v>457886.55392832705</v>
      </c>
      <c r="R9" s="300">
        <f t="shared" si="7"/>
        <v>615986.55392832705</v>
      </c>
    </row>
    <row r="10" spans="1:18" x14ac:dyDescent="0.25">
      <c r="A10" s="151">
        <v>7</v>
      </c>
      <c r="B10" s="152" t="s">
        <v>8</v>
      </c>
      <c r="C10" s="153" t="s">
        <v>153</v>
      </c>
      <c r="D10" s="200">
        <v>37000</v>
      </c>
      <c r="E10" s="173">
        <v>84000</v>
      </c>
      <c r="F10" s="202">
        <f t="shared" si="0"/>
        <v>121000</v>
      </c>
      <c r="G10" s="261">
        <f t="shared" si="1"/>
        <v>28000</v>
      </c>
      <c r="H10" s="262">
        <v>140000</v>
      </c>
      <c r="I10" s="261">
        <f t="shared" si="2"/>
        <v>168000</v>
      </c>
      <c r="J10" s="205">
        <v>297500</v>
      </c>
      <c r="K10" s="205">
        <v>71397.570196375003</v>
      </c>
      <c r="L10" s="205">
        <v>368897.57019637502</v>
      </c>
      <c r="M10" s="219">
        <f t="shared" si="3"/>
        <v>28000</v>
      </c>
      <c r="N10" s="219">
        <f t="shared" si="4"/>
        <v>71397.570196375003</v>
      </c>
      <c r="O10" s="219">
        <f t="shared" si="8"/>
        <v>99397.570196375003</v>
      </c>
      <c r="P10" s="301">
        <f t="shared" si="5"/>
        <v>26040</v>
      </c>
      <c r="Q10" s="301">
        <f t="shared" si="6"/>
        <v>66399.740282628758</v>
      </c>
      <c r="R10" s="300">
        <f t="shared" si="7"/>
        <v>92439.740282628758</v>
      </c>
    </row>
    <row r="11" spans="1:18" x14ac:dyDescent="0.25">
      <c r="A11" s="151">
        <v>8</v>
      </c>
      <c r="B11" s="152" t="s">
        <v>157</v>
      </c>
      <c r="C11" s="153" t="s">
        <v>153</v>
      </c>
      <c r="D11" s="200">
        <v>59000</v>
      </c>
      <c r="E11" s="173">
        <v>135000</v>
      </c>
      <c r="F11" s="202">
        <f t="shared" si="0"/>
        <v>194000</v>
      </c>
      <c r="G11" s="261">
        <f t="shared" si="1"/>
        <v>44000</v>
      </c>
      <c r="H11" s="262">
        <v>220000</v>
      </c>
      <c r="I11" s="261">
        <f t="shared" si="2"/>
        <v>264000</v>
      </c>
      <c r="J11" s="205">
        <v>399500</v>
      </c>
      <c r="K11" s="205">
        <v>114536.1123142</v>
      </c>
      <c r="L11" s="205">
        <v>514036.11231420003</v>
      </c>
      <c r="M11" s="219">
        <f t="shared" si="3"/>
        <v>44000</v>
      </c>
      <c r="N11" s="219">
        <f t="shared" si="4"/>
        <v>114536.1123142</v>
      </c>
      <c r="O11" s="219">
        <f t="shared" si="8"/>
        <v>158536.1123142</v>
      </c>
      <c r="P11" s="301">
        <f t="shared" si="5"/>
        <v>40920</v>
      </c>
      <c r="Q11" s="301">
        <f t="shared" si="6"/>
        <v>106518.58445220599</v>
      </c>
      <c r="R11" s="300">
        <f t="shared" si="7"/>
        <v>147438.58445220598</v>
      </c>
    </row>
    <row r="12" spans="1:18" x14ac:dyDescent="0.25">
      <c r="A12" s="151">
        <v>9</v>
      </c>
      <c r="B12" s="152" t="s">
        <v>10</v>
      </c>
      <c r="C12" s="153" t="s">
        <v>153</v>
      </c>
      <c r="D12" s="200">
        <v>51000</v>
      </c>
      <c r="E12" s="173">
        <v>117000</v>
      </c>
      <c r="F12" s="202">
        <f t="shared" si="0"/>
        <v>168000</v>
      </c>
      <c r="G12" s="261">
        <f t="shared" si="1"/>
        <v>36000</v>
      </c>
      <c r="H12" s="262">
        <v>180000</v>
      </c>
      <c r="I12" s="261">
        <f t="shared" si="2"/>
        <v>216000</v>
      </c>
      <c r="J12" s="205">
        <v>149500</v>
      </c>
      <c r="K12" s="205">
        <v>98753.157704691752</v>
      </c>
      <c r="L12" s="205">
        <v>248253.15770469175</v>
      </c>
      <c r="M12" s="219">
        <f t="shared" si="3"/>
        <v>36000</v>
      </c>
      <c r="N12" s="219">
        <f t="shared" si="4"/>
        <v>98753.157704691752</v>
      </c>
      <c r="O12" s="219">
        <f t="shared" si="8"/>
        <v>134753.15770469175</v>
      </c>
      <c r="P12" s="301">
        <f t="shared" si="5"/>
        <v>33480</v>
      </c>
      <c r="Q12" s="301">
        <f t="shared" si="6"/>
        <v>91840.436665363333</v>
      </c>
      <c r="R12" s="300">
        <f t="shared" si="7"/>
        <v>125320.43666536333</v>
      </c>
    </row>
    <row r="13" spans="1:18" x14ac:dyDescent="0.25">
      <c r="A13" s="151">
        <v>10</v>
      </c>
      <c r="B13" s="152" t="s">
        <v>65</v>
      </c>
      <c r="C13" s="153" t="s">
        <v>153</v>
      </c>
      <c r="D13" s="200">
        <v>175000</v>
      </c>
      <c r="E13" s="173">
        <v>404000</v>
      </c>
      <c r="F13" s="202">
        <f t="shared" si="0"/>
        <v>579000</v>
      </c>
      <c r="G13" s="261">
        <f t="shared" si="1"/>
        <v>130000</v>
      </c>
      <c r="H13" s="262">
        <v>650000</v>
      </c>
      <c r="I13" s="261">
        <f t="shared" si="2"/>
        <v>780000</v>
      </c>
      <c r="J13" s="205">
        <v>649500</v>
      </c>
      <c r="K13" s="205">
        <v>342185.40991693607</v>
      </c>
      <c r="L13" s="205">
        <v>991685.40991693607</v>
      </c>
      <c r="M13" s="219">
        <f t="shared" si="3"/>
        <v>130000</v>
      </c>
      <c r="N13" s="219">
        <f t="shared" si="4"/>
        <v>342185.40991693607</v>
      </c>
      <c r="O13" s="219">
        <f t="shared" si="8"/>
        <v>472185.40991693607</v>
      </c>
      <c r="P13" s="301">
        <f t="shared" si="5"/>
        <v>120900</v>
      </c>
      <c r="Q13" s="301">
        <f t="shared" si="6"/>
        <v>318232.43122275057</v>
      </c>
      <c r="R13" s="300">
        <f t="shared" si="7"/>
        <v>439132.43122275057</v>
      </c>
    </row>
    <row r="14" spans="1:18" x14ac:dyDescent="0.25">
      <c r="A14" s="151">
        <v>11</v>
      </c>
      <c r="B14" s="152" t="s">
        <v>9</v>
      </c>
      <c r="C14" s="153" t="s">
        <v>153</v>
      </c>
      <c r="D14" s="200">
        <v>42000</v>
      </c>
      <c r="E14" s="173">
        <v>96000</v>
      </c>
      <c r="F14" s="202">
        <f t="shared" si="0"/>
        <v>138000</v>
      </c>
      <c r="G14" s="261">
        <f t="shared" si="1"/>
        <v>31000</v>
      </c>
      <c r="H14" s="262">
        <v>155000</v>
      </c>
      <c r="I14" s="261">
        <f t="shared" si="2"/>
        <v>186000</v>
      </c>
      <c r="J14" s="205">
        <v>249500</v>
      </c>
      <c r="K14" s="205">
        <v>81175.639743082007</v>
      </c>
      <c r="L14" s="205">
        <v>330675.63974308199</v>
      </c>
      <c r="M14" s="219">
        <f t="shared" si="3"/>
        <v>31000</v>
      </c>
      <c r="N14" s="219">
        <f t="shared" si="4"/>
        <v>81175.639743082007</v>
      </c>
      <c r="O14" s="219">
        <f t="shared" si="8"/>
        <v>112175.63974308201</v>
      </c>
      <c r="P14" s="301">
        <f t="shared" si="5"/>
        <v>28830</v>
      </c>
      <c r="Q14" s="301">
        <f t="shared" si="6"/>
        <v>75493.344961066265</v>
      </c>
      <c r="R14" s="300">
        <f t="shared" si="7"/>
        <v>104323.34496106626</v>
      </c>
    </row>
    <row r="15" spans="1:18" x14ac:dyDescent="0.25">
      <c r="A15" s="151">
        <v>12</v>
      </c>
      <c r="B15" s="152" t="s">
        <v>370</v>
      </c>
      <c r="C15" s="153" t="s">
        <v>153</v>
      </c>
      <c r="D15" s="200">
        <v>37000</v>
      </c>
      <c r="E15" s="173">
        <v>85000</v>
      </c>
      <c r="F15" s="202">
        <f t="shared" si="0"/>
        <v>122000</v>
      </c>
      <c r="G15" s="261">
        <f t="shared" si="1"/>
        <v>28000</v>
      </c>
      <c r="H15" s="262">
        <v>140000</v>
      </c>
      <c r="I15" s="261">
        <f t="shared" si="2"/>
        <v>168000</v>
      </c>
      <c r="J15" s="205">
        <v>249500</v>
      </c>
      <c r="K15" s="205">
        <v>71991.923443331689</v>
      </c>
      <c r="L15" s="205">
        <v>321491.92344333167</v>
      </c>
      <c r="M15" s="219">
        <f t="shared" si="3"/>
        <v>28000</v>
      </c>
      <c r="N15" s="219">
        <f t="shared" si="4"/>
        <v>71991.923443331689</v>
      </c>
      <c r="O15" s="219">
        <f t="shared" si="8"/>
        <v>99991.923443331689</v>
      </c>
      <c r="P15" s="301">
        <f t="shared" si="5"/>
        <v>26040</v>
      </c>
      <c r="Q15" s="301">
        <f t="shared" si="6"/>
        <v>66952.488802298467</v>
      </c>
      <c r="R15" s="300">
        <f t="shared" si="7"/>
        <v>92992.488802298467</v>
      </c>
    </row>
    <row r="16" spans="1:18" x14ac:dyDescent="0.25">
      <c r="A16" s="151">
        <v>13</v>
      </c>
      <c r="B16" s="158" t="s">
        <v>158</v>
      </c>
      <c r="C16" s="153" t="s">
        <v>153</v>
      </c>
      <c r="D16" s="200">
        <v>943000</v>
      </c>
      <c r="E16" s="173">
        <v>3491000</v>
      </c>
      <c r="F16" s="202">
        <f t="shared" si="0"/>
        <v>4434000</v>
      </c>
      <c r="G16" s="261">
        <f t="shared" si="1"/>
        <v>960000</v>
      </c>
      <c r="H16" s="262">
        <v>4800000</v>
      </c>
      <c r="I16" s="261">
        <f t="shared" si="2"/>
        <v>5760000</v>
      </c>
      <c r="J16" s="205">
        <v>799500</v>
      </c>
      <c r="K16" s="205">
        <v>3344652.3654014692</v>
      </c>
      <c r="L16" s="205">
        <v>4144152.3654014692</v>
      </c>
      <c r="M16" s="219">
        <f t="shared" si="3"/>
        <v>799500</v>
      </c>
      <c r="N16" s="219">
        <f t="shared" si="4"/>
        <v>3344652.3654014692</v>
      </c>
      <c r="O16" s="219">
        <f t="shared" si="8"/>
        <v>4144152.3654014692</v>
      </c>
      <c r="P16" s="301">
        <f t="shared" si="5"/>
        <v>743535</v>
      </c>
      <c r="Q16" s="301">
        <f t="shared" si="6"/>
        <v>3110526.6998233665</v>
      </c>
      <c r="R16" s="300">
        <f t="shared" si="7"/>
        <v>3854061.6998233665</v>
      </c>
    </row>
    <row r="17" spans="1:18" x14ac:dyDescent="0.25">
      <c r="A17" s="151">
        <v>14</v>
      </c>
      <c r="B17" s="152" t="s">
        <v>2</v>
      </c>
      <c r="C17" s="153" t="s">
        <v>153</v>
      </c>
      <c r="D17" s="200">
        <v>141000</v>
      </c>
      <c r="E17" s="173">
        <v>324000</v>
      </c>
      <c r="F17" s="202">
        <f t="shared" si="0"/>
        <v>465000</v>
      </c>
      <c r="G17" s="261">
        <f t="shared" si="1"/>
        <v>110000</v>
      </c>
      <c r="H17" s="262">
        <v>550000</v>
      </c>
      <c r="I17" s="261">
        <f t="shared" si="2"/>
        <v>660000</v>
      </c>
      <c r="J17" s="205">
        <v>549500</v>
      </c>
      <c r="K17" s="205">
        <v>274855.23160661553</v>
      </c>
      <c r="L17" s="205">
        <v>824355.23160661547</v>
      </c>
      <c r="M17" s="219">
        <f t="shared" si="3"/>
        <v>110000</v>
      </c>
      <c r="N17" s="219">
        <f t="shared" si="4"/>
        <v>274855.23160661553</v>
      </c>
      <c r="O17" s="219">
        <f t="shared" si="8"/>
        <v>384855.23160661553</v>
      </c>
      <c r="P17" s="301">
        <f t="shared" si="5"/>
        <v>102300</v>
      </c>
      <c r="Q17" s="301">
        <f t="shared" si="6"/>
        <v>255615.36539415244</v>
      </c>
      <c r="R17" s="300">
        <f t="shared" si="7"/>
        <v>357915.36539415247</v>
      </c>
    </row>
    <row r="18" spans="1:18" x14ac:dyDescent="0.25">
      <c r="A18" s="151">
        <v>15</v>
      </c>
      <c r="B18" s="152" t="s">
        <v>3</v>
      </c>
      <c r="C18" s="153" t="s">
        <v>153</v>
      </c>
      <c r="D18" s="200">
        <v>140000</v>
      </c>
      <c r="E18" s="173">
        <v>322000</v>
      </c>
      <c r="F18" s="202">
        <f t="shared" si="0"/>
        <v>462000</v>
      </c>
      <c r="G18" s="261">
        <f t="shared" si="1"/>
        <v>106000</v>
      </c>
      <c r="H18" s="262">
        <v>530000</v>
      </c>
      <c r="I18" s="261">
        <f t="shared" si="2"/>
        <v>636000</v>
      </c>
      <c r="J18" s="205">
        <v>549500</v>
      </c>
      <c r="K18" s="205">
        <v>273207.3392977147</v>
      </c>
      <c r="L18" s="205">
        <v>822707.33929771464</v>
      </c>
      <c r="M18" s="219">
        <f t="shared" si="3"/>
        <v>106000</v>
      </c>
      <c r="N18" s="219">
        <f t="shared" si="4"/>
        <v>273207.3392977147</v>
      </c>
      <c r="O18" s="219">
        <f t="shared" si="8"/>
        <v>379207.3392977147</v>
      </c>
      <c r="P18" s="301">
        <f t="shared" si="5"/>
        <v>98580</v>
      </c>
      <c r="Q18" s="301">
        <f t="shared" si="6"/>
        <v>254082.82554687466</v>
      </c>
      <c r="R18" s="300">
        <f t="shared" si="7"/>
        <v>352662.82554687466</v>
      </c>
    </row>
    <row r="19" spans="1:18" x14ac:dyDescent="0.25">
      <c r="A19" s="151">
        <v>16</v>
      </c>
      <c r="B19" s="152" t="s">
        <v>15</v>
      </c>
      <c r="C19" s="153" t="s">
        <v>153</v>
      </c>
      <c r="D19" s="200">
        <v>220000</v>
      </c>
      <c r="E19" s="173">
        <v>555000</v>
      </c>
      <c r="F19" s="202">
        <f t="shared" si="0"/>
        <v>775000</v>
      </c>
      <c r="G19" s="261">
        <f t="shared" si="1"/>
        <v>26000</v>
      </c>
      <c r="H19" s="262">
        <v>130000</v>
      </c>
      <c r="I19" s="261">
        <f t="shared" si="2"/>
        <v>156000</v>
      </c>
      <c r="J19" s="205">
        <v>649500</v>
      </c>
      <c r="K19" s="205">
        <v>655606.54931550124</v>
      </c>
      <c r="L19" s="205">
        <v>1305106.5493155012</v>
      </c>
      <c r="M19" s="219">
        <f t="shared" si="3"/>
        <v>26000</v>
      </c>
      <c r="N19" s="219">
        <f t="shared" si="4"/>
        <v>130000</v>
      </c>
      <c r="O19" s="219">
        <f t="shared" si="8"/>
        <v>156000</v>
      </c>
      <c r="P19" s="301">
        <f t="shared" si="5"/>
        <v>24180</v>
      </c>
      <c r="Q19" s="301">
        <f t="shared" si="6"/>
        <v>120900</v>
      </c>
      <c r="R19" s="300">
        <f t="shared" si="7"/>
        <v>145080</v>
      </c>
    </row>
    <row r="20" spans="1:18" x14ac:dyDescent="0.25">
      <c r="A20" s="151">
        <v>17</v>
      </c>
      <c r="B20" s="152" t="s">
        <v>105</v>
      </c>
      <c r="C20" s="153" t="s">
        <v>153</v>
      </c>
      <c r="D20" s="200">
        <v>128000</v>
      </c>
      <c r="E20" s="173">
        <v>294000</v>
      </c>
      <c r="F20" s="202">
        <f t="shared" si="0"/>
        <v>422000</v>
      </c>
      <c r="G20" s="261">
        <f t="shared" si="1"/>
        <v>98000</v>
      </c>
      <c r="H20" s="262">
        <v>490000</v>
      </c>
      <c r="I20" s="261">
        <f t="shared" si="2"/>
        <v>588000</v>
      </c>
      <c r="J20" s="205">
        <v>549500</v>
      </c>
      <c r="K20" s="205">
        <v>248850.35978372136</v>
      </c>
      <c r="L20" s="205">
        <v>798350.35978372139</v>
      </c>
      <c r="M20" s="219">
        <f t="shared" si="3"/>
        <v>98000</v>
      </c>
      <c r="N20" s="219">
        <f t="shared" si="4"/>
        <v>248850.35978372136</v>
      </c>
      <c r="O20" s="219">
        <f t="shared" si="8"/>
        <v>346850.35978372139</v>
      </c>
      <c r="P20" s="301">
        <f t="shared" si="5"/>
        <v>91140</v>
      </c>
      <c r="Q20" s="301">
        <f t="shared" si="6"/>
        <v>231430.83459886088</v>
      </c>
      <c r="R20" s="300">
        <f t="shared" si="7"/>
        <v>322570.83459886088</v>
      </c>
    </row>
    <row r="21" spans="1:18" x14ac:dyDescent="0.25">
      <c r="A21" s="151">
        <v>18</v>
      </c>
      <c r="B21" s="152" t="s">
        <v>106</v>
      </c>
      <c r="C21" s="153" t="s">
        <v>153</v>
      </c>
      <c r="D21" s="200">
        <v>140000</v>
      </c>
      <c r="E21" s="173">
        <v>322000</v>
      </c>
      <c r="F21" s="202">
        <f t="shared" si="0"/>
        <v>462000</v>
      </c>
      <c r="G21" s="261">
        <f t="shared" si="1"/>
        <v>110000</v>
      </c>
      <c r="H21" s="262">
        <v>550000</v>
      </c>
      <c r="I21" s="261">
        <f t="shared" si="2"/>
        <v>660000</v>
      </c>
      <c r="J21" s="205">
        <v>474500</v>
      </c>
      <c r="K21" s="205">
        <v>272710.76674622507</v>
      </c>
      <c r="L21" s="205">
        <v>747210.76674622507</v>
      </c>
      <c r="M21" s="219">
        <f t="shared" si="3"/>
        <v>110000</v>
      </c>
      <c r="N21" s="219">
        <f t="shared" si="4"/>
        <v>272710.76674622507</v>
      </c>
      <c r="O21" s="219">
        <f t="shared" si="8"/>
        <v>382710.76674622507</v>
      </c>
      <c r="P21" s="301">
        <f t="shared" si="5"/>
        <v>102300</v>
      </c>
      <c r="Q21" s="301">
        <f t="shared" si="6"/>
        <v>253621.01307398931</v>
      </c>
      <c r="R21" s="300">
        <f t="shared" si="7"/>
        <v>355921.01307398931</v>
      </c>
    </row>
    <row r="22" spans="1:18" x14ac:dyDescent="0.25">
      <c r="A22" s="151">
        <v>19</v>
      </c>
      <c r="B22" s="152" t="s">
        <v>6</v>
      </c>
      <c r="C22" s="153" t="s">
        <v>153</v>
      </c>
      <c r="D22" s="200">
        <v>108000</v>
      </c>
      <c r="E22" s="173">
        <v>248000</v>
      </c>
      <c r="F22" s="202">
        <f t="shared" si="0"/>
        <v>356000</v>
      </c>
      <c r="G22" s="261">
        <f t="shared" si="1"/>
        <v>90000</v>
      </c>
      <c r="H22" s="262">
        <v>450000</v>
      </c>
      <c r="I22" s="261">
        <f t="shared" si="2"/>
        <v>540000</v>
      </c>
      <c r="J22" s="205">
        <v>374500</v>
      </c>
      <c r="K22" s="205">
        <v>210399.53924270003</v>
      </c>
      <c r="L22" s="205">
        <v>584899.53924269998</v>
      </c>
      <c r="M22" s="219">
        <f t="shared" si="3"/>
        <v>90000</v>
      </c>
      <c r="N22" s="219">
        <f t="shared" si="4"/>
        <v>210399.53924270003</v>
      </c>
      <c r="O22" s="219">
        <f t="shared" si="8"/>
        <v>300399.53924270003</v>
      </c>
      <c r="P22" s="301">
        <f t="shared" si="5"/>
        <v>83700</v>
      </c>
      <c r="Q22" s="301">
        <f t="shared" si="6"/>
        <v>195671.57149571102</v>
      </c>
      <c r="R22" s="300">
        <f t="shared" si="7"/>
        <v>279371.57149571099</v>
      </c>
    </row>
    <row r="23" spans="1:18" x14ac:dyDescent="0.25">
      <c r="A23" s="151">
        <v>20</v>
      </c>
      <c r="B23" s="152" t="s">
        <v>159</v>
      </c>
      <c r="C23" s="153" t="s">
        <v>153</v>
      </c>
      <c r="D23" s="200">
        <v>484000</v>
      </c>
      <c r="E23" s="173">
        <v>1114000</v>
      </c>
      <c r="F23" s="202">
        <f t="shared" si="0"/>
        <v>1598000</v>
      </c>
      <c r="G23" s="261">
        <f t="shared" si="1"/>
        <v>320000</v>
      </c>
      <c r="H23" s="262">
        <v>1600000</v>
      </c>
      <c r="I23" s="261">
        <f t="shared" si="2"/>
        <v>1920000</v>
      </c>
      <c r="J23" s="205">
        <v>474500</v>
      </c>
      <c r="K23" s="205">
        <v>944411.41972018534</v>
      </c>
      <c r="L23" s="205">
        <v>1418911.4197201855</v>
      </c>
      <c r="M23" s="219">
        <f t="shared" si="3"/>
        <v>320000</v>
      </c>
      <c r="N23" s="219">
        <f t="shared" si="4"/>
        <v>944411.41972018534</v>
      </c>
      <c r="O23" s="219">
        <f t="shared" si="8"/>
        <v>1264411.4197201855</v>
      </c>
      <c r="P23" s="301">
        <f t="shared" si="5"/>
        <v>297600</v>
      </c>
      <c r="Q23" s="301">
        <f t="shared" si="6"/>
        <v>878302.62033977231</v>
      </c>
      <c r="R23" s="300">
        <f t="shared" si="7"/>
        <v>1175902.6203397722</v>
      </c>
    </row>
    <row r="24" spans="1:18" ht="22.5" x14ac:dyDescent="0.25">
      <c r="A24" s="151">
        <v>21</v>
      </c>
      <c r="B24" s="152" t="s">
        <v>160</v>
      </c>
      <c r="C24" s="153" t="s">
        <v>153</v>
      </c>
      <c r="D24" s="200">
        <v>82000</v>
      </c>
      <c r="E24" s="173">
        <v>188000</v>
      </c>
      <c r="F24" s="202">
        <f t="shared" si="0"/>
        <v>270000</v>
      </c>
      <c r="G24" s="261">
        <f t="shared" si="1"/>
        <v>76000</v>
      </c>
      <c r="H24" s="262">
        <v>380000</v>
      </c>
      <c r="I24" s="261">
        <f t="shared" si="2"/>
        <v>456000</v>
      </c>
      <c r="J24" s="205">
        <v>184500</v>
      </c>
      <c r="K24" s="205">
        <v>159700</v>
      </c>
      <c r="L24" s="205">
        <v>344200</v>
      </c>
      <c r="M24" s="219">
        <f t="shared" si="3"/>
        <v>76000</v>
      </c>
      <c r="N24" s="219">
        <f t="shared" si="4"/>
        <v>159700</v>
      </c>
      <c r="O24" s="219">
        <f t="shared" si="8"/>
        <v>235700</v>
      </c>
      <c r="P24" s="301">
        <f t="shared" si="5"/>
        <v>70680</v>
      </c>
      <c r="Q24" s="301">
        <f t="shared" si="6"/>
        <v>148521</v>
      </c>
      <c r="R24" s="300">
        <f t="shared" si="7"/>
        <v>219201</v>
      </c>
    </row>
    <row r="25" spans="1:18" x14ac:dyDescent="0.25">
      <c r="A25" s="151">
        <v>22</v>
      </c>
      <c r="B25" s="152" t="s">
        <v>107</v>
      </c>
      <c r="C25" s="153" t="s">
        <v>153</v>
      </c>
      <c r="D25" s="200">
        <v>235000</v>
      </c>
      <c r="E25" s="173">
        <v>556000</v>
      </c>
      <c r="F25" s="202">
        <f t="shared" si="0"/>
        <v>791000</v>
      </c>
      <c r="G25" s="261">
        <f t="shared" si="1"/>
        <v>150000</v>
      </c>
      <c r="H25" s="262">
        <v>750000</v>
      </c>
      <c r="I25" s="261">
        <f t="shared" si="2"/>
        <v>900000</v>
      </c>
      <c r="J25" s="205">
        <v>199500</v>
      </c>
      <c r="K25" s="205">
        <v>471239.13074380218</v>
      </c>
      <c r="L25" s="205">
        <v>670739.13074380218</v>
      </c>
      <c r="M25" s="219">
        <f t="shared" si="3"/>
        <v>150000</v>
      </c>
      <c r="N25" s="219">
        <f t="shared" si="4"/>
        <v>471239.13074380218</v>
      </c>
      <c r="O25" s="219">
        <f t="shared" si="8"/>
        <v>621239.13074380218</v>
      </c>
      <c r="P25" s="301">
        <f t="shared" si="5"/>
        <v>139500</v>
      </c>
      <c r="Q25" s="301">
        <f t="shared" si="6"/>
        <v>438252.391591736</v>
      </c>
      <c r="R25" s="300">
        <f t="shared" si="7"/>
        <v>577752.391591736</v>
      </c>
    </row>
    <row r="26" spans="1:18" x14ac:dyDescent="0.25">
      <c r="A26" s="151">
        <v>23</v>
      </c>
      <c r="B26" s="158" t="s">
        <v>132</v>
      </c>
      <c r="C26" s="153" t="s">
        <v>153</v>
      </c>
      <c r="D26" s="200">
        <v>339000</v>
      </c>
      <c r="E26" s="173">
        <v>781000</v>
      </c>
      <c r="F26" s="202">
        <f t="shared" si="0"/>
        <v>1120000</v>
      </c>
      <c r="G26" s="261">
        <f t="shared" si="1"/>
        <v>200000</v>
      </c>
      <c r="H26" s="262">
        <v>1000000</v>
      </c>
      <c r="I26" s="261">
        <f t="shared" si="2"/>
        <v>1200000</v>
      </c>
      <c r="J26" s="205">
        <v>384500</v>
      </c>
      <c r="K26" s="205">
        <v>661922.03188155079</v>
      </c>
      <c r="L26" s="205">
        <v>1046422.0318815508</v>
      </c>
      <c r="M26" s="219">
        <f t="shared" si="3"/>
        <v>200000</v>
      </c>
      <c r="N26" s="219">
        <f t="shared" si="4"/>
        <v>661922.03188155079</v>
      </c>
      <c r="O26" s="219">
        <f t="shared" si="8"/>
        <v>861922.03188155079</v>
      </c>
      <c r="P26" s="301">
        <f t="shared" si="5"/>
        <v>186000</v>
      </c>
      <c r="Q26" s="301">
        <f t="shared" si="6"/>
        <v>615587.48964984226</v>
      </c>
      <c r="R26" s="300">
        <f t="shared" si="7"/>
        <v>801587.48964984226</v>
      </c>
    </row>
    <row r="27" spans="1:18" x14ac:dyDescent="0.25">
      <c r="A27" s="151">
        <v>24</v>
      </c>
      <c r="B27" s="158" t="s">
        <v>149</v>
      </c>
      <c r="C27" s="153" t="s">
        <v>153</v>
      </c>
      <c r="D27" s="200">
        <v>124000</v>
      </c>
      <c r="E27" s="173">
        <v>284000</v>
      </c>
      <c r="F27" s="202">
        <f t="shared" si="0"/>
        <v>408000</v>
      </c>
      <c r="G27" s="261">
        <f t="shared" si="1"/>
        <v>96000</v>
      </c>
      <c r="H27" s="262">
        <v>480000</v>
      </c>
      <c r="I27" s="261">
        <f t="shared" si="2"/>
        <v>576000</v>
      </c>
      <c r="J27" s="205">
        <v>384500</v>
      </c>
      <c r="K27" s="205">
        <v>240974.22062727582</v>
      </c>
      <c r="L27" s="205">
        <v>625474.22062727576</v>
      </c>
      <c r="M27" s="219">
        <f t="shared" si="3"/>
        <v>96000</v>
      </c>
      <c r="N27" s="219">
        <f t="shared" si="4"/>
        <v>240974.22062727582</v>
      </c>
      <c r="O27" s="219">
        <f t="shared" si="8"/>
        <v>336974.22062727582</v>
      </c>
      <c r="P27" s="301">
        <f t="shared" si="5"/>
        <v>89280</v>
      </c>
      <c r="Q27" s="301">
        <f t="shared" si="6"/>
        <v>224106.0251833665</v>
      </c>
      <c r="R27" s="300">
        <f t="shared" si="7"/>
        <v>313386.0251833665</v>
      </c>
    </row>
    <row r="28" spans="1:18" x14ac:dyDescent="0.25">
      <c r="A28" s="151">
        <v>25</v>
      </c>
      <c r="B28" s="152" t="s">
        <v>11</v>
      </c>
      <c r="C28" s="153" t="s">
        <v>153</v>
      </c>
      <c r="D28" s="200">
        <v>64000</v>
      </c>
      <c r="E28" s="173">
        <v>148000</v>
      </c>
      <c r="F28" s="202">
        <f t="shared" si="0"/>
        <v>212000</v>
      </c>
      <c r="G28" s="261">
        <f t="shared" si="1"/>
        <v>48000</v>
      </c>
      <c r="H28" s="262">
        <v>240000</v>
      </c>
      <c r="I28" s="261">
        <f t="shared" si="2"/>
        <v>288000</v>
      </c>
      <c r="J28" s="205">
        <v>109500</v>
      </c>
      <c r="K28" s="205">
        <v>125183.28160670935</v>
      </c>
      <c r="L28" s="205">
        <v>234683.28160670935</v>
      </c>
      <c r="M28" s="219">
        <f t="shared" si="3"/>
        <v>48000</v>
      </c>
      <c r="N28" s="219">
        <f t="shared" si="4"/>
        <v>125183.28160670935</v>
      </c>
      <c r="O28" s="219">
        <f t="shared" si="8"/>
        <v>173183.28160670935</v>
      </c>
      <c r="P28" s="301">
        <f t="shared" si="5"/>
        <v>44640</v>
      </c>
      <c r="Q28" s="301">
        <f t="shared" si="6"/>
        <v>116420.4518942397</v>
      </c>
      <c r="R28" s="300">
        <f t="shared" si="7"/>
        <v>161060.4518942397</v>
      </c>
    </row>
    <row r="29" spans="1:18" x14ac:dyDescent="0.25">
      <c r="A29" s="151">
        <v>26</v>
      </c>
      <c r="B29" s="158" t="s">
        <v>66</v>
      </c>
      <c r="C29" s="153" t="s">
        <v>153</v>
      </c>
      <c r="D29" s="200">
        <v>86000</v>
      </c>
      <c r="E29" s="173">
        <v>197000</v>
      </c>
      <c r="F29" s="202">
        <f t="shared" si="0"/>
        <v>283000</v>
      </c>
      <c r="G29" s="261">
        <f t="shared" si="1"/>
        <v>64000</v>
      </c>
      <c r="H29" s="262">
        <v>320000</v>
      </c>
      <c r="I29" s="261">
        <f t="shared" si="2"/>
        <v>384000</v>
      </c>
      <c r="J29" s="205">
        <v>109500</v>
      </c>
      <c r="K29" s="205">
        <v>167260.99712487502</v>
      </c>
      <c r="L29" s="205">
        <v>276760.99712487502</v>
      </c>
      <c r="M29" s="219">
        <f t="shared" si="3"/>
        <v>64000</v>
      </c>
      <c r="N29" s="219">
        <f t="shared" si="4"/>
        <v>167260.99712487502</v>
      </c>
      <c r="O29" s="219">
        <f t="shared" si="8"/>
        <v>231260.99712487502</v>
      </c>
      <c r="P29" s="301">
        <f t="shared" si="5"/>
        <v>59520</v>
      </c>
      <c r="Q29" s="301">
        <f t="shared" si="6"/>
        <v>155552.72732613378</v>
      </c>
      <c r="R29" s="300">
        <f t="shared" si="7"/>
        <v>215072.72732613378</v>
      </c>
    </row>
    <row r="30" spans="1:18" x14ac:dyDescent="0.25">
      <c r="A30" s="151">
        <v>27</v>
      </c>
      <c r="B30" s="152" t="s">
        <v>13</v>
      </c>
      <c r="C30" s="153" t="s">
        <v>153</v>
      </c>
      <c r="D30" s="200">
        <v>159000</v>
      </c>
      <c r="E30" s="173">
        <v>893000</v>
      </c>
      <c r="F30" s="202">
        <f t="shared" si="0"/>
        <v>1052000</v>
      </c>
      <c r="G30" s="261">
        <f t="shared" si="1"/>
        <v>240000</v>
      </c>
      <c r="H30" s="262">
        <v>1200000</v>
      </c>
      <c r="I30" s="261">
        <f t="shared" si="2"/>
        <v>1440000</v>
      </c>
      <c r="J30" s="205">
        <v>134500</v>
      </c>
      <c r="K30" s="205">
        <v>756759.25999746658</v>
      </c>
      <c r="L30" s="205">
        <v>891259.25999746658</v>
      </c>
      <c r="M30" s="219">
        <f t="shared" si="3"/>
        <v>134500</v>
      </c>
      <c r="N30" s="219">
        <f t="shared" si="4"/>
        <v>756759.25999746658</v>
      </c>
      <c r="O30" s="219">
        <f t="shared" si="8"/>
        <v>891259.25999746658</v>
      </c>
      <c r="P30" s="301">
        <f t="shared" si="5"/>
        <v>125085</v>
      </c>
      <c r="Q30" s="301">
        <f t="shared" si="6"/>
        <v>703786.11179764394</v>
      </c>
      <c r="R30" s="300">
        <f t="shared" si="7"/>
        <v>828871.11179764394</v>
      </c>
    </row>
    <row r="31" spans="1:18" x14ac:dyDescent="0.25">
      <c r="A31" s="151">
        <v>28</v>
      </c>
      <c r="B31" s="152" t="s">
        <v>151</v>
      </c>
      <c r="C31" s="153" t="s">
        <v>153</v>
      </c>
      <c r="D31" s="200">
        <v>41000</v>
      </c>
      <c r="E31" s="173">
        <v>94000</v>
      </c>
      <c r="F31" s="202">
        <f t="shared" si="0"/>
        <v>135000</v>
      </c>
      <c r="G31" s="261">
        <f t="shared" si="1"/>
        <v>36000</v>
      </c>
      <c r="H31" s="262">
        <v>180000</v>
      </c>
      <c r="I31" s="261">
        <f t="shared" si="2"/>
        <v>216000</v>
      </c>
      <c r="J31" s="205">
        <v>65500</v>
      </c>
      <c r="K31" s="205">
        <v>79933.249730088632</v>
      </c>
      <c r="L31" s="205">
        <v>145433.24973008863</v>
      </c>
      <c r="M31" s="219">
        <f t="shared" si="3"/>
        <v>36000</v>
      </c>
      <c r="N31" s="219">
        <f t="shared" si="4"/>
        <v>79933.249730088632</v>
      </c>
      <c r="O31" s="219">
        <f t="shared" si="8"/>
        <v>115933.24973008863</v>
      </c>
      <c r="P31" s="301">
        <f t="shared" si="5"/>
        <v>33480</v>
      </c>
      <c r="Q31" s="301">
        <f t="shared" si="6"/>
        <v>74337.922248982431</v>
      </c>
      <c r="R31" s="300">
        <f t="shared" si="7"/>
        <v>107817.92224898243</v>
      </c>
    </row>
    <row r="32" spans="1:18" x14ac:dyDescent="0.25">
      <c r="A32" s="151">
        <v>29</v>
      </c>
      <c r="B32" s="152" t="s">
        <v>163</v>
      </c>
      <c r="C32" s="153" t="s">
        <v>153</v>
      </c>
      <c r="D32" s="200">
        <v>36000</v>
      </c>
      <c r="E32" s="173">
        <v>82000</v>
      </c>
      <c r="F32" s="202">
        <f t="shared" si="0"/>
        <v>118000</v>
      </c>
      <c r="G32" s="261">
        <f t="shared" si="1"/>
        <v>30000</v>
      </c>
      <c r="H32" s="262">
        <v>150000</v>
      </c>
      <c r="I32" s="261">
        <f t="shared" si="2"/>
        <v>180000</v>
      </c>
      <c r="J32" s="205">
        <v>99500</v>
      </c>
      <c r="K32" s="205">
        <v>69389.231402222926</v>
      </c>
      <c r="L32" s="205">
        <v>168889.23140222294</v>
      </c>
      <c r="M32" s="219">
        <f t="shared" si="3"/>
        <v>30000</v>
      </c>
      <c r="N32" s="219">
        <f t="shared" si="4"/>
        <v>69389.231402222926</v>
      </c>
      <c r="O32" s="219">
        <f t="shared" si="8"/>
        <v>99389.231402222926</v>
      </c>
      <c r="P32" s="301">
        <f t="shared" si="5"/>
        <v>27900</v>
      </c>
      <c r="Q32" s="301">
        <f t="shared" si="6"/>
        <v>64531.985204067321</v>
      </c>
      <c r="R32" s="300">
        <f t="shared" si="7"/>
        <v>92431.985204067314</v>
      </c>
    </row>
    <row r="33" spans="1:18" x14ac:dyDescent="0.25">
      <c r="A33" s="151">
        <v>30</v>
      </c>
      <c r="B33" s="152" t="s">
        <v>165</v>
      </c>
      <c r="C33" s="153" t="s">
        <v>153</v>
      </c>
      <c r="D33" s="200">
        <v>85000</v>
      </c>
      <c r="E33" s="173">
        <v>195000</v>
      </c>
      <c r="F33" s="202">
        <f t="shared" si="0"/>
        <v>280000</v>
      </c>
      <c r="G33" s="261">
        <f t="shared" si="1"/>
        <v>64000</v>
      </c>
      <c r="H33" s="262">
        <v>320000</v>
      </c>
      <c r="I33" s="261">
        <f t="shared" si="2"/>
        <v>384000</v>
      </c>
      <c r="J33" s="205">
        <v>99500</v>
      </c>
      <c r="K33" s="205">
        <v>165252.65833072294</v>
      </c>
      <c r="L33" s="205">
        <v>264752.65833072294</v>
      </c>
      <c r="M33" s="219">
        <f t="shared" si="3"/>
        <v>64000</v>
      </c>
      <c r="N33" s="219">
        <f t="shared" si="4"/>
        <v>165252.65833072294</v>
      </c>
      <c r="O33" s="219">
        <f t="shared" si="8"/>
        <v>229252.65833072294</v>
      </c>
      <c r="P33" s="301">
        <f t="shared" si="5"/>
        <v>59520</v>
      </c>
      <c r="Q33" s="301">
        <f t="shared" si="6"/>
        <v>153684.97224757232</v>
      </c>
      <c r="R33" s="300">
        <f t="shared" si="7"/>
        <v>213204.97224757232</v>
      </c>
    </row>
    <row r="34" spans="1:18" x14ac:dyDescent="0.25">
      <c r="A34" s="151">
        <v>31</v>
      </c>
      <c r="B34" s="152" t="s">
        <v>7</v>
      </c>
      <c r="C34" s="153" t="s">
        <v>153</v>
      </c>
      <c r="D34" s="200">
        <v>126000</v>
      </c>
      <c r="E34" s="173">
        <v>291000</v>
      </c>
      <c r="F34" s="202">
        <f t="shared" si="0"/>
        <v>417000</v>
      </c>
      <c r="G34" s="261">
        <f t="shared" si="1"/>
        <v>96000</v>
      </c>
      <c r="H34" s="262">
        <v>480000</v>
      </c>
      <c r="I34" s="261">
        <f t="shared" si="2"/>
        <v>576000</v>
      </c>
      <c r="J34" s="205">
        <v>184500</v>
      </c>
      <c r="K34" s="205">
        <v>246568.81022282311</v>
      </c>
      <c r="L34" s="205">
        <v>431068.81022282311</v>
      </c>
      <c r="M34" s="219">
        <f t="shared" si="3"/>
        <v>96000</v>
      </c>
      <c r="N34" s="219">
        <f t="shared" si="4"/>
        <v>246568.81022282311</v>
      </c>
      <c r="O34" s="219">
        <f t="shared" si="8"/>
        <v>342568.81022282311</v>
      </c>
      <c r="P34" s="301">
        <f t="shared" si="5"/>
        <v>89280</v>
      </c>
      <c r="Q34" s="301">
        <f t="shared" si="6"/>
        <v>229308.9935072255</v>
      </c>
      <c r="R34" s="300">
        <f t="shared" si="7"/>
        <v>318588.99350722553</v>
      </c>
    </row>
    <row r="35" spans="1:18" x14ac:dyDescent="0.25">
      <c r="A35" s="151">
        <v>32</v>
      </c>
      <c r="B35" s="158" t="s">
        <v>353</v>
      </c>
      <c r="C35" s="153" t="s">
        <v>153</v>
      </c>
      <c r="D35" s="200">
        <v>100000</v>
      </c>
      <c r="E35" s="173">
        <v>313000</v>
      </c>
      <c r="F35" s="202">
        <f t="shared" si="0"/>
        <v>413000</v>
      </c>
      <c r="G35" s="261">
        <f t="shared" si="1"/>
        <v>90000</v>
      </c>
      <c r="H35" s="262">
        <v>450000</v>
      </c>
      <c r="I35" s="261">
        <f t="shared" si="2"/>
        <v>540000</v>
      </c>
      <c r="J35" s="205">
        <v>84500</v>
      </c>
      <c r="K35" s="205">
        <v>265161.52187560569</v>
      </c>
      <c r="L35" s="205">
        <v>349661.52187560569</v>
      </c>
      <c r="M35" s="219">
        <f t="shared" si="3"/>
        <v>84500</v>
      </c>
      <c r="N35" s="219">
        <f t="shared" si="4"/>
        <v>265161.52187560569</v>
      </c>
      <c r="O35" s="219">
        <f t="shared" si="8"/>
        <v>349661.52187560569</v>
      </c>
      <c r="P35" s="301">
        <f t="shared" si="5"/>
        <v>78585</v>
      </c>
      <c r="Q35" s="301">
        <f t="shared" si="6"/>
        <v>246600.2153443133</v>
      </c>
      <c r="R35" s="300">
        <f t="shared" si="7"/>
        <v>325185.2153443133</v>
      </c>
    </row>
    <row r="36" spans="1:18" x14ac:dyDescent="0.25">
      <c r="A36" s="151">
        <v>33</v>
      </c>
      <c r="B36" s="158" t="s">
        <v>109</v>
      </c>
      <c r="C36" s="153" t="s">
        <v>153</v>
      </c>
      <c r="D36" s="200">
        <v>256000</v>
      </c>
      <c r="E36" s="173">
        <v>589000</v>
      </c>
      <c r="F36" s="202">
        <f t="shared" si="0"/>
        <v>845000</v>
      </c>
      <c r="G36" s="261">
        <f t="shared" si="1"/>
        <v>200000</v>
      </c>
      <c r="H36" s="262">
        <v>1000000</v>
      </c>
      <c r="I36" s="261">
        <f t="shared" si="2"/>
        <v>1200000</v>
      </c>
      <c r="J36" s="205">
        <v>749500</v>
      </c>
      <c r="K36" s="205">
        <v>498770.14832339803</v>
      </c>
      <c r="L36" s="205">
        <v>1248270.1483233981</v>
      </c>
      <c r="M36" s="219">
        <f t="shared" si="3"/>
        <v>200000</v>
      </c>
      <c r="N36" s="219">
        <f t="shared" si="4"/>
        <v>498770.14832339803</v>
      </c>
      <c r="O36" s="219">
        <f t="shared" si="8"/>
        <v>698770.14832339808</v>
      </c>
      <c r="P36" s="301">
        <f t="shared" si="5"/>
        <v>186000</v>
      </c>
      <c r="Q36" s="301">
        <f t="shared" si="6"/>
        <v>463856.23794076015</v>
      </c>
      <c r="R36" s="300">
        <f t="shared" si="7"/>
        <v>649856.2379407601</v>
      </c>
    </row>
    <row r="37" spans="1:18" x14ac:dyDescent="0.25">
      <c r="A37" s="151">
        <v>34</v>
      </c>
      <c r="B37" s="152" t="s">
        <v>135</v>
      </c>
      <c r="C37" s="153" t="s">
        <v>153</v>
      </c>
      <c r="D37" s="200">
        <v>159000</v>
      </c>
      <c r="E37" s="173">
        <v>365000</v>
      </c>
      <c r="F37" s="202">
        <f t="shared" si="0"/>
        <v>524000</v>
      </c>
      <c r="G37" s="261">
        <f t="shared" si="1"/>
        <v>136000</v>
      </c>
      <c r="H37" s="262">
        <v>680000</v>
      </c>
      <c r="I37" s="261">
        <f t="shared" si="2"/>
        <v>816000</v>
      </c>
      <c r="J37" s="205">
        <v>299500</v>
      </c>
      <c r="K37" s="205">
        <v>309676.66280412395</v>
      </c>
      <c r="L37" s="205">
        <v>609176.66280412395</v>
      </c>
      <c r="M37" s="219">
        <f t="shared" si="3"/>
        <v>136000</v>
      </c>
      <c r="N37" s="219">
        <f t="shared" si="4"/>
        <v>309676.66280412395</v>
      </c>
      <c r="O37" s="219">
        <f t="shared" si="8"/>
        <v>445676.66280412395</v>
      </c>
      <c r="P37" s="301">
        <f t="shared" si="5"/>
        <v>126480</v>
      </c>
      <c r="Q37" s="301">
        <f t="shared" si="6"/>
        <v>287999.29640783527</v>
      </c>
      <c r="R37" s="300">
        <f t="shared" si="7"/>
        <v>414479.29640783527</v>
      </c>
    </row>
    <row r="38" spans="1:18" ht="33.75" x14ac:dyDescent="0.25">
      <c r="A38" s="151">
        <v>35</v>
      </c>
      <c r="B38" s="152" t="s">
        <v>333</v>
      </c>
      <c r="C38" s="153" t="s">
        <v>153</v>
      </c>
      <c r="D38" s="200">
        <v>151000</v>
      </c>
      <c r="E38" s="173">
        <v>382000</v>
      </c>
      <c r="F38" s="202">
        <f t="shared" si="0"/>
        <v>533000</v>
      </c>
      <c r="G38" s="261">
        <f t="shared" si="1"/>
        <v>98000</v>
      </c>
      <c r="H38" s="262">
        <v>490000</v>
      </c>
      <c r="I38" s="261">
        <f t="shared" si="2"/>
        <v>588000</v>
      </c>
      <c r="J38" s="205">
        <v>299500</v>
      </c>
      <c r="K38" s="205">
        <v>517214.27166444145</v>
      </c>
      <c r="L38" s="205">
        <v>816714.27166444145</v>
      </c>
      <c r="M38" s="219">
        <f t="shared" si="3"/>
        <v>98000</v>
      </c>
      <c r="N38" s="219">
        <f t="shared" si="4"/>
        <v>382000</v>
      </c>
      <c r="O38" s="219">
        <f t="shared" si="8"/>
        <v>480000</v>
      </c>
      <c r="P38" s="301">
        <f t="shared" si="5"/>
        <v>91140</v>
      </c>
      <c r="Q38" s="301">
        <f t="shared" si="6"/>
        <v>355260</v>
      </c>
      <c r="R38" s="300">
        <f t="shared" si="7"/>
        <v>446400</v>
      </c>
    </row>
    <row r="39" spans="1:18" ht="22.5" x14ac:dyDescent="0.25">
      <c r="A39" s="210"/>
      <c r="B39" s="156" t="s">
        <v>22</v>
      </c>
      <c r="C39" s="153"/>
      <c r="D39" s="200">
        <v>0</v>
      </c>
      <c r="E39" s="173">
        <v>0</v>
      </c>
      <c r="F39" s="202">
        <f t="shared" si="0"/>
        <v>0</v>
      </c>
      <c r="G39" s="261">
        <f t="shared" si="1"/>
        <v>0</v>
      </c>
      <c r="H39" s="262"/>
      <c r="I39" s="261">
        <f t="shared" si="2"/>
        <v>0</v>
      </c>
      <c r="J39" s="205"/>
      <c r="K39" s="205"/>
      <c r="L39" s="205">
        <v>0</v>
      </c>
      <c r="M39" s="219">
        <f t="shared" si="3"/>
        <v>0</v>
      </c>
      <c r="N39" s="219">
        <f t="shared" si="4"/>
        <v>0</v>
      </c>
      <c r="O39" s="219">
        <f t="shared" si="8"/>
        <v>0</v>
      </c>
      <c r="P39" s="301">
        <f t="shared" si="5"/>
        <v>0</v>
      </c>
      <c r="Q39" s="301">
        <f t="shared" si="6"/>
        <v>0</v>
      </c>
      <c r="R39" s="300">
        <f t="shared" si="7"/>
        <v>0</v>
      </c>
    </row>
    <row r="40" spans="1:18" x14ac:dyDescent="0.25">
      <c r="A40" s="210">
        <v>36</v>
      </c>
      <c r="B40" s="152" t="s">
        <v>23</v>
      </c>
      <c r="C40" s="153" t="s">
        <v>153</v>
      </c>
      <c r="D40" s="200">
        <v>265000</v>
      </c>
      <c r="E40" s="173">
        <v>741000</v>
      </c>
      <c r="F40" s="202">
        <f t="shared" si="0"/>
        <v>1006000</v>
      </c>
      <c r="G40" s="261">
        <f t="shared" si="1"/>
        <v>22000</v>
      </c>
      <c r="H40" s="262">
        <v>110000</v>
      </c>
      <c r="I40" s="261">
        <f t="shared" si="2"/>
        <v>132000</v>
      </c>
      <c r="J40" s="205">
        <v>224500</v>
      </c>
      <c r="K40" s="205">
        <v>627645.10494899633</v>
      </c>
      <c r="L40" s="205">
        <v>852145.10494899633</v>
      </c>
      <c r="M40" s="219">
        <f t="shared" si="3"/>
        <v>22000</v>
      </c>
      <c r="N40" s="219">
        <f t="shared" si="4"/>
        <v>110000</v>
      </c>
      <c r="O40" s="219">
        <f t="shared" si="8"/>
        <v>132000</v>
      </c>
      <c r="P40" s="301">
        <f t="shared" si="5"/>
        <v>20460</v>
      </c>
      <c r="Q40" s="301">
        <f t="shared" si="6"/>
        <v>102300</v>
      </c>
      <c r="R40" s="300">
        <f t="shared" si="7"/>
        <v>122760</v>
      </c>
    </row>
    <row r="41" spans="1:18" x14ac:dyDescent="0.25">
      <c r="A41" s="210">
        <v>37</v>
      </c>
      <c r="B41" s="152" t="s">
        <v>167</v>
      </c>
      <c r="C41" s="153" t="s">
        <v>153</v>
      </c>
      <c r="D41" s="200">
        <v>97000</v>
      </c>
      <c r="E41" s="173">
        <v>246000</v>
      </c>
      <c r="F41" s="202">
        <f t="shared" si="0"/>
        <v>343000</v>
      </c>
      <c r="G41" s="261">
        <f t="shared" si="1"/>
        <v>60000</v>
      </c>
      <c r="H41" s="262">
        <v>300000</v>
      </c>
      <c r="I41" s="261">
        <f t="shared" si="2"/>
        <v>360000</v>
      </c>
      <c r="J41" s="205">
        <v>224500</v>
      </c>
      <c r="K41" s="205">
        <v>230637.26730157563</v>
      </c>
      <c r="L41" s="205">
        <v>455137.26730157563</v>
      </c>
      <c r="M41" s="219">
        <f t="shared" si="3"/>
        <v>60000</v>
      </c>
      <c r="N41" s="219">
        <f t="shared" si="4"/>
        <v>230637.26730157563</v>
      </c>
      <c r="O41" s="219">
        <f t="shared" si="8"/>
        <v>290637.26730157563</v>
      </c>
      <c r="P41" s="301">
        <f t="shared" si="5"/>
        <v>55800</v>
      </c>
      <c r="Q41" s="301">
        <f t="shared" si="6"/>
        <v>214492.65859046535</v>
      </c>
      <c r="R41" s="300">
        <f t="shared" si="7"/>
        <v>270292.65859046532</v>
      </c>
    </row>
    <row r="42" spans="1:18" x14ac:dyDescent="0.25">
      <c r="A42" s="210">
        <v>38</v>
      </c>
      <c r="B42" s="152" t="s">
        <v>24</v>
      </c>
      <c r="C42" s="153" t="s">
        <v>153</v>
      </c>
      <c r="D42" s="200">
        <v>66000</v>
      </c>
      <c r="E42" s="173">
        <v>152000</v>
      </c>
      <c r="F42" s="202">
        <f t="shared" si="0"/>
        <v>218000</v>
      </c>
      <c r="G42" s="261">
        <f t="shared" si="1"/>
        <v>56000</v>
      </c>
      <c r="H42" s="262">
        <v>280000</v>
      </c>
      <c r="I42" s="261">
        <f t="shared" si="2"/>
        <v>336000</v>
      </c>
      <c r="J42" s="205">
        <v>84500</v>
      </c>
      <c r="K42" s="205">
        <v>128915.626353475</v>
      </c>
      <c r="L42" s="205">
        <v>213415.626353475</v>
      </c>
      <c r="M42" s="219">
        <f t="shared" si="3"/>
        <v>56000</v>
      </c>
      <c r="N42" s="219">
        <f t="shared" si="4"/>
        <v>128915.626353475</v>
      </c>
      <c r="O42" s="219">
        <f t="shared" si="8"/>
        <v>184915.626353475</v>
      </c>
      <c r="P42" s="301">
        <f t="shared" si="5"/>
        <v>52080</v>
      </c>
      <c r="Q42" s="301">
        <f t="shared" si="6"/>
        <v>119891.53250873175</v>
      </c>
      <c r="R42" s="300">
        <f t="shared" si="7"/>
        <v>171971.53250873176</v>
      </c>
    </row>
    <row r="43" spans="1:18" x14ac:dyDescent="0.25">
      <c r="A43" s="210">
        <v>39</v>
      </c>
      <c r="B43" s="152" t="s">
        <v>25</v>
      </c>
      <c r="C43" s="153" t="s">
        <v>153</v>
      </c>
      <c r="D43" s="200">
        <v>66000</v>
      </c>
      <c r="E43" s="173">
        <v>152000</v>
      </c>
      <c r="F43" s="202">
        <f t="shared" si="0"/>
        <v>218000</v>
      </c>
      <c r="G43" s="261">
        <f t="shared" si="1"/>
        <v>56000</v>
      </c>
      <c r="H43" s="262">
        <v>280000</v>
      </c>
      <c r="I43" s="261">
        <f t="shared" si="2"/>
        <v>336000</v>
      </c>
      <c r="J43" s="205">
        <v>124500</v>
      </c>
      <c r="K43" s="205">
        <v>128915.626353475</v>
      </c>
      <c r="L43" s="205">
        <v>253415.626353475</v>
      </c>
      <c r="M43" s="219">
        <f t="shared" si="3"/>
        <v>56000</v>
      </c>
      <c r="N43" s="219">
        <f t="shared" si="4"/>
        <v>128915.626353475</v>
      </c>
      <c r="O43" s="219">
        <f t="shared" si="8"/>
        <v>184915.626353475</v>
      </c>
      <c r="P43" s="301">
        <f t="shared" si="5"/>
        <v>52080</v>
      </c>
      <c r="Q43" s="301">
        <f t="shared" si="6"/>
        <v>119891.53250873175</v>
      </c>
      <c r="R43" s="300">
        <f t="shared" si="7"/>
        <v>171971.53250873176</v>
      </c>
    </row>
    <row r="44" spans="1:18" x14ac:dyDescent="0.25">
      <c r="A44" s="210">
        <v>40</v>
      </c>
      <c r="B44" s="152" t="s">
        <v>283</v>
      </c>
      <c r="C44" s="153" t="s">
        <v>153</v>
      </c>
      <c r="D44" s="200">
        <v>146000</v>
      </c>
      <c r="E44" s="173">
        <v>891000</v>
      </c>
      <c r="F44" s="202">
        <f t="shared" si="0"/>
        <v>1037000</v>
      </c>
      <c r="G44" s="261">
        <f t="shared" si="1"/>
        <v>280000</v>
      </c>
      <c r="H44" s="262">
        <v>1400000</v>
      </c>
      <c r="I44" s="261">
        <f t="shared" si="2"/>
        <v>1680000</v>
      </c>
      <c r="J44" s="205">
        <v>619500</v>
      </c>
      <c r="K44" s="205">
        <v>1131070.8264938428</v>
      </c>
      <c r="L44" s="205">
        <v>1750570.8264938428</v>
      </c>
      <c r="M44" s="219">
        <f t="shared" si="3"/>
        <v>146000</v>
      </c>
      <c r="N44" s="219">
        <f t="shared" si="4"/>
        <v>891000</v>
      </c>
      <c r="O44" s="219">
        <f t="shared" si="8"/>
        <v>1037000</v>
      </c>
      <c r="P44" s="301">
        <f t="shared" si="5"/>
        <v>135780</v>
      </c>
      <c r="Q44" s="301">
        <f t="shared" si="6"/>
        <v>828630</v>
      </c>
      <c r="R44" s="300">
        <f t="shared" si="7"/>
        <v>964410</v>
      </c>
    </row>
    <row r="45" spans="1:18" x14ac:dyDescent="0.25">
      <c r="A45" s="210">
        <v>41</v>
      </c>
      <c r="B45" s="152" t="s">
        <v>332</v>
      </c>
      <c r="C45" s="153" t="s">
        <v>153</v>
      </c>
      <c r="D45" s="200">
        <v>97000</v>
      </c>
      <c r="E45" s="173">
        <v>246000</v>
      </c>
      <c r="F45" s="202">
        <f t="shared" si="0"/>
        <v>343000</v>
      </c>
      <c r="G45" s="261">
        <f t="shared" si="1"/>
        <v>60000</v>
      </c>
      <c r="H45" s="262">
        <v>300000</v>
      </c>
      <c r="I45" s="261">
        <f t="shared" si="2"/>
        <v>360000</v>
      </c>
      <c r="J45" s="205">
        <v>389500</v>
      </c>
      <c r="K45" s="205">
        <v>237053.40646590019</v>
      </c>
      <c r="L45" s="205">
        <v>626553.40646590013</v>
      </c>
      <c r="M45" s="219">
        <f t="shared" si="3"/>
        <v>60000</v>
      </c>
      <c r="N45" s="219">
        <f t="shared" si="4"/>
        <v>237053.40646590019</v>
      </c>
      <c r="O45" s="219">
        <f t="shared" si="8"/>
        <v>297053.40646590019</v>
      </c>
      <c r="P45" s="301">
        <f t="shared" si="5"/>
        <v>55800</v>
      </c>
      <c r="Q45" s="301">
        <f t="shared" si="6"/>
        <v>220459.66801328718</v>
      </c>
      <c r="R45" s="300">
        <f t="shared" si="7"/>
        <v>276259.66801328718</v>
      </c>
    </row>
    <row r="46" spans="1:18" x14ac:dyDescent="0.25">
      <c r="A46" s="210">
        <v>42</v>
      </c>
      <c r="B46" s="152" t="s">
        <v>92</v>
      </c>
      <c r="C46" s="153" t="s">
        <v>153</v>
      </c>
      <c r="D46" s="200">
        <v>135000</v>
      </c>
      <c r="E46" s="173">
        <v>341000</v>
      </c>
      <c r="F46" s="202">
        <f t="shared" si="0"/>
        <v>476000</v>
      </c>
      <c r="G46" s="261">
        <f t="shared" si="1"/>
        <v>90000</v>
      </c>
      <c r="H46" s="262">
        <v>450000</v>
      </c>
      <c r="I46" s="261">
        <f t="shared" si="2"/>
        <v>540000</v>
      </c>
      <c r="J46" s="205">
        <v>349500</v>
      </c>
      <c r="K46" s="205">
        <v>566845.6436881338</v>
      </c>
      <c r="L46" s="205">
        <v>916345.6436881338</v>
      </c>
      <c r="M46" s="219">
        <f t="shared" si="3"/>
        <v>90000</v>
      </c>
      <c r="N46" s="219">
        <f t="shared" si="4"/>
        <v>341000</v>
      </c>
      <c r="O46" s="219">
        <f t="shared" si="8"/>
        <v>431000</v>
      </c>
      <c r="P46" s="301">
        <f t="shared" si="5"/>
        <v>83700</v>
      </c>
      <c r="Q46" s="301">
        <f t="shared" si="6"/>
        <v>317130</v>
      </c>
      <c r="R46" s="300">
        <f t="shared" si="7"/>
        <v>400830</v>
      </c>
    </row>
    <row r="47" spans="1:18" ht="22.5" x14ac:dyDescent="0.25">
      <c r="A47" s="210"/>
      <c r="B47" s="156" t="s">
        <v>97</v>
      </c>
      <c r="C47" s="153"/>
      <c r="D47" s="200">
        <v>0</v>
      </c>
      <c r="E47" s="173">
        <v>0</v>
      </c>
      <c r="F47" s="202">
        <f t="shared" si="0"/>
        <v>0</v>
      </c>
      <c r="G47" s="261">
        <f t="shared" si="1"/>
        <v>0</v>
      </c>
      <c r="H47" s="262"/>
      <c r="I47" s="261">
        <f t="shared" si="2"/>
        <v>0</v>
      </c>
      <c r="J47" s="205"/>
      <c r="K47" s="205"/>
      <c r="L47" s="205">
        <v>0</v>
      </c>
      <c r="M47" s="219">
        <f t="shared" si="3"/>
        <v>0</v>
      </c>
      <c r="N47" s="219">
        <f t="shared" si="4"/>
        <v>0</v>
      </c>
      <c r="O47" s="219">
        <f t="shared" si="8"/>
        <v>0</v>
      </c>
      <c r="P47" s="301">
        <f t="shared" si="5"/>
        <v>0</v>
      </c>
      <c r="Q47" s="301">
        <f t="shared" si="6"/>
        <v>0</v>
      </c>
      <c r="R47" s="300">
        <f t="shared" si="7"/>
        <v>0</v>
      </c>
    </row>
    <row r="48" spans="1:18" x14ac:dyDescent="0.25">
      <c r="A48" s="210">
        <v>43</v>
      </c>
      <c r="B48" s="152" t="s">
        <v>169</v>
      </c>
      <c r="C48" s="153" t="s">
        <v>153</v>
      </c>
      <c r="D48" s="200">
        <v>432000</v>
      </c>
      <c r="E48" s="173">
        <v>1092000</v>
      </c>
      <c r="F48" s="202">
        <f t="shared" si="0"/>
        <v>1524000</v>
      </c>
      <c r="G48" s="261">
        <f t="shared" si="1"/>
        <v>262000</v>
      </c>
      <c r="H48" s="262">
        <v>1310000</v>
      </c>
      <c r="I48" s="261">
        <f t="shared" si="2"/>
        <v>1572000</v>
      </c>
      <c r="J48" s="205">
        <v>549500</v>
      </c>
      <c r="K48" s="205">
        <v>992645.10297925991</v>
      </c>
      <c r="L48" s="205">
        <v>1542145.10297926</v>
      </c>
      <c r="M48" s="219">
        <f t="shared" si="3"/>
        <v>262000</v>
      </c>
      <c r="N48" s="219">
        <f t="shared" si="4"/>
        <v>992645.10297925991</v>
      </c>
      <c r="O48" s="219">
        <f t="shared" si="8"/>
        <v>1254645.10297926</v>
      </c>
      <c r="P48" s="301">
        <f t="shared" si="5"/>
        <v>243660</v>
      </c>
      <c r="Q48" s="301">
        <f t="shared" si="6"/>
        <v>923159.94577071175</v>
      </c>
      <c r="R48" s="300">
        <f t="shared" si="7"/>
        <v>1166819.9457707116</v>
      </c>
    </row>
    <row r="49" spans="1:18" x14ac:dyDescent="0.25">
      <c r="A49" s="210">
        <v>44</v>
      </c>
      <c r="B49" s="152" t="s">
        <v>170</v>
      </c>
      <c r="C49" s="153" t="s">
        <v>153</v>
      </c>
      <c r="D49" s="200">
        <v>255000</v>
      </c>
      <c r="E49" s="173">
        <v>645000</v>
      </c>
      <c r="F49" s="202">
        <f t="shared" si="0"/>
        <v>900000</v>
      </c>
      <c r="G49" s="261">
        <f t="shared" si="1"/>
        <v>160000</v>
      </c>
      <c r="H49" s="262">
        <v>800000</v>
      </c>
      <c r="I49" s="261">
        <f t="shared" si="2"/>
        <v>960000</v>
      </c>
      <c r="J49" s="205">
        <v>579500</v>
      </c>
      <c r="K49" s="205">
        <v>871700</v>
      </c>
      <c r="L49" s="205">
        <v>1451200</v>
      </c>
      <c r="M49" s="219">
        <f t="shared" si="3"/>
        <v>160000</v>
      </c>
      <c r="N49" s="219">
        <f t="shared" si="4"/>
        <v>645000</v>
      </c>
      <c r="O49" s="219">
        <f t="shared" si="8"/>
        <v>805000</v>
      </c>
      <c r="P49" s="301">
        <f t="shared" si="5"/>
        <v>148800</v>
      </c>
      <c r="Q49" s="301">
        <f t="shared" si="6"/>
        <v>599850</v>
      </c>
      <c r="R49" s="300">
        <f t="shared" si="7"/>
        <v>748650</v>
      </c>
    </row>
    <row r="50" spans="1:18" x14ac:dyDescent="0.25">
      <c r="A50" s="210">
        <v>45</v>
      </c>
      <c r="B50" s="152" t="s">
        <v>211</v>
      </c>
      <c r="C50" s="153" t="s">
        <v>153</v>
      </c>
      <c r="D50" s="200">
        <v>205000</v>
      </c>
      <c r="E50" s="173">
        <v>472000</v>
      </c>
      <c r="F50" s="202">
        <f t="shared" si="0"/>
        <v>677000</v>
      </c>
      <c r="G50" s="261">
        <f t="shared" si="1"/>
        <v>98000</v>
      </c>
      <c r="H50" s="262">
        <v>490000</v>
      </c>
      <c r="I50" s="261">
        <f t="shared" si="2"/>
        <v>588000</v>
      </c>
      <c r="J50" s="205">
        <v>574500</v>
      </c>
      <c r="K50" s="205">
        <v>400000</v>
      </c>
      <c r="L50" s="205">
        <v>974500</v>
      </c>
      <c r="M50" s="219">
        <f t="shared" si="3"/>
        <v>98000</v>
      </c>
      <c r="N50" s="219">
        <f t="shared" si="4"/>
        <v>400000</v>
      </c>
      <c r="O50" s="219">
        <f t="shared" si="8"/>
        <v>498000</v>
      </c>
      <c r="P50" s="301">
        <f t="shared" si="5"/>
        <v>91140</v>
      </c>
      <c r="Q50" s="301">
        <f t="shared" si="6"/>
        <v>372000</v>
      </c>
      <c r="R50" s="300">
        <f t="shared" si="7"/>
        <v>463140</v>
      </c>
    </row>
    <row r="51" spans="1:18" x14ac:dyDescent="0.25">
      <c r="A51" s="210">
        <v>46</v>
      </c>
      <c r="B51" s="152" t="s">
        <v>291</v>
      </c>
      <c r="C51" s="153" t="s">
        <v>153</v>
      </c>
      <c r="D51" s="200">
        <v>182000</v>
      </c>
      <c r="E51" s="173">
        <v>419000</v>
      </c>
      <c r="F51" s="202">
        <f t="shared" si="0"/>
        <v>601000</v>
      </c>
      <c r="G51" s="261">
        <f t="shared" si="1"/>
        <v>96000</v>
      </c>
      <c r="H51" s="262">
        <v>480000</v>
      </c>
      <c r="I51" s="261">
        <f t="shared" si="2"/>
        <v>576000</v>
      </c>
      <c r="J51" s="205">
        <v>549500</v>
      </c>
      <c r="K51" s="205">
        <v>355500</v>
      </c>
      <c r="L51" s="205">
        <v>905000</v>
      </c>
      <c r="M51" s="219">
        <f t="shared" si="3"/>
        <v>96000</v>
      </c>
      <c r="N51" s="219">
        <f t="shared" si="4"/>
        <v>355500</v>
      </c>
      <c r="O51" s="219">
        <f t="shared" si="8"/>
        <v>451500</v>
      </c>
      <c r="P51" s="301">
        <f t="shared" si="5"/>
        <v>89280</v>
      </c>
      <c r="Q51" s="301">
        <f t="shared" si="6"/>
        <v>330615</v>
      </c>
      <c r="R51" s="300">
        <f t="shared" si="7"/>
        <v>419895</v>
      </c>
    </row>
    <row r="52" spans="1:18" x14ac:dyDescent="0.25">
      <c r="A52" s="210">
        <v>47</v>
      </c>
      <c r="B52" s="152" t="s">
        <v>17</v>
      </c>
      <c r="C52" s="153" t="s">
        <v>153</v>
      </c>
      <c r="D52" s="200">
        <v>147000</v>
      </c>
      <c r="E52" s="173">
        <v>493000</v>
      </c>
      <c r="F52" s="202">
        <f t="shared" si="0"/>
        <v>640000</v>
      </c>
      <c r="G52" s="261">
        <f t="shared" si="1"/>
        <v>134000</v>
      </c>
      <c r="H52" s="262">
        <v>670000</v>
      </c>
      <c r="I52" s="261">
        <f t="shared" si="2"/>
        <v>804000</v>
      </c>
      <c r="J52" s="205">
        <v>124500</v>
      </c>
      <c r="K52" s="205">
        <v>417473.52034739073</v>
      </c>
      <c r="L52" s="205">
        <v>541973.52034739079</v>
      </c>
      <c r="M52" s="219">
        <f t="shared" si="3"/>
        <v>124500</v>
      </c>
      <c r="N52" s="219">
        <f t="shared" si="4"/>
        <v>417473.52034739073</v>
      </c>
      <c r="O52" s="219">
        <f t="shared" si="8"/>
        <v>541973.52034739079</v>
      </c>
      <c r="P52" s="301">
        <f t="shared" si="5"/>
        <v>115785</v>
      </c>
      <c r="Q52" s="301">
        <f t="shared" si="6"/>
        <v>388250.37392307341</v>
      </c>
      <c r="R52" s="300">
        <f t="shared" si="7"/>
        <v>504035.37392307341</v>
      </c>
    </row>
    <row r="53" spans="1:18" x14ac:dyDescent="0.25">
      <c r="A53" s="210">
        <v>48</v>
      </c>
      <c r="B53" s="152" t="s">
        <v>16</v>
      </c>
      <c r="C53" s="153" t="s">
        <v>153</v>
      </c>
      <c r="D53" s="200">
        <v>147000</v>
      </c>
      <c r="E53" s="173">
        <v>367000</v>
      </c>
      <c r="F53" s="202">
        <f t="shared" si="0"/>
        <v>514000</v>
      </c>
      <c r="G53" s="261">
        <f t="shared" si="1"/>
        <v>110000</v>
      </c>
      <c r="H53" s="262">
        <v>550000</v>
      </c>
      <c r="I53" s="261">
        <f t="shared" si="2"/>
        <v>660000</v>
      </c>
      <c r="J53" s="205">
        <v>124500</v>
      </c>
      <c r="K53" s="205">
        <v>311056.13751762506</v>
      </c>
      <c r="L53" s="205">
        <v>435556.13751762506</v>
      </c>
      <c r="M53" s="219">
        <f t="shared" si="3"/>
        <v>110000</v>
      </c>
      <c r="N53" s="219">
        <f t="shared" si="4"/>
        <v>311056.13751762506</v>
      </c>
      <c r="O53" s="219">
        <f t="shared" si="8"/>
        <v>421056.13751762506</v>
      </c>
      <c r="P53" s="301">
        <f t="shared" si="5"/>
        <v>102300</v>
      </c>
      <c r="Q53" s="301">
        <f t="shared" si="6"/>
        <v>289282.2078913913</v>
      </c>
      <c r="R53" s="300">
        <f t="shared" si="7"/>
        <v>391582.2078913913</v>
      </c>
    </row>
    <row r="54" spans="1:18" x14ac:dyDescent="0.25">
      <c r="A54" s="210">
        <v>49</v>
      </c>
      <c r="B54" s="158" t="s">
        <v>74</v>
      </c>
      <c r="C54" s="153" t="s">
        <v>153</v>
      </c>
      <c r="D54" s="200">
        <v>99000</v>
      </c>
      <c r="E54" s="173">
        <v>227000</v>
      </c>
      <c r="F54" s="202">
        <f t="shared" si="0"/>
        <v>326000</v>
      </c>
      <c r="G54" s="261">
        <f t="shared" si="1"/>
        <v>80000</v>
      </c>
      <c r="H54" s="262">
        <v>400000</v>
      </c>
      <c r="I54" s="261">
        <f t="shared" si="2"/>
        <v>480000</v>
      </c>
      <c r="J54" s="205">
        <v>149500</v>
      </c>
      <c r="K54" s="205">
        <v>192534.43100030476</v>
      </c>
      <c r="L54" s="205">
        <v>342034.43100030476</v>
      </c>
      <c r="M54" s="219">
        <f t="shared" si="3"/>
        <v>80000</v>
      </c>
      <c r="N54" s="219">
        <f t="shared" si="4"/>
        <v>192534.43100030476</v>
      </c>
      <c r="O54" s="219">
        <f t="shared" si="8"/>
        <v>272534.43100030476</v>
      </c>
      <c r="P54" s="301">
        <f t="shared" si="5"/>
        <v>74400</v>
      </c>
      <c r="Q54" s="301">
        <f t="shared" si="6"/>
        <v>179057.02083028344</v>
      </c>
      <c r="R54" s="300">
        <f t="shared" si="7"/>
        <v>253457.02083028344</v>
      </c>
    </row>
    <row r="55" spans="1:18" x14ac:dyDescent="0.25">
      <c r="A55" s="210">
        <v>50</v>
      </c>
      <c r="B55" s="158" t="s">
        <v>75</v>
      </c>
      <c r="C55" s="153" t="s">
        <v>153</v>
      </c>
      <c r="D55" s="200">
        <v>115000</v>
      </c>
      <c r="E55" s="173">
        <v>265000</v>
      </c>
      <c r="F55" s="202">
        <f t="shared" si="0"/>
        <v>380000</v>
      </c>
      <c r="G55" s="261">
        <f t="shared" si="1"/>
        <v>84000</v>
      </c>
      <c r="H55" s="262">
        <v>420000</v>
      </c>
      <c r="I55" s="261">
        <f t="shared" si="2"/>
        <v>504000</v>
      </c>
      <c r="J55" s="205">
        <v>449500</v>
      </c>
      <c r="K55" s="205">
        <v>224779.05328197504</v>
      </c>
      <c r="L55" s="205">
        <v>674279.05328197498</v>
      </c>
      <c r="M55" s="219">
        <f t="shared" si="3"/>
        <v>84000</v>
      </c>
      <c r="N55" s="219">
        <f t="shared" si="4"/>
        <v>224779.05328197504</v>
      </c>
      <c r="O55" s="219">
        <f t="shared" si="8"/>
        <v>308779.05328197504</v>
      </c>
      <c r="P55" s="301">
        <f t="shared" si="5"/>
        <v>78120</v>
      </c>
      <c r="Q55" s="301">
        <f t="shared" si="6"/>
        <v>209044.51955223677</v>
      </c>
      <c r="R55" s="300">
        <f t="shared" si="7"/>
        <v>287164.51955223677</v>
      </c>
    </row>
    <row r="56" spans="1:18" x14ac:dyDescent="0.25">
      <c r="A56" s="210">
        <v>51</v>
      </c>
      <c r="B56" s="158" t="s">
        <v>76</v>
      </c>
      <c r="C56" s="153" t="s">
        <v>153</v>
      </c>
      <c r="D56" s="200">
        <v>170000</v>
      </c>
      <c r="E56" s="173">
        <v>391000</v>
      </c>
      <c r="F56" s="202">
        <f t="shared" si="0"/>
        <v>561000</v>
      </c>
      <c r="G56" s="261">
        <f t="shared" si="1"/>
        <v>126000</v>
      </c>
      <c r="H56" s="262">
        <v>630000</v>
      </c>
      <c r="I56" s="261">
        <f t="shared" si="2"/>
        <v>756000</v>
      </c>
      <c r="J56" s="205">
        <v>449500</v>
      </c>
      <c r="K56" s="205">
        <v>330995.73031875305</v>
      </c>
      <c r="L56" s="205">
        <v>780495.73031875305</v>
      </c>
      <c r="M56" s="219">
        <f t="shared" si="3"/>
        <v>126000</v>
      </c>
      <c r="N56" s="219">
        <f t="shared" si="4"/>
        <v>330995.73031875305</v>
      </c>
      <c r="O56" s="219">
        <f t="shared" si="8"/>
        <v>456995.73031875305</v>
      </c>
      <c r="P56" s="301">
        <f t="shared" si="5"/>
        <v>117180</v>
      </c>
      <c r="Q56" s="301">
        <f t="shared" si="6"/>
        <v>307826.02919644036</v>
      </c>
      <c r="R56" s="300">
        <f t="shared" si="7"/>
        <v>425006.02919644036</v>
      </c>
    </row>
    <row r="57" spans="1:18" x14ac:dyDescent="0.25">
      <c r="A57" s="210">
        <v>52</v>
      </c>
      <c r="B57" s="152" t="s">
        <v>18</v>
      </c>
      <c r="C57" s="153" t="s">
        <v>153</v>
      </c>
      <c r="D57" s="200">
        <v>129000</v>
      </c>
      <c r="E57" s="173">
        <v>296000</v>
      </c>
      <c r="F57" s="202">
        <f t="shared" si="0"/>
        <v>425000</v>
      </c>
      <c r="G57" s="261">
        <f t="shared" si="1"/>
        <v>96000</v>
      </c>
      <c r="H57" s="262">
        <v>480000</v>
      </c>
      <c r="I57" s="261">
        <f t="shared" si="2"/>
        <v>576000</v>
      </c>
      <c r="J57" s="205">
        <v>449500</v>
      </c>
      <c r="K57" s="205">
        <v>251169.29608112181</v>
      </c>
      <c r="L57" s="205">
        <v>700669.29608112178</v>
      </c>
      <c r="M57" s="219">
        <f t="shared" si="3"/>
        <v>96000</v>
      </c>
      <c r="N57" s="219">
        <f t="shared" si="4"/>
        <v>251169.29608112181</v>
      </c>
      <c r="O57" s="219">
        <f t="shared" si="8"/>
        <v>347169.29608112178</v>
      </c>
      <c r="P57" s="301">
        <f t="shared" si="5"/>
        <v>89280</v>
      </c>
      <c r="Q57" s="301">
        <f t="shared" si="6"/>
        <v>233587.44535544328</v>
      </c>
      <c r="R57" s="300">
        <f t="shared" si="7"/>
        <v>322867.44535544328</v>
      </c>
    </row>
    <row r="58" spans="1:18" x14ac:dyDescent="0.25">
      <c r="A58" s="210">
        <v>53</v>
      </c>
      <c r="B58" s="152" t="s">
        <v>21</v>
      </c>
      <c r="C58" s="153" t="s">
        <v>153</v>
      </c>
      <c r="D58" s="200">
        <v>140000</v>
      </c>
      <c r="E58" s="173">
        <v>322000</v>
      </c>
      <c r="F58" s="202">
        <f t="shared" si="0"/>
        <v>462000</v>
      </c>
      <c r="G58" s="261">
        <f t="shared" si="1"/>
        <v>102000</v>
      </c>
      <c r="H58" s="262">
        <v>510000</v>
      </c>
      <c r="I58" s="261">
        <f t="shared" si="2"/>
        <v>612000</v>
      </c>
      <c r="J58" s="205">
        <v>384500</v>
      </c>
      <c r="K58" s="205">
        <v>272710.76674622507</v>
      </c>
      <c r="L58" s="205">
        <v>657210.76674622507</v>
      </c>
      <c r="M58" s="219">
        <f t="shared" si="3"/>
        <v>102000</v>
      </c>
      <c r="N58" s="219">
        <f t="shared" si="4"/>
        <v>272710.76674622507</v>
      </c>
      <c r="O58" s="219">
        <f t="shared" si="8"/>
        <v>374710.76674622507</v>
      </c>
      <c r="P58" s="301">
        <f t="shared" si="5"/>
        <v>94860</v>
      </c>
      <c r="Q58" s="301">
        <f t="shared" si="6"/>
        <v>253621.01307398931</v>
      </c>
      <c r="R58" s="300">
        <f t="shared" si="7"/>
        <v>348481.01307398931</v>
      </c>
    </row>
    <row r="59" spans="1:18" x14ac:dyDescent="0.25">
      <c r="A59" s="210">
        <v>54</v>
      </c>
      <c r="B59" s="152" t="s">
        <v>20</v>
      </c>
      <c r="C59" s="153" t="s">
        <v>153</v>
      </c>
      <c r="D59" s="200">
        <v>96000</v>
      </c>
      <c r="E59" s="173">
        <v>220000</v>
      </c>
      <c r="F59" s="202">
        <f t="shared" si="0"/>
        <v>316000</v>
      </c>
      <c r="G59" s="261">
        <f t="shared" si="1"/>
        <v>80000</v>
      </c>
      <c r="H59" s="262">
        <v>400000</v>
      </c>
      <c r="I59" s="261">
        <f t="shared" si="2"/>
        <v>480000</v>
      </c>
      <c r="J59" s="205">
        <v>384500</v>
      </c>
      <c r="K59" s="205">
        <v>186433.68251057502</v>
      </c>
      <c r="L59" s="205">
        <v>570933.68251057505</v>
      </c>
      <c r="M59" s="219">
        <f t="shared" si="3"/>
        <v>80000</v>
      </c>
      <c r="N59" s="219">
        <f t="shared" si="4"/>
        <v>186433.68251057502</v>
      </c>
      <c r="O59" s="219">
        <f t="shared" si="8"/>
        <v>266433.68251057505</v>
      </c>
      <c r="P59" s="301">
        <f t="shared" si="5"/>
        <v>74400</v>
      </c>
      <c r="Q59" s="301">
        <f t="shared" si="6"/>
        <v>173383.32473483478</v>
      </c>
      <c r="R59" s="300">
        <f t="shared" si="7"/>
        <v>247783.32473483478</v>
      </c>
    </row>
    <row r="60" spans="1:18" ht="22.5" x14ac:dyDescent="0.25">
      <c r="A60" s="210">
        <v>55</v>
      </c>
      <c r="B60" s="152" t="s">
        <v>172</v>
      </c>
      <c r="C60" s="153" t="s">
        <v>153</v>
      </c>
      <c r="D60" s="200">
        <v>530000</v>
      </c>
      <c r="E60" s="173">
        <v>1220000</v>
      </c>
      <c r="F60" s="202">
        <f t="shared" si="0"/>
        <v>1750000</v>
      </c>
      <c r="G60" s="261">
        <f t="shared" si="1"/>
        <v>38000</v>
      </c>
      <c r="H60" s="262">
        <v>190000</v>
      </c>
      <c r="I60" s="261">
        <f t="shared" si="2"/>
        <v>228000</v>
      </c>
      <c r="J60" s="205">
        <v>549500</v>
      </c>
      <c r="K60" s="205">
        <v>1034318.7665426659</v>
      </c>
      <c r="L60" s="205">
        <v>1583818.7665426659</v>
      </c>
      <c r="M60" s="219">
        <f t="shared" si="3"/>
        <v>38000</v>
      </c>
      <c r="N60" s="219">
        <f t="shared" si="4"/>
        <v>190000</v>
      </c>
      <c r="O60" s="219">
        <f t="shared" si="8"/>
        <v>228000</v>
      </c>
      <c r="P60" s="301">
        <f t="shared" si="5"/>
        <v>35340</v>
      </c>
      <c r="Q60" s="301">
        <f t="shared" si="6"/>
        <v>176700</v>
      </c>
      <c r="R60" s="300">
        <f t="shared" si="7"/>
        <v>212040</v>
      </c>
    </row>
    <row r="61" spans="1:18" x14ac:dyDescent="0.25">
      <c r="A61" s="210">
        <v>56</v>
      </c>
      <c r="B61" s="152" t="s">
        <v>294</v>
      </c>
      <c r="C61" s="153" t="s">
        <v>153</v>
      </c>
      <c r="D61" s="200">
        <v>205000</v>
      </c>
      <c r="E61" s="173">
        <v>472000</v>
      </c>
      <c r="F61" s="202">
        <f t="shared" si="0"/>
        <v>677000</v>
      </c>
      <c r="G61" s="261">
        <f t="shared" si="1"/>
        <v>170000</v>
      </c>
      <c r="H61" s="262">
        <v>850000</v>
      </c>
      <c r="I61" s="261">
        <f t="shared" si="2"/>
        <v>1020000</v>
      </c>
      <c r="J61" s="205">
        <v>549500</v>
      </c>
      <c r="K61" s="205">
        <v>400000</v>
      </c>
      <c r="L61" s="205">
        <v>949500</v>
      </c>
      <c r="M61" s="219">
        <f t="shared" si="3"/>
        <v>170000</v>
      </c>
      <c r="N61" s="219">
        <f t="shared" si="4"/>
        <v>400000</v>
      </c>
      <c r="O61" s="219">
        <f t="shared" si="8"/>
        <v>570000</v>
      </c>
      <c r="P61" s="301">
        <f t="shared" si="5"/>
        <v>158100</v>
      </c>
      <c r="Q61" s="301">
        <f t="shared" si="6"/>
        <v>372000</v>
      </c>
      <c r="R61" s="300">
        <f t="shared" si="7"/>
        <v>530100</v>
      </c>
    </row>
    <row r="62" spans="1:18" x14ac:dyDescent="0.25">
      <c r="A62" s="210">
        <v>57</v>
      </c>
      <c r="B62" s="158" t="s">
        <v>292</v>
      </c>
      <c r="C62" s="153" t="s">
        <v>153</v>
      </c>
      <c r="D62" s="200">
        <v>110000</v>
      </c>
      <c r="E62" s="173">
        <v>254000</v>
      </c>
      <c r="F62" s="202">
        <f t="shared" si="0"/>
        <v>364000</v>
      </c>
      <c r="G62" s="261">
        <f t="shared" si="1"/>
        <v>80000</v>
      </c>
      <c r="H62" s="262">
        <v>400000</v>
      </c>
      <c r="I62" s="261">
        <f t="shared" si="2"/>
        <v>480000</v>
      </c>
      <c r="J62" s="205">
        <v>549500</v>
      </c>
      <c r="K62" s="205">
        <v>215192.71058912502</v>
      </c>
      <c r="L62" s="205">
        <v>764692.71058912505</v>
      </c>
      <c r="M62" s="219">
        <f t="shared" si="3"/>
        <v>80000</v>
      </c>
      <c r="N62" s="219">
        <f t="shared" si="4"/>
        <v>215192.71058912502</v>
      </c>
      <c r="O62" s="219">
        <f t="shared" si="8"/>
        <v>295192.71058912505</v>
      </c>
      <c r="P62" s="301">
        <f t="shared" si="5"/>
        <v>74400</v>
      </c>
      <c r="Q62" s="301">
        <f t="shared" si="6"/>
        <v>200129.22084788626</v>
      </c>
      <c r="R62" s="300">
        <f t="shared" si="7"/>
        <v>274529.22084788629</v>
      </c>
    </row>
    <row r="63" spans="1:18" x14ac:dyDescent="0.25">
      <c r="A63" s="210">
        <v>58</v>
      </c>
      <c r="B63" s="158" t="s">
        <v>150</v>
      </c>
      <c r="C63" s="153" t="s">
        <v>153</v>
      </c>
      <c r="D63" s="200">
        <v>189000</v>
      </c>
      <c r="E63" s="173">
        <v>435000</v>
      </c>
      <c r="F63" s="202">
        <f t="shared" si="0"/>
        <v>624000</v>
      </c>
      <c r="G63" s="261">
        <f t="shared" si="1"/>
        <v>138000</v>
      </c>
      <c r="H63" s="262">
        <v>690000</v>
      </c>
      <c r="I63" s="261">
        <f t="shared" si="2"/>
        <v>828000</v>
      </c>
      <c r="J63" s="205">
        <v>549500</v>
      </c>
      <c r="K63" s="205">
        <v>368574.19367472507</v>
      </c>
      <c r="L63" s="205">
        <v>918074.19367472501</v>
      </c>
      <c r="M63" s="219">
        <f t="shared" si="3"/>
        <v>138000</v>
      </c>
      <c r="N63" s="219">
        <f t="shared" si="4"/>
        <v>368574.19367472507</v>
      </c>
      <c r="O63" s="219">
        <f t="shared" si="8"/>
        <v>506574.19367472507</v>
      </c>
      <c r="P63" s="301">
        <f t="shared" si="5"/>
        <v>128340</v>
      </c>
      <c r="Q63" s="301">
        <f t="shared" si="6"/>
        <v>342774.00011749432</v>
      </c>
      <c r="R63" s="300">
        <f t="shared" si="7"/>
        <v>471114.00011749432</v>
      </c>
    </row>
    <row r="64" spans="1:18" ht="22.5" x14ac:dyDescent="0.25">
      <c r="A64" s="210"/>
      <c r="B64" s="156" t="s">
        <v>124</v>
      </c>
      <c r="C64" s="153"/>
      <c r="D64" s="200">
        <v>0</v>
      </c>
      <c r="E64" s="173">
        <v>0</v>
      </c>
      <c r="F64" s="202">
        <f t="shared" si="0"/>
        <v>0</v>
      </c>
      <c r="G64" s="261">
        <f t="shared" si="1"/>
        <v>0</v>
      </c>
      <c r="H64" s="262"/>
      <c r="I64" s="261">
        <f t="shared" si="2"/>
        <v>0</v>
      </c>
      <c r="J64" s="205"/>
      <c r="K64" s="205"/>
      <c r="L64" s="205"/>
      <c r="M64" s="219">
        <f t="shared" si="3"/>
        <v>0</v>
      </c>
      <c r="N64" s="219">
        <f t="shared" si="4"/>
        <v>0</v>
      </c>
      <c r="O64" s="219">
        <f t="shared" si="8"/>
        <v>0</v>
      </c>
      <c r="P64" s="301">
        <f t="shared" si="5"/>
        <v>0</v>
      </c>
      <c r="Q64" s="301">
        <f t="shared" si="6"/>
        <v>0</v>
      </c>
      <c r="R64" s="300">
        <f t="shared" si="7"/>
        <v>0</v>
      </c>
    </row>
    <row r="65" spans="1:18" ht="22.5" x14ac:dyDescent="0.25">
      <c r="A65" s="210">
        <v>59</v>
      </c>
      <c r="B65" s="152" t="s">
        <v>371</v>
      </c>
      <c r="C65" s="153" t="s">
        <v>153</v>
      </c>
      <c r="D65" s="200">
        <v>270000</v>
      </c>
      <c r="E65" s="173">
        <v>683000</v>
      </c>
      <c r="F65" s="202">
        <f t="shared" si="0"/>
        <v>953000</v>
      </c>
      <c r="G65" s="261">
        <f t="shared" si="1"/>
        <v>160000</v>
      </c>
      <c r="H65" s="262">
        <v>800000</v>
      </c>
      <c r="I65" s="261">
        <f t="shared" si="2"/>
        <v>960000</v>
      </c>
      <c r="J65" s="205">
        <v>384500</v>
      </c>
      <c r="K65" s="205">
        <v>272710000</v>
      </c>
      <c r="L65" s="205">
        <v>273094500</v>
      </c>
      <c r="M65" s="219">
        <f t="shared" si="3"/>
        <v>160000</v>
      </c>
      <c r="N65" s="219">
        <f t="shared" si="4"/>
        <v>683000</v>
      </c>
      <c r="O65" s="219">
        <f t="shared" si="8"/>
        <v>843000</v>
      </c>
      <c r="P65" s="301">
        <f t="shared" si="5"/>
        <v>148800</v>
      </c>
      <c r="Q65" s="301">
        <f t="shared" si="6"/>
        <v>635190</v>
      </c>
      <c r="R65" s="300">
        <f t="shared" si="7"/>
        <v>783990</v>
      </c>
    </row>
    <row r="66" spans="1:18" x14ac:dyDescent="0.25">
      <c r="A66" s="210">
        <v>60</v>
      </c>
      <c r="B66" s="152" t="s">
        <v>372</v>
      </c>
      <c r="C66" s="153" t="s">
        <v>153</v>
      </c>
      <c r="D66" s="200">
        <v>355000</v>
      </c>
      <c r="E66" s="173">
        <v>898000</v>
      </c>
      <c r="F66" s="202">
        <f t="shared" si="0"/>
        <v>1253000</v>
      </c>
      <c r="G66" s="261">
        <f t="shared" si="1"/>
        <v>220000</v>
      </c>
      <c r="H66" s="262">
        <v>1100000</v>
      </c>
      <c r="I66" s="261">
        <f t="shared" si="2"/>
        <v>1320000</v>
      </c>
      <c r="J66" s="205">
        <v>384500</v>
      </c>
      <c r="K66" s="205">
        <v>186000</v>
      </c>
      <c r="L66" s="205">
        <v>570500</v>
      </c>
      <c r="M66" s="219">
        <f t="shared" si="3"/>
        <v>220000</v>
      </c>
      <c r="N66" s="219">
        <f t="shared" si="4"/>
        <v>186000</v>
      </c>
      <c r="O66" s="219">
        <f t="shared" si="8"/>
        <v>406000</v>
      </c>
      <c r="P66" s="301">
        <f t="shared" si="5"/>
        <v>204600</v>
      </c>
      <c r="Q66" s="301">
        <f t="shared" si="6"/>
        <v>172980</v>
      </c>
      <c r="R66" s="300">
        <f t="shared" si="7"/>
        <v>377580</v>
      </c>
    </row>
    <row r="67" spans="1:18" x14ac:dyDescent="0.25">
      <c r="A67" s="210">
        <v>61</v>
      </c>
      <c r="B67" s="158" t="s">
        <v>368</v>
      </c>
      <c r="C67" s="153" t="s">
        <v>153</v>
      </c>
      <c r="D67" s="200">
        <v>281000</v>
      </c>
      <c r="E67" s="173">
        <v>711000</v>
      </c>
      <c r="F67" s="202">
        <f t="shared" si="0"/>
        <v>992000</v>
      </c>
      <c r="G67" s="261">
        <f t="shared" si="1"/>
        <v>180000</v>
      </c>
      <c r="H67" s="262">
        <v>900000</v>
      </c>
      <c r="I67" s="261">
        <f t="shared" si="2"/>
        <v>1080000</v>
      </c>
      <c r="J67" s="205">
        <v>549500</v>
      </c>
      <c r="K67" s="205">
        <v>1034000</v>
      </c>
      <c r="L67" s="205">
        <v>1583500</v>
      </c>
      <c r="M67" s="219">
        <f t="shared" si="3"/>
        <v>180000</v>
      </c>
      <c r="N67" s="219">
        <f t="shared" si="4"/>
        <v>711000</v>
      </c>
      <c r="O67" s="219">
        <f t="shared" si="8"/>
        <v>891000</v>
      </c>
      <c r="P67" s="301">
        <f t="shared" si="5"/>
        <v>167400</v>
      </c>
      <c r="Q67" s="301">
        <f t="shared" si="6"/>
        <v>661230</v>
      </c>
      <c r="R67" s="300">
        <f t="shared" si="7"/>
        <v>828630</v>
      </c>
    </row>
    <row r="68" spans="1:18" ht="22.5" x14ac:dyDescent="0.25">
      <c r="A68" s="210"/>
      <c r="B68" s="156" t="s">
        <v>31</v>
      </c>
      <c r="C68" s="153"/>
      <c r="D68" s="200">
        <v>0</v>
      </c>
      <c r="E68" s="173">
        <v>0</v>
      </c>
      <c r="F68" s="202">
        <f t="shared" si="0"/>
        <v>0</v>
      </c>
      <c r="G68" s="261">
        <f t="shared" si="1"/>
        <v>0</v>
      </c>
      <c r="H68" s="262"/>
      <c r="I68" s="261">
        <f t="shared" si="2"/>
        <v>0</v>
      </c>
      <c r="J68" s="205"/>
      <c r="K68" s="205"/>
      <c r="L68" s="205"/>
      <c r="M68" s="219">
        <f t="shared" si="3"/>
        <v>0</v>
      </c>
      <c r="N68" s="219">
        <f t="shared" si="4"/>
        <v>0</v>
      </c>
      <c r="O68" s="219">
        <f t="shared" si="8"/>
        <v>0</v>
      </c>
      <c r="P68" s="301">
        <f t="shared" si="5"/>
        <v>0</v>
      </c>
      <c r="Q68" s="301">
        <f t="shared" si="6"/>
        <v>0</v>
      </c>
      <c r="R68" s="300">
        <f t="shared" si="7"/>
        <v>0</v>
      </c>
    </row>
    <row r="69" spans="1:18" x14ac:dyDescent="0.25">
      <c r="A69" s="210">
        <v>62</v>
      </c>
      <c r="B69" s="152" t="s">
        <v>323</v>
      </c>
      <c r="C69" s="153" t="s">
        <v>153</v>
      </c>
      <c r="D69" s="200">
        <v>412000</v>
      </c>
      <c r="E69" s="173">
        <v>1638000</v>
      </c>
      <c r="F69" s="202">
        <f t="shared" ref="F69:F132" si="9">(D69+E69)</f>
        <v>2050000</v>
      </c>
      <c r="G69" s="261">
        <f t="shared" ref="G69:G132" si="10">+H69*20%</f>
        <v>360000</v>
      </c>
      <c r="H69" s="262">
        <v>1800000</v>
      </c>
      <c r="I69" s="261">
        <f t="shared" ref="I69:I132" si="11">+H69+G69</f>
        <v>2160000</v>
      </c>
      <c r="J69" s="205">
        <v>349500</v>
      </c>
      <c r="K69" s="205">
        <v>1902964.2050922965</v>
      </c>
      <c r="L69" s="205">
        <v>2252464.2050922965</v>
      </c>
      <c r="M69" s="219">
        <f t="shared" ref="M69:M132" si="12">MIN(D69,G69,J69)</f>
        <v>349500</v>
      </c>
      <c r="N69" s="219">
        <f t="shared" ref="N69:N132" si="13">MIN(E69,H69,K69)</f>
        <v>1638000</v>
      </c>
      <c r="O69" s="219">
        <f t="shared" ref="O69:O132" si="14">(M69+N69)</f>
        <v>1987500</v>
      </c>
      <c r="P69" s="301">
        <f t="shared" ref="P69:P132" si="15">M69-(M69*7%)</f>
        <v>325035</v>
      </c>
      <c r="Q69" s="301">
        <f t="shared" ref="Q69:Q132" si="16">N69-(N69*7%)</f>
        <v>1523340</v>
      </c>
      <c r="R69" s="300">
        <f t="shared" ref="R69:R132" si="17">Q69+P69</f>
        <v>1848375</v>
      </c>
    </row>
    <row r="70" spans="1:18" x14ac:dyDescent="0.25">
      <c r="A70" s="210">
        <v>63</v>
      </c>
      <c r="B70" s="152" t="s">
        <v>178</v>
      </c>
      <c r="C70" s="153" t="s">
        <v>153</v>
      </c>
      <c r="D70" s="200">
        <v>324000</v>
      </c>
      <c r="E70" s="173">
        <v>819000</v>
      </c>
      <c r="F70" s="202">
        <f t="shared" si="9"/>
        <v>1143000</v>
      </c>
      <c r="G70" s="261">
        <f t="shared" si="10"/>
        <v>210000</v>
      </c>
      <c r="H70" s="262">
        <v>1050000</v>
      </c>
      <c r="I70" s="261">
        <f t="shared" si="11"/>
        <v>1260000</v>
      </c>
      <c r="J70" s="205">
        <v>334500</v>
      </c>
      <c r="K70" s="205">
        <v>941441.57075394038</v>
      </c>
      <c r="L70" s="205">
        <v>1275941.5707539404</v>
      </c>
      <c r="M70" s="219">
        <f t="shared" si="12"/>
        <v>210000</v>
      </c>
      <c r="N70" s="219">
        <f t="shared" si="13"/>
        <v>819000</v>
      </c>
      <c r="O70" s="219">
        <f t="shared" si="14"/>
        <v>1029000</v>
      </c>
      <c r="P70" s="301">
        <f t="shared" si="15"/>
        <v>195300</v>
      </c>
      <c r="Q70" s="301">
        <f t="shared" si="16"/>
        <v>761670</v>
      </c>
      <c r="R70" s="300">
        <f t="shared" si="17"/>
        <v>956970</v>
      </c>
    </row>
    <row r="71" spans="1:18" x14ac:dyDescent="0.25">
      <c r="A71" s="210">
        <v>64</v>
      </c>
      <c r="B71" s="152" t="s">
        <v>301</v>
      </c>
      <c r="C71" s="153" t="s">
        <v>153</v>
      </c>
      <c r="D71" s="200">
        <v>324000</v>
      </c>
      <c r="E71" s="173">
        <v>919000</v>
      </c>
      <c r="F71" s="202">
        <f t="shared" si="9"/>
        <v>1243000</v>
      </c>
      <c r="G71" s="261">
        <f t="shared" si="10"/>
        <v>200000</v>
      </c>
      <c r="H71" s="262">
        <v>1000000</v>
      </c>
      <c r="I71" s="261">
        <f t="shared" si="11"/>
        <v>1200000</v>
      </c>
      <c r="J71" s="205">
        <v>274500</v>
      </c>
      <c r="K71" s="205">
        <v>778774.75613604591</v>
      </c>
      <c r="L71" s="205">
        <v>1053274.7561360458</v>
      </c>
      <c r="M71" s="219">
        <f t="shared" si="12"/>
        <v>200000</v>
      </c>
      <c r="N71" s="219">
        <f t="shared" si="13"/>
        <v>778774.75613604591</v>
      </c>
      <c r="O71" s="219">
        <f t="shared" si="14"/>
        <v>978774.75613604591</v>
      </c>
      <c r="P71" s="301">
        <f t="shared" si="15"/>
        <v>186000</v>
      </c>
      <c r="Q71" s="301">
        <f t="shared" si="16"/>
        <v>724260.52320652269</v>
      </c>
      <c r="R71" s="300">
        <f t="shared" si="17"/>
        <v>910260.52320652269</v>
      </c>
    </row>
    <row r="72" spans="1:18" x14ac:dyDescent="0.25">
      <c r="A72" s="210">
        <v>65</v>
      </c>
      <c r="B72" s="158" t="s">
        <v>79</v>
      </c>
      <c r="C72" s="153" t="s">
        <v>153</v>
      </c>
      <c r="D72" s="200">
        <v>47000</v>
      </c>
      <c r="E72" s="173">
        <v>107000</v>
      </c>
      <c r="F72" s="202">
        <f t="shared" si="9"/>
        <v>154000</v>
      </c>
      <c r="G72" s="261">
        <f t="shared" si="10"/>
        <v>40000</v>
      </c>
      <c r="H72" s="262">
        <v>200000</v>
      </c>
      <c r="I72" s="261">
        <f t="shared" si="11"/>
        <v>240000</v>
      </c>
      <c r="J72" s="205">
        <v>257500</v>
      </c>
      <c r="K72" s="205">
        <v>90570.255582074999</v>
      </c>
      <c r="L72" s="205">
        <v>348070.25558207498</v>
      </c>
      <c r="M72" s="219">
        <f t="shared" si="12"/>
        <v>40000</v>
      </c>
      <c r="N72" s="219">
        <f t="shared" si="13"/>
        <v>90570.255582074999</v>
      </c>
      <c r="O72" s="219">
        <f t="shared" si="14"/>
        <v>130570.255582075</v>
      </c>
      <c r="P72" s="301">
        <f t="shared" si="15"/>
        <v>37200</v>
      </c>
      <c r="Q72" s="301">
        <f t="shared" si="16"/>
        <v>84230.337691329754</v>
      </c>
      <c r="R72" s="300">
        <f t="shared" si="17"/>
        <v>121430.33769132975</v>
      </c>
    </row>
    <row r="73" spans="1:18" x14ac:dyDescent="0.25">
      <c r="A73" s="210">
        <v>66</v>
      </c>
      <c r="B73" s="152" t="s">
        <v>32</v>
      </c>
      <c r="C73" s="153" t="s">
        <v>153</v>
      </c>
      <c r="D73" s="200">
        <v>71000</v>
      </c>
      <c r="E73" s="173">
        <v>163000</v>
      </c>
      <c r="F73" s="202">
        <f t="shared" si="9"/>
        <v>234000</v>
      </c>
      <c r="G73" s="261">
        <f t="shared" si="10"/>
        <v>56000</v>
      </c>
      <c r="H73" s="262">
        <v>280000</v>
      </c>
      <c r="I73" s="261">
        <f t="shared" si="11"/>
        <v>336000</v>
      </c>
      <c r="J73" s="205">
        <v>324500</v>
      </c>
      <c r="K73" s="205">
        <v>138501.96904632502</v>
      </c>
      <c r="L73" s="205">
        <v>463001.96904632502</v>
      </c>
      <c r="M73" s="219">
        <f t="shared" si="12"/>
        <v>56000</v>
      </c>
      <c r="N73" s="219">
        <f t="shared" si="13"/>
        <v>138501.96904632502</v>
      </c>
      <c r="O73" s="219">
        <f t="shared" si="14"/>
        <v>194501.96904632502</v>
      </c>
      <c r="P73" s="301">
        <f t="shared" si="15"/>
        <v>52080</v>
      </c>
      <c r="Q73" s="301">
        <f t="shared" si="16"/>
        <v>128806.83121308226</v>
      </c>
      <c r="R73" s="300">
        <f t="shared" si="17"/>
        <v>180886.83121308225</v>
      </c>
    </row>
    <row r="74" spans="1:18" x14ac:dyDescent="0.25">
      <c r="A74" s="210">
        <v>67</v>
      </c>
      <c r="B74" s="158" t="s">
        <v>77</v>
      </c>
      <c r="C74" s="153" t="s">
        <v>153</v>
      </c>
      <c r="D74" s="200">
        <v>100000</v>
      </c>
      <c r="E74" s="173">
        <v>322000</v>
      </c>
      <c r="F74" s="202">
        <f t="shared" si="9"/>
        <v>422000</v>
      </c>
      <c r="G74" s="261">
        <f t="shared" si="10"/>
        <v>90000</v>
      </c>
      <c r="H74" s="262">
        <v>450000</v>
      </c>
      <c r="I74" s="261">
        <f t="shared" si="11"/>
        <v>540000</v>
      </c>
      <c r="J74" s="205">
        <v>84500</v>
      </c>
      <c r="K74" s="205">
        <v>272710.76674622507</v>
      </c>
      <c r="L74" s="205">
        <v>357210.76674622507</v>
      </c>
      <c r="M74" s="219">
        <f t="shared" si="12"/>
        <v>84500</v>
      </c>
      <c r="N74" s="219">
        <f t="shared" si="13"/>
        <v>272710.76674622507</v>
      </c>
      <c r="O74" s="219">
        <f t="shared" si="14"/>
        <v>357210.76674622507</v>
      </c>
      <c r="P74" s="301">
        <f t="shared" si="15"/>
        <v>78585</v>
      </c>
      <c r="Q74" s="301">
        <f t="shared" si="16"/>
        <v>253621.01307398931</v>
      </c>
      <c r="R74" s="300">
        <f t="shared" si="17"/>
        <v>332206.01307398931</v>
      </c>
    </row>
    <row r="75" spans="1:18" ht="22.5" x14ac:dyDescent="0.25">
      <c r="A75" s="210"/>
      <c r="B75" s="156" t="s">
        <v>90</v>
      </c>
      <c r="C75" s="153"/>
      <c r="D75" s="200">
        <v>0</v>
      </c>
      <c r="E75" s="173">
        <v>0</v>
      </c>
      <c r="F75" s="202">
        <f t="shared" si="9"/>
        <v>0</v>
      </c>
      <c r="G75" s="261">
        <f t="shared" si="10"/>
        <v>0</v>
      </c>
      <c r="H75" s="262"/>
      <c r="I75" s="261">
        <f t="shared" si="11"/>
        <v>0</v>
      </c>
      <c r="J75" s="205"/>
      <c r="K75" s="205"/>
      <c r="L75" s="205">
        <v>0</v>
      </c>
      <c r="M75" s="219">
        <f t="shared" si="12"/>
        <v>0</v>
      </c>
      <c r="N75" s="219">
        <f t="shared" si="13"/>
        <v>0</v>
      </c>
      <c r="O75" s="219">
        <f t="shared" si="14"/>
        <v>0</v>
      </c>
      <c r="P75" s="301">
        <f t="shared" si="15"/>
        <v>0</v>
      </c>
      <c r="Q75" s="301">
        <f t="shared" si="16"/>
        <v>0</v>
      </c>
      <c r="R75" s="300">
        <f t="shared" si="17"/>
        <v>0</v>
      </c>
    </row>
    <row r="76" spans="1:18" x14ac:dyDescent="0.25">
      <c r="A76" s="210">
        <v>68</v>
      </c>
      <c r="B76" s="152" t="s">
        <v>561</v>
      </c>
      <c r="C76" s="153" t="s">
        <v>153</v>
      </c>
      <c r="D76" s="200">
        <v>39000</v>
      </c>
      <c r="E76" s="173">
        <v>90000</v>
      </c>
      <c r="F76" s="202">
        <f t="shared" si="9"/>
        <v>129000</v>
      </c>
      <c r="G76" s="261">
        <f t="shared" si="10"/>
        <v>24000</v>
      </c>
      <c r="H76" s="262">
        <v>120000</v>
      </c>
      <c r="I76" s="261">
        <f t="shared" si="11"/>
        <v>144000</v>
      </c>
      <c r="J76" s="205">
        <v>124500</v>
      </c>
      <c r="K76" s="205">
        <v>76511.717220647624</v>
      </c>
      <c r="L76" s="205">
        <v>201011.71722064761</v>
      </c>
      <c r="M76" s="219">
        <f t="shared" si="12"/>
        <v>24000</v>
      </c>
      <c r="N76" s="219">
        <f t="shared" si="13"/>
        <v>76511.717220647624</v>
      </c>
      <c r="O76" s="219">
        <f t="shared" si="14"/>
        <v>100511.71722064762</v>
      </c>
      <c r="P76" s="301">
        <f t="shared" si="15"/>
        <v>22320</v>
      </c>
      <c r="Q76" s="301">
        <f t="shared" si="16"/>
        <v>71155.897015202296</v>
      </c>
      <c r="R76" s="300">
        <f t="shared" si="17"/>
        <v>93475.897015202296</v>
      </c>
    </row>
    <row r="77" spans="1:18" x14ac:dyDescent="0.25">
      <c r="A77" s="210">
        <v>69</v>
      </c>
      <c r="B77" s="152" t="s">
        <v>181</v>
      </c>
      <c r="C77" s="153" t="s">
        <v>153</v>
      </c>
      <c r="D77" s="200">
        <v>101000</v>
      </c>
      <c r="E77" s="173">
        <v>612000</v>
      </c>
      <c r="F77" s="202">
        <f t="shared" si="9"/>
        <v>713000</v>
      </c>
      <c r="G77" s="261">
        <f t="shared" si="10"/>
        <v>124000</v>
      </c>
      <c r="H77" s="262">
        <v>620000</v>
      </c>
      <c r="I77" s="261">
        <f t="shared" si="11"/>
        <v>744000</v>
      </c>
      <c r="J77" s="205">
        <v>119500</v>
      </c>
      <c r="K77" s="205">
        <v>518469.12392293545</v>
      </c>
      <c r="L77" s="205">
        <v>637969.12392293545</v>
      </c>
      <c r="M77" s="219">
        <f t="shared" si="12"/>
        <v>101000</v>
      </c>
      <c r="N77" s="219">
        <f t="shared" si="13"/>
        <v>518469.12392293545</v>
      </c>
      <c r="O77" s="219">
        <f t="shared" si="14"/>
        <v>619469.12392293545</v>
      </c>
      <c r="P77" s="301">
        <f t="shared" si="15"/>
        <v>93930</v>
      </c>
      <c r="Q77" s="301">
        <f t="shared" si="16"/>
        <v>482176.28524832998</v>
      </c>
      <c r="R77" s="300">
        <f t="shared" si="17"/>
        <v>576106.28524832998</v>
      </c>
    </row>
    <row r="78" spans="1:18" x14ac:dyDescent="0.25">
      <c r="A78" s="210">
        <v>70</v>
      </c>
      <c r="B78" s="158" t="s">
        <v>374</v>
      </c>
      <c r="C78" s="153" t="s">
        <v>153</v>
      </c>
      <c r="D78" s="200">
        <v>101000</v>
      </c>
      <c r="E78" s="173">
        <v>573000</v>
      </c>
      <c r="F78" s="202">
        <f t="shared" si="9"/>
        <v>674000</v>
      </c>
      <c r="G78" s="261">
        <f t="shared" si="10"/>
        <v>122000</v>
      </c>
      <c r="H78" s="262">
        <v>610000</v>
      </c>
      <c r="I78" s="261">
        <f t="shared" si="11"/>
        <v>732000</v>
      </c>
      <c r="J78" s="205">
        <v>119500</v>
      </c>
      <c r="K78" s="205">
        <v>635438.14098676993</v>
      </c>
      <c r="L78" s="205">
        <v>754938.14098676993</v>
      </c>
      <c r="M78" s="219">
        <f t="shared" si="12"/>
        <v>101000</v>
      </c>
      <c r="N78" s="219">
        <f t="shared" si="13"/>
        <v>573000</v>
      </c>
      <c r="O78" s="219">
        <f t="shared" si="14"/>
        <v>674000</v>
      </c>
      <c r="P78" s="301">
        <f t="shared" si="15"/>
        <v>93930</v>
      </c>
      <c r="Q78" s="301">
        <f t="shared" si="16"/>
        <v>532890</v>
      </c>
      <c r="R78" s="300">
        <f t="shared" si="17"/>
        <v>626820</v>
      </c>
    </row>
    <row r="79" spans="1:18" x14ac:dyDescent="0.25">
      <c r="A79" s="210">
        <v>71</v>
      </c>
      <c r="B79" s="158" t="s">
        <v>80</v>
      </c>
      <c r="C79" s="153" t="s">
        <v>153</v>
      </c>
      <c r="D79" s="200">
        <v>101000</v>
      </c>
      <c r="E79" s="173">
        <v>341000</v>
      </c>
      <c r="F79" s="202">
        <f t="shared" si="9"/>
        <v>442000</v>
      </c>
      <c r="G79" s="261">
        <f t="shared" si="10"/>
        <v>108000</v>
      </c>
      <c r="H79" s="262">
        <v>540000</v>
      </c>
      <c r="I79" s="261">
        <f t="shared" si="11"/>
        <v>648000</v>
      </c>
      <c r="J79" s="205">
        <v>219500</v>
      </c>
      <c r="K79" s="205">
        <v>288982.62483306858</v>
      </c>
      <c r="L79" s="205">
        <v>508482.62483306858</v>
      </c>
      <c r="M79" s="219">
        <f t="shared" si="12"/>
        <v>101000</v>
      </c>
      <c r="N79" s="219">
        <f t="shared" si="13"/>
        <v>288982.62483306858</v>
      </c>
      <c r="O79" s="219">
        <f t="shared" si="14"/>
        <v>389982.62483306858</v>
      </c>
      <c r="P79" s="301">
        <f t="shared" si="15"/>
        <v>93930</v>
      </c>
      <c r="Q79" s="301">
        <f t="shared" si="16"/>
        <v>268753.84109475376</v>
      </c>
      <c r="R79" s="300">
        <f t="shared" si="17"/>
        <v>362683.84109475376</v>
      </c>
    </row>
    <row r="80" spans="1:18" x14ac:dyDescent="0.25">
      <c r="A80" s="210">
        <v>72</v>
      </c>
      <c r="B80" s="158" t="s">
        <v>99</v>
      </c>
      <c r="C80" s="153" t="s">
        <v>153</v>
      </c>
      <c r="D80" s="200">
        <v>93000</v>
      </c>
      <c r="E80" s="173">
        <v>214000</v>
      </c>
      <c r="F80" s="202">
        <f t="shared" si="9"/>
        <v>307000</v>
      </c>
      <c r="G80" s="261">
        <f t="shared" si="10"/>
        <v>46000</v>
      </c>
      <c r="H80" s="262">
        <v>230000</v>
      </c>
      <c r="I80" s="261">
        <f t="shared" si="11"/>
        <v>276000</v>
      </c>
      <c r="J80" s="205">
        <v>199500</v>
      </c>
      <c r="K80" s="205">
        <v>181242.9083368514</v>
      </c>
      <c r="L80" s="205">
        <v>380742.9083368514</v>
      </c>
      <c r="M80" s="219">
        <f t="shared" si="12"/>
        <v>46000</v>
      </c>
      <c r="N80" s="219">
        <f t="shared" si="13"/>
        <v>181242.9083368514</v>
      </c>
      <c r="O80" s="219">
        <f t="shared" si="14"/>
        <v>227242.9083368514</v>
      </c>
      <c r="P80" s="301">
        <f t="shared" si="15"/>
        <v>42780</v>
      </c>
      <c r="Q80" s="301">
        <f t="shared" si="16"/>
        <v>168555.90475327181</v>
      </c>
      <c r="R80" s="300">
        <f t="shared" si="17"/>
        <v>211335.90475327181</v>
      </c>
    </row>
    <row r="81" spans="1:18" x14ac:dyDescent="0.25">
      <c r="A81" s="210">
        <v>73</v>
      </c>
      <c r="B81" s="152" t="s">
        <v>27</v>
      </c>
      <c r="C81" s="153" t="s">
        <v>153</v>
      </c>
      <c r="D81" s="200">
        <v>101000</v>
      </c>
      <c r="E81" s="173">
        <v>283000</v>
      </c>
      <c r="F81" s="202">
        <f t="shared" si="9"/>
        <v>384000</v>
      </c>
      <c r="G81" s="261">
        <f t="shared" si="10"/>
        <v>80000</v>
      </c>
      <c r="H81" s="262">
        <v>400000</v>
      </c>
      <c r="I81" s="261">
        <f t="shared" si="11"/>
        <v>480000</v>
      </c>
      <c r="J81" s="205">
        <v>99500</v>
      </c>
      <c r="K81" s="205">
        <v>240195.44723686256</v>
      </c>
      <c r="L81" s="205">
        <v>339695.44723686256</v>
      </c>
      <c r="M81" s="219">
        <f t="shared" si="12"/>
        <v>80000</v>
      </c>
      <c r="N81" s="219">
        <f t="shared" si="13"/>
        <v>240195.44723686256</v>
      </c>
      <c r="O81" s="219">
        <f t="shared" si="14"/>
        <v>320195.44723686256</v>
      </c>
      <c r="P81" s="301">
        <f t="shared" si="15"/>
        <v>74400</v>
      </c>
      <c r="Q81" s="301">
        <f t="shared" si="16"/>
        <v>223381.76593028218</v>
      </c>
      <c r="R81" s="300">
        <f t="shared" si="17"/>
        <v>297781.76593028218</v>
      </c>
    </row>
    <row r="82" spans="1:18" x14ac:dyDescent="0.25">
      <c r="A82" s="210">
        <v>74</v>
      </c>
      <c r="B82" s="152" t="s">
        <v>144</v>
      </c>
      <c r="C82" s="153" t="s">
        <v>153</v>
      </c>
      <c r="D82" s="200">
        <v>101000</v>
      </c>
      <c r="E82" s="173">
        <v>255000</v>
      </c>
      <c r="F82" s="202">
        <f t="shared" si="9"/>
        <v>356000</v>
      </c>
      <c r="G82" s="261">
        <f t="shared" si="10"/>
        <v>62000</v>
      </c>
      <c r="H82" s="262">
        <v>310000</v>
      </c>
      <c r="I82" s="261">
        <f t="shared" si="11"/>
        <v>372000</v>
      </c>
      <c r="J82" s="205">
        <v>124500</v>
      </c>
      <c r="K82" s="205">
        <v>215774.06092085314</v>
      </c>
      <c r="L82" s="205">
        <v>340274.06092085317</v>
      </c>
      <c r="M82" s="219">
        <f t="shared" si="12"/>
        <v>62000</v>
      </c>
      <c r="N82" s="219">
        <f t="shared" si="13"/>
        <v>215774.06092085314</v>
      </c>
      <c r="O82" s="219">
        <f t="shared" si="14"/>
        <v>277774.06092085317</v>
      </c>
      <c r="P82" s="301">
        <f t="shared" si="15"/>
        <v>57660</v>
      </c>
      <c r="Q82" s="301">
        <f t="shared" si="16"/>
        <v>200669.8766563934</v>
      </c>
      <c r="R82" s="300">
        <f t="shared" si="17"/>
        <v>258329.8766563934</v>
      </c>
    </row>
    <row r="83" spans="1:18" x14ac:dyDescent="0.25">
      <c r="A83" s="210">
        <v>75</v>
      </c>
      <c r="B83" s="152" t="s">
        <v>380</v>
      </c>
      <c r="C83" s="153" t="s">
        <v>153</v>
      </c>
      <c r="D83" s="200">
        <v>188000</v>
      </c>
      <c r="E83" s="173">
        <v>639000</v>
      </c>
      <c r="F83" s="202">
        <f t="shared" si="9"/>
        <v>827000</v>
      </c>
      <c r="G83" s="261">
        <f t="shared" si="10"/>
        <v>150000</v>
      </c>
      <c r="H83" s="262">
        <v>750000</v>
      </c>
      <c r="I83" s="261">
        <f t="shared" si="11"/>
        <v>900000</v>
      </c>
      <c r="J83" s="205">
        <v>159500</v>
      </c>
      <c r="K83" s="205">
        <v>756000</v>
      </c>
      <c r="L83" s="205">
        <v>915500</v>
      </c>
      <c r="M83" s="219">
        <f t="shared" si="12"/>
        <v>150000</v>
      </c>
      <c r="N83" s="219">
        <f t="shared" si="13"/>
        <v>639000</v>
      </c>
      <c r="O83" s="219">
        <f t="shared" si="14"/>
        <v>789000</v>
      </c>
      <c r="P83" s="301">
        <f t="shared" si="15"/>
        <v>139500</v>
      </c>
      <c r="Q83" s="301">
        <f t="shared" si="16"/>
        <v>594270</v>
      </c>
      <c r="R83" s="300">
        <f t="shared" si="17"/>
        <v>733770</v>
      </c>
    </row>
    <row r="84" spans="1:18" x14ac:dyDescent="0.25">
      <c r="A84" s="210">
        <v>76</v>
      </c>
      <c r="B84" s="152" t="s">
        <v>381</v>
      </c>
      <c r="C84" s="153" t="s">
        <v>153</v>
      </c>
      <c r="D84" s="200">
        <v>66000</v>
      </c>
      <c r="E84" s="173">
        <v>152000</v>
      </c>
      <c r="F84" s="202">
        <f t="shared" si="9"/>
        <v>218000</v>
      </c>
      <c r="G84" s="261">
        <f t="shared" si="10"/>
        <v>56000</v>
      </c>
      <c r="H84" s="262">
        <v>280000</v>
      </c>
      <c r="I84" s="261">
        <f t="shared" si="11"/>
        <v>336000</v>
      </c>
      <c r="J84" s="205">
        <v>169500</v>
      </c>
      <c r="K84" s="205">
        <v>128915.626353475</v>
      </c>
      <c r="L84" s="205">
        <v>298415.62635347503</v>
      </c>
      <c r="M84" s="219">
        <f t="shared" si="12"/>
        <v>56000</v>
      </c>
      <c r="N84" s="219">
        <f t="shared" si="13"/>
        <v>128915.626353475</v>
      </c>
      <c r="O84" s="219">
        <f t="shared" si="14"/>
        <v>184915.626353475</v>
      </c>
      <c r="P84" s="301">
        <f t="shared" si="15"/>
        <v>52080</v>
      </c>
      <c r="Q84" s="301">
        <f t="shared" si="16"/>
        <v>119891.53250873175</v>
      </c>
      <c r="R84" s="300">
        <f t="shared" si="17"/>
        <v>171971.53250873176</v>
      </c>
    </row>
    <row r="85" spans="1:18" x14ac:dyDescent="0.25">
      <c r="A85" s="210">
        <v>77</v>
      </c>
      <c r="B85" s="158" t="s">
        <v>306</v>
      </c>
      <c r="C85" s="153" t="s">
        <v>153</v>
      </c>
      <c r="D85" s="200">
        <v>130000</v>
      </c>
      <c r="E85" s="173">
        <v>299000</v>
      </c>
      <c r="F85" s="202">
        <f t="shared" si="9"/>
        <v>429000</v>
      </c>
      <c r="G85" s="261">
        <f t="shared" si="10"/>
        <v>100000</v>
      </c>
      <c r="H85" s="262">
        <v>500000</v>
      </c>
      <c r="I85" s="261">
        <f t="shared" si="11"/>
        <v>600000</v>
      </c>
      <c r="J85" s="205">
        <v>157500</v>
      </c>
      <c r="K85" s="205">
        <v>253538.08136052502</v>
      </c>
      <c r="L85" s="205">
        <v>411038.08136052499</v>
      </c>
      <c r="M85" s="219">
        <f t="shared" si="12"/>
        <v>100000</v>
      </c>
      <c r="N85" s="219">
        <f t="shared" si="13"/>
        <v>253538.08136052502</v>
      </c>
      <c r="O85" s="219">
        <f t="shared" si="14"/>
        <v>353538.08136052499</v>
      </c>
      <c r="P85" s="301">
        <f t="shared" si="15"/>
        <v>93000</v>
      </c>
      <c r="Q85" s="301">
        <f t="shared" si="16"/>
        <v>235790.41566528825</v>
      </c>
      <c r="R85" s="300">
        <f t="shared" si="17"/>
        <v>328790.41566528822</v>
      </c>
    </row>
    <row r="86" spans="1:18" x14ac:dyDescent="0.25">
      <c r="A86" s="210">
        <v>78</v>
      </c>
      <c r="B86" s="158" t="s">
        <v>103</v>
      </c>
      <c r="C86" s="153" t="s">
        <v>153</v>
      </c>
      <c r="D86" s="200">
        <v>50000</v>
      </c>
      <c r="E86" s="173">
        <v>114000</v>
      </c>
      <c r="F86" s="202">
        <f t="shared" si="9"/>
        <v>164000</v>
      </c>
      <c r="G86" s="261">
        <f t="shared" si="10"/>
        <v>40000</v>
      </c>
      <c r="H86" s="262">
        <v>200000</v>
      </c>
      <c r="I86" s="261">
        <f t="shared" si="11"/>
        <v>240000</v>
      </c>
      <c r="J86" s="205">
        <v>119500</v>
      </c>
      <c r="K86" s="205">
        <v>96814.594064463861</v>
      </c>
      <c r="L86" s="205">
        <v>216314.59406446386</v>
      </c>
      <c r="M86" s="219">
        <f t="shared" si="12"/>
        <v>40000</v>
      </c>
      <c r="N86" s="219">
        <f t="shared" si="13"/>
        <v>96814.594064463861</v>
      </c>
      <c r="O86" s="219">
        <f t="shared" si="14"/>
        <v>136814.59406446386</v>
      </c>
      <c r="P86" s="301">
        <f t="shared" si="15"/>
        <v>37200</v>
      </c>
      <c r="Q86" s="301">
        <f t="shared" si="16"/>
        <v>90037.572479951385</v>
      </c>
      <c r="R86" s="300">
        <f t="shared" si="17"/>
        <v>127237.57247995138</v>
      </c>
    </row>
    <row r="87" spans="1:18" x14ac:dyDescent="0.25">
      <c r="A87" s="210">
        <v>79</v>
      </c>
      <c r="B87" s="152" t="s">
        <v>373</v>
      </c>
      <c r="C87" s="153" t="s">
        <v>153</v>
      </c>
      <c r="D87" s="200">
        <v>135000</v>
      </c>
      <c r="E87" s="173">
        <v>341000</v>
      </c>
      <c r="F87" s="202">
        <f t="shared" si="9"/>
        <v>476000</v>
      </c>
      <c r="G87" s="261">
        <f t="shared" si="10"/>
        <v>84000</v>
      </c>
      <c r="H87" s="262">
        <v>420000</v>
      </c>
      <c r="I87" s="261">
        <f t="shared" si="11"/>
        <v>504000</v>
      </c>
      <c r="J87" s="205">
        <v>199500</v>
      </c>
      <c r="K87" s="205">
        <v>334695.25624547707</v>
      </c>
      <c r="L87" s="205">
        <v>534195.25624547713</v>
      </c>
      <c r="M87" s="219">
        <f t="shared" si="12"/>
        <v>84000</v>
      </c>
      <c r="N87" s="219">
        <f t="shared" si="13"/>
        <v>334695.25624547707</v>
      </c>
      <c r="O87" s="219">
        <f t="shared" si="14"/>
        <v>418695.25624547707</v>
      </c>
      <c r="P87" s="301">
        <f t="shared" si="15"/>
        <v>78120</v>
      </c>
      <c r="Q87" s="301">
        <f t="shared" si="16"/>
        <v>311266.58830829366</v>
      </c>
      <c r="R87" s="300">
        <f t="shared" si="17"/>
        <v>389386.58830829366</v>
      </c>
    </row>
    <row r="88" spans="1:18" x14ac:dyDescent="0.25">
      <c r="A88" s="210">
        <v>80</v>
      </c>
      <c r="B88" s="152" t="s">
        <v>375</v>
      </c>
      <c r="C88" s="153" t="s">
        <v>153</v>
      </c>
      <c r="D88" s="200">
        <v>39000</v>
      </c>
      <c r="E88" s="173">
        <v>89000</v>
      </c>
      <c r="F88" s="202">
        <f t="shared" si="9"/>
        <v>128000</v>
      </c>
      <c r="G88" s="261">
        <f t="shared" si="10"/>
        <v>30000</v>
      </c>
      <c r="H88" s="262">
        <v>150000</v>
      </c>
      <c r="I88" s="261">
        <f t="shared" si="11"/>
        <v>180000</v>
      </c>
      <c r="J88" s="205">
        <v>224500</v>
      </c>
      <c r="K88" s="205">
        <v>75150</v>
      </c>
      <c r="L88" s="205">
        <v>299650</v>
      </c>
      <c r="M88" s="219">
        <f t="shared" si="12"/>
        <v>30000</v>
      </c>
      <c r="N88" s="219">
        <f t="shared" si="13"/>
        <v>75150</v>
      </c>
      <c r="O88" s="219">
        <f t="shared" si="14"/>
        <v>105150</v>
      </c>
      <c r="P88" s="301">
        <f t="shared" si="15"/>
        <v>27900</v>
      </c>
      <c r="Q88" s="301">
        <f t="shared" si="16"/>
        <v>69889.5</v>
      </c>
      <c r="R88" s="300">
        <f t="shared" si="17"/>
        <v>97789.5</v>
      </c>
    </row>
    <row r="89" spans="1:18" x14ac:dyDescent="0.25">
      <c r="A89" s="210">
        <v>81</v>
      </c>
      <c r="B89" s="152" t="s">
        <v>376</v>
      </c>
      <c r="C89" s="153" t="s">
        <v>153</v>
      </c>
      <c r="D89" s="200">
        <v>41000</v>
      </c>
      <c r="E89" s="173">
        <v>94000</v>
      </c>
      <c r="F89" s="202">
        <f t="shared" si="9"/>
        <v>135000</v>
      </c>
      <c r="G89" s="261">
        <f t="shared" si="10"/>
        <v>40000</v>
      </c>
      <c r="H89" s="262">
        <v>200000</v>
      </c>
      <c r="I89" s="261">
        <f t="shared" si="11"/>
        <v>240000</v>
      </c>
      <c r="J89" s="205">
        <v>224500</v>
      </c>
      <c r="K89" s="205">
        <v>79600</v>
      </c>
      <c r="L89" s="205">
        <v>304100</v>
      </c>
      <c r="M89" s="219">
        <f t="shared" si="12"/>
        <v>40000</v>
      </c>
      <c r="N89" s="219">
        <f t="shared" si="13"/>
        <v>79600</v>
      </c>
      <c r="O89" s="219">
        <f t="shared" si="14"/>
        <v>119600</v>
      </c>
      <c r="P89" s="301">
        <f t="shared" si="15"/>
        <v>37200</v>
      </c>
      <c r="Q89" s="301">
        <f t="shared" si="16"/>
        <v>74028</v>
      </c>
      <c r="R89" s="300">
        <f t="shared" si="17"/>
        <v>111228</v>
      </c>
    </row>
    <row r="90" spans="1:18" x14ac:dyDescent="0.25">
      <c r="A90" s="210">
        <v>82</v>
      </c>
      <c r="B90" s="152" t="s">
        <v>377</v>
      </c>
      <c r="C90" s="153" t="s">
        <v>153</v>
      </c>
      <c r="D90" s="200">
        <v>32000</v>
      </c>
      <c r="E90" s="173">
        <v>73000</v>
      </c>
      <c r="F90" s="202">
        <f t="shared" si="9"/>
        <v>105000</v>
      </c>
      <c r="G90" s="261">
        <f t="shared" si="10"/>
        <v>30000</v>
      </c>
      <c r="H90" s="262">
        <v>150000</v>
      </c>
      <c r="I90" s="261">
        <f t="shared" si="11"/>
        <v>180000</v>
      </c>
      <c r="J90" s="205">
        <v>224500</v>
      </c>
      <c r="K90" s="205">
        <v>61800</v>
      </c>
      <c r="L90" s="205">
        <v>286300</v>
      </c>
      <c r="M90" s="219">
        <f t="shared" si="12"/>
        <v>30000</v>
      </c>
      <c r="N90" s="219">
        <f t="shared" si="13"/>
        <v>61800</v>
      </c>
      <c r="O90" s="219">
        <f t="shared" si="14"/>
        <v>91800</v>
      </c>
      <c r="P90" s="301">
        <f t="shared" si="15"/>
        <v>27900</v>
      </c>
      <c r="Q90" s="301">
        <f t="shared" si="16"/>
        <v>57474</v>
      </c>
      <c r="R90" s="300">
        <f t="shared" si="17"/>
        <v>85374</v>
      </c>
    </row>
    <row r="91" spans="1:18" ht="22.5" x14ac:dyDescent="0.25">
      <c r="A91" s="210"/>
      <c r="B91" s="156" t="s">
        <v>28</v>
      </c>
      <c r="C91" s="153"/>
      <c r="D91" s="200">
        <v>0</v>
      </c>
      <c r="E91" s="173">
        <v>0</v>
      </c>
      <c r="F91" s="202">
        <f t="shared" si="9"/>
        <v>0</v>
      </c>
      <c r="G91" s="261">
        <f t="shared" si="10"/>
        <v>0</v>
      </c>
      <c r="H91" s="262"/>
      <c r="I91" s="261">
        <f t="shared" si="11"/>
        <v>0</v>
      </c>
      <c r="J91" s="205"/>
      <c r="K91" s="205"/>
      <c r="L91" s="205">
        <v>0</v>
      </c>
      <c r="M91" s="219">
        <f t="shared" si="12"/>
        <v>0</v>
      </c>
      <c r="N91" s="219">
        <f t="shared" si="13"/>
        <v>0</v>
      </c>
      <c r="O91" s="219">
        <f t="shared" si="14"/>
        <v>0</v>
      </c>
      <c r="P91" s="301">
        <f t="shared" si="15"/>
        <v>0</v>
      </c>
      <c r="Q91" s="301">
        <f t="shared" si="16"/>
        <v>0</v>
      </c>
      <c r="R91" s="300">
        <f t="shared" si="17"/>
        <v>0</v>
      </c>
    </row>
    <row r="92" spans="1:18" x14ac:dyDescent="0.25">
      <c r="A92" s="210">
        <v>83</v>
      </c>
      <c r="B92" s="152" t="s">
        <v>114</v>
      </c>
      <c r="C92" s="153" t="s">
        <v>153</v>
      </c>
      <c r="D92" s="200">
        <v>216000</v>
      </c>
      <c r="E92" s="173">
        <v>497000</v>
      </c>
      <c r="F92" s="202">
        <f t="shared" si="9"/>
        <v>713000</v>
      </c>
      <c r="G92" s="261">
        <f t="shared" si="10"/>
        <v>104000</v>
      </c>
      <c r="H92" s="262">
        <v>520000</v>
      </c>
      <c r="I92" s="261">
        <f t="shared" si="11"/>
        <v>624000</v>
      </c>
      <c r="J92" s="205">
        <v>199500</v>
      </c>
      <c r="K92" s="205">
        <v>420957.80468553456</v>
      </c>
      <c r="L92" s="205">
        <v>620457.80468553456</v>
      </c>
      <c r="M92" s="219">
        <f t="shared" si="12"/>
        <v>104000</v>
      </c>
      <c r="N92" s="219">
        <f t="shared" si="13"/>
        <v>420957.80468553456</v>
      </c>
      <c r="O92" s="219">
        <f t="shared" si="14"/>
        <v>524957.80468553456</v>
      </c>
      <c r="P92" s="301">
        <f t="shared" si="15"/>
        <v>96720</v>
      </c>
      <c r="Q92" s="301">
        <f t="shared" si="16"/>
        <v>391490.75835754717</v>
      </c>
      <c r="R92" s="300">
        <f t="shared" si="17"/>
        <v>488210.75835754717</v>
      </c>
    </row>
    <row r="93" spans="1:18" x14ac:dyDescent="0.25">
      <c r="A93" s="210">
        <v>84</v>
      </c>
      <c r="B93" s="158" t="s">
        <v>378</v>
      </c>
      <c r="C93" s="153" t="s">
        <v>153</v>
      </c>
      <c r="D93" s="200">
        <v>126000</v>
      </c>
      <c r="E93" s="173">
        <v>290000</v>
      </c>
      <c r="F93" s="202">
        <f t="shared" si="9"/>
        <v>416000</v>
      </c>
      <c r="G93" s="261">
        <f t="shared" si="10"/>
        <v>90000</v>
      </c>
      <c r="H93" s="262">
        <v>450000</v>
      </c>
      <c r="I93" s="261">
        <f t="shared" si="11"/>
        <v>540000</v>
      </c>
      <c r="J93" s="205">
        <v>199500</v>
      </c>
      <c r="K93" s="205">
        <v>245378.18646037113</v>
      </c>
      <c r="L93" s="205">
        <v>444878.18646037113</v>
      </c>
      <c r="M93" s="219">
        <f t="shared" si="12"/>
        <v>90000</v>
      </c>
      <c r="N93" s="219">
        <f t="shared" si="13"/>
        <v>245378.18646037113</v>
      </c>
      <c r="O93" s="219">
        <f t="shared" si="14"/>
        <v>335378.18646037113</v>
      </c>
      <c r="P93" s="301">
        <f t="shared" si="15"/>
        <v>83700</v>
      </c>
      <c r="Q93" s="301">
        <f t="shared" si="16"/>
        <v>228201.71340814515</v>
      </c>
      <c r="R93" s="300">
        <f t="shared" si="17"/>
        <v>311901.71340814512</v>
      </c>
    </row>
    <row r="94" spans="1:18" x14ac:dyDescent="0.25">
      <c r="A94" s="210">
        <v>85</v>
      </c>
      <c r="B94" s="152" t="s">
        <v>119</v>
      </c>
      <c r="C94" s="153" t="s">
        <v>153</v>
      </c>
      <c r="D94" s="200">
        <v>145000</v>
      </c>
      <c r="E94" s="173">
        <v>333000</v>
      </c>
      <c r="F94" s="202">
        <f t="shared" si="9"/>
        <v>478000</v>
      </c>
      <c r="G94" s="261">
        <f t="shared" si="10"/>
        <v>106000</v>
      </c>
      <c r="H94" s="262">
        <v>530000</v>
      </c>
      <c r="I94" s="261">
        <f t="shared" si="11"/>
        <v>636000</v>
      </c>
      <c r="J94" s="205">
        <v>157500</v>
      </c>
      <c r="K94" s="205">
        <v>282297.10943907505</v>
      </c>
      <c r="L94" s="205">
        <v>439797.10943907505</v>
      </c>
      <c r="M94" s="219">
        <f t="shared" si="12"/>
        <v>106000</v>
      </c>
      <c r="N94" s="219">
        <f t="shared" si="13"/>
        <v>282297.10943907505</v>
      </c>
      <c r="O94" s="219">
        <f t="shared" si="14"/>
        <v>388297.10943907505</v>
      </c>
      <c r="P94" s="301">
        <f t="shared" si="15"/>
        <v>98580</v>
      </c>
      <c r="Q94" s="301">
        <f t="shared" si="16"/>
        <v>262536.31177833979</v>
      </c>
      <c r="R94" s="300">
        <f t="shared" si="17"/>
        <v>361116.31177833979</v>
      </c>
    </row>
    <row r="95" spans="1:18" x14ac:dyDescent="0.25">
      <c r="A95" s="210">
        <v>86</v>
      </c>
      <c r="B95" s="152" t="s">
        <v>117</v>
      </c>
      <c r="C95" s="153" t="s">
        <v>153</v>
      </c>
      <c r="D95" s="200">
        <v>135000</v>
      </c>
      <c r="E95" s="173">
        <v>341000</v>
      </c>
      <c r="F95" s="202">
        <f t="shared" si="9"/>
        <v>476000</v>
      </c>
      <c r="G95" s="261">
        <f t="shared" si="10"/>
        <v>82000</v>
      </c>
      <c r="H95" s="262">
        <v>410000</v>
      </c>
      <c r="I95" s="261">
        <f t="shared" si="11"/>
        <v>492000</v>
      </c>
      <c r="J95" s="205">
        <v>157500</v>
      </c>
      <c r="K95" s="205">
        <v>375792.64688758983</v>
      </c>
      <c r="L95" s="205">
        <v>533292.64688758983</v>
      </c>
      <c r="M95" s="219">
        <f t="shared" si="12"/>
        <v>82000</v>
      </c>
      <c r="N95" s="219">
        <f t="shared" si="13"/>
        <v>341000</v>
      </c>
      <c r="O95" s="219">
        <f t="shared" si="14"/>
        <v>423000</v>
      </c>
      <c r="P95" s="301">
        <f t="shared" si="15"/>
        <v>76260</v>
      </c>
      <c r="Q95" s="301">
        <f t="shared" si="16"/>
        <v>317130</v>
      </c>
      <c r="R95" s="300">
        <f t="shared" si="17"/>
        <v>393390</v>
      </c>
    </row>
    <row r="96" spans="1:18" x14ac:dyDescent="0.25">
      <c r="A96" s="210">
        <v>87</v>
      </c>
      <c r="B96" s="152" t="s">
        <v>377</v>
      </c>
      <c r="C96" s="153" t="s">
        <v>153</v>
      </c>
      <c r="D96" s="200">
        <v>32000</v>
      </c>
      <c r="E96" s="173">
        <v>73000</v>
      </c>
      <c r="F96" s="202">
        <f t="shared" si="9"/>
        <v>105000</v>
      </c>
      <c r="G96" s="261">
        <f t="shared" si="10"/>
        <v>22000</v>
      </c>
      <c r="H96" s="262">
        <v>110000</v>
      </c>
      <c r="I96" s="261">
        <f t="shared" si="11"/>
        <v>132000</v>
      </c>
      <c r="J96" s="205">
        <v>224500</v>
      </c>
      <c r="K96" s="205">
        <v>61800</v>
      </c>
      <c r="L96" s="205">
        <v>286300</v>
      </c>
      <c r="M96" s="219">
        <f t="shared" si="12"/>
        <v>22000</v>
      </c>
      <c r="N96" s="219">
        <f t="shared" si="13"/>
        <v>61800</v>
      </c>
      <c r="O96" s="219">
        <f t="shared" si="14"/>
        <v>83800</v>
      </c>
      <c r="P96" s="301">
        <f t="shared" si="15"/>
        <v>20460</v>
      </c>
      <c r="Q96" s="301">
        <f t="shared" si="16"/>
        <v>57474</v>
      </c>
      <c r="R96" s="300">
        <f t="shared" si="17"/>
        <v>77934</v>
      </c>
    </row>
    <row r="97" spans="1:18" ht="22.5" x14ac:dyDescent="0.25">
      <c r="A97" s="210"/>
      <c r="B97" s="156" t="s">
        <v>35</v>
      </c>
      <c r="C97" s="153"/>
      <c r="D97" s="200">
        <v>0</v>
      </c>
      <c r="E97" s="173">
        <v>0</v>
      </c>
      <c r="F97" s="202">
        <f t="shared" si="9"/>
        <v>0</v>
      </c>
      <c r="G97" s="261">
        <f t="shared" si="10"/>
        <v>0</v>
      </c>
      <c r="H97" s="262"/>
      <c r="I97" s="261">
        <f t="shared" si="11"/>
        <v>0</v>
      </c>
      <c r="J97" s="205"/>
      <c r="K97" s="205"/>
      <c r="L97" s="205">
        <v>0</v>
      </c>
      <c r="M97" s="219">
        <f t="shared" si="12"/>
        <v>0</v>
      </c>
      <c r="N97" s="219">
        <f t="shared" si="13"/>
        <v>0</v>
      </c>
      <c r="O97" s="219">
        <f t="shared" si="14"/>
        <v>0</v>
      </c>
      <c r="P97" s="301">
        <f t="shared" si="15"/>
        <v>0</v>
      </c>
      <c r="Q97" s="301">
        <f t="shared" si="16"/>
        <v>0</v>
      </c>
      <c r="R97" s="300">
        <f t="shared" si="17"/>
        <v>0</v>
      </c>
    </row>
    <row r="98" spans="1:18" x14ac:dyDescent="0.25">
      <c r="A98" s="210">
        <v>88</v>
      </c>
      <c r="B98" s="152" t="s">
        <v>30</v>
      </c>
      <c r="C98" s="153" t="s">
        <v>153</v>
      </c>
      <c r="D98" s="200">
        <v>17000</v>
      </c>
      <c r="E98" s="173">
        <v>38000</v>
      </c>
      <c r="F98" s="202">
        <f t="shared" si="9"/>
        <v>55000</v>
      </c>
      <c r="G98" s="261">
        <f t="shared" si="10"/>
        <v>11600</v>
      </c>
      <c r="H98" s="262">
        <v>58000</v>
      </c>
      <c r="I98" s="261">
        <f t="shared" si="11"/>
        <v>69600</v>
      </c>
      <c r="J98" s="205">
        <v>64500</v>
      </c>
      <c r="K98" s="205">
        <v>31809.543572226296</v>
      </c>
      <c r="L98" s="205">
        <v>96309.543572226292</v>
      </c>
      <c r="M98" s="219">
        <f t="shared" si="12"/>
        <v>11600</v>
      </c>
      <c r="N98" s="219">
        <f t="shared" si="13"/>
        <v>31809.543572226296</v>
      </c>
      <c r="O98" s="219">
        <f t="shared" si="14"/>
        <v>43409.543572226292</v>
      </c>
      <c r="P98" s="301">
        <f t="shared" si="15"/>
        <v>10788</v>
      </c>
      <c r="Q98" s="301">
        <f t="shared" si="16"/>
        <v>29582.875522170456</v>
      </c>
      <c r="R98" s="300">
        <f t="shared" si="17"/>
        <v>40370.875522170456</v>
      </c>
    </row>
    <row r="99" spans="1:18" x14ac:dyDescent="0.25">
      <c r="A99" s="210">
        <v>89</v>
      </c>
      <c r="B99" s="158" t="s">
        <v>81</v>
      </c>
      <c r="C99" s="153" t="s">
        <v>153</v>
      </c>
      <c r="D99" s="200">
        <v>112000</v>
      </c>
      <c r="E99" s="173">
        <v>258000</v>
      </c>
      <c r="F99" s="202">
        <f t="shared" si="9"/>
        <v>370000</v>
      </c>
      <c r="G99" s="261">
        <f t="shared" si="10"/>
        <v>70000</v>
      </c>
      <c r="H99" s="262">
        <v>350000</v>
      </c>
      <c r="I99" s="261">
        <f t="shared" si="11"/>
        <v>420000</v>
      </c>
      <c r="J99" s="205">
        <v>134500</v>
      </c>
      <c r="K99" s="205">
        <v>218922.96436926717</v>
      </c>
      <c r="L99" s="205">
        <v>353422.96436926717</v>
      </c>
      <c r="M99" s="219">
        <f t="shared" si="12"/>
        <v>70000</v>
      </c>
      <c r="N99" s="219">
        <f t="shared" si="13"/>
        <v>218922.96436926717</v>
      </c>
      <c r="O99" s="219">
        <f t="shared" si="14"/>
        <v>288922.96436926717</v>
      </c>
      <c r="P99" s="301">
        <f t="shared" si="15"/>
        <v>65100</v>
      </c>
      <c r="Q99" s="301">
        <f t="shared" si="16"/>
        <v>203598.35686341848</v>
      </c>
      <c r="R99" s="300">
        <f t="shared" si="17"/>
        <v>268698.35686341848</v>
      </c>
    </row>
    <row r="100" spans="1:18" x14ac:dyDescent="0.25">
      <c r="A100" s="210">
        <v>90</v>
      </c>
      <c r="B100" s="158" t="s">
        <v>82</v>
      </c>
      <c r="C100" s="153" t="s">
        <v>153</v>
      </c>
      <c r="D100" s="200">
        <v>96000</v>
      </c>
      <c r="E100" s="173">
        <v>221000</v>
      </c>
      <c r="F100" s="202">
        <f t="shared" si="9"/>
        <v>317000</v>
      </c>
      <c r="G100" s="261">
        <f t="shared" si="10"/>
        <v>64000</v>
      </c>
      <c r="H100" s="262">
        <v>320000</v>
      </c>
      <c r="I100" s="261">
        <f t="shared" si="11"/>
        <v>384000</v>
      </c>
      <c r="J100" s="205">
        <v>94500</v>
      </c>
      <c r="K100" s="205">
        <v>187522.10627357854</v>
      </c>
      <c r="L100" s="205">
        <v>282022.10627357854</v>
      </c>
      <c r="M100" s="219">
        <f t="shared" si="12"/>
        <v>64000</v>
      </c>
      <c r="N100" s="219">
        <f t="shared" si="13"/>
        <v>187522.10627357854</v>
      </c>
      <c r="O100" s="219">
        <f t="shared" si="14"/>
        <v>251522.10627357854</v>
      </c>
      <c r="P100" s="301">
        <f t="shared" si="15"/>
        <v>59520</v>
      </c>
      <c r="Q100" s="301">
        <f t="shared" si="16"/>
        <v>174395.55883442803</v>
      </c>
      <c r="R100" s="300">
        <f t="shared" si="17"/>
        <v>233915.55883442803</v>
      </c>
    </row>
    <row r="101" spans="1:18" x14ac:dyDescent="0.25">
      <c r="A101" s="210">
        <v>91</v>
      </c>
      <c r="B101" s="158" t="s">
        <v>328</v>
      </c>
      <c r="C101" s="153" t="s">
        <v>153</v>
      </c>
      <c r="D101" s="200">
        <v>100000</v>
      </c>
      <c r="E101" s="173">
        <v>231000</v>
      </c>
      <c r="F101" s="202">
        <f t="shared" si="9"/>
        <v>331000</v>
      </c>
      <c r="G101" s="261">
        <f t="shared" si="10"/>
        <v>74000</v>
      </c>
      <c r="H101" s="262">
        <v>370000</v>
      </c>
      <c r="I101" s="261">
        <f t="shared" si="11"/>
        <v>444000</v>
      </c>
      <c r="J101" s="205">
        <v>149500</v>
      </c>
      <c r="K101" s="205">
        <v>195345.8043009571</v>
      </c>
      <c r="L101" s="205">
        <v>344845.80430095713</v>
      </c>
      <c r="M101" s="219">
        <f t="shared" si="12"/>
        <v>74000</v>
      </c>
      <c r="N101" s="219">
        <f t="shared" si="13"/>
        <v>195345.8043009571</v>
      </c>
      <c r="O101" s="219">
        <f t="shared" si="14"/>
        <v>269345.80430095713</v>
      </c>
      <c r="P101" s="301">
        <f t="shared" si="15"/>
        <v>68820</v>
      </c>
      <c r="Q101" s="301">
        <f t="shared" si="16"/>
        <v>181671.5979998901</v>
      </c>
      <c r="R101" s="300">
        <f t="shared" si="17"/>
        <v>250491.5979998901</v>
      </c>
    </row>
    <row r="102" spans="1:18" x14ac:dyDescent="0.25">
      <c r="A102" s="210">
        <v>92</v>
      </c>
      <c r="B102" s="160" t="s">
        <v>199</v>
      </c>
      <c r="C102" s="153" t="s">
        <v>153</v>
      </c>
      <c r="D102" s="200">
        <v>42000</v>
      </c>
      <c r="E102" s="173">
        <v>96000</v>
      </c>
      <c r="F102" s="202">
        <f t="shared" si="9"/>
        <v>138000</v>
      </c>
      <c r="G102" s="261">
        <f t="shared" si="10"/>
        <v>26000</v>
      </c>
      <c r="H102" s="262">
        <v>130000</v>
      </c>
      <c r="I102" s="261">
        <f t="shared" si="11"/>
        <v>156000</v>
      </c>
      <c r="J102" s="205">
        <v>77500</v>
      </c>
      <c r="K102" s="205">
        <v>81471.857732291071</v>
      </c>
      <c r="L102" s="205">
        <v>158971.85773229107</v>
      </c>
      <c r="M102" s="219">
        <f t="shared" si="12"/>
        <v>26000</v>
      </c>
      <c r="N102" s="219">
        <f t="shared" si="13"/>
        <v>81471.857732291071</v>
      </c>
      <c r="O102" s="219">
        <f t="shared" si="14"/>
        <v>107471.85773229107</v>
      </c>
      <c r="P102" s="301">
        <f t="shared" si="15"/>
        <v>24180</v>
      </c>
      <c r="Q102" s="301">
        <f t="shared" si="16"/>
        <v>75768.827691030689</v>
      </c>
      <c r="R102" s="300">
        <f t="shared" si="17"/>
        <v>99948.827691030689</v>
      </c>
    </row>
    <row r="103" spans="1:18" x14ac:dyDescent="0.25">
      <c r="A103" s="210">
        <v>93</v>
      </c>
      <c r="B103" s="152" t="s">
        <v>327</v>
      </c>
      <c r="C103" s="153" t="s">
        <v>153</v>
      </c>
      <c r="D103" s="200">
        <v>100000</v>
      </c>
      <c r="E103" s="173">
        <v>279000</v>
      </c>
      <c r="F103" s="202">
        <f t="shared" si="9"/>
        <v>379000</v>
      </c>
      <c r="G103" s="261">
        <f t="shared" si="10"/>
        <v>78000</v>
      </c>
      <c r="H103" s="262">
        <v>390000</v>
      </c>
      <c r="I103" s="261">
        <f t="shared" si="11"/>
        <v>468000</v>
      </c>
      <c r="J103" s="205">
        <v>84500</v>
      </c>
      <c r="K103" s="205">
        <v>236140.78664154082</v>
      </c>
      <c r="L103" s="205">
        <v>320640.78664154082</v>
      </c>
      <c r="M103" s="219">
        <f t="shared" si="12"/>
        <v>78000</v>
      </c>
      <c r="N103" s="219">
        <f t="shared" si="13"/>
        <v>236140.78664154082</v>
      </c>
      <c r="O103" s="219">
        <f t="shared" si="14"/>
        <v>314140.78664154082</v>
      </c>
      <c r="P103" s="301">
        <f t="shared" si="15"/>
        <v>72540</v>
      </c>
      <c r="Q103" s="301">
        <f t="shared" si="16"/>
        <v>219610.93157663295</v>
      </c>
      <c r="R103" s="300">
        <f t="shared" si="17"/>
        <v>292150.93157663295</v>
      </c>
    </row>
    <row r="104" spans="1:18" x14ac:dyDescent="0.25">
      <c r="A104" s="210">
        <v>94</v>
      </c>
      <c r="B104" s="160" t="s">
        <v>200</v>
      </c>
      <c r="C104" s="153" t="s">
        <v>153</v>
      </c>
      <c r="D104" s="200">
        <v>43000</v>
      </c>
      <c r="E104" s="173">
        <v>108000</v>
      </c>
      <c r="F104" s="202">
        <f t="shared" si="9"/>
        <v>151000</v>
      </c>
      <c r="G104" s="261">
        <f t="shared" si="10"/>
        <v>26000</v>
      </c>
      <c r="H104" s="262">
        <v>130000</v>
      </c>
      <c r="I104" s="261">
        <f t="shared" si="11"/>
        <v>156000</v>
      </c>
      <c r="J104" s="205">
        <v>77500</v>
      </c>
      <c r="K104" s="205">
        <v>91304.569432347314</v>
      </c>
      <c r="L104" s="205">
        <v>168804.56943234731</v>
      </c>
      <c r="M104" s="219">
        <f t="shared" si="12"/>
        <v>26000</v>
      </c>
      <c r="N104" s="219">
        <f t="shared" si="13"/>
        <v>91304.569432347314</v>
      </c>
      <c r="O104" s="219">
        <f t="shared" si="14"/>
        <v>117304.56943234731</v>
      </c>
      <c r="P104" s="301">
        <f t="shared" si="15"/>
        <v>24180</v>
      </c>
      <c r="Q104" s="301">
        <f t="shared" si="16"/>
        <v>84913.249572083005</v>
      </c>
      <c r="R104" s="300">
        <f t="shared" si="17"/>
        <v>109093.249572083</v>
      </c>
    </row>
    <row r="105" spans="1:18" x14ac:dyDescent="0.25">
      <c r="A105" s="210">
        <v>95</v>
      </c>
      <c r="B105" s="152" t="s">
        <v>36</v>
      </c>
      <c r="C105" s="153" t="s">
        <v>153</v>
      </c>
      <c r="D105" s="200">
        <v>212000</v>
      </c>
      <c r="E105" s="173">
        <v>617000</v>
      </c>
      <c r="F105" s="202">
        <f t="shared" si="9"/>
        <v>829000</v>
      </c>
      <c r="G105" s="261">
        <f t="shared" si="10"/>
        <v>178000</v>
      </c>
      <c r="H105" s="262">
        <v>890000</v>
      </c>
      <c r="I105" s="261">
        <f t="shared" si="11"/>
        <v>1068000</v>
      </c>
      <c r="J105" s="205">
        <v>179500</v>
      </c>
      <c r="K105" s="205">
        <v>522736.00505552295</v>
      </c>
      <c r="L105" s="205">
        <v>702236.00505552301</v>
      </c>
      <c r="M105" s="219">
        <f t="shared" si="12"/>
        <v>178000</v>
      </c>
      <c r="N105" s="219">
        <f t="shared" si="13"/>
        <v>522736.00505552295</v>
      </c>
      <c r="O105" s="219">
        <f t="shared" si="14"/>
        <v>700736.00505552301</v>
      </c>
      <c r="P105" s="301">
        <f t="shared" si="15"/>
        <v>165540</v>
      </c>
      <c r="Q105" s="301">
        <f t="shared" si="16"/>
        <v>486144.48470163636</v>
      </c>
      <c r="R105" s="300">
        <f t="shared" si="17"/>
        <v>651684.48470163636</v>
      </c>
    </row>
    <row r="106" spans="1:18" x14ac:dyDescent="0.25">
      <c r="A106" s="210">
        <v>96</v>
      </c>
      <c r="B106" s="158" t="s">
        <v>201</v>
      </c>
      <c r="C106" s="153" t="s">
        <v>153</v>
      </c>
      <c r="D106" s="200">
        <v>112000</v>
      </c>
      <c r="E106" s="173">
        <v>258000</v>
      </c>
      <c r="F106" s="202">
        <f t="shared" si="9"/>
        <v>370000</v>
      </c>
      <c r="G106" s="261">
        <f t="shared" si="10"/>
        <v>90000</v>
      </c>
      <c r="H106" s="262">
        <v>450000</v>
      </c>
      <c r="I106" s="261">
        <f t="shared" si="11"/>
        <v>540000</v>
      </c>
      <c r="J106" s="205">
        <v>279500</v>
      </c>
      <c r="K106" s="205">
        <v>218829.76900679228</v>
      </c>
      <c r="L106" s="205">
        <v>498329.76900679228</v>
      </c>
      <c r="M106" s="219">
        <f t="shared" si="12"/>
        <v>90000</v>
      </c>
      <c r="N106" s="219">
        <f t="shared" si="13"/>
        <v>218829.76900679228</v>
      </c>
      <c r="O106" s="219">
        <f t="shared" si="14"/>
        <v>308829.76900679228</v>
      </c>
      <c r="P106" s="301">
        <f t="shared" si="15"/>
        <v>83700</v>
      </c>
      <c r="Q106" s="301">
        <f t="shared" si="16"/>
        <v>203511.68517631682</v>
      </c>
      <c r="R106" s="300">
        <f t="shared" si="17"/>
        <v>287211.68517631682</v>
      </c>
    </row>
    <row r="107" spans="1:18" x14ac:dyDescent="0.25">
      <c r="A107" s="210">
        <v>97</v>
      </c>
      <c r="B107" s="152" t="s">
        <v>316</v>
      </c>
      <c r="C107" s="153" t="s">
        <v>153</v>
      </c>
      <c r="D107" s="200">
        <v>73000</v>
      </c>
      <c r="E107" s="173">
        <v>168000</v>
      </c>
      <c r="F107" s="202">
        <f t="shared" si="9"/>
        <v>241000</v>
      </c>
      <c r="G107" s="261">
        <f t="shared" si="10"/>
        <v>54000</v>
      </c>
      <c r="H107" s="262">
        <v>270000</v>
      </c>
      <c r="I107" s="261">
        <f t="shared" si="11"/>
        <v>324000</v>
      </c>
      <c r="J107" s="205">
        <v>124500</v>
      </c>
      <c r="K107" s="205">
        <v>142670.73396145119</v>
      </c>
      <c r="L107" s="205">
        <v>267170.73396145122</v>
      </c>
      <c r="M107" s="219">
        <f t="shared" si="12"/>
        <v>54000</v>
      </c>
      <c r="N107" s="219">
        <f t="shared" si="13"/>
        <v>142670.73396145119</v>
      </c>
      <c r="O107" s="219">
        <f t="shared" si="14"/>
        <v>196670.73396145119</v>
      </c>
      <c r="P107" s="301">
        <f t="shared" si="15"/>
        <v>50220</v>
      </c>
      <c r="Q107" s="301">
        <f t="shared" si="16"/>
        <v>132683.78258414959</v>
      </c>
      <c r="R107" s="300">
        <f t="shared" si="17"/>
        <v>182903.78258414959</v>
      </c>
    </row>
    <row r="108" spans="1:18" x14ac:dyDescent="0.25">
      <c r="A108" s="210">
        <v>98</v>
      </c>
      <c r="B108" s="160" t="s">
        <v>202</v>
      </c>
      <c r="C108" s="153" t="s">
        <v>153</v>
      </c>
      <c r="D108" s="200">
        <v>46000</v>
      </c>
      <c r="E108" s="173">
        <v>106000</v>
      </c>
      <c r="F108" s="202">
        <f t="shared" si="9"/>
        <v>152000</v>
      </c>
      <c r="G108" s="261">
        <f t="shared" si="10"/>
        <v>30000</v>
      </c>
      <c r="H108" s="262">
        <v>150000</v>
      </c>
      <c r="I108" s="261">
        <f t="shared" si="11"/>
        <v>180000</v>
      </c>
      <c r="J108" s="205">
        <v>104500</v>
      </c>
      <c r="K108" s="205">
        <v>89808.141337993438</v>
      </c>
      <c r="L108" s="205">
        <v>194308.14133799344</v>
      </c>
      <c r="M108" s="219">
        <f t="shared" si="12"/>
        <v>30000</v>
      </c>
      <c r="N108" s="219">
        <f t="shared" si="13"/>
        <v>89808.141337993438</v>
      </c>
      <c r="O108" s="219">
        <f t="shared" si="14"/>
        <v>119808.14133799344</v>
      </c>
      <c r="P108" s="301">
        <f t="shared" si="15"/>
        <v>27900</v>
      </c>
      <c r="Q108" s="301">
        <f t="shared" si="16"/>
        <v>83521.571444333895</v>
      </c>
      <c r="R108" s="300">
        <f t="shared" si="17"/>
        <v>111421.57144433389</v>
      </c>
    </row>
    <row r="109" spans="1:18" x14ac:dyDescent="0.25">
      <c r="A109" s="210">
        <v>99</v>
      </c>
      <c r="B109" s="160" t="s">
        <v>271</v>
      </c>
      <c r="C109" s="153" t="s">
        <v>153</v>
      </c>
      <c r="D109" s="200">
        <v>68000</v>
      </c>
      <c r="E109" s="173">
        <v>157000</v>
      </c>
      <c r="F109" s="202">
        <f t="shared" si="9"/>
        <v>225000</v>
      </c>
      <c r="G109" s="261">
        <f t="shared" si="10"/>
        <v>56000</v>
      </c>
      <c r="H109" s="262">
        <v>280000</v>
      </c>
      <c r="I109" s="261">
        <f t="shared" si="11"/>
        <v>336000</v>
      </c>
      <c r="J109" s="205">
        <v>104500</v>
      </c>
      <c r="K109" s="205">
        <v>133000</v>
      </c>
      <c r="L109" s="205">
        <v>237500</v>
      </c>
      <c r="M109" s="219">
        <f t="shared" si="12"/>
        <v>56000</v>
      </c>
      <c r="N109" s="219">
        <f t="shared" si="13"/>
        <v>133000</v>
      </c>
      <c r="O109" s="219">
        <f t="shared" si="14"/>
        <v>189000</v>
      </c>
      <c r="P109" s="301">
        <f t="shared" si="15"/>
        <v>52080</v>
      </c>
      <c r="Q109" s="301">
        <f t="shared" si="16"/>
        <v>123690</v>
      </c>
      <c r="R109" s="300">
        <f t="shared" si="17"/>
        <v>175770</v>
      </c>
    </row>
    <row r="110" spans="1:18" x14ac:dyDescent="0.25">
      <c r="A110" s="210">
        <v>100</v>
      </c>
      <c r="B110" s="160" t="s">
        <v>203</v>
      </c>
      <c r="C110" s="153" t="s">
        <v>153</v>
      </c>
      <c r="D110" s="200">
        <v>70000</v>
      </c>
      <c r="E110" s="173">
        <v>168000</v>
      </c>
      <c r="F110" s="202">
        <f t="shared" si="9"/>
        <v>238000</v>
      </c>
      <c r="G110" s="261">
        <f t="shared" si="10"/>
        <v>44000</v>
      </c>
      <c r="H110" s="262">
        <v>220000</v>
      </c>
      <c r="I110" s="261">
        <f t="shared" si="11"/>
        <v>264000</v>
      </c>
      <c r="J110" s="205">
        <v>144500</v>
      </c>
      <c r="K110" s="205">
        <v>142547.40566270769</v>
      </c>
      <c r="L110" s="205">
        <v>287047.40566270769</v>
      </c>
      <c r="M110" s="219">
        <f t="shared" si="12"/>
        <v>44000</v>
      </c>
      <c r="N110" s="219">
        <f t="shared" si="13"/>
        <v>142547.40566270769</v>
      </c>
      <c r="O110" s="219">
        <f t="shared" si="14"/>
        <v>186547.40566270769</v>
      </c>
      <c r="P110" s="301">
        <f t="shared" si="15"/>
        <v>40920</v>
      </c>
      <c r="Q110" s="301">
        <f t="shared" si="16"/>
        <v>132569.08726631815</v>
      </c>
      <c r="R110" s="300">
        <f t="shared" si="17"/>
        <v>173489.08726631815</v>
      </c>
    </row>
    <row r="111" spans="1:18" x14ac:dyDescent="0.25">
      <c r="A111" s="210">
        <v>101</v>
      </c>
      <c r="B111" s="158" t="s">
        <v>204</v>
      </c>
      <c r="C111" s="153" t="s">
        <v>153</v>
      </c>
      <c r="D111" s="200">
        <v>64000</v>
      </c>
      <c r="E111" s="173">
        <v>146000</v>
      </c>
      <c r="F111" s="202">
        <f t="shared" si="9"/>
        <v>210000</v>
      </c>
      <c r="G111" s="261">
        <f t="shared" si="10"/>
        <v>40000</v>
      </c>
      <c r="H111" s="262">
        <v>200000</v>
      </c>
      <c r="I111" s="261">
        <f t="shared" si="11"/>
        <v>240000</v>
      </c>
      <c r="J111" s="205">
        <v>144500</v>
      </c>
      <c r="K111" s="205">
        <v>124100</v>
      </c>
      <c r="L111" s="205">
        <v>268600</v>
      </c>
      <c r="M111" s="219">
        <f t="shared" si="12"/>
        <v>40000</v>
      </c>
      <c r="N111" s="219">
        <f t="shared" si="13"/>
        <v>124100</v>
      </c>
      <c r="O111" s="219">
        <f t="shared" si="14"/>
        <v>164100</v>
      </c>
      <c r="P111" s="301">
        <f t="shared" si="15"/>
        <v>37200</v>
      </c>
      <c r="Q111" s="301">
        <f t="shared" si="16"/>
        <v>115413</v>
      </c>
      <c r="R111" s="300">
        <f t="shared" si="17"/>
        <v>152613</v>
      </c>
    </row>
    <row r="112" spans="1:18" x14ac:dyDescent="0.25">
      <c r="A112" s="210">
        <v>102</v>
      </c>
      <c r="B112" s="158" t="s">
        <v>206</v>
      </c>
      <c r="C112" s="153" t="s">
        <v>153</v>
      </c>
      <c r="D112" s="200">
        <v>55000</v>
      </c>
      <c r="E112" s="173">
        <v>127000</v>
      </c>
      <c r="F112" s="202">
        <f t="shared" si="9"/>
        <v>182000</v>
      </c>
      <c r="G112" s="261">
        <f t="shared" si="10"/>
        <v>41000</v>
      </c>
      <c r="H112" s="262">
        <v>205000</v>
      </c>
      <c r="I112" s="261">
        <f t="shared" si="11"/>
        <v>246000</v>
      </c>
      <c r="J112" s="205">
        <v>104500</v>
      </c>
      <c r="K112" s="205">
        <v>107877.4386797464</v>
      </c>
      <c r="L112" s="205">
        <v>212377.43867974641</v>
      </c>
      <c r="M112" s="219">
        <f t="shared" si="12"/>
        <v>41000</v>
      </c>
      <c r="N112" s="219">
        <f t="shared" si="13"/>
        <v>107877.4386797464</v>
      </c>
      <c r="O112" s="219">
        <f t="shared" si="14"/>
        <v>148877.43867974641</v>
      </c>
      <c r="P112" s="301">
        <f t="shared" si="15"/>
        <v>38130</v>
      </c>
      <c r="Q112" s="301">
        <f t="shared" si="16"/>
        <v>100326.01797216415</v>
      </c>
      <c r="R112" s="300">
        <f t="shared" si="17"/>
        <v>138456.01797216415</v>
      </c>
    </row>
    <row r="113" spans="1:18" x14ac:dyDescent="0.25">
      <c r="A113" s="210">
        <v>103</v>
      </c>
      <c r="B113" s="158" t="s">
        <v>205</v>
      </c>
      <c r="C113" s="153" t="s">
        <v>153</v>
      </c>
      <c r="D113" s="200">
        <v>41000</v>
      </c>
      <c r="E113" s="173">
        <v>94000</v>
      </c>
      <c r="F113" s="202">
        <f t="shared" si="9"/>
        <v>135000</v>
      </c>
      <c r="G113" s="261">
        <f t="shared" si="10"/>
        <v>32000</v>
      </c>
      <c r="H113" s="262">
        <v>160000</v>
      </c>
      <c r="I113" s="261">
        <f t="shared" si="11"/>
        <v>192000</v>
      </c>
      <c r="J113" s="205">
        <v>164500</v>
      </c>
      <c r="K113" s="205">
        <v>79600</v>
      </c>
      <c r="L113" s="205">
        <v>244100</v>
      </c>
      <c r="M113" s="219">
        <f t="shared" si="12"/>
        <v>32000</v>
      </c>
      <c r="N113" s="219">
        <f t="shared" si="13"/>
        <v>79600</v>
      </c>
      <c r="O113" s="219">
        <f t="shared" si="14"/>
        <v>111600</v>
      </c>
      <c r="P113" s="301">
        <f t="shared" si="15"/>
        <v>29760</v>
      </c>
      <c r="Q113" s="301">
        <f t="shared" si="16"/>
        <v>74028</v>
      </c>
      <c r="R113" s="300">
        <f t="shared" si="17"/>
        <v>103788</v>
      </c>
    </row>
    <row r="114" spans="1:18" x14ac:dyDescent="0.25">
      <c r="A114" s="210">
        <v>104</v>
      </c>
      <c r="B114" s="152" t="s">
        <v>37</v>
      </c>
      <c r="C114" s="153" t="s">
        <v>153</v>
      </c>
      <c r="D114" s="200">
        <v>140000</v>
      </c>
      <c r="E114" s="173">
        <v>322000</v>
      </c>
      <c r="F114" s="202">
        <f t="shared" si="9"/>
        <v>462000</v>
      </c>
      <c r="G114" s="261">
        <f t="shared" si="10"/>
        <v>10000</v>
      </c>
      <c r="H114" s="262">
        <v>50000</v>
      </c>
      <c r="I114" s="261">
        <f t="shared" si="11"/>
        <v>60000</v>
      </c>
      <c r="J114" s="205">
        <v>134500</v>
      </c>
      <c r="K114" s="205">
        <v>272710.76674622507</v>
      </c>
      <c r="L114" s="205">
        <v>407210.76674622507</v>
      </c>
      <c r="M114" s="219">
        <f t="shared" si="12"/>
        <v>10000</v>
      </c>
      <c r="N114" s="219">
        <f t="shared" si="13"/>
        <v>50000</v>
      </c>
      <c r="O114" s="219">
        <f t="shared" si="14"/>
        <v>60000</v>
      </c>
      <c r="P114" s="301">
        <f t="shared" si="15"/>
        <v>9300</v>
      </c>
      <c r="Q114" s="301">
        <f t="shared" si="16"/>
        <v>46500</v>
      </c>
      <c r="R114" s="300">
        <f t="shared" si="17"/>
        <v>55800</v>
      </c>
    </row>
    <row r="115" spans="1:18" x14ac:dyDescent="0.25">
      <c r="A115" s="210">
        <v>105</v>
      </c>
      <c r="B115" s="152" t="s">
        <v>337</v>
      </c>
      <c r="C115" s="153" t="s">
        <v>153</v>
      </c>
      <c r="D115" s="200">
        <v>89000</v>
      </c>
      <c r="E115" s="173">
        <v>205000</v>
      </c>
      <c r="F115" s="202">
        <f t="shared" si="9"/>
        <v>294000</v>
      </c>
      <c r="G115" s="261">
        <f t="shared" si="10"/>
        <v>70000</v>
      </c>
      <c r="H115" s="262">
        <v>350000</v>
      </c>
      <c r="I115" s="261">
        <f t="shared" si="11"/>
        <v>420000</v>
      </c>
      <c r="J115" s="205">
        <v>144500</v>
      </c>
      <c r="K115" s="205">
        <v>173617.05676227494</v>
      </c>
      <c r="L115" s="205">
        <v>318117.05676227494</v>
      </c>
      <c r="M115" s="219">
        <f t="shared" si="12"/>
        <v>70000</v>
      </c>
      <c r="N115" s="219">
        <f t="shared" si="13"/>
        <v>173617.05676227494</v>
      </c>
      <c r="O115" s="219">
        <f t="shared" si="14"/>
        <v>243617.05676227494</v>
      </c>
      <c r="P115" s="301">
        <f t="shared" si="15"/>
        <v>65100</v>
      </c>
      <c r="Q115" s="301">
        <f t="shared" si="16"/>
        <v>161463.86278891569</v>
      </c>
      <c r="R115" s="300">
        <f t="shared" si="17"/>
        <v>226563.86278891569</v>
      </c>
    </row>
    <row r="116" spans="1:18" x14ac:dyDescent="0.25">
      <c r="A116" s="210">
        <v>106</v>
      </c>
      <c r="B116" s="161" t="s">
        <v>207</v>
      </c>
      <c r="C116" s="153" t="s">
        <v>153</v>
      </c>
      <c r="D116" s="200">
        <v>26000</v>
      </c>
      <c r="E116" s="173">
        <v>59000</v>
      </c>
      <c r="F116" s="202">
        <f t="shared" si="9"/>
        <v>85000</v>
      </c>
      <c r="G116" s="261">
        <f t="shared" si="10"/>
        <v>21000</v>
      </c>
      <c r="H116" s="262">
        <v>105000</v>
      </c>
      <c r="I116" s="261">
        <f t="shared" si="11"/>
        <v>126000</v>
      </c>
      <c r="J116" s="205">
        <v>84500</v>
      </c>
      <c r="K116" s="205">
        <v>49691.148379803417</v>
      </c>
      <c r="L116" s="205">
        <v>134191.1483798034</v>
      </c>
      <c r="M116" s="219">
        <f t="shared" si="12"/>
        <v>21000</v>
      </c>
      <c r="N116" s="219">
        <f t="shared" si="13"/>
        <v>49691.148379803417</v>
      </c>
      <c r="O116" s="219">
        <f t="shared" si="14"/>
        <v>70691.148379803417</v>
      </c>
      <c r="P116" s="301">
        <f t="shared" si="15"/>
        <v>19530</v>
      </c>
      <c r="Q116" s="301">
        <f t="shared" si="16"/>
        <v>46212.767993217174</v>
      </c>
      <c r="R116" s="300">
        <f t="shared" si="17"/>
        <v>65742.767993217174</v>
      </c>
    </row>
    <row r="117" spans="1:18" x14ac:dyDescent="0.25">
      <c r="A117" s="210">
        <v>107</v>
      </c>
      <c r="B117" s="161" t="s">
        <v>317</v>
      </c>
      <c r="C117" s="153" t="s">
        <v>153</v>
      </c>
      <c r="D117" s="200">
        <v>123000</v>
      </c>
      <c r="E117" s="173">
        <v>546000</v>
      </c>
      <c r="F117" s="202">
        <f t="shared" si="9"/>
        <v>669000</v>
      </c>
      <c r="G117" s="261">
        <f t="shared" si="10"/>
        <v>120000</v>
      </c>
      <c r="H117" s="262">
        <v>600000</v>
      </c>
      <c r="I117" s="261">
        <f t="shared" si="11"/>
        <v>720000</v>
      </c>
      <c r="J117" s="205">
        <v>104500</v>
      </c>
      <c r="K117" s="205">
        <v>462300</v>
      </c>
      <c r="L117" s="205">
        <v>566800</v>
      </c>
      <c r="M117" s="219">
        <f t="shared" si="12"/>
        <v>104500</v>
      </c>
      <c r="N117" s="219">
        <f t="shared" si="13"/>
        <v>462300</v>
      </c>
      <c r="O117" s="219">
        <f t="shared" si="14"/>
        <v>566800</v>
      </c>
      <c r="P117" s="301">
        <f t="shared" si="15"/>
        <v>97185</v>
      </c>
      <c r="Q117" s="301">
        <f t="shared" si="16"/>
        <v>429939</v>
      </c>
      <c r="R117" s="300">
        <f t="shared" si="17"/>
        <v>527124</v>
      </c>
    </row>
    <row r="118" spans="1:18" x14ac:dyDescent="0.25">
      <c r="A118" s="210">
        <v>108</v>
      </c>
      <c r="B118" s="161" t="s">
        <v>318</v>
      </c>
      <c r="C118" s="153" t="s">
        <v>153</v>
      </c>
      <c r="D118" s="200">
        <v>96000</v>
      </c>
      <c r="E118" s="173">
        <v>243000</v>
      </c>
      <c r="F118" s="202">
        <f t="shared" si="9"/>
        <v>339000</v>
      </c>
      <c r="G118" s="261">
        <f t="shared" si="10"/>
        <v>60000</v>
      </c>
      <c r="H118" s="262">
        <v>300000</v>
      </c>
      <c r="I118" s="261">
        <f t="shared" si="11"/>
        <v>360000</v>
      </c>
      <c r="J118" s="205">
        <v>104500</v>
      </c>
      <c r="K118" s="205">
        <v>248700</v>
      </c>
      <c r="L118" s="205">
        <v>353200</v>
      </c>
      <c r="M118" s="219">
        <f t="shared" si="12"/>
        <v>60000</v>
      </c>
      <c r="N118" s="219">
        <f t="shared" si="13"/>
        <v>243000</v>
      </c>
      <c r="O118" s="219">
        <f t="shared" si="14"/>
        <v>303000</v>
      </c>
      <c r="P118" s="301">
        <f t="shared" si="15"/>
        <v>55800</v>
      </c>
      <c r="Q118" s="301">
        <f t="shared" si="16"/>
        <v>225990</v>
      </c>
      <c r="R118" s="300">
        <f t="shared" si="17"/>
        <v>281790</v>
      </c>
    </row>
    <row r="119" spans="1:18" x14ac:dyDescent="0.25">
      <c r="A119" s="210">
        <v>109</v>
      </c>
      <c r="B119" s="161" t="s">
        <v>329</v>
      </c>
      <c r="C119" s="153" t="s">
        <v>153</v>
      </c>
      <c r="D119" s="200">
        <v>310000</v>
      </c>
      <c r="E119" s="173">
        <v>784000</v>
      </c>
      <c r="F119" s="202">
        <f t="shared" si="9"/>
        <v>1094000</v>
      </c>
      <c r="G119" s="261">
        <f t="shared" si="10"/>
        <v>200000</v>
      </c>
      <c r="H119" s="262">
        <v>1000000</v>
      </c>
      <c r="I119" s="261">
        <f t="shared" si="11"/>
        <v>1200000</v>
      </c>
      <c r="J119" s="205">
        <v>379500</v>
      </c>
      <c r="K119" s="205">
        <v>764900</v>
      </c>
      <c r="L119" s="205">
        <v>1144400</v>
      </c>
      <c r="M119" s="219">
        <f t="shared" si="12"/>
        <v>200000</v>
      </c>
      <c r="N119" s="219">
        <f t="shared" si="13"/>
        <v>764900</v>
      </c>
      <c r="O119" s="219">
        <f t="shared" si="14"/>
        <v>964900</v>
      </c>
      <c r="P119" s="301">
        <f t="shared" si="15"/>
        <v>186000</v>
      </c>
      <c r="Q119" s="301">
        <f t="shared" si="16"/>
        <v>711357</v>
      </c>
      <c r="R119" s="300">
        <f t="shared" si="17"/>
        <v>897357</v>
      </c>
    </row>
    <row r="120" spans="1:18" ht="22.5" x14ac:dyDescent="0.25">
      <c r="A120" s="210"/>
      <c r="B120" s="156" t="s">
        <v>39</v>
      </c>
      <c r="C120" s="153"/>
      <c r="D120" s="200">
        <v>0</v>
      </c>
      <c r="E120" s="173">
        <v>0</v>
      </c>
      <c r="F120" s="202">
        <f t="shared" si="9"/>
        <v>0</v>
      </c>
      <c r="G120" s="261">
        <f t="shared" si="10"/>
        <v>0</v>
      </c>
      <c r="H120" s="262"/>
      <c r="I120" s="261">
        <f t="shared" si="11"/>
        <v>0</v>
      </c>
      <c r="J120" s="205"/>
      <c r="K120" s="205"/>
      <c r="L120" s="205">
        <v>0</v>
      </c>
      <c r="M120" s="219">
        <f t="shared" si="12"/>
        <v>0</v>
      </c>
      <c r="N120" s="219">
        <f t="shared" si="13"/>
        <v>0</v>
      </c>
      <c r="O120" s="219">
        <f t="shared" si="14"/>
        <v>0</v>
      </c>
      <c r="P120" s="301">
        <f t="shared" si="15"/>
        <v>0</v>
      </c>
      <c r="Q120" s="301">
        <f t="shared" si="16"/>
        <v>0</v>
      </c>
      <c r="R120" s="300">
        <f t="shared" si="17"/>
        <v>0</v>
      </c>
    </row>
    <row r="121" spans="1:18" x14ac:dyDescent="0.25">
      <c r="A121" s="210">
        <v>110</v>
      </c>
      <c r="B121" s="152" t="s">
        <v>40</v>
      </c>
      <c r="C121" s="153" t="s">
        <v>153</v>
      </c>
      <c r="D121" s="200">
        <v>235000</v>
      </c>
      <c r="E121" s="173">
        <v>887000</v>
      </c>
      <c r="F121" s="202">
        <f t="shared" si="9"/>
        <v>1122000</v>
      </c>
      <c r="G121" s="261">
        <f t="shared" si="10"/>
        <v>202000</v>
      </c>
      <c r="H121" s="262">
        <v>1010000</v>
      </c>
      <c r="I121" s="261">
        <f t="shared" si="11"/>
        <v>1212000</v>
      </c>
      <c r="J121" s="205">
        <v>199500</v>
      </c>
      <c r="K121" s="205">
        <v>1012300.9400366799</v>
      </c>
      <c r="L121" s="205">
        <v>1211800.9400366799</v>
      </c>
      <c r="M121" s="219">
        <f t="shared" si="12"/>
        <v>199500</v>
      </c>
      <c r="N121" s="219">
        <f t="shared" si="13"/>
        <v>887000</v>
      </c>
      <c r="O121" s="219">
        <f t="shared" si="14"/>
        <v>1086500</v>
      </c>
      <c r="P121" s="301">
        <f t="shared" si="15"/>
        <v>185535</v>
      </c>
      <c r="Q121" s="301">
        <f t="shared" si="16"/>
        <v>824910</v>
      </c>
      <c r="R121" s="300">
        <f t="shared" si="17"/>
        <v>1010445</v>
      </c>
    </row>
    <row r="122" spans="1:18" ht="22.5" x14ac:dyDescent="0.25">
      <c r="A122" s="210">
        <v>111</v>
      </c>
      <c r="B122" s="152" t="s">
        <v>209</v>
      </c>
      <c r="C122" s="153" t="s">
        <v>153</v>
      </c>
      <c r="D122" s="200">
        <v>49000</v>
      </c>
      <c r="E122" s="173">
        <v>113000</v>
      </c>
      <c r="F122" s="202">
        <f t="shared" si="9"/>
        <v>162000</v>
      </c>
      <c r="G122" s="261">
        <f t="shared" si="10"/>
        <v>40000</v>
      </c>
      <c r="H122" s="262">
        <v>200000</v>
      </c>
      <c r="I122" s="261">
        <f t="shared" si="11"/>
        <v>240000</v>
      </c>
      <c r="J122" s="205">
        <v>199500</v>
      </c>
      <c r="K122" s="205">
        <v>95902.179387838172</v>
      </c>
      <c r="L122" s="205">
        <v>295402.17938783817</v>
      </c>
      <c r="M122" s="219">
        <f t="shared" si="12"/>
        <v>40000</v>
      </c>
      <c r="N122" s="219">
        <f t="shared" si="13"/>
        <v>95902.179387838172</v>
      </c>
      <c r="O122" s="219">
        <f t="shared" si="14"/>
        <v>135902.17938783817</v>
      </c>
      <c r="P122" s="301">
        <f t="shared" si="15"/>
        <v>37200</v>
      </c>
      <c r="Q122" s="301">
        <f t="shared" si="16"/>
        <v>89189.026830689501</v>
      </c>
      <c r="R122" s="300">
        <f t="shared" si="17"/>
        <v>126389.0268306895</v>
      </c>
    </row>
    <row r="123" spans="1:18" x14ac:dyDescent="0.25">
      <c r="A123" s="210">
        <v>112</v>
      </c>
      <c r="B123" s="152" t="s">
        <v>208</v>
      </c>
      <c r="C123" s="153" t="s">
        <v>153</v>
      </c>
      <c r="D123" s="200">
        <v>89000</v>
      </c>
      <c r="E123" s="173">
        <v>224000</v>
      </c>
      <c r="F123" s="202">
        <f t="shared" si="9"/>
        <v>313000</v>
      </c>
      <c r="G123" s="261">
        <f t="shared" si="10"/>
        <v>56000</v>
      </c>
      <c r="H123" s="262">
        <v>280000</v>
      </c>
      <c r="I123" s="261">
        <f t="shared" si="11"/>
        <v>336000</v>
      </c>
      <c r="J123" s="205">
        <v>199500</v>
      </c>
      <c r="K123" s="205">
        <v>222000</v>
      </c>
      <c r="L123" s="205">
        <v>421500</v>
      </c>
      <c r="M123" s="219">
        <f t="shared" si="12"/>
        <v>56000</v>
      </c>
      <c r="N123" s="219">
        <f t="shared" si="13"/>
        <v>222000</v>
      </c>
      <c r="O123" s="219">
        <f t="shared" si="14"/>
        <v>278000</v>
      </c>
      <c r="P123" s="301">
        <f t="shared" si="15"/>
        <v>52080</v>
      </c>
      <c r="Q123" s="301">
        <f t="shared" si="16"/>
        <v>206460</v>
      </c>
      <c r="R123" s="300">
        <f t="shared" si="17"/>
        <v>258540</v>
      </c>
    </row>
    <row r="124" spans="1:18" x14ac:dyDescent="0.25">
      <c r="A124" s="210">
        <v>113</v>
      </c>
      <c r="B124" s="152" t="s">
        <v>41</v>
      </c>
      <c r="C124" s="153" t="s">
        <v>153</v>
      </c>
      <c r="D124" s="200">
        <v>235000</v>
      </c>
      <c r="E124" s="173">
        <v>887000</v>
      </c>
      <c r="F124" s="202">
        <f t="shared" si="9"/>
        <v>1122000</v>
      </c>
      <c r="G124" s="261">
        <f t="shared" si="10"/>
        <v>200000</v>
      </c>
      <c r="H124" s="262">
        <v>1000000</v>
      </c>
      <c r="I124" s="261">
        <f t="shared" si="11"/>
        <v>1200000</v>
      </c>
      <c r="J124" s="205">
        <v>199500</v>
      </c>
      <c r="K124" s="205">
        <v>1026613.3496771046</v>
      </c>
      <c r="L124" s="205">
        <v>1226113.3496771045</v>
      </c>
      <c r="M124" s="219">
        <f t="shared" si="12"/>
        <v>199500</v>
      </c>
      <c r="N124" s="219">
        <f t="shared" si="13"/>
        <v>887000</v>
      </c>
      <c r="O124" s="219">
        <f t="shared" si="14"/>
        <v>1086500</v>
      </c>
      <c r="P124" s="301">
        <f t="shared" si="15"/>
        <v>185535</v>
      </c>
      <c r="Q124" s="301">
        <f t="shared" si="16"/>
        <v>824910</v>
      </c>
      <c r="R124" s="300">
        <f t="shared" si="17"/>
        <v>1010445</v>
      </c>
    </row>
    <row r="125" spans="1:18" ht="22.5" x14ac:dyDescent="0.25">
      <c r="A125" s="210">
        <v>114</v>
      </c>
      <c r="B125" s="152" t="s">
        <v>210</v>
      </c>
      <c r="C125" s="153" t="s">
        <v>153</v>
      </c>
      <c r="D125" s="200">
        <v>233000</v>
      </c>
      <c r="E125" s="173">
        <v>537000</v>
      </c>
      <c r="F125" s="202">
        <f t="shared" si="9"/>
        <v>770000</v>
      </c>
      <c r="G125" s="261">
        <f t="shared" si="10"/>
        <v>160000</v>
      </c>
      <c r="H125" s="262">
        <v>800000</v>
      </c>
      <c r="I125" s="261">
        <f t="shared" si="11"/>
        <v>960000</v>
      </c>
      <c r="J125" s="205">
        <v>199500</v>
      </c>
      <c r="K125" s="205">
        <v>455390.0303697132</v>
      </c>
      <c r="L125" s="205">
        <v>654890.0303697132</v>
      </c>
      <c r="M125" s="219">
        <f t="shared" si="12"/>
        <v>160000</v>
      </c>
      <c r="N125" s="219">
        <f t="shared" si="13"/>
        <v>455390.0303697132</v>
      </c>
      <c r="O125" s="219">
        <f t="shared" si="14"/>
        <v>615390.0303697132</v>
      </c>
      <c r="P125" s="301">
        <f t="shared" si="15"/>
        <v>148800</v>
      </c>
      <c r="Q125" s="301">
        <f t="shared" si="16"/>
        <v>423512.72824383329</v>
      </c>
      <c r="R125" s="300">
        <f t="shared" si="17"/>
        <v>572312.72824383329</v>
      </c>
    </row>
    <row r="126" spans="1:18" ht="22.5" x14ac:dyDescent="0.25">
      <c r="A126" s="210">
        <v>115</v>
      </c>
      <c r="B126" s="152" t="s">
        <v>212</v>
      </c>
      <c r="C126" s="153" t="s">
        <v>153</v>
      </c>
      <c r="D126" s="200">
        <v>98000</v>
      </c>
      <c r="E126" s="173">
        <v>225000</v>
      </c>
      <c r="F126" s="202">
        <f t="shared" si="9"/>
        <v>323000</v>
      </c>
      <c r="G126" s="261">
        <f t="shared" si="10"/>
        <v>80000</v>
      </c>
      <c r="H126" s="262">
        <v>400000</v>
      </c>
      <c r="I126" s="261">
        <f t="shared" si="11"/>
        <v>480000</v>
      </c>
      <c r="J126" s="205">
        <v>264500</v>
      </c>
      <c r="K126" s="205">
        <v>190539.51308592266</v>
      </c>
      <c r="L126" s="205">
        <v>455039.51308592269</v>
      </c>
      <c r="M126" s="219">
        <f t="shared" si="12"/>
        <v>80000</v>
      </c>
      <c r="N126" s="219">
        <f t="shared" si="13"/>
        <v>190539.51308592266</v>
      </c>
      <c r="O126" s="219">
        <f t="shared" si="14"/>
        <v>270539.51308592269</v>
      </c>
      <c r="P126" s="301">
        <f t="shared" si="15"/>
        <v>74400</v>
      </c>
      <c r="Q126" s="301">
        <f t="shared" si="16"/>
        <v>177201.74716990808</v>
      </c>
      <c r="R126" s="300">
        <f t="shared" si="17"/>
        <v>251601.74716990808</v>
      </c>
    </row>
    <row r="127" spans="1:18" ht="22.5" x14ac:dyDescent="0.25">
      <c r="A127" s="210">
        <v>116</v>
      </c>
      <c r="B127" s="152" t="s">
        <v>213</v>
      </c>
      <c r="C127" s="153" t="s">
        <v>153</v>
      </c>
      <c r="D127" s="200">
        <v>238000</v>
      </c>
      <c r="E127" s="173">
        <v>548000</v>
      </c>
      <c r="F127" s="202">
        <f t="shared" si="9"/>
        <v>786000</v>
      </c>
      <c r="G127" s="261">
        <f t="shared" si="10"/>
        <v>18000</v>
      </c>
      <c r="H127" s="262">
        <v>90000</v>
      </c>
      <c r="I127" s="261">
        <f t="shared" si="11"/>
        <v>108000</v>
      </c>
      <c r="J127" s="205">
        <v>449500</v>
      </c>
      <c r="K127" s="205">
        <v>464788.48074578342</v>
      </c>
      <c r="L127" s="205">
        <v>914288.48074578342</v>
      </c>
      <c r="M127" s="219">
        <f t="shared" si="12"/>
        <v>18000</v>
      </c>
      <c r="N127" s="219">
        <f t="shared" si="13"/>
        <v>90000</v>
      </c>
      <c r="O127" s="219">
        <f t="shared" si="14"/>
        <v>108000</v>
      </c>
      <c r="P127" s="301">
        <f t="shared" si="15"/>
        <v>16740</v>
      </c>
      <c r="Q127" s="301">
        <f t="shared" si="16"/>
        <v>83700</v>
      </c>
      <c r="R127" s="300">
        <f t="shared" si="17"/>
        <v>100440</v>
      </c>
    </row>
    <row r="128" spans="1:18" x14ac:dyDescent="0.25">
      <c r="A128" s="210">
        <v>117</v>
      </c>
      <c r="B128" s="152" t="s">
        <v>214</v>
      </c>
      <c r="C128" s="153" t="s">
        <v>153</v>
      </c>
      <c r="D128" s="200">
        <v>112000</v>
      </c>
      <c r="E128" s="173">
        <v>491000</v>
      </c>
      <c r="F128" s="202">
        <f t="shared" si="9"/>
        <v>603000</v>
      </c>
      <c r="G128" s="261">
        <f t="shared" si="10"/>
        <v>136000</v>
      </c>
      <c r="H128" s="262">
        <v>680000</v>
      </c>
      <c r="I128" s="261">
        <f t="shared" si="11"/>
        <v>816000</v>
      </c>
      <c r="J128" s="205">
        <v>94500</v>
      </c>
      <c r="K128" s="205">
        <v>415689.15074154432</v>
      </c>
      <c r="L128" s="205">
        <v>510189.15074154432</v>
      </c>
      <c r="M128" s="219">
        <f t="shared" si="12"/>
        <v>94500</v>
      </c>
      <c r="N128" s="219">
        <f t="shared" si="13"/>
        <v>415689.15074154432</v>
      </c>
      <c r="O128" s="219">
        <f t="shared" si="14"/>
        <v>510189.15074154432</v>
      </c>
      <c r="P128" s="301">
        <f t="shared" si="15"/>
        <v>87885</v>
      </c>
      <c r="Q128" s="301">
        <f t="shared" si="16"/>
        <v>386590.91018963623</v>
      </c>
      <c r="R128" s="300">
        <f t="shared" si="17"/>
        <v>474475.91018963623</v>
      </c>
    </row>
    <row r="129" spans="1:18" x14ac:dyDescent="0.25">
      <c r="A129" s="210">
        <v>118</v>
      </c>
      <c r="B129" s="152" t="s">
        <v>355</v>
      </c>
      <c r="C129" s="153" t="s">
        <v>153</v>
      </c>
      <c r="D129" s="200">
        <v>159000</v>
      </c>
      <c r="E129" s="173">
        <v>371000</v>
      </c>
      <c r="F129" s="202">
        <f t="shared" si="9"/>
        <v>530000</v>
      </c>
      <c r="G129" s="261">
        <f t="shared" si="10"/>
        <v>112000</v>
      </c>
      <c r="H129" s="262">
        <v>560000</v>
      </c>
      <c r="I129" s="261">
        <f t="shared" si="11"/>
        <v>672000</v>
      </c>
      <c r="J129" s="205">
        <v>134500</v>
      </c>
      <c r="K129" s="205">
        <v>314528.31084097532</v>
      </c>
      <c r="L129" s="205">
        <v>449028.31084097532</v>
      </c>
      <c r="M129" s="219">
        <f t="shared" si="12"/>
        <v>112000</v>
      </c>
      <c r="N129" s="219">
        <f t="shared" si="13"/>
        <v>314528.31084097532</v>
      </c>
      <c r="O129" s="219">
        <f t="shared" si="14"/>
        <v>426528.31084097532</v>
      </c>
      <c r="P129" s="301">
        <f t="shared" si="15"/>
        <v>104160</v>
      </c>
      <c r="Q129" s="301">
        <f t="shared" si="16"/>
        <v>292511.32908210706</v>
      </c>
      <c r="R129" s="300">
        <f t="shared" si="17"/>
        <v>396671.32908210706</v>
      </c>
    </row>
    <row r="130" spans="1:18" x14ac:dyDescent="0.25">
      <c r="A130" s="210">
        <v>119</v>
      </c>
      <c r="B130" s="152" t="s">
        <v>215</v>
      </c>
      <c r="C130" s="153" t="s">
        <v>153</v>
      </c>
      <c r="D130" s="200">
        <v>15000</v>
      </c>
      <c r="E130" s="173">
        <v>37000</v>
      </c>
      <c r="F130" s="202">
        <f t="shared" si="9"/>
        <v>52000</v>
      </c>
      <c r="G130" s="261">
        <f t="shared" si="10"/>
        <v>10000</v>
      </c>
      <c r="H130" s="262">
        <v>50000</v>
      </c>
      <c r="I130" s="261">
        <f t="shared" si="11"/>
        <v>60000</v>
      </c>
      <c r="J130" s="205">
        <v>64500</v>
      </c>
      <c r="K130" s="205">
        <v>58972.826130710142</v>
      </c>
      <c r="L130" s="205">
        <v>123472.82613071013</v>
      </c>
      <c r="M130" s="219">
        <f t="shared" si="12"/>
        <v>10000</v>
      </c>
      <c r="N130" s="219">
        <f t="shared" si="13"/>
        <v>37000</v>
      </c>
      <c r="O130" s="219">
        <f t="shared" si="14"/>
        <v>47000</v>
      </c>
      <c r="P130" s="301">
        <f t="shared" si="15"/>
        <v>9300</v>
      </c>
      <c r="Q130" s="301">
        <f t="shared" si="16"/>
        <v>34410</v>
      </c>
      <c r="R130" s="300">
        <f t="shared" si="17"/>
        <v>43710</v>
      </c>
    </row>
    <row r="131" spans="1:18" x14ac:dyDescent="0.25">
      <c r="A131" s="210">
        <v>120</v>
      </c>
      <c r="B131" s="152" t="s">
        <v>216</v>
      </c>
      <c r="C131" s="153" t="s">
        <v>153</v>
      </c>
      <c r="D131" s="200">
        <v>2000</v>
      </c>
      <c r="E131" s="173">
        <v>6000</v>
      </c>
      <c r="F131" s="202">
        <f t="shared" si="9"/>
        <v>8000</v>
      </c>
      <c r="G131" s="261">
        <f t="shared" si="10"/>
        <v>2000</v>
      </c>
      <c r="H131" s="262">
        <v>10000</v>
      </c>
      <c r="I131" s="261">
        <f t="shared" si="11"/>
        <v>12000</v>
      </c>
      <c r="J131" s="205">
        <v>64500</v>
      </c>
      <c r="K131" s="205">
        <v>7769.0342033494944</v>
      </c>
      <c r="L131" s="205">
        <v>72269.034203349496</v>
      </c>
      <c r="M131" s="219">
        <f t="shared" si="12"/>
        <v>2000</v>
      </c>
      <c r="N131" s="219">
        <f t="shared" si="13"/>
        <v>6000</v>
      </c>
      <c r="O131" s="219">
        <f t="shared" si="14"/>
        <v>8000</v>
      </c>
      <c r="P131" s="301">
        <f t="shared" si="15"/>
        <v>1860</v>
      </c>
      <c r="Q131" s="301">
        <f t="shared" si="16"/>
        <v>5580</v>
      </c>
      <c r="R131" s="300">
        <f t="shared" si="17"/>
        <v>7440</v>
      </c>
    </row>
    <row r="132" spans="1:18" x14ac:dyDescent="0.25">
      <c r="A132" s="210">
        <v>121</v>
      </c>
      <c r="B132" s="152" t="s">
        <v>217</v>
      </c>
      <c r="C132" s="153" t="s">
        <v>153</v>
      </c>
      <c r="D132" s="200">
        <v>2000</v>
      </c>
      <c r="E132" s="173">
        <v>6000</v>
      </c>
      <c r="F132" s="202">
        <f t="shared" si="9"/>
        <v>8000</v>
      </c>
      <c r="G132" s="261">
        <f t="shared" si="10"/>
        <v>2000</v>
      </c>
      <c r="H132" s="262">
        <v>10000</v>
      </c>
      <c r="I132" s="261">
        <f t="shared" si="11"/>
        <v>12000</v>
      </c>
      <c r="J132" s="205">
        <v>64500</v>
      </c>
      <c r="K132" s="205">
        <v>6393.0368886683345</v>
      </c>
      <c r="L132" s="205">
        <v>70893.036888668328</v>
      </c>
      <c r="M132" s="219">
        <f t="shared" si="12"/>
        <v>2000</v>
      </c>
      <c r="N132" s="219">
        <f t="shared" si="13"/>
        <v>6000</v>
      </c>
      <c r="O132" s="219">
        <f t="shared" si="14"/>
        <v>8000</v>
      </c>
      <c r="P132" s="301">
        <f t="shared" si="15"/>
        <v>1860</v>
      </c>
      <c r="Q132" s="301">
        <f t="shared" si="16"/>
        <v>5580</v>
      </c>
      <c r="R132" s="300">
        <f t="shared" si="17"/>
        <v>7440</v>
      </c>
    </row>
    <row r="133" spans="1:18" x14ac:dyDescent="0.25">
      <c r="A133" s="210">
        <v>122</v>
      </c>
      <c r="B133" s="152" t="s">
        <v>218</v>
      </c>
      <c r="C133" s="153" t="s">
        <v>153</v>
      </c>
      <c r="D133" s="200">
        <v>2000</v>
      </c>
      <c r="E133" s="173">
        <v>4000</v>
      </c>
      <c r="F133" s="202">
        <f t="shared" ref="F133:F196" si="18">(D133+E133)</f>
        <v>6000</v>
      </c>
      <c r="G133" s="261">
        <f t="shared" ref="G133:G196" si="19">+H133*20%</f>
        <v>12000</v>
      </c>
      <c r="H133" s="262">
        <v>60000</v>
      </c>
      <c r="I133" s="261">
        <f t="shared" ref="I133:I196" si="20">+H133+G133</f>
        <v>72000</v>
      </c>
      <c r="J133" s="205">
        <v>64500</v>
      </c>
      <c r="K133" s="205">
        <v>5512.0063459445009</v>
      </c>
      <c r="L133" s="205">
        <v>70012.006345944508</v>
      </c>
      <c r="M133" s="219">
        <f t="shared" ref="M133:M196" si="21">MIN(D133,G133,J133)</f>
        <v>2000</v>
      </c>
      <c r="N133" s="219">
        <f t="shared" ref="N133:N196" si="22">MIN(E133,H133,K133)</f>
        <v>4000</v>
      </c>
      <c r="O133" s="219">
        <f t="shared" ref="O133:O196" si="23">(M133+N133)</f>
        <v>6000</v>
      </c>
      <c r="P133" s="301">
        <f t="shared" ref="P133:P196" si="24">M133-(M133*7%)</f>
        <v>1860</v>
      </c>
      <c r="Q133" s="301">
        <f t="shared" ref="Q133:Q196" si="25">N133-(N133*7%)</f>
        <v>3720</v>
      </c>
      <c r="R133" s="300">
        <f t="shared" ref="R133:R196" si="26">Q133+P133</f>
        <v>5580</v>
      </c>
    </row>
    <row r="134" spans="1:18" ht="22.5" x14ac:dyDescent="0.25">
      <c r="A134" s="210">
        <v>123</v>
      </c>
      <c r="B134" s="161" t="s">
        <v>224</v>
      </c>
      <c r="C134" s="153" t="s">
        <v>153</v>
      </c>
      <c r="D134" s="200">
        <v>265000</v>
      </c>
      <c r="E134" s="173">
        <v>611000</v>
      </c>
      <c r="F134" s="202">
        <f t="shared" si="18"/>
        <v>876000</v>
      </c>
      <c r="G134" s="261">
        <f t="shared" si="19"/>
        <v>176000</v>
      </c>
      <c r="H134" s="262">
        <v>880000</v>
      </c>
      <c r="I134" s="261">
        <f t="shared" si="20"/>
        <v>1056000</v>
      </c>
      <c r="J134" s="205">
        <v>474500</v>
      </c>
      <c r="K134" s="205">
        <v>517588.13902946259</v>
      </c>
      <c r="L134" s="205">
        <v>992088.13902946259</v>
      </c>
      <c r="M134" s="219">
        <f t="shared" si="21"/>
        <v>176000</v>
      </c>
      <c r="N134" s="219">
        <f t="shared" si="22"/>
        <v>517588.13902946259</v>
      </c>
      <c r="O134" s="219">
        <f t="shared" si="23"/>
        <v>693588.13902946259</v>
      </c>
      <c r="P134" s="301">
        <f t="shared" si="24"/>
        <v>163680</v>
      </c>
      <c r="Q134" s="301">
        <f t="shared" si="25"/>
        <v>481356.96929740021</v>
      </c>
      <c r="R134" s="300">
        <f t="shared" si="26"/>
        <v>645036.96929740021</v>
      </c>
    </row>
    <row r="135" spans="1:18" ht="22.5" x14ac:dyDescent="0.25">
      <c r="A135" s="210">
        <v>124</v>
      </c>
      <c r="B135" s="152" t="s">
        <v>226</v>
      </c>
      <c r="C135" s="153" t="s">
        <v>153</v>
      </c>
      <c r="D135" s="200">
        <v>189000</v>
      </c>
      <c r="E135" s="173">
        <v>435000</v>
      </c>
      <c r="F135" s="202">
        <f t="shared" si="18"/>
        <v>624000</v>
      </c>
      <c r="G135" s="261">
        <f t="shared" si="19"/>
        <v>138000</v>
      </c>
      <c r="H135" s="262">
        <v>690000</v>
      </c>
      <c r="I135" s="261">
        <f t="shared" si="20"/>
        <v>828000</v>
      </c>
      <c r="J135" s="205">
        <v>374500</v>
      </c>
      <c r="K135" s="205">
        <v>368435.19170567871</v>
      </c>
      <c r="L135" s="205">
        <v>742935.19170567871</v>
      </c>
      <c r="M135" s="219">
        <f t="shared" si="21"/>
        <v>138000</v>
      </c>
      <c r="N135" s="219">
        <f t="shared" si="22"/>
        <v>368435.19170567871</v>
      </c>
      <c r="O135" s="219">
        <f t="shared" si="23"/>
        <v>506435.19170567871</v>
      </c>
      <c r="P135" s="301">
        <f t="shared" si="24"/>
        <v>128340</v>
      </c>
      <c r="Q135" s="301">
        <f t="shared" si="25"/>
        <v>342644.72828628117</v>
      </c>
      <c r="R135" s="300">
        <f t="shared" si="26"/>
        <v>470984.72828628117</v>
      </c>
    </row>
    <row r="136" spans="1:18" x14ac:dyDescent="0.25">
      <c r="A136" s="210">
        <v>125</v>
      </c>
      <c r="B136" s="152" t="s">
        <v>42</v>
      </c>
      <c r="C136" s="153" t="s">
        <v>153</v>
      </c>
      <c r="D136" s="200">
        <v>54000</v>
      </c>
      <c r="E136" s="173">
        <v>136000</v>
      </c>
      <c r="F136" s="202">
        <f t="shared" si="18"/>
        <v>190000</v>
      </c>
      <c r="G136" s="261">
        <f t="shared" si="19"/>
        <v>33000</v>
      </c>
      <c r="H136" s="262">
        <v>165000</v>
      </c>
      <c r="I136" s="261">
        <f t="shared" si="20"/>
        <v>198000</v>
      </c>
      <c r="J136" s="205">
        <v>84500</v>
      </c>
      <c r="K136" s="205">
        <v>128915.626353475</v>
      </c>
      <c r="L136" s="205">
        <v>213415.626353475</v>
      </c>
      <c r="M136" s="219">
        <f t="shared" si="21"/>
        <v>33000</v>
      </c>
      <c r="N136" s="219">
        <f t="shared" si="22"/>
        <v>128915.626353475</v>
      </c>
      <c r="O136" s="219">
        <f t="shared" si="23"/>
        <v>161915.626353475</v>
      </c>
      <c r="P136" s="301">
        <f t="shared" si="24"/>
        <v>30690</v>
      </c>
      <c r="Q136" s="301">
        <f t="shared" si="25"/>
        <v>119891.53250873175</v>
      </c>
      <c r="R136" s="300">
        <f t="shared" si="26"/>
        <v>150581.53250873176</v>
      </c>
    </row>
    <row r="137" spans="1:18" x14ac:dyDescent="0.25">
      <c r="A137" s="210">
        <v>126</v>
      </c>
      <c r="B137" s="152" t="s">
        <v>93</v>
      </c>
      <c r="C137" s="153" t="s">
        <v>153</v>
      </c>
      <c r="D137" s="200">
        <v>164000</v>
      </c>
      <c r="E137" s="173">
        <v>377000</v>
      </c>
      <c r="F137" s="202">
        <f t="shared" si="18"/>
        <v>541000</v>
      </c>
      <c r="G137" s="261">
        <f t="shared" si="19"/>
        <v>116000</v>
      </c>
      <c r="H137" s="262">
        <v>580000</v>
      </c>
      <c r="I137" s="261">
        <f t="shared" si="20"/>
        <v>696000</v>
      </c>
      <c r="J137" s="205">
        <v>164500</v>
      </c>
      <c r="K137" s="205">
        <v>319789.29571081139</v>
      </c>
      <c r="L137" s="205">
        <v>484289.29571081139</v>
      </c>
      <c r="M137" s="219">
        <f t="shared" si="21"/>
        <v>116000</v>
      </c>
      <c r="N137" s="219">
        <f t="shared" si="22"/>
        <v>319789.29571081139</v>
      </c>
      <c r="O137" s="219">
        <f t="shared" si="23"/>
        <v>435789.29571081139</v>
      </c>
      <c r="P137" s="301">
        <f t="shared" si="24"/>
        <v>107880</v>
      </c>
      <c r="Q137" s="301">
        <f t="shared" si="25"/>
        <v>297404.04501105461</v>
      </c>
      <c r="R137" s="300">
        <f t="shared" si="26"/>
        <v>405284.04501105461</v>
      </c>
    </row>
    <row r="138" spans="1:18" x14ac:dyDescent="0.25">
      <c r="A138" s="210">
        <v>127</v>
      </c>
      <c r="B138" s="211" t="s">
        <v>95</v>
      </c>
      <c r="C138" s="153" t="s">
        <v>153</v>
      </c>
      <c r="D138" s="200">
        <v>253000</v>
      </c>
      <c r="E138" s="173">
        <v>819000</v>
      </c>
      <c r="F138" s="202">
        <f t="shared" si="18"/>
        <v>1072000</v>
      </c>
      <c r="G138" s="261">
        <f t="shared" si="19"/>
        <v>182000</v>
      </c>
      <c r="H138" s="262">
        <v>910000</v>
      </c>
      <c r="I138" s="261">
        <f t="shared" si="20"/>
        <v>1092000</v>
      </c>
      <c r="J138" s="205">
        <v>214500</v>
      </c>
      <c r="K138" s="205">
        <v>726432.36639881565</v>
      </c>
      <c r="L138" s="205">
        <v>940932.36639881565</v>
      </c>
      <c r="M138" s="219">
        <f t="shared" si="21"/>
        <v>182000</v>
      </c>
      <c r="N138" s="219">
        <f t="shared" si="22"/>
        <v>726432.36639881565</v>
      </c>
      <c r="O138" s="219">
        <f t="shared" si="23"/>
        <v>908432.36639881565</v>
      </c>
      <c r="P138" s="301">
        <f t="shared" si="24"/>
        <v>169260</v>
      </c>
      <c r="Q138" s="301">
        <f t="shared" si="25"/>
        <v>675582.10075089859</v>
      </c>
      <c r="R138" s="300">
        <f t="shared" si="26"/>
        <v>844842.10075089859</v>
      </c>
    </row>
    <row r="139" spans="1:18" x14ac:dyDescent="0.25">
      <c r="A139" s="210">
        <v>128</v>
      </c>
      <c r="B139" s="211" t="s">
        <v>228</v>
      </c>
      <c r="C139" s="153" t="s">
        <v>153</v>
      </c>
      <c r="D139" s="200">
        <v>1000</v>
      </c>
      <c r="E139" s="173">
        <v>2000</v>
      </c>
      <c r="F139" s="202">
        <f t="shared" si="18"/>
        <v>3000</v>
      </c>
      <c r="G139" s="261">
        <f t="shared" si="19"/>
        <v>1000</v>
      </c>
      <c r="H139" s="262">
        <v>5000</v>
      </c>
      <c r="I139" s="261">
        <f t="shared" si="20"/>
        <v>6000</v>
      </c>
      <c r="J139" s="205">
        <v>64500</v>
      </c>
      <c r="K139" s="205">
        <v>1782.4625459166668</v>
      </c>
      <c r="L139" s="205">
        <v>66282.462545916671</v>
      </c>
      <c r="M139" s="219">
        <f t="shared" si="21"/>
        <v>1000</v>
      </c>
      <c r="N139" s="219">
        <f t="shared" si="22"/>
        <v>1782.4625459166668</v>
      </c>
      <c r="O139" s="219">
        <f t="shared" si="23"/>
        <v>2782.4625459166668</v>
      </c>
      <c r="P139" s="301">
        <f t="shared" si="24"/>
        <v>930</v>
      </c>
      <c r="Q139" s="301">
        <f t="shared" si="25"/>
        <v>1657.6901677025</v>
      </c>
      <c r="R139" s="300">
        <f t="shared" si="26"/>
        <v>2587.6901677024998</v>
      </c>
    </row>
    <row r="140" spans="1:18" x14ac:dyDescent="0.25">
      <c r="A140" s="210">
        <v>129</v>
      </c>
      <c r="B140" s="211" t="s">
        <v>229</v>
      </c>
      <c r="C140" s="153" t="s">
        <v>153</v>
      </c>
      <c r="D140" s="200">
        <v>47000</v>
      </c>
      <c r="E140" s="173">
        <v>107000</v>
      </c>
      <c r="F140" s="202">
        <f t="shared" si="18"/>
        <v>154000</v>
      </c>
      <c r="G140" s="261">
        <f t="shared" si="19"/>
        <v>30000</v>
      </c>
      <c r="H140" s="262">
        <v>150000</v>
      </c>
      <c r="I140" s="261">
        <f t="shared" si="20"/>
        <v>180000</v>
      </c>
      <c r="J140" s="205">
        <v>64500</v>
      </c>
      <c r="K140" s="205">
        <v>90798.501836666677</v>
      </c>
      <c r="L140" s="205">
        <v>155298.50183666666</v>
      </c>
      <c r="M140" s="219">
        <f t="shared" si="21"/>
        <v>30000</v>
      </c>
      <c r="N140" s="219">
        <f t="shared" si="22"/>
        <v>90798.501836666677</v>
      </c>
      <c r="O140" s="219">
        <f t="shared" si="23"/>
        <v>120798.50183666668</v>
      </c>
      <c r="P140" s="301">
        <f t="shared" si="24"/>
        <v>27900</v>
      </c>
      <c r="Q140" s="301">
        <f t="shared" si="25"/>
        <v>84442.606708100007</v>
      </c>
      <c r="R140" s="300">
        <f t="shared" si="26"/>
        <v>112342.60670810001</v>
      </c>
    </row>
    <row r="141" spans="1:18" x14ac:dyDescent="0.25">
      <c r="A141" s="210">
        <v>130</v>
      </c>
      <c r="B141" s="211" t="s">
        <v>241</v>
      </c>
      <c r="C141" s="153" t="s">
        <v>153</v>
      </c>
      <c r="D141" s="200">
        <v>68000</v>
      </c>
      <c r="E141" s="173">
        <v>157000</v>
      </c>
      <c r="F141" s="202">
        <f t="shared" si="18"/>
        <v>225000</v>
      </c>
      <c r="G141" s="261">
        <f t="shared" si="19"/>
        <v>6000</v>
      </c>
      <c r="H141" s="262">
        <v>30000</v>
      </c>
      <c r="I141" s="261">
        <f t="shared" si="20"/>
        <v>36000</v>
      </c>
      <c r="J141" s="205">
        <v>84500</v>
      </c>
      <c r="K141" s="205">
        <v>133000</v>
      </c>
      <c r="L141" s="205">
        <v>217500</v>
      </c>
      <c r="M141" s="219">
        <f t="shared" si="21"/>
        <v>6000</v>
      </c>
      <c r="N141" s="219">
        <f t="shared" si="22"/>
        <v>30000</v>
      </c>
      <c r="O141" s="219">
        <f t="shared" si="23"/>
        <v>36000</v>
      </c>
      <c r="P141" s="301">
        <f t="shared" si="24"/>
        <v>5580</v>
      </c>
      <c r="Q141" s="301">
        <f t="shared" si="25"/>
        <v>27900</v>
      </c>
      <c r="R141" s="300">
        <f t="shared" si="26"/>
        <v>33480</v>
      </c>
    </row>
    <row r="142" spans="1:18" x14ac:dyDescent="0.25">
      <c r="A142" s="210">
        <v>131</v>
      </c>
      <c r="B142" s="158" t="s">
        <v>85</v>
      </c>
      <c r="C142" s="153" t="s">
        <v>153</v>
      </c>
      <c r="D142" s="200">
        <v>48000</v>
      </c>
      <c r="E142" s="173">
        <v>111000</v>
      </c>
      <c r="F142" s="202">
        <f t="shared" si="18"/>
        <v>159000</v>
      </c>
      <c r="G142" s="261">
        <f t="shared" si="19"/>
        <v>32000</v>
      </c>
      <c r="H142" s="262">
        <v>160000</v>
      </c>
      <c r="I142" s="261">
        <f t="shared" si="20"/>
        <v>192000</v>
      </c>
      <c r="J142" s="205">
        <v>84500</v>
      </c>
      <c r="K142" s="205">
        <v>93814.27394933546</v>
      </c>
      <c r="L142" s="205">
        <v>178314.27394933545</v>
      </c>
      <c r="M142" s="219">
        <f t="shared" si="21"/>
        <v>32000</v>
      </c>
      <c r="N142" s="219">
        <f t="shared" si="22"/>
        <v>93814.27394933546</v>
      </c>
      <c r="O142" s="219">
        <f t="shared" si="23"/>
        <v>125814.27394933546</v>
      </c>
      <c r="P142" s="301">
        <f t="shared" si="24"/>
        <v>29760</v>
      </c>
      <c r="Q142" s="301">
        <f t="shared" si="25"/>
        <v>87247.274772881981</v>
      </c>
      <c r="R142" s="300">
        <f t="shared" si="26"/>
        <v>117007.27477288198</v>
      </c>
    </row>
    <row r="143" spans="1:18" x14ac:dyDescent="0.25">
      <c r="A143" s="210">
        <v>132</v>
      </c>
      <c r="B143" s="158" t="s">
        <v>232</v>
      </c>
      <c r="C143" s="153" t="s">
        <v>153</v>
      </c>
      <c r="D143" s="200">
        <v>259000</v>
      </c>
      <c r="E143" s="173">
        <v>706000</v>
      </c>
      <c r="F143" s="202">
        <f t="shared" si="18"/>
        <v>965000</v>
      </c>
      <c r="G143" s="261">
        <f t="shared" si="19"/>
        <v>200000</v>
      </c>
      <c r="H143" s="262">
        <v>1000000</v>
      </c>
      <c r="I143" s="261">
        <f t="shared" si="20"/>
        <v>1200000</v>
      </c>
      <c r="J143" s="205">
        <v>219500</v>
      </c>
      <c r="K143" s="205">
        <v>598646.41830312507</v>
      </c>
      <c r="L143" s="205">
        <v>818146.41830312507</v>
      </c>
      <c r="M143" s="219">
        <f t="shared" si="21"/>
        <v>200000</v>
      </c>
      <c r="N143" s="219">
        <f t="shared" si="22"/>
        <v>598646.41830312507</v>
      </c>
      <c r="O143" s="219">
        <f t="shared" si="23"/>
        <v>798646.41830312507</v>
      </c>
      <c r="P143" s="301">
        <f t="shared" si="24"/>
        <v>186000</v>
      </c>
      <c r="Q143" s="301">
        <f t="shared" si="25"/>
        <v>556741.16902190633</v>
      </c>
      <c r="R143" s="300">
        <f t="shared" si="26"/>
        <v>742741.16902190633</v>
      </c>
    </row>
    <row r="144" spans="1:18" x14ac:dyDescent="0.25">
      <c r="A144" s="210">
        <v>133</v>
      </c>
      <c r="B144" s="158" t="s">
        <v>67</v>
      </c>
      <c r="C144" s="153" t="s">
        <v>153</v>
      </c>
      <c r="D144" s="200">
        <v>100000</v>
      </c>
      <c r="E144" s="173">
        <v>602000</v>
      </c>
      <c r="F144" s="202">
        <f t="shared" si="18"/>
        <v>702000</v>
      </c>
      <c r="G144" s="261">
        <f t="shared" si="19"/>
        <v>156000</v>
      </c>
      <c r="H144" s="262">
        <v>780000</v>
      </c>
      <c r="I144" s="261">
        <f t="shared" si="20"/>
        <v>936000</v>
      </c>
      <c r="J144" s="205">
        <v>84500</v>
      </c>
      <c r="K144" s="205">
        <v>510185.5652020438</v>
      </c>
      <c r="L144" s="205">
        <v>594685.56520204386</v>
      </c>
      <c r="M144" s="219">
        <f t="shared" si="21"/>
        <v>84500</v>
      </c>
      <c r="N144" s="219">
        <f t="shared" si="22"/>
        <v>510185.5652020438</v>
      </c>
      <c r="O144" s="219">
        <f t="shared" si="23"/>
        <v>594685.56520204386</v>
      </c>
      <c r="P144" s="301">
        <f t="shared" si="24"/>
        <v>78585</v>
      </c>
      <c r="Q144" s="301">
        <f t="shared" si="25"/>
        <v>474472.57563790074</v>
      </c>
      <c r="R144" s="300">
        <f t="shared" si="26"/>
        <v>553057.57563790074</v>
      </c>
    </row>
    <row r="145" spans="1:18" x14ac:dyDescent="0.25">
      <c r="A145" s="210">
        <v>134</v>
      </c>
      <c r="B145" s="161" t="s">
        <v>237</v>
      </c>
      <c r="C145" s="153" t="s">
        <v>153</v>
      </c>
      <c r="D145" s="200">
        <v>178000</v>
      </c>
      <c r="E145" s="173">
        <v>411000</v>
      </c>
      <c r="F145" s="202">
        <f t="shared" si="18"/>
        <v>589000</v>
      </c>
      <c r="G145" s="261">
        <f t="shared" si="19"/>
        <v>130000</v>
      </c>
      <c r="H145" s="262">
        <v>650000</v>
      </c>
      <c r="I145" s="261">
        <f t="shared" si="20"/>
        <v>780000</v>
      </c>
      <c r="J145" s="205">
        <v>174500</v>
      </c>
      <c r="K145" s="205">
        <v>348222.38813780446</v>
      </c>
      <c r="L145" s="205">
        <v>522722.38813780446</v>
      </c>
      <c r="M145" s="219">
        <f t="shared" si="21"/>
        <v>130000</v>
      </c>
      <c r="N145" s="219">
        <f t="shared" si="22"/>
        <v>348222.38813780446</v>
      </c>
      <c r="O145" s="219">
        <f t="shared" si="23"/>
        <v>478222.38813780446</v>
      </c>
      <c r="P145" s="301">
        <f t="shared" si="24"/>
        <v>120900</v>
      </c>
      <c r="Q145" s="301">
        <f t="shared" si="25"/>
        <v>323846.82096815814</v>
      </c>
      <c r="R145" s="300">
        <f t="shared" si="26"/>
        <v>444746.82096815814</v>
      </c>
    </row>
    <row r="146" spans="1:18" x14ac:dyDescent="0.25">
      <c r="A146" s="210">
        <v>135</v>
      </c>
      <c r="B146" s="161" t="s">
        <v>238</v>
      </c>
      <c r="C146" s="153" t="s">
        <v>153</v>
      </c>
      <c r="D146" s="200">
        <v>100000</v>
      </c>
      <c r="E146" s="173">
        <v>430000</v>
      </c>
      <c r="F146" s="202">
        <f t="shared" si="18"/>
        <v>530000</v>
      </c>
      <c r="G146" s="261">
        <f t="shared" si="19"/>
        <v>120000</v>
      </c>
      <c r="H146" s="262">
        <v>600000</v>
      </c>
      <c r="I146" s="261">
        <f t="shared" si="20"/>
        <v>720000</v>
      </c>
      <c r="J146" s="205">
        <v>84500</v>
      </c>
      <c r="K146" s="205">
        <v>364565.1851605752</v>
      </c>
      <c r="L146" s="205">
        <v>449065.1851605752</v>
      </c>
      <c r="M146" s="219">
        <f t="shared" si="21"/>
        <v>84500</v>
      </c>
      <c r="N146" s="219">
        <f t="shared" si="22"/>
        <v>364565.1851605752</v>
      </c>
      <c r="O146" s="219">
        <f t="shared" si="23"/>
        <v>449065.1851605752</v>
      </c>
      <c r="P146" s="301">
        <f t="shared" si="24"/>
        <v>78585</v>
      </c>
      <c r="Q146" s="301">
        <f t="shared" si="25"/>
        <v>339045.62219933496</v>
      </c>
      <c r="R146" s="300">
        <f t="shared" si="26"/>
        <v>417630.62219933496</v>
      </c>
    </row>
    <row r="147" spans="1:18" x14ac:dyDescent="0.25">
      <c r="A147" s="210">
        <v>136</v>
      </c>
      <c r="B147" s="158" t="s">
        <v>83</v>
      </c>
      <c r="C147" s="153" t="s">
        <v>153</v>
      </c>
      <c r="D147" s="200">
        <v>209000</v>
      </c>
      <c r="E147" s="173">
        <v>482000</v>
      </c>
      <c r="F147" s="202">
        <f t="shared" si="18"/>
        <v>691000</v>
      </c>
      <c r="G147" s="261">
        <f t="shared" si="19"/>
        <v>158000</v>
      </c>
      <c r="H147" s="262">
        <v>790000</v>
      </c>
      <c r="I147" s="261">
        <f t="shared" si="20"/>
        <v>948000</v>
      </c>
      <c r="J147" s="205">
        <v>184500</v>
      </c>
      <c r="K147" s="205">
        <v>408658.527010608</v>
      </c>
      <c r="L147" s="205">
        <v>593158.527010608</v>
      </c>
      <c r="M147" s="219">
        <f t="shared" si="21"/>
        <v>158000</v>
      </c>
      <c r="N147" s="219">
        <f t="shared" si="22"/>
        <v>408658.527010608</v>
      </c>
      <c r="O147" s="219">
        <f t="shared" si="23"/>
        <v>566658.527010608</v>
      </c>
      <c r="P147" s="301">
        <f t="shared" si="24"/>
        <v>146940</v>
      </c>
      <c r="Q147" s="301">
        <f t="shared" si="25"/>
        <v>380052.43011986546</v>
      </c>
      <c r="R147" s="300">
        <f t="shared" si="26"/>
        <v>526992.43011986546</v>
      </c>
    </row>
    <row r="148" spans="1:18" x14ac:dyDescent="0.25">
      <c r="A148" s="210">
        <v>137</v>
      </c>
      <c r="B148" s="161" t="s">
        <v>235</v>
      </c>
      <c r="C148" s="153" t="s">
        <v>153</v>
      </c>
      <c r="D148" s="200">
        <v>147000</v>
      </c>
      <c r="E148" s="173">
        <v>750000</v>
      </c>
      <c r="F148" s="202">
        <f t="shared" si="18"/>
        <v>897000</v>
      </c>
      <c r="G148" s="261">
        <f t="shared" si="19"/>
        <v>210000</v>
      </c>
      <c r="H148" s="262">
        <v>1050000</v>
      </c>
      <c r="I148" s="261">
        <f t="shared" si="20"/>
        <v>1260000</v>
      </c>
      <c r="J148" s="205">
        <v>124500</v>
      </c>
      <c r="K148" s="205">
        <v>635733.10227895388</v>
      </c>
      <c r="L148" s="205">
        <v>760233.10227895388</v>
      </c>
      <c r="M148" s="219">
        <f t="shared" si="21"/>
        <v>124500</v>
      </c>
      <c r="N148" s="219">
        <f t="shared" si="22"/>
        <v>635733.10227895388</v>
      </c>
      <c r="O148" s="219">
        <f t="shared" si="23"/>
        <v>760233.10227895388</v>
      </c>
      <c r="P148" s="301">
        <f t="shared" si="24"/>
        <v>115785</v>
      </c>
      <c r="Q148" s="301">
        <f t="shared" si="25"/>
        <v>591231.78511942714</v>
      </c>
      <c r="R148" s="300">
        <f t="shared" si="26"/>
        <v>707016.78511942714</v>
      </c>
    </row>
    <row r="149" spans="1:18" x14ac:dyDescent="0.25">
      <c r="A149" s="210">
        <v>138</v>
      </c>
      <c r="B149" s="158" t="s">
        <v>84</v>
      </c>
      <c r="C149" s="153" t="s">
        <v>153</v>
      </c>
      <c r="D149" s="200">
        <v>265000</v>
      </c>
      <c r="E149" s="173">
        <v>854000</v>
      </c>
      <c r="F149" s="202">
        <f t="shared" si="18"/>
        <v>1119000</v>
      </c>
      <c r="G149" s="261">
        <f t="shared" si="19"/>
        <v>250000</v>
      </c>
      <c r="H149" s="262">
        <v>1250000</v>
      </c>
      <c r="I149" s="261">
        <f t="shared" si="20"/>
        <v>1500000</v>
      </c>
      <c r="J149" s="205">
        <v>224500</v>
      </c>
      <c r="K149" s="205">
        <v>724092.20785596163</v>
      </c>
      <c r="L149" s="205">
        <v>948592.20785596163</v>
      </c>
      <c r="M149" s="219">
        <f t="shared" si="21"/>
        <v>224500</v>
      </c>
      <c r="N149" s="219">
        <f t="shared" si="22"/>
        <v>724092.20785596163</v>
      </c>
      <c r="O149" s="219">
        <f t="shared" si="23"/>
        <v>948592.20785596163</v>
      </c>
      <c r="P149" s="301">
        <f t="shared" si="24"/>
        <v>208785</v>
      </c>
      <c r="Q149" s="301">
        <f t="shared" si="25"/>
        <v>673405.75330604427</v>
      </c>
      <c r="R149" s="300">
        <f t="shared" si="26"/>
        <v>882190.75330604427</v>
      </c>
    </row>
    <row r="150" spans="1:18" x14ac:dyDescent="0.25">
      <c r="A150" s="210">
        <v>139</v>
      </c>
      <c r="B150" s="158" t="s">
        <v>236</v>
      </c>
      <c r="C150" s="153" t="s">
        <v>153</v>
      </c>
      <c r="D150" s="200">
        <v>81000</v>
      </c>
      <c r="E150" s="173">
        <v>186000</v>
      </c>
      <c r="F150" s="202">
        <f t="shared" si="18"/>
        <v>267000</v>
      </c>
      <c r="G150" s="261">
        <f t="shared" si="19"/>
        <v>60000</v>
      </c>
      <c r="H150" s="262">
        <v>300000</v>
      </c>
      <c r="I150" s="261">
        <f t="shared" si="20"/>
        <v>360000</v>
      </c>
      <c r="J150" s="205">
        <v>224500</v>
      </c>
      <c r="K150" s="205">
        <v>157674.65443202501</v>
      </c>
      <c r="L150" s="205">
        <v>382174.65443202504</v>
      </c>
      <c r="M150" s="219">
        <f t="shared" si="21"/>
        <v>60000</v>
      </c>
      <c r="N150" s="219">
        <f t="shared" si="22"/>
        <v>157674.65443202501</v>
      </c>
      <c r="O150" s="219">
        <f t="shared" si="23"/>
        <v>217674.65443202501</v>
      </c>
      <c r="P150" s="301">
        <f t="shared" si="24"/>
        <v>55800</v>
      </c>
      <c r="Q150" s="301">
        <f t="shared" si="25"/>
        <v>146637.42862178327</v>
      </c>
      <c r="R150" s="300">
        <f t="shared" si="26"/>
        <v>202437.42862178327</v>
      </c>
    </row>
    <row r="151" spans="1:18" x14ac:dyDescent="0.25">
      <c r="A151" s="210">
        <v>140</v>
      </c>
      <c r="B151" s="211" t="s">
        <v>239</v>
      </c>
      <c r="C151" s="153" t="s">
        <v>153</v>
      </c>
      <c r="D151" s="200">
        <v>66000</v>
      </c>
      <c r="E151" s="173">
        <v>152000</v>
      </c>
      <c r="F151" s="202">
        <f t="shared" si="18"/>
        <v>218000</v>
      </c>
      <c r="G151" s="261">
        <f t="shared" si="19"/>
        <v>50000</v>
      </c>
      <c r="H151" s="262">
        <v>250000</v>
      </c>
      <c r="I151" s="261">
        <f t="shared" si="20"/>
        <v>300000</v>
      </c>
      <c r="J151" s="205">
        <v>184500</v>
      </c>
      <c r="K151" s="205">
        <v>128915.626353475</v>
      </c>
      <c r="L151" s="205">
        <v>313415.62635347503</v>
      </c>
      <c r="M151" s="219">
        <f t="shared" si="21"/>
        <v>50000</v>
      </c>
      <c r="N151" s="219">
        <f t="shared" si="22"/>
        <v>128915.626353475</v>
      </c>
      <c r="O151" s="219">
        <f t="shared" si="23"/>
        <v>178915.626353475</v>
      </c>
      <c r="P151" s="301">
        <f t="shared" si="24"/>
        <v>46500</v>
      </c>
      <c r="Q151" s="301">
        <f t="shared" si="25"/>
        <v>119891.53250873175</v>
      </c>
      <c r="R151" s="300">
        <f t="shared" si="26"/>
        <v>166391.53250873176</v>
      </c>
    </row>
    <row r="152" spans="1:18" x14ac:dyDescent="0.25">
      <c r="A152" s="210">
        <v>141</v>
      </c>
      <c r="B152" s="211" t="s">
        <v>338</v>
      </c>
      <c r="C152" s="153" t="s">
        <v>153</v>
      </c>
      <c r="D152" s="200">
        <v>99000</v>
      </c>
      <c r="E152" s="173">
        <v>227000</v>
      </c>
      <c r="F152" s="202">
        <f t="shared" si="18"/>
        <v>326000</v>
      </c>
      <c r="G152" s="261">
        <f t="shared" si="19"/>
        <v>72000</v>
      </c>
      <c r="H152" s="262">
        <v>360000</v>
      </c>
      <c r="I152" s="261">
        <f t="shared" si="20"/>
        <v>432000</v>
      </c>
      <c r="J152" s="205">
        <v>184500</v>
      </c>
      <c r="K152" s="205">
        <v>192664.8052609275</v>
      </c>
      <c r="L152" s="205">
        <v>377164.80526092753</v>
      </c>
      <c r="M152" s="219">
        <f t="shared" si="21"/>
        <v>72000</v>
      </c>
      <c r="N152" s="219">
        <f t="shared" si="22"/>
        <v>192664.8052609275</v>
      </c>
      <c r="O152" s="219">
        <f t="shared" si="23"/>
        <v>264664.80526092753</v>
      </c>
      <c r="P152" s="301">
        <f t="shared" si="24"/>
        <v>66960</v>
      </c>
      <c r="Q152" s="301">
        <f t="shared" si="25"/>
        <v>179178.26889266257</v>
      </c>
      <c r="R152" s="300">
        <f t="shared" si="26"/>
        <v>246138.26889266257</v>
      </c>
    </row>
    <row r="153" spans="1:18" x14ac:dyDescent="0.25">
      <c r="A153" s="210">
        <v>142</v>
      </c>
      <c r="B153" s="158" t="s">
        <v>68</v>
      </c>
      <c r="C153" s="153" t="s">
        <v>153</v>
      </c>
      <c r="D153" s="200">
        <v>169000</v>
      </c>
      <c r="E153" s="173">
        <v>390000</v>
      </c>
      <c r="F153" s="202">
        <f t="shared" si="18"/>
        <v>559000</v>
      </c>
      <c r="G153" s="261">
        <f t="shared" si="19"/>
        <v>130000</v>
      </c>
      <c r="H153" s="262">
        <v>650000</v>
      </c>
      <c r="I153" s="261">
        <f t="shared" si="20"/>
        <v>780000</v>
      </c>
      <c r="J153" s="205">
        <v>184500</v>
      </c>
      <c r="K153" s="205">
        <v>330228.82290332502</v>
      </c>
      <c r="L153" s="205">
        <v>514728.82290332502</v>
      </c>
      <c r="M153" s="219">
        <f t="shared" si="21"/>
        <v>130000</v>
      </c>
      <c r="N153" s="219">
        <f t="shared" si="22"/>
        <v>330228.82290332502</v>
      </c>
      <c r="O153" s="219">
        <f t="shared" si="23"/>
        <v>460228.82290332502</v>
      </c>
      <c r="P153" s="301">
        <f t="shared" si="24"/>
        <v>120900</v>
      </c>
      <c r="Q153" s="301">
        <f t="shared" si="25"/>
        <v>307112.80530009227</v>
      </c>
      <c r="R153" s="300">
        <f t="shared" si="26"/>
        <v>428012.80530009227</v>
      </c>
    </row>
    <row r="154" spans="1:18" x14ac:dyDescent="0.25">
      <c r="A154" s="210">
        <v>143</v>
      </c>
      <c r="B154" s="211" t="s">
        <v>94</v>
      </c>
      <c r="C154" s="153" t="s">
        <v>153</v>
      </c>
      <c r="D154" s="200">
        <v>115000</v>
      </c>
      <c r="E154" s="173">
        <v>265000</v>
      </c>
      <c r="F154" s="202">
        <f t="shared" si="18"/>
        <v>380000</v>
      </c>
      <c r="G154" s="261">
        <f t="shared" si="19"/>
        <v>80000</v>
      </c>
      <c r="H154" s="262">
        <v>400000</v>
      </c>
      <c r="I154" s="261">
        <f t="shared" si="20"/>
        <v>480000</v>
      </c>
      <c r="J154" s="205">
        <v>104500</v>
      </c>
      <c r="K154" s="205">
        <v>224779.05328197504</v>
      </c>
      <c r="L154" s="205">
        <v>329279.05328197504</v>
      </c>
      <c r="M154" s="219">
        <f t="shared" si="21"/>
        <v>80000</v>
      </c>
      <c r="N154" s="219">
        <f t="shared" si="22"/>
        <v>224779.05328197504</v>
      </c>
      <c r="O154" s="219">
        <f t="shared" si="23"/>
        <v>304779.05328197504</v>
      </c>
      <c r="P154" s="301">
        <f t="shared" si="24"/>
        <v>74400</v>
      </c>
      <c r="Q154" s="301">
        <f t="shared" si="25"/>
        <v>209044.51955223677</v>
      </c>
      <c r="R154" s="300">
        <f t="shared" si="26"/>
        <v>283444.51955223677</v>
      </c>
    </row>
    <row r="155" spans="1:18" x14ac:dyDescent="0.25">
      <c r="A155" s="210">
        <v>144</v>
      </c>
      <c r="B155" s="211" t="s">
        <v>250</v>
      </c>
      <c r="C155" s="153" t="s">
        <v>153</v>
      </c>
      <c r="D155" s="200">
        <v>46000</v>
      </c>
      <c r="E155" s="173">
        <v>104000</v>
      </c>
      <c r="F155" s="202">
        <f t="shared" si="18"/>
        <v>150000</v>
      </c>
      <c r="G155" s="261">
        <f t="shared" si="19"/>
        <v>26000</v>
      </c>
      <c r="H155" s="262">
        <v>130000</v>
      </c>
      <c r="I155" s="261">
        <f t="shared" si="20"/>
        <v>156000</v>
      </c>
      <c r="J155" s="205">
        <v>84500</v>
      </c>
      <c r="K155" s="205">
        <v>88500</v>
      </c>
      <c r="L155" s="205">
        <v>173000</v>
      </c>
      <c r="M155" s="219">
        <f t="shared" si="21"/>
        <v>26000</v>
      </c>
      <c r="N155" s="219">
        <f t="shared" si="22"/>
        <v>88500</v>
      </c>
      <c r="O155" s="219">
        <f t="shared" si="23"/>
        <v>114500</v>
      </c>
      <c r="P155" s="301">
        <f t="shared" si="24"/>
        <v>24180</v>
      </c>
      <c r="Q155" s="301">
        <f t="shared" si="25"/>
        <v>82305</v>
      </c>
      <c r="R155" s="300">
        <f t="shared" si="26"/>
        <v>106485</v>
      </c>
    </row>
    <row r="156" spans="1:18" x14ac:dyDescent="0.25">
      <c r="A156" s="210">
        <v>145</v>
      </c>
      <c r="B156" s="158" t="s">
        <v>120</v>
      </c>
      <c r="C156" s="153" t="s">
        <v>153</v>
      </c>
      <c r="D156" s="200">
        <v>430000</v>
      </c>
      <c r="E156" s="173">
        <v>4044000</v>
      </c>
      <c r="F156" s="202">
        <f t="shared" si="18"/>
        <v>4474000</v>
      </c>
      <c r="G156" s="261">
        <f t="shared" si="19"/>
        <v>6810000</v>
      </c>
      <c r="H156" s="262">
        <v>34050000</v>
      </c>
      <c r="I156" s="261">
        <f t="shared" si="20"/>
        <v>40860000</v>
      </c>
      <c r="J156" s="205">
        <v>364500</v>
      </c>
      <c r="K156" s="205">
        <v>3786105.3636757503</v>
      </c>
      <c r="L156" s="205">
        <v>4150605.3636757503</v>
      </c>
      <c r="M156" s="219">
        <f t="shared" si="21"/>
        <v>364500</v>
      </c>
      <c r="N156" s="219">
        <f t="shared" si="22"/>
        <v>3786105.3636757503</v>
      </c>
      <c r="O156" s="219">
        <f t="shared" si="23"/>
        <v>4150605.3636757503</v>
      </c>
      <c r="P156" s="301">
        <f t="shared" si="24"/>
        <v>338985</v>
      </c>
      <c r="Q156" s="301">
        <f t="shared" si="25"/>
        <v>3521077.9882184477</v>
      </c>
      <c r="R156" s="300">
        <f t="shared" si="26"/>
        <v>3860062.9882184477</v>
      </c>
    </row>
    <row r="157" spans="1:18" x14ac:dyDescent="0.25">
      <c r="A157" s="210">
        <v>146</v>
      </c>
      <c r="B157" s="158" t="s">
        <v>242</v>
      </c>
      <c r="C157" s="153" t="s">
        <v>153</v>
      </c>
      <c r="D157" s="200">
        <v>72000</v>
      </c>
      <c r="E157" s="173">
        <v>166000</v>
      </c>
      <c r="F157" s="202">
        <f t="shared" si="18"/>
        <v>238000</v>
      </c>
      <c r="G157" s="261">
        <f t="shared" si="19"/>
        <v>52000</v>
      </c>
      <c r="H157" s="262">
        <v>260000</v>
      </c>
      <c r="I157" s="261">
        <f t="shared" si="20"/>
        <v>312000</v>
      </c>
      <c r="J157" s="205">
        <v>649500</v>
      </c>
      <c r="K157" s="205">
        <v>140819.94670945618</v>
      </c>
      <c r="L157" s="205">
        <v>790319.94670945616</v>
      </c>
      <c r="M157" s="219">
        <f t="shared" si="21"/>
        <v>52000</v>
      </c>
      <c r="N157" s="219">
        <f t="shared" si="22"/>
        <v>140819.94670945618</v>
      </c>
      <c r="O157" s="219">
        <f t="shared" si="23"/>
        <v>192819.94670945618</v>
      </c>
      <c r="P157" s="301">
        <f t="shared" si="24"/>
        <v>48360</v>
      </c>
      <c r="Q157" s="301">
        <f t="shared" si="25"/>
        <v>130962.55043979426</v>
      </c>
      <c r="R157" s="300">
        <f t="shared" si="26"/>
        <v>179322.55043979426</v>
      </c>
    </row>
    <row r="158" spans="1:18" x14ac:dyDescent="0.25">
      <c r="A158" s="210">
        <v>147</v>
      </c>
      <c r="B158" s="166" t="s">
        <v>230</v>
      </c>
      <c r="C158" s="153" t="s">
        <v>153</v>
      </c>
      <c r="D158" s="200">
        <v>88000</v>
      </c>
      <c r="E158" s="173">
        <v>557000</v>
      </c>
      <c r="F158" s="202">
        <f t="shared" si="18"/>
        <v>645000</v>
      </c>
      <c r="G158" s="261">
        <f t="shared" si="19"/>
        <v>116000</v>
      </c>
      <c r="H158" s="262">
        <v>580000</v>
      </c>
      <c r="I158" s="261">
        <f t="shared" si="20"/>
        <v>696000</v>
      </c>
      <c r="J158" s="205">
        <v>74500</v>
      </c>
      <c r="K158" s="205">
        <v>472426.23951393331</v>
      </c>
      <c r="L158" s="205">
        <v>546926.23951393331</v>
      </c>
      <c r="M158" s="219">
        <f t="shared" si="21"/>
        <v>74500</v>
      </c>
      <c r="N158" s="219">
        <f t="shared" si="22"/>
        <v>472426.23951393331</v>
      </c>
      <c r="O158" s="219">
        <f t="shared" si="23"/>
        <v>546926.23951393331</v>
      </c>
      <c r="P158" s="301">
        <f t="shared" si="24"/>
        <v>69285</v>
      </c>
      <c r="Q158" s="301">
        <f t="shared" si="25"/>
        <v>439356.40274795797</v>
      </c>
      <c r="R158" s="300">
        <f t="shared" si="26"/>
        <v>508641.40274795797</v>
      </c>
    </row>
    <row r="159" spans="1:18" x14ac:dyDescent="0.25">
      <c r="A159" s="210">
        <v>148</v>
      </c>
      <c r="B159" s="166" t="s">
        <v>231</v>
      </c>
      <c r="C159" s="153" t="s">
        <v>153</v>
      </c>
      <c r="D159" s="200">
        <v>9000</v>
      </c>
      <c r="E159" s="173">
        <v>19000</v>
      </c>
      <c r="F159" s="202">
        <f t="shared" si="18"/>
        <v>28000</v>
      </c>
      <c r="G159" s="261">
        <f t="shared" si="19"/>
        <v>6000</v>
      </c>
      <c r="H159" s="262">
        <v>30000</v>
      </c>
      <c r="I159" s="261">
        <f t="shared" si="20"/>
        <v>36000</v>
      </c>
      <c r="J159" s="205">
        <v>34500</v>
      </c>
      <c r="K159" s="205">
        <v>16276.099712487503</v>
      </c>
      <c r="L159" s="205">
        <v>50776.099712487499</v>
      </c>
      <c r="M159" s="219">
        <f t="shared" si="21"/>
        <v>6000</v>
      </c>
      <c r="N159" s="219">
        <f t="shared" si="22"/>
        <v>16276.099712487503</v>
      </c>
      <c r="O159" s="219">
        <f t="shared" si="23"/>
        <v>22276.099712487503</v>
      </c>
      <c r="P159" s="301">
        <f t="shared" si="24"/>
        <v>5580</v>
      </c>
      <c r="Q159" s="301">
        <f t="shared" si="25"/>
        <v>15136.772732613377</v>
      </c>
      <c r="R159" s="300">
        <f t="shared" si="26"/>
        <v>20716.772732613375</v>
      </c>
    </row>
    <row r="160" spans="1:18" x14ac:dyDescent="0.25">
      <c r="A160" s="210">
        <v>149</v>
      </c>
      <c r="B160" s="152" t="s">
        <v>339</v>
      </c>
      <c r="C160" s="153" t="s">
        <v>153</v>
      </c>
      <c r="D160" s="200">
        <v>28000</v>
      </c>
      <c r="E160" s="173">
        <v>65000</v>
      </c>
      <c r="F160" s="202">
        <f t="shared" si="18"/>
        <v>93000</v>
      </c>
      <c r="G160" s="261">
        <f t="shared" si="19"/>
        <v>22000</v>
      </c>
      <c r="H160" s="262">
        <v>110000</v>
      </c>
      <c r="I160" s="261">
        <f t="shared" si="20"/>
        <v>132000</v>
      </c>
      <c r="J160" s="205">
        <v>134500</v>
      </c>
      <c r="K160" s="205">
        <v>55100.787618530012</v>
      </c>
      <c r="L160" s="205">
        <v>189600.78761853001</v>
      </c>
      <c r="M160" s="219">
        <f t="shared" si="21"/>
        <v>22000</v>
      </c>
      <c r="N160" s="219">
        <f t="shared" si="22"/>
        <v>55100.787618530012</v>
      </c>
      <c r="O160" s="219">
        <f t="shared" si="23"/>
        <v>77100.787618530012</v>
      </c>
      <c r="P160" s="301">
        <f t="shared" si="24"/>
        <v>20460</v>
      </c>
      <c r="Q160" s="301">
        <f t="shared" si="25"/>
        <v>51243.732485232911</v>
      </c>
      <c r="R160" s="300">
        <f t="shared" si="26"/>
        <v>71703.732485232904</v>
      </c>
    </row>
    <row r="161" spans="1:18" x14ac:dyDescent="0.25">
      <c r="A161" s="210">
        <v>150</v>
      </c>
      <c r="B161" s="152" t="s">
        <v>340</v>
      </c>
      <c r="C161" s="153" t="s">
        <v>153</v>
      </c>
      <c r="D161" s="200">
        <v>97000</v>
      </c>
      <c r="E161" s="173">
        <v>246000</v>
      </c>
      <c r="F161" s="202">
        <f t="shared" si="18"/>
        <v>343000</v>
      </c>
      <c r="G161" s="261">
        <f t="shared" si="19"/>
        <v>52000</v>
      </c>
      <c r="H161" s="262">
        <v>260000</v>
      </c>
      <c r="I161" s="261">
        <f t="shared" si="20"/>
        <v>312000</v>
      </c>
      <c r="J161" s="205">
        <v>104500</v>
      </c>
      <c r="K161" s="205">
        <v>293799.76203622576</v>
      </c>
      <c r="L161" s="205">
        <v>398299.76203622576</v>
      </c>
      <c r="M161" s="219">
        <f t="shared" si="21"/>
        <v>52000</v>
      </c>
      <c r="N161" s="219">
        <f t="shared" si="22"/>
        <v>246000</v>
      </c>
      <c r="O161" s="219">
        <f t="shared" si="23"/>
        <v>298000</v>
      </c>
      <c r="P161" s="301">
        <f t="shared" si="24"/>
        <v>48360</v>
      </c>
      <c r="Q161" s="301">
        <f t="shared" si="25"/>
        <v>228780</v>
      </c>
      <c r="R161" s="300">
        <f t="shared" si="26"/>
        <v>277140</v>
      </c>
    </row>
    <row r="162" spans="1:18" x14ac:dyDescent="0.25">
      <c r="A162" s="210">
        <v>151</v>
      </c>
      <c r="B162" s="152" t="s">
        <v>341</v>
      </c>
      <c r="C162" s="153" t="s">
        <v>153</v>
      </c>
      <c r="D162" s="200">
        <v>159000</v>
      </c>
      <c r="E162" s="173">
        <v>477000</v>
      </c>
      <c r="F162" s="202">
        <f t="shared" si="18"/>
        <v>636000</v>
      </c>
      <c r="G162" s="261">
        <f t="shared" si="19"/>
        <v>108000</v>
      </c>
      <c r="H162" s="262">
        <v>540000</v>
      </c>
      <c r="I162" s="261">
        <f t="shared" si="20"/>
        <v>648000</v>
      </c>
      <c r="J162" s="205">
        <v>134500</v>
      </c>
      <c r="K162" s="205">
        <v>404333.16918759409</v>
      </c>
      <c r="L162" s="205">
        <v>538833.16918759409</v>
      </c>
      <c r="M162" s="219">
        <f t="shared" si="21"/>
        <v>108000</v>
      </c>
      <c r="N162" s="219">
        <f t="shared" si="22"/>
        <v>404333.16918759409</v>
      </c>
      <c r="O162" s="219">
        <f t="shared" si="23"/>
        <v>512333.16918759409</v>
      </c>
      <c r="P162" s="301">
        <f t="shared" si="24"/>
        <v>100440</v>
      </c>
      <c r="Q162" s="301">
        <f t="shared" si="25"/>
        <v>376029.84734446253</v>
      </c>
      <c r="R162" s="300">
        <f t="shared" si="26"/>
        <v>476469.84734446253</v>
      </c>
    </row>
    <row r="163" spans="1:18" ht="22.5" x14ac:dyDescent="0.25">
      <c r="A163" s="210"/>
      <c r="B163" s="163" t="s">
        <v>44</v>
      </c>
      <c r="C163" s="153"/>
      <c r="D163" s="200">
        <v>0</v>
      </c>
      <c r="E163" s="173">
        <v>0</v>
      </c>
      <c r="F163" s="202">
        <f t="shared" si="18"/>
        <v>0</v>
      </c>
      <c r="G163" s="261">
        <f t="shared" si="19"/>
        <v>0</v>
      </c>
      <c r="H163" s="262"/>
      <c r="I163" s="261">
        <f t="shared" si="20"/>
        <v>0</v>
      </c>
      <c r="J163" s="205"/>
      <c r="K163" s="205"/>
      <c r="L163" s="205">
        <v>0</v>
      </c>
      <c r="M163" s="219">
        <f t="shared" si="21"/>
        <v>0</v>
      </c>
      <c r="N163" s="219">
        <f t="shared" si="22"/>
        <v>0</v>
      </c>
      <c r="O163" s="219">
        <f t="shared" si="23"/>
        <v>0</v>
      </c>
      <c r="P163" s="301">
        <f t="shared" si="24"/>
        <v>0</v>
      </c>
      <c r="Q163" s="301">
        <f t="shared" si="25"/>
        <v>0</v>
      </c>
      <c r="R163" s="300">
        <f t="shared" si="26"/>
        <v>0</v>
      </c>
    </row>
    <row r="164" spans="1:18" x14ac:dyDescent="0.25">
      <c r="A164" s="210">
        <v>152</v>
      </c>
      <c r="B164" s="158" t="s">
        <v>86</v>
      </c>
      <c r="C164" s="153" t="s">
        <v>153</v>
      </c>
      <c r="D164" s="200">
        <v>22000</v>
      </c>
      <c r="E164" s="173">
        <v>50000</v>
      </c>
      <c r="F164" s="202">
        <f t="shared" si="18"/>
        <v>72000</v>
      </c>
      <c r="G164" s="261">
        <f t="shared" si="19"/>
        <v>160000</v>
      </c>
      <c r="H164" s="262">
        <v>800000</v>
      </c>
      <c r="I164" s="261">
        <f t="shared" si="20"/>
        <v>960000</v>
      </c>
      <c r="J164" s="205">
        <v>164500</v>
      </c>
      <c r="K164" s="205">
        <v>42638.542117825011</v>
      </c>
      <c r="L164" s="205">
        <v>207138.54211782501</v>
      </c>
      <c r="M164" s="219">
        <f t="shared" si="21"/>
        <v>22000</v>
      </c>
      <c r="N164" s="219">
        <f t="shared" si="22"/>
        <v>42638.542117825011</v>
      </c>
      <c r="O164" s="219">
        <f t="shared" si="23"/>
        <v>64638.542117825011</v>
      </c>
      <c r="P164" s="301">
        <f t="shared" si="24"/>
        <v>20460</v>
      </c>
      <c r="Q164" s="301">
        <f t="shared" si="25"/>
        <v>39653.844169577264</v>
      </c>
      <c r="R164" s="300">
        <f t="shared" si="26"/>
        <v>60113.844169577264</v>
      </c>
    </row>
    <row r="165" spans="1:18" x14ac:dyDescent="0.25">
      <c r="A165" s="210">
        <v>153</v>
      </c>
      <c r="B165" s="166" t="s">
        <v>45</v>
      </c>
      <c r="C165" s="153" t="s">
        <v>153</v>
      </c>
      <c r="D165" s="200">
        <v>264000</v>
      </c>
      <c r="E165" s="173">
        <v>607000</v>
      </c>
      <c r="F165" s="202">
        <f t="shared" si="18"/>
        <v>871000</v>
      </c>
      <c r="G165" s="261">
        <f t="shared" si="19"/>
        <v>180000</v>
      </c>
      <c r="H165" s="262">
        <v>900000</v>
      </c>
      <c r="I165" s="261">
        <f t="shared" si="20"/>
        <v>1080000</v>
      </c>
      <c r="J165" s="205">
        <v>224500</v>
      </c>
      <c r="K165" s="205">
        <v>514823.43779684469</v>
      </c>
      <c r="L165" s="205">
        <v>739323.43779684464</v>
      </c>
      <c r="M165" s="219">
        <f t="shared" si="21"/>
        <v>180000</v>
      </c>
      <c r="N165" s="219">
        <f t="shared" si="22"/>
        <v>514823.43779684469</v>
      </c>
      <c r="O165" s="219">
        <f t="shared" si="23"/>
        <v>694823.43779684464</v>
      </c>
      <c r="P165" s="301">
        <f t="shared" si="24"/>
        <v>167400</v>
      </c>
      <c r="Q165" s="301">
        <f t="shared" si="25"/>
        <v>478785.79715106555</v>
      </c>
      <c r="R165" s="300">
        <f t="shared" si="26"/>
        <v>646185.79715106555</v>
      </c>
    </row>
    <row r="166" spans="1:18" x14ac:dyDescent="0.25">
      <c r="A166" s="210">
        <v>154</v>
      </c>
      <c r="B166" s="164" t="s">
        <v>243</v>
      </c>
      <c r="C166" s="153" t="s">
        <v>153</v>
      </c>
      <c r="D166" s="200">
        <v>49000</v>
      </c>
      <c r="E166" s="173">
        <v>123000</v>
      </c>
      <c r="F166" s="202">
        <f t="shared" si="18"/>
        <v>172000</v>
      </c>
      <c r="G166" s="261">
        <f t="shared" si="19"/>
        <v>32000</v>
      </c>
      <c r="H166" s="262">
        <v>160000</v>
      </c>
      <c r="I166" s="261">
        <f t="shared" si="20"/>
        <v>192000</v>
      </c>
      <c r="J166" s="205">
        <v>297500</v>
      </c>
      <c r="K166" s="205">
        <v>359681.90219283733</v>
      </c>
      <c r="L166" s="205">
        <v>657181.90219283733</v>
      </c>
      <c r="M166" s="219">
        <f t="shared" si="21"/>
        <v>32000</v>
      </c>
      <c r="N166" s="219">
        <f t="shared" si="22"/>
        <v>123000</v>
      </c>
      <c r="O166" s="219">
        <f t="shared" si="23"/>
        <v>155000</v>
      </c>
      <c r="P166" s="301">
        <f t="shared" si="24"/>
        <v>29760</v>
      </c>
      <c r="Q166" s="301">
        <f t="shared" si="25"/>
        <v>114390</v>
      </c>
      <c r="R166" s="300">
        <f t="shared" si="26"/>
        <v>144150</v>
      </c>
    </row>
    <row r="167" spans="1:18" x14ac:dyDescent="0.25">
      <c r="A167" s="210">
        <v>155</v>
      </c>
      <c r="B167" s="166" t="s">
        <v>46</v>
      </c>
      <c r="C167" s="153" t="s">
        <v>153</v>
      </c>
      <c r="D167" s="200">
        <v>37000</v>
      </c>
      <c r="E167" s="173">
        <v>84000</v>
      </c>
      <c r="F167" s="202">
        <f t="shared" si="18"/>
        <v>121000</v>
      </c>
      <c r="G167" s="261">
        <f t="shared" si="19"/>
        <v>28000</v>
      </c>
      <c r="H167" s="262">
        <v>140000</v>
      </c>
      <c r="I167" s="261">
        <f t="shared" si="20"/>
        <v>168000</v>
      </c>
      <c r="J167" s="205">
        <v>199500</v>
      </c>
      <c r="K167" s="205">
        <v>71397.570196375003</v>
      </c>
      <c r="L167" s="205">
        <v>270897.57019637502</v>
      </c>
      <c r="M167" s="219">
        <f t="shared" si="21"/>
        <v>28000</v>
      </c>
      <c r="N167" s="219">
        <f t="shared" si="22"/>
        <v>71397.570196375003</v>
      </c>
      <c r="O167" s="219">
        <f t="shared" si="23"/>
        <v>99397.570196375003</v>
      </c>
      <c r="P167" s="301">
        <f t="shared" si="24"/>
        <v>26040</v>
      </c>
      <c r="Q167" s="301">
        <f t="shared" si="25"/>
        <v>66399.740282628758</v>
      </c>
      <c r="R167" s="300">
        <f t="shared" si="26"/>
        <v>92439.740282628758</v>
      </c>
    </row>
    <row r="168" spans="1:18" x14ac:dyDescent="0.25">
      <c r="A168" s="210">
        <v>156</v>
      </c>
      <c r="B168" s="158" t="s">
        <v>87</v>
      </c>
      <c r="C168" s="153" t="s">
        <v>153</v>
      </c>
      <c r="D168" s="200">
        <v>47000</v>
      </c>
      <c r="E168" s="173">
        <v>107000</v>
      </c>
      <c r="F168" s="202">
        <f t="shared" si="18"/>
        <v>154000</v>
      </c>
      <c r="G168" s="261">
        <f t="shared" si="19"/>
        <v>33600</v>
      </c>
      <c r="H168" s="262">
        <v>168000</v>
      </c>
      <c r="I168" s="261">
        <f t="shared" si="20"/>
        <v>201600</v>
      </c>
      <c r="J168" s="205">
        <v>124500</v>
      </c>
      <c r="K168" s="205">
        <v>90570.255582074999</v>
      </c>
      <c r="L168" s="205">
        <v>215070.25558207498</v>
      </c>
      <c r="M168" s="219">
        <f t="shared" si="21"/>
        <v>33600</v>
      </c>
      <c r="N168" s="219">
        <f t="shared" si="22"/>
        <v>90570.255582074999</v>
      </c>
      <c r="O168" s="219">
        <f t="shared" si="23"/>
        <v>124170.255582075</v>
      </c>
      <c r="P168" s="301">
        <f t="shared" si="24"/>
        <v>31248</v>
      </c>
      <c r="Q168" s="301">
        <f t="shared" si="25"/>
        <v>84230.337691329754</v>
      </c>
      <c r="R168" s="300">
        <f t="shared" si="26"/>
        <v>115478.33769132975</v>
      </c>
    </row>
    <row r="169" spans="1:18" x14ac:dyDescent="0.25">
      <c r="A169" s="210">
        <v>157</v>
      </c>
      <c r="B169" s="152" t="s">
        <v>129</v>
      </c>
      <c r="C169" s="153" t="s">
        <v>153</v>
      </c>
      <c r="D169" s="200">
        <v>47000</v>
      </c>
      <c r="E169" s="173">
        <v>107000</v>
      </c>
      <c r="F169" s="202">
        <f t="shared" si="18"/>
        <v>154000</v>
      </c>
      <c r="G169" s="261">
        <f t="shared" si="19"/>
        <v>34800</v>
      </c>
      <c r="H169" s="262">
        <v>174000</v>
      </c>
      <c r="I169" s="261">
        <f t="shared" si="20"/>
        <v>208800</v>
      </c>
      <c r="J169" s="205">
        <v>219500</v>
      </c>
      <c r="K169" s="205">
        <v>90763.899704470605</v>
      </c>
      <c r="L169" s="205">
        <v>310263.89970447059</v>
      </c>
      <c r="M169" s="219">
        <f t="shared" si="21"/>
        <v>34800</v>
      </c>
      <c r="N169" s="219">
        <f t="shared" si="22"/>
        <v>90763.899704470605</v>
      </c>
      <c r="O169" s="219">
        <f t="shared" si="23"/>
        <v>125563.8997044706</v>
      </c>
      <c r="P169" s="301">
        <f t="shared" si="24"/>
        <v>32364</v>
      </c>
      <c r="Q169" s="301">
        <f t="shared" si="25"/>
        <v>84410.426725157668</v>
      </c>
      <c r="R169" s="300">
        <f t="shared" si="26"/>
        <v>116774.42672515767</v>
      </c>
    </row>
    <row r="170" spans="1:18" ht="22.5" x14ac:dyDescent="0.25">
      <c r="A170" s="210"/>
      <c r="B170" s="163" t="s">
        <v>59</v>
      </c>
      <c r="C170" s="153"/>
      <c r="D170" s="200">
        <v>0</v>
      </c>
      <c r="E170" s="173">
        <v>0</v>
      </c>
      <c r="F170" s="202">
        <f t="shared" si="18"/>
        <v>0</v>
      </c>
      <c r="G170" s="261">
        <f t="shared" si="19"/>
        <v>0</v>
      </c>
      <c r="H170" s="262"/>
      <c r="I170" s="261">
        <f t="shared" si="20"/>
        <v>0</v>
      </c>
      <c r="J170" s="205"/>
      <c r="K170" s="205"/>
      <c r="L170" s="205">
        <v>0</v>
      </c>
      <c r="M170" s="219">
        <f t="shared" si="21"/>
        <v>0</v>
      </c>
      <c r="N170" s="219">
        <f t="shared" si="22"/>
        <v>0</v>
      </c>
      <c r="O170" s="219">
        <f t="shared" si="23"/>
        <v>0</v>
      </c>
      <c r="P170" s="301">
        <f t="shared" si="24"/>
        <v>0</v>
      </c>
      <c r="Q170" s="301">
        <f t="shared" si="25"/>
        <v>0</v>
      </c>
      <c r="R170" s="300">
        <f t="shared" si="26"/>
        <v>0</v>
      </c>
    </row>
    <row r="171" spans="1:18" x14ac:dyDescent="0.25">
      <c r="A171" s="210">
        <v>158</v>
      </c>
      <c r="B171" s="166" t="s">
        <v>60</v>
      </c>
      <c r="C171" s="153" t="s">
        <v>153</v>
      </c>
      <c r="D171" s="200">
        <v>54000</v>
      </c>
      <c r="E171" s="173">
        <v>124000</v>
      </c>
      <c r="F171" s="202">
        <f t="shared" si="18"/>
        <v>178000</v>
      </c>
      <c r="G171" s="261">
        <f t="shared" si="19"/>
        <v>36000</v>
      </c>
      <c r="H171" s="262">
        <v>180000</v>
      </c>
      <c r="I171" s="261">
        <f t="shared" si="20"/>
        <v>216000</v>
      </c>
      <c r="J171" s="205">
        <v>64500</v>
      </c>
      <c r="K171" s="205">
        <v>105406.26213053335</v>
      </c>
      <c r="L171" s="205">
        <v>169906.26213053335</v>
      </c>
      <c r="M171" s="219">
        <f t="shared" si="21"/>
        <v>36000</v>
      </c>
      <c r="N171" s="219">
        <f t="shared" si="22"/>
        <v>105406.26213053335</v>
      </c>
      <c r="O171" s="219">
        <f t="shared" si="23"/>
        <v>141406.26213053335</v>
      </c>
      <c r="P171" s="301">
        <f t="shared" si="24"/>
        <v>33480</v>
      </c>
      <c r="Q171" s="301">
        <f t="shared" si="25"/>
        <v>98027.823781396015</v>
      </c>
      <c r="R171" s="300">
        <f t="shared" si="26"/>
        <v>131507.82378139603</v>
      </c>
    </row>
    <row r="172" spans="1:18" x14ac:dyDescent="0.25">
      <c r="A172" s="210">
        <v>159</v>
      </c>
      <c r="B172" s="166" t="s">
        <v>131</v>
      </c>
      <c r="C172" s="153" t="s">
        <v>153</v>
      </c>
      <c r="D172" s="200">
        <v>14000</v>
      </c>
      <c r="E172" s="173">
        <v>31000</v>
      </c>
      <c r="F172" s="202">
        <f t="shared" si="18"/>
        <v>45000</v>
      </c>
      <c r="G172" s="261">
        <f t="shared" si="19"/>
        <v>10000</v>
      </c>
      <c r="H172" s="262">
        <v>50000</v>
      </c>
      <c r="I172" s="261">
        <f t="shared" si="20"/>
        <v>60000</v>
      </c>
      <c r="J172" s="205">
        <v>64500</v>
      </c>
      <c r="K172" s="205">
        <v>26015.823888423103</v>
      </c>
      <c r="L172" s="205">
        <v>90515.823888423096</v>
      </c>
      <c r="M172" s="219">
        <f t="shared" si="21"/>
        <v>10000</v>
      </c>
      <c r="N172" s="219">
        <f t="shared" si="22"/>
        <v>26015.823888423103</v>
      </c>
      <c r="O172" s="219">
        <f t="shared" si="23"/>
        <v>36015.823888423103</v>
      </c>
      <c r="P172" s="301">
        <f t="shared" si="24"/>
        <v>9300</v>
      </c>
      <c r="Q172" s="301">
        <f t="shared" si="25"/>
        <v>24194.716216233486</v>
      </c>
      <c r="R172" s="300">
        <f t="shared" si="26"/>
        <v>33494.716216233486</v>
      </c>
    </row>
    <row r="173" spans="1:18" x14ac:dyDescent="0.25">
      <c r="A173" s="210">
        <v>160</v>
      </c>
      <c r="B173" s="166" t="s">
        <v>244</v>
      </c>
      <c r="C173" s="153" t="s">
        <v>153</v>
      </c>
      <c r="D173" s="200">
        <v>37000</v>
      </c>
      <c r="E173" s="173">
        <v>34000</v>
      </c>
      <c r="F173" s="202">
        <f t="shared" si="18"/>
        <v>71000</v>
      </c>
      <c r="G173" s="261">
        <f t="shared" si="19"/>
        <v>16000</v>
      </c>
      <c r="H173" s="262">
        <v>80000</v>
      </c>
      <c r="I173" s="261">
        <f t="shared" si="20"/>
        <v>96000</v>
      </c>
      <c r="J173" s="205">
        <v>64500</v>
      </c>
      <c r="K173" s="205">
        <v>91520.275382843494</v>
      </c>
      <c r="L173" s="205">
        <v>156020.27538284351</v>
      </c>
      <c r="M173" s="219">
        <f t="shared" si="21"/>
        <v>16000</v>
      </c>
      <c r="N173" s="219">
        <f t="shared" si="22"/>
        <v>34000</v>
      </c>
      <c r="O173" s="219">
        <f t="shared" si="23"/>
        <v>50000</v>
      </c>
      <c r="P173" s="301">
        <f t="shared" si="24"/>
        <v>14880</v>
      </c>
      <c r="Q173" s="301">
        <f t="shared" si="25"/>
        <v>31620</v>
      </c>
      <c r="R173" s="300">
        <f t="shared" si="26"/>
        <v>46500</v>
      </c>
    </row>
    <row r="174" spans="1:18" x14ac:dyDescent="0.25">
      <c r="A174" s="210">
        <v>161</v>
      </c>
      <c r="B174" s="166" t="s">
        <v>61</v>
      </c>
      <c r="C174" s="153" t="s">
        <v>153</v>
      </c>
      <c r="D174" s="200">
        <v>38000</v>
      </c>
      <c r="E174" s="173">
        <v>34000</v>
      </c>
      <c r="F174" s="202">
        <f t="shared" si="18"/>
        <v>72000</v>
      </c>
      <c r="G174" s="261">
        <f t="shared" si="19"/>
        <v>12000</v>
      </c>
      <c r="H174" s="262">
        <v>60000</v>
      </c>
      <c r="I174" s="261">
        <f t="shared" si="20"/>
        <v>72000</v>
      </c>
      <c r="J174" s="205">
        <v>64500</v>
      </c>
      <c r="K174" s="205">
        <v>73079.014704700909</v>
      </c>
      <c r="L174" s="205">
        <v>137579.01470470091</v>
      </c>
      <c r="M174" s="219">
        <f t="shared" si="21"/>
        <v>12000</v>
      </c>
      <c r="N174" s="219">
        <f t="shared" si="22"/>
        <v>34000</v>
      </c>
      <c r="O174" s="219">
        <f t="shared" si="23"/>
        <v>46000</v>
      </c>
      <c r="P174" s="301">
        <f t="shared" si="24"/>
        <v>11160</v>
      </c>
      <c r="Q174" s="301">
        <f t="shared" si="25"/>
        <v>31620</v>
      </c>
      <c r="R174" s="300">
        <f t="shared" si="26"/>
        <v>42780</v>
      </c>
    </row>
    <row r="175" spans="1:18" x14ac:dyDescent="0.25">
      <c r="A175" s="210">
        <v>162</v>
      </c>
      <c r="B175" s="166" t="s">
        <v>118</v>
      </c>
      <c r="C175" s="153" t="s">
        <v>153</v>
      </c>
      <c r="D175" s="200">
        <v>65000</v>
      </c>
      <c r="E175" s="173">
        <v>157000</v>
      </c>
      <c r="F175" s="202">
        <f t="shared" si="18"/>
        <v>222000</v>
      </c>
      <c r="G175" s="261">
        <f t="shared" si="19"/>
        <v>39000</v>
      </c>
      <c r="H175" s="262">
        <v>195000</v>
      </c>
      <c r="I175" s="261">
        <f t="shared" si="20"/>
        <v>234000</v>
      </c>
      <c r="J175" s="205">
        <v>64500</v>
      </c>
      <c r="K175" s="205">
        <v>132880.53769123773</v>
      </c>
      <c r="L175" s="205">
        <v>197380.53769123773</v>
      </c>
      <c r="M175" s="219">
        <f t="shared" si="21"/>
        <v>39000</v>
      </c>
      <c r="N175" s="219">
        <f t="shared" si="22"/>
        <v>132880.53769123773</v>
      </c>
      <c r="O175" s="219">
        <f t="shared" si="23"/>
        <v>171880.53769123773</v>
      </c>
      <c r="P175" s="301">
        <f t="shared" si="24"/>
        <v>36270</v>
      </c>
      <c r="Q175" s="301">
        <f t="shared" si="25"/>
        <v>123578.90005285108</v>
      </c>
      <c r="R175" s="300">
        <f t="shared" si="26"/>
        <v>159848.90005285107</v>
      </c>
    </row>
    <row r="176" spans="1:18" x14ac:dyDescent="0.25">
      <c r="A176" s="210">
        <v>163</v>
      </c>
      <c r="B176" s="166" t="s">
        <v>247</v>
      </c>
      <c r="C176" s="153" t="s">
        <v>153</v>
      </c>
      <c r="D176" s="200">
        <v>7000</v>
      </c>
      <c r="E176" s="173">
        <v>15000</v>
      </c>
      <c r="F176" s="202">
        <f t="shared" si="18"/>
        <v>22000</v>
      </c>
      <c r="G176" s="261">
        <f t="shared" si="19"/>
        <v>4000</v>
      </c>
      <c r="H176" s="262">
        <v>20000</v>
      </c>
      <c r="I176" s="261">
        <f t="shared" si="20"/>
        <v>24000</v>
      </c>
      <c r="J176" s="205">
        <v>64500</v>
      </c>
      <c r="K176" s="205">
        <v>12850</v>
      </c>
      <c r="L176" s="205">
        <v>77350</v>
      </c>
      <c r="M176" s="219">
        <f t="shared" si="21"/>
        <v>4000</v>
      </c>
      <c r="N176" s="219">
        <f t="shared" si="22"/>
        <v>12850</v>
      </c>
      <c r="O176" s="219">
        <f t="shared" si="23"/>
        <v>16850</v>
      </c>
      <c r="P176" s="301">
        <f t="shared" si="24"/>
        <v>3720</v>
      </c>
      <c r="Q176" s="301">
        <f t="shared" si="25"/>
        <v>11950.5</v>
      </c>
      <c r="R176" s="300">
        <f t="shared" si="26"/>
        <v>15670.5</v>
      </c>
    </row>
    <row r="177" spans="1:18" x14ac:dyDescent="0.25">
      <c r="A177" s="210">
        <v>164</v>
      </c>
      <c r="B177" s="166" t="s">
        <v>248</v>
      </c>
      <c r="C177" s="153" t="s">
        <v>153</v>
      </c>
      <c r="D177" s="200">
        <v>13000</v>
      </c>
      <c r="E177" s="173">
        <v>30000</v>
      </c>
      <c r="F177" s="202">
        <f t="shared" si="18"/>
        <v>43000</v>
      </c>
      <c r="G177" s="261">
        <f t="shared" si="19"/>
        <v>8000</v>
      </c>
      <c r="H177" s="262">
        <v>40000</v>
      </c>
      <c r="I177" s="261">
        <f t="shared" si="20"/>
        <v>48000</v>
      </c>
      <c r="J177" s="205">
        <v>64500</v>
      </c>
      <c r="K177" s="205">
        <v>25750.362835213498</v>
      </c>
      <c r="L177" s="205">
        <v>90250.362835213498</v>
      </c>
      <c r="M177" s="219">
        <f t="shared" si="21"/>
        <v>8000</v>
      </c>
      <c r="N177" s="219">
        <f t="shared" si="22"/>
        <v>25750.362835213498</v>
      </c>
      <c r="O177" s="219">
        <f t="shared" si="23"/>
        <v>33750.362835213498</v>
      </c>
      <c r="P177" s="301">
        <f t="shared" si="24"/>
        <v>7440</v>
      </c>
      <c r="Q177" s="301">
        <f t="shared" si="25"/>
        <v>23947.837436748552</v>
      </c>
      <c r="R177" s="300">
        <f t="shared" si="26"/>
        <v>31387.837436748552</v>
      </c>
    </row>
    <row r="178" spans="1:18" x14ac:dyDescent="0.25">
      <c r="A178" s="210">
        <v>165</v>
      </c>
      <c r="B178" s="166" t="s">
        <v>249</v>
      </c>
      <c r="C178" s="153" t="s">
        <v>153</v>
      </c>
      <c r="D178" s="200">
        <v>11000</v>
      </c>
      <c r="E178" s="173">
        <v>28000</v>
      </c>
      <c r="F178" s="202">
        <f t="shared" si="18"/>
        <v>39000</v>
      </c>
      <c r="G178" s="261">
        <f t="shared" si="19"/>
        <v>6000</v>
      </c>
      <c r="H178" s="262">
        <v>30000</v>
      </c>
      <c r="I178" s="261">
        <f t="shared" si="20"/>
        <v>36000</v>
      </c>
      <c r="J178" s="205">
        <v>64500</v>
      </c>
      <c r="K178" s="205">
        <v>23371.611791096668</v>
      </c>
      <c r="L178" s="205">
        <v>87871.611791096671</v>
      </c>
      <c r="M178" s="219">
        <f t="shared" si="21"/>
        <v>6000</v>
      </c>
      <c r="N178" s="219">
        <f t="shared" si="22"/>
        <v>23371.611791096668</v>
      </c>
      <c r="O178" s="219">
        <f t="shared" si="23"/>
        <v>29371.611791096668</v>
      </c>
      <c r="P178" s="301">
        <f t="shared" si="24"/>
        <v>5580</v>
      </c>
      <c r="Q178" s="301">
        <f t="shared" si="25"/>
        <v>21735.598965719902</v>
      </c>
      <c r="R178" s="300">
        <f t="shared" si="26"/>
        <v>27315.598965719902</v>
      </c>
    </row>
    <row r="179" spans="1:18" ht="22.5" x14ac:dyDescent="0.25">
      <c r="A179" s="210"/>
      <c r="B179" s="165" t="s">
        <v>47</v>
      </c>
      <c r="C179" s="153"/>
      <c r="D179" s="200">
        <v>0</v>
      </c>
      <c r="E179" s="173">
        <v>0</v>
      </c>
      <c r="F179" s="202">
        <f t="shared" si="18"/>
        <v>0</v>
      </c>
      <c r="G179" s="261">
        <f t="shared" si="19"/>
        <v>0</v>
      </c>
      <c r="H179" s="262"/>
      <c r="I179" s="261">
        <f t="shared" si="20"/>
        <v>0</v>
      </c>
      <c r="J179" s="205"/>
      <c r="K179" s="205"/>
      <c r="L179" s="205">
        <v>0</v>
      </c>
      <c r="M179" s="219">
        <f t="shared" si="21"/>
        <v>0</v>
      </c>
      <c r="N179" s="219">
        <f t="shared" si="22"/>
        <v>0</v>
      </c>
      <c r="O179" s="219">
        <f t="shared" si="23"/>
        <v>0</v>
      </c>
      <c r="P179" s="301">
        <f t="shared" si="24"/>
        <v>0</v>
      </c>
      <c r="Q179" s="301">
        <f t="shared" si="25"/>
        <v>0</v>
      </c>
      <c r="R179" s="300">
        <f t="shared" si="26"/>
        <v>0</v>
      </c>
    </row>
    <row r="180" spans="1:18" x14ac:dyDescent="0.25">
      <c r="A180" s="210">
        <v>166</v>
      </c>
      <c r="B180" s="166" t="s">
        <v>48</v>
      </c>
      <c r="C180" s="153" t="s">
        <v>153</v>
      </c>
      <c r="D180" s="200">
        <v>259000</v>
      </c>
      <c r="E180" s="173">
        <v>803000</v>
      </c>
      <c r="F180" s="202">
        <f t="shared" si="18"/>
        <v>1062000</v>
      </c>
      <c r="G180" s="261">
        <f t="shared" si="19"/>
        <v>240000</v>
      </c>
      <c r="H180" s="262">
        <v>1200000</v>
      </c>
      <c r="I180" s="261">
        <f t="shared" si="20"/>
        <v>1440000</v>
      </c>
      <c r="J180" s="205">
        <v>219500</v>
      </c>
      <c r="K180" s="205">
        <v>680702.63585111324</v>
      </c>
      <c r="L180" s="205">
        <v>900202.63585111324</v>
      </c>
      <c r="M180" s="219">
        <f t="shared" si="21"/>
        <v>219500</v>
      </c>
      <c r="N180" s="219">
        <f t="shared" si="22"/>
        <v>680702.63585111324</v>
      </c>
      <c r="O180" s="219">
        <f t="shared" si="23"/>
        <v>900202.63585111324</v>
      </c>
      <c r="P180" s="301">
        <f t="shared" si="24"/>
        <v>204135</v>
      </c>
      <c r="Q180" s="301">
        <f t="shared" si="25"/>
        <v>633053.45134153531</v>
      </c>
      <c r="R180" s="300">
        <f t="shared" si="26"/>
        <v>837188.45134153531</v>
      </c>
    </row>
    <row r="181" spans="1:18" x14ac:dyDescent="0.25">
      <c r="A181" s="210">
        <v>167</v>
      </c>
      <c r="B181" s="166" t="s">
        <v>49</v>
      </c>
      <c r="C181" s="153" t="s">
        <v>153</v>
      </c>
      <c r="D181" s="200">
        <v>238000</v>
      </c>
      <c r="E181" s="173">
        <v>549000</v>
      </c>
      <c r="F181" s="202">
        <f t="shared" si="18"/>
        <v>787000</v>
      </c>
      <c r="G181" s="261">
        <f t="shared" si="19"/>
        <v>176000</v>
      </c>
      <c r="H181" s="262">
        <v>880000</v>
      </c>
      <c r="I181" s="261">
        <f t="shared" si="20"/>
        <v>1056000</v>
      </c>
      <c r="J181" s="205">
        <v>219500</v>
      </c>
      <c r="K181" s="205">
        <v>465012.80116479605</v>
      </c>
      <c r="L181" s="205">
        <v>684512.80116479611</v>
      </c>
      <c r="M181" s="219">
        <f t="shared" si="21"/>
        <v>176000</v>
      </c>
      <c r="N181" s="219">
        <f t="shared" si="22"/>
        <v>465012.80116479605</v>
      </c>
      <c r="O181" s="219">
        <f t="shared" si="23"/>
        <v>641012.80116479611</v>
      </c>
      <c r="P181" s="301">
        <f t="shared" si="24"/>
        <v>163680</v>
      </c>
      <c r="Q181" s="301">
        <f t="shared" si="25"/>
        <v>432461.90508326032</v>
      </c>
      <c r="R181" s="300">
        <f t="shared" si="26"/>
        <v>596141.90508326027</v>
      </c>
    </row>
    <row r="182" spans="1:18" x14ac:dyDescent="0.25">
      <c r="A182" s="210">
        <v>168</v>
      </c>
      <c r="B182" s="213" t="s">
        <v>379</v>
      </c>
      <c r="C182" s="153" t="s">
        <v>153</v>
      </c>
      <c r="D182" s="200">
        <v>116000</v>
      </c>
      <c r="E182" s="173">
        <v>268000</v>
      </c>
      <c r="F182" s="202">
        <f t="shared" si="18"/>
        <v>384000</v>
      </c>
      <c r="G182" s="261">
        <f t="shared" si="19"/>
        <v>90000</v>
      </c>
      <c r="H182" s="262">
        <v>450000</v>
      </c>
      <c r="I182" s="261">
        <f t="shared" si="20"/>
        <v>540000</v>
      </c>
      <c r="J182" s="205">
        <v>184500</v>
      </c>
      <c r="K182" s="205">
        <v>226718.37040873858</v>
      </c>
      <c r="L182" s="205">
        <v>411218.37040873861</v>
      </c>
      <c r="M182" s="219">
        <f t="shared" si="21"/>
        <v>90000</v>
      </c>
      <c r="N182" s="219">
        <f t="shared" si="22"/>
        <v>226718.37040873858</v>
      </c>
      <c r="O182" s="219">
        <f t="shared" si="23"/>
        <v>316718.37040873861</v>
      </c>
      <c r="P182" s="301">
        <f t="shared" si="24"/>
        <v>83700</v>
      </c>
      <c r="Q182" s="301">
        <f t="shared" si="25"/>
        <v>210848.08448012688</v>
      </c>
      <c r="R182" s="300">
        <f t="shared" si="26"/>
        <v>294548.08448012685</v>
      </c>
    </row>
    <row r="183" spans="1:18" x14ac:dyDescent="0.25">
      <c r="A183" s="210">
        <v>169</v>
      </c>
      <c r="B183" s="213" t="s">
        <v>148</v>
      </c>
      <c r="C183" s="153" t="s">
        <v>153</v>
      </c>
      <c r="D183" s="200">
        <v>110000</v>
      </c>
      <c r="E183" s="173">
        <v>254000</v>
      </c>
      <c r="F183" s="202">
        <f t="shared" si="18"/>
        <v>364000</v>
      </c>
      <c r="G183" s="261">
        <f t="shared" si="19"/>
        <v>80000</v>
      </c>
      <c r="H183" s="262">
        <v>400000</v>
      </c>
      <c r="I183" s="261">
        <f t="shared" si="20"/>
        <v>480000</v>
      </c>
      <c r="J183" s="205">
        <v>184500</v>
      </c>
      <c r="K183" s="205">
        <v>215211.88327451074</v>
      </c>
      <c r="L183" s="205">
        <v>399711.88327451074</v>
      </c>
      <c r="M183" s="219">
        <f t="shared" si="21"/>
        <v>80000</v>
      </c>
      <c r="N183" s="219">
        <f t="shared" si="22"/>
        <v>215211.88327451074</v>
      </c>
      <c r="O183" s="219">
        <f t="shared" si="23"/>
        <v>295211.88327451074</v>
      </c>
      <c r="P183" s="301">
        <f t="shared" si="24"/>
        <v>74400</v>
      </c>
      <c r="Q183" s="301">
        <f t="shared" si="25"/>
        <v>200147.05144529499</v>
      </c>
      <c r="R183" s="300">
        <f t="shared" si="26"/>
        <v>274547.05144529499</v>
      </c>
    </row>
    <row r="184" spans="1:18" x14ac:dyDescent="0.25">
      <c r="A184" s="210">
        <v>170</v>
      </c>
      <c r="B184" s="166" t="s">
        <v>322</v>
      </c>
      <c r="C184" s="153" t="s">
        <v>153</v>
      </c>
      <c r="D184" s="200">
        <v>17000</v>
      </c>
      <c r="E184" s="173">
        <v>39000</v>
      </c>
      <c r="F184" s="202">
        <f t="shared" si="18"/>
        <v>56000</v>
      </c>
      <c r="G184" s="261">
        <f t="shared" si="19"/>
        <v>14000</v>
      </c>
      <c r="H184" s="262">
        <v>70000</v>
      </c>
      <c r="I184" s="261">
        <f t="shared" si="20"/>
        <v>84000</v>
      </c>
      <c r="J184" s="205">
        <v>94500</v>
      </c>
      <c r="K184" s="205">
        <v>33052.199424975006</v>
      </c>
      <c r="L184" s="205">
        <v>127552.199424975</v>
      </c>
      <c r="M184" s="219">
        <f t="shared" si="21"/>
        <v>14000</v>
      </c>
      <c r="N184" s="219">
        <f t="shared" si="22"/>
        <v>33052.199424975006</v>
      </c>
      <c r="O184" s="219">
        <f t="shared" si="23"/>
        <v>47052.199424975006</v>
      </c>
      <c r="P184" s="301">
        <f t="shared" si="24"/>
        <v>13020</v>
      </c>
      <c r="Q184" s="301">
        <f t="shared" si="25"/>
        <v>30738.545465226754</v>
      </c>
      <c r="R184" s="300">
        <f t="shared" si="26"/>
        <v>43758.545465226751</v>
      </c>
    </row>
    <row r="185" spans="1:18" x14ac:dyDescent="0.25">
      <c r="A185" s="210">
        <v>171</v>
      </c>
      <c r="B185" s="166" t="s">
        <v>50</v>
      </c>
      <c r="C185" s="153" t="s">
        <v>153</v>
      </c>
      <c r="D185" s="200">
        <v>32000</v>
      </c>
      <c r="E185" s="173">
        <v>82000</v>
      </c>
      <c r="F185" s="202">
        <f t="shared" si="18"/>
        <v>114000</v>
      </c>
      <c r="G185" s="261">
        <f t="shared" si="19"/>
        <v>20000</v>
      </c>
      <c r="H185" s="262">
        <v>100000</v>
      </c>
      <c r="I185" s="261">
        <f t="shared" si="20"/>
        <v>120000</v>
      </c>
      <c r="J185" s="205">
        <v>94500</v>
      </c>
      <c r="K185" s="205">
        <v>145212.40893132001</v>
      </c>
      <c r="L185" s="205">
        <v>239712.40893132001</v>
      </c>
      <c r="M185" s="219">
        <f t="shared" si="21"/>
        <v>20000</v>
      </c>
      <c r="N185" s="219">
        <f t="shared" si="22"/>
        <v>82000</v>
      </c>
      <c r="O185" s="219">
        <f t="shared" si="23"/>
        <v>102000</v>
      </c>
      <c r="P185" s="301">
        <f t="shared" si="24"/>
        <v>18600</v>
      </c>
      <c r="Q185" s="301">
        <f t="shared" si="25"/>
        <v>76260</v>
      </c>
      <c r="R185" s="300">
        <f t="shared" si="26"/>
        <v>94860</v>
      </c>
    </row>
    <row r="186" spans="1:18" x14ac:dyDescent="0.25">
      <c r="A186" s="210">
        <v>172</v>
      </c>
      <c r="B186" s="166" t="s">
        <v>51</v>
      </c>
      <c r="C186" s="153" t="s">
        <v>153</v>
      </c>
      <c r="D186" s="200">
        <v>40000</v>
      </c>
      <c r="E186" s="173">
        <v>102000</v>
      </c>
      <c r="F186" s="202">
        <f t="shared" si="18"/>
        <v>142000</v>
      </c>
      <c r="G186" s="261">
        <f t="shared" si="19"/>
        <v>30000</v>
      </c>
      <c r="H186" s="262">
        <v>150000</v>
      </c>
      <c r="I186" s="261">
        <f t="shared" si="20"/>
        <v>180000</v>
      </c>
      <c r="J186" s="205">
        <v>94500</v>
      </c>
      <c r="K186" s="205">
        <v>215192.71058912502</v>
      </c>
      <c r="L186" s="205">
        <v>309692.71058912505</v>
      </c>
      <c r="M186" s="219">
        <f t="shared" si="21"/>
        <v>30000</v>
      </c>
      <c r="N186" s="219">
        <f t="shared" si="22"/>
        <v>102000</v>
      </c>
      <c r="O186" s="219">
        <f t="shared" si="23"/>
        <v>132000</v>
      </c>
      <c r="P186" s="301">
        <f t="shared" si="24"/>
        <v>27900</v>
      </c>
      <c r="Q186" s="301">
        <f t="shared" si="25"/>
        <v>94860</v>
      </c>
      <c r="R186" s="300">
        <f t="shared" si="26"/>
        <v>122760</v>
      </c>
    </row>
    <row r="187" spans="1:18" x14ac:dyDescent="0.25">
      <c r="A187" s="210">
        <v>173</v>
      </c>
      <c r="B187" s="166" t="s">
        <v>52</v>
      </c>
      <c r="C187" s="153" t="s">
        <v>153</v>
      </c>
      <c r="D187" s="200">
        <v>119000</v>
      </c>
      <c r="E187" s="173">
        <v>299000</v>
      </c>
      <c r="F187" s="202">
        <f t="shared" si="18"/>
        <v>418000</v>
      </c>
      <c r="G187" s="261">
        <f t="shared" si="19"/>
        <v>76000</v>
      </c>
      <c r="H187" s="262">
        <v>380000</v>
      </c>
      <c r="I187" s="261">
        <f t="shared" si="20"/>
        <v>456000</v>
      </c>
      <c r="J187" s="205">
        <v>134500</v>
      </c>
      <c r="K187" s="205">
        <v>253538.08136052502</v>
      </c>
      <c r="L187" s="205">
        <v>388038.08136052499</v>
      </c>
      <c r="M187" s="219">
        <f t="shared" si="21"/>
        <v>76000</v>
      </c>
      <c r="N187" s="219">
        <f t="shared" si="22"/>
        <v>253538.08136052502</v>
      </c>
      <c r="O187" s="219">
        <f t="shared" si="23"/>
        <v>329538.08136052499</v>
      </c>
      <c r="P187" s="301">
        <f t="shared" si="24"/>
        <v>70680</v>
      </c>
      <c r="Q187" s="301">
        <f t="shared" si="25"/>
        <v>235790.41566528825</v>
      </c>
      <c r="R187" s="300">
        <f t="shared" si="26"/>
        <v>306470.41566528822</v>
      </c>
    </row>
    <row r="188" spans="1:18" x14ac:dyDescent="0.25">
      <c r="A188" s="210">
        <v>174</v>
      </c>
      <c r="B188" s="166" t="s">
        <v>53</v>
      </c>
      <c r="C188" s="153" t="s">
        <v>153</v>
      </c>
      <c r="D188" s="200">
        <v>123000</v>
      </c>
      <c r="E188" s="173">
        <v>322000</v>
      </c>
      <c r="F188" s="202">
        <f t="shared" si="18"/>
        <v>445000</v>
      </c>
      <c r="G188" s="261">
        <f t="shared" si="19"/>
        <v>80000</v>
      </c>
      <c r="H188" s="262">
        <v>400000</v>
      </c>
      <c r="I188" s="261">
        <f t="shared" si="20"/>
        <v>480000</v>
      </c>
      <c r="J188" s="205">
        <v>104500</v>
      </c>
      <c r="K188" s="205">
        <v>272710.76674622507</v>
      </c>
      <c r="L188" s="205">
        <v>377210.76674622507</v>
      </c>
      <c r="M188" s="219">
        <f t="shared" si="21"/>
        <v>80000</v>
      </c>
      <c r="N188" s="219">
        <f t="shared" si="22"/>
        <v>272710.76674622507</v>
      </c>
      <c r="O188" s="219">
        <f t="shared" si="23"/>
        <v>352710.76674622507</v>
      </c>
      <c r="P188" s="301">
        <f t="shared" si="24"/>
        <v>74400</v>
      </c>
      <c r="Q188" s="301">
        <f t="shared" si="25"/>
        <v>253621.01307398931</v>
      </c>
      <c r="R188" s="300">
        <f t="shared" si="26"/>
        <v>328021.01307398931</v>
      </c>
    </row>
    <row r="189" spans="1:18" x14ac:dyDescent="0.25">
      <c r="A189" s="210">
        <v>175</v>
      </c>
      <c r="B189" s="166" t="s">
        <v>54</v>
      </c>
      <c r="C189" s="153" t="s">
        <v>153</v>
      </c>
      <c r="D189" s="200">
        <v>157000</v>
      </c>
      <c r="E189" s="173">
        <v>396000</v>
      </c>
      <c r="F189" s="202">
        <f t="shared" si="18"/>
        <v>553000</v>
      </c>
      <c r="G189" s="261">
        <f t="shared" si="19"/>
        <v>100000</v>
      </c>
      <c r="H189" s="262">
        <v>500000</v>
      </c>
      <c r="I189" s="261">
        <f t="shared" si="20"/>
        <v>600000</v>
      </c>
      <c r="J189" s="205">
        <v>224500</v>
      </c>
      <c r="K189" s="205">
        <v>349401.50828902505</v>
      </c>
      <c r="L189" s="205">
        <v>573901.50828902505</v>
      </c>
      <c r="M189" s="219">
        <f t="shared" si="21"/>
        <v>100000</v>
      </c>
      <c r="N189" s="219">
        <f t="shared" si="22"/>
        <v>349401.50828902505</v>
      </c>
      <c r="O189" s="219">
        <f t="shared" si="23"/>
        <v>449401.50828902505</v>
      </c>
      <c r="P189" s="301">
        <f t="shared" si="24"/>
        <v>93000</v>
      </c>
      <c r="Q189" s="301">
        <f t="shared" si="25"/>
        <v>324943.40270879329</v>
      </c>
      <c r="R189" s="300">
        <f t="shared" si="26"/>
        <v>417943.40270879329</v>
      </c>
    </row>
    <row r="190" spans="1:18" x14ac:dyDescent="0.25">
      <c r="A190" s="210">
        <v>176</v>
      </c>
      <c r="B190" s="166" t="s">
        <v>251</v>
      </c>
      <c r="C190" s="153" t="s">
        <v>153</v>
      </c>
      <c r="D190" s="200">
        <v>235000</v>
      </c>
      <c r="E190" s="173">
        <v>675000</v>
      </c>
      <c r="F190" s="202">
        <f t="shared" si="18"/>
        <v>910000</v>
      </c>
      <c r="G190" s="261">
        <f t="shared" si="19"/>
        <v>200000</v>
      </c>
      <c r="H190" s="262">
        <v>1000000</v>
      </c>
      <c r="I190" s="261">
        <f t="shared" si="20"/>
        <v>1200000</v>
      </c>
      <c r="J190" s="205">
        <v>199500</v>
      </c>
      <c r="K190" s="205">
        <v>571612.93190928793</v>
      </c>
      <c r="L190" s="205">
        <v>771112.93190928793</v>
      </c>
      <c r="M190" s="219">
        <f t="shared" si="21"/>
        <v>199500</v>
      </c>
      <c r="N190" s="219">
        <f t="shared" si="22"/>
        <v>571612.93190928793</v>
      </c>
      <c r="O190" s="219">
        <f t="shared" si="23"/>
        <v>771112.93190928793</v>
      </c>
      <c r="P190" s="301">
        <f t="shared" si="24"/>
        <v>185535</v>
      </c>
      <c r="Q190" s="301">
        <f t="shared" si="25"/>
        <v>531600.02667563781</v>
      </c>
      <c r="R190" s="300">
        <f t="shared" si="26"/>
        <v>717135.02667563781</v>
      </c>
    </row>
    <row r="191" spans="1:18" x14ac:dyDescent="0.25">
      <c r="A191" s="210">
        <v>177</v>
      </c>
      <c r="B191" s="166" t="s">
        <v>252</v>
      </c>
      <c r="C191" s="153" t="s">
        <v>153</v>
      </c>
      <c r="D191" s="200">
        <v>235000</v>
      </c>
      <c r="E191" s="173">
        <v>682000</v>
      </c>
      <c r="F191" s="202">
        <f t="shared" si="18"/>
        <v>917000</v>
      </c>
      <c r="G191" s="261">
        <f t="shared" si="19"/>
        <v>170000</v>
      </c>
      <c r="H191" s="262">
        <v>850000</v>
      </c>
      <c r="I191" s="261">
        <f t="shared" si="20"/>
        <v>1020000</v>
      </c>
      <c r="J191" s="205">
        <v>199500</v>
      </c>
      <c r="K191" s="205">
        <v>578000</v>
      </c>
      <c r="L191" s="205">
        <v>777500</v>
      </c>
      <c r="M191" s="219">
        <f t="shared" si="21"/>
        <v>170000</v>
      </c>
      <c r="N191" s="219">
        <f t="shared" si="22"/>
        <v>578000</v>
      </c>
      <c r="O191" s="219">
        <f t="shared" si="23"/>
        <v>748000</v>
      </c>
      <c r="P191" s="301">
        <f t="shared" si="24"/>
        <v>158100</v>
      </c>
      <c r="Q191" s="301">
        <f t="shared" si="25"/>
        <v>537540</v>
      </c>
      <c r="R191" s="300">
        <f t="shared" si="26"/>
        <v>695640</v>
      </c>
    </row>
    <row r="192" spans="1:18" x14ac:dyDescent="0.25">
      <c r="A192" s="210">
        <v>178</v>
      </c>
      <c r="B192" s="213" t="s">
        <v>58</v>
      </c>
      <c r="C192" s="153" t="s">
        <v>153</v>
      </c>
      <c r="D192" s="200">
        <v>117000</v>
      </c>
      <c r="E192" s="173">
        <v>269000</v>
      </c>
      <c r="F192" s="202">
        <f t="shared" si="18"/>
        <v>386000</v>
      </c>
      <c r="G192" s="261">
        <f t="shared" si="19"/>
        <v>80000</v>
      </c>
      <c r="H192" s="262">
        <v>400000</v>
      </c>
      <c r="I192" s="261">
        <f t="shared" si="20"/>
        <v>480000</v>
      </c>
      <c r="J192" s="205">
        <v>422325</v>
      </c>
      <c r="K192" s="205">
        <v>227746.25459166666</v>
      </c>
      <c r="L192" s="205">
        <v>650071.25459166663</v>
      </c>
      <c r="M192" s="219">
        <f t="shared" si="21"/>
        <v>80000</v>
      </c>
      <c r="N192" s="219">
        <f t="shared" si="22"/>
        <v>227746.25459166666</v>
      </c>
      <c r="O192" s="219">
        <f t="shared" si="23"/>
        <v>307746.25459166663</v>
      </c>
      <c r="P192" s="301">
        <f t="shared" si="24"/>
        <v>74400</v>
      </c>
      <c r="Q192" s="301">
        <f t="shared" si="25"/>
        <v>211804.01677024999</v>
      </c>
      <c r="R192" s="300">
        <f t="shared" si="26"/>
        <v>286204.01677024999</v>
      </c>
    </row>
    <row r="193" spans="1:18" x14ac:dyDescent="0.25">
      <c r="A193" s="210">
        <v>179</v>
      </c>
      <c r="B193" s="213" t="s">
        <v>136</v>
      </c>
      <c r="C193" s="153" t="s">
        <v>153</v>
      </c>
      <c r="D193" s="200">
        <v>1682000</v>
      </c>
      <c r="E193" s="173">
        <v>3074000</v>
      </c>
      <c r="F193" s="202">
        <f t="shared" si="18"/>
        <v>4756000</v>
      </c>
      <c r="G193" s="261">
        <f t="shared" si="19"/>
        <v>810000</v>
      </c>
      <c r="H193" s="262">
        <v>4050000</v>
      </c>
      <c r="I193" s="261">
        <f t="shared" si="20"/>
        <v>4860000</v>
      </c>
      <c r="J193" s="205">
        <v>2907565</v>
      </c>
      <c r="K193" s="205">
        <v>4160381.1068956153</v>
      </c>
      <c r="L193" s="205">
        <v>7067946.1068956153</v>
      </c>
      <c r="M193" s="219">
        <f t="shared" si="21"/>
        <v>810000</v>
      </c>
      <c r="N193" s="219">
        <f t="shared" si="22"/>
        <v>3074000</v>
      </c>
      <c r="O193" s="219">
        <f t="shared" si="23"/>
        <v>3884000</v>
      </c>
      <c r="P193" s="301">
        <f t="shared" si="24"/>
        <v>753300</v>
      </c>
      <c r="Q193" s="301">
        <f t="shared" si="25"/>
        <v>2858820</v>
      </c>
      <c r="R193" s="300">
        <f t="shared" si="26"/>
        <v>3612120</v>
      </c>
    </row>
    <row r="194" spans="1:18" ht="22.5" x14ac:dyDescent="0.25">
      <c r="A194" s="210"/>
      <c r="B194" s="163" t="s">
        <v>98</v>
      </c>
      <c r="C194" s="153"/>
      <c r="D194" s="200">
        <v>0</v>
      </c>
      <c r="E194" s="173">
        <v>0</v>
      </c>
      <c r="F194" s="202">
        <f t="shared" si="18"/>
        <v>0</v>
      </c>
      <c r="G194" s="261">
        <f t="shared" si="19"/>
        <v>0</v>
      </c>
      <c r="H194" s="262"/>
      <c r="I194" s="261">
        <f t="shared" si="20"/>
        <v>0</v>
      </c>
      <c r="J194" s="205"/>
      <c r="K194" s="205"/>
      <c r="L194" s="205">
        <v>0</v>
      </c>
      <c r="M194" s="219">
        <f t="shared" si="21"/>
        <v>0</v>
      </c>
      <c r="N194" s="219">
        <f t="shared" si="22"/>
        <v>0</v>
      </c>
      <c r="O194" s="219">
        <f t="shared" si="23"/>
        <v>0</v>
      </c>
      <c r="P194" s="301">
        <f t="shared" si="24"/>
        <v>0</v>
      </c>
      <c r="Q194" s="301">
        <f t="shared" si="25"/>
        <v>0</v>
      </c>
      <c r="R194" s="300">
        <f t="shared" si="26"/>
        <v>0</v>
      </c>
    </row>
    <row r="195" spans="1:18" x14ac:dyDescent="0.25">
      <c r="A195" s="210">
        <v>180</v>
      </c>
      <c r="B195" s="166" t="s">
        <v>254</v>
      </c>
      <c r="C195" s="153" t="s">
        <v>153</v>
      </c>
      <c r="D195" s="200">
        <v>32000</v>
      </c>
      <c r="E195" s="173">
        <v>73000</v>
      </c>
      <c r="F195" s="202">
        <f t="shared" si="18"/>
        <v>105000</v>
      </c>
      <c r="G195" s="261">
        <f t="shared" si="19"/>
        <v>20000</v>
      </c>
      <c r="H195" s="262">
        <v>100000</v>
      </c>
      <c r="I195" s="261">
        <f t="shared" si="20"/>
        <v>120000</v>
      </c>
      <c r="J195" s="205">
        <v>44500</v>
      </c>
      <c r="K195" s="205">
        <v>61828.753593577589</v>
      </c>
      <c r="L195" s="205">
        <v>106328.7535935776</v>
      </c>
      <c r="M195" s="219">
        <f t="shared" si="21"/>
        <v>20000</v>
      </c>
      <c r="N195" s="219">
        <f t="shared" si="22"/>
        <v>61828.753593577589</v>
      </c>
      <c r="O195" s="219">
        <f t="shared" si="23"/>
        <v>81828.753593577596</v>
      </c>
      <c r="P195" s="301">
        <f t="shared" si="24"/>
        <v>18600</v>
      </c>
      <c r="Q195" s="301">
        <f t="shared" si="25"/>
        <v>57500.740842027153</v>
      </c>
      <c r="R195" s="300">
        <f t="shared" si="26"/>
        <v>76100.740842027153</v>
      </c>
    </row>
    <row r="196" spans="1:18" x14ac:dyDescent="0.25">
      <c r="A196" s="210">
        <v>181</v>
      </c>
      <c r="B196" s="166" t="s">
        <v>255</v>
      </c>
      <c r="C196" s="153" t="s">
        <v>153</v>
      </c>
      <c r="D196" s="200">
        <v>144000</v>
      </c>
      <c r="E196" s="173">
        <v>769000</v>
      </c>
      <c r="F196" s="202">
        <f t="shared" si="18"/>
        <v>913000</v>
      </c>
      <c r="G196" s="261">
        <f t="shared" si="19"/>
        <v>156000</v>
      </c>
      <c r="H196" s="262">
        <v>780000</v>
      </c>
      <c r="I196" s="261">
        <f t="shared" si="20"/>
        <v>936000</v>
      </c>
      <c r="J196" s="205">
        <v>749500</v>
      </c>
      <c r="K196" s="205">
        <v>1334500</v>
      </c>
      <c r="L196" s="205">
        <v>2084000</v>
      </c>
      <c r="M196" s="219">
        <f t="shared" si="21"/>
        <v>144000</v>
      </c>
      <c r="N196" s="219">
        <f t="shared" si="22"/>
        <v>769000</v>
      </c>
      <c r="O196" s="219">
        <f t="shared" si="23"/>
        <v>913000</v>
      </c>
      <c r="P196" s="301">
        <f t="shared" si="24"/>
        <v>133920</v>
      </c>
      <c r="Q196" s="301">
        <f t="shared" si="25"/>
        <v>715170</v>
      </c>
      <c r="R196" s="300">
        <f t="shared" si="26"/>
        <v>849090</v>
      </c>
    </row>
    <row r="197" spans="1:18" x14ac:dyDescent="0.25">
      <c r="A197" s="210">
        <v>182</v>
      </c>
      <c r="B197" s="166" t="s">
        <v>256</v>
      </c>
      <c r="C197" s="153" t="s">
        <v>153</v>
      </c>
      <c r="D197" s="200">
        <v>62000</v>
      </c>
      <c r="E197" s="173">
        <v>156000</v>
      </c>
      <c r="F197" s="202">
        <f t="shared" ref="F197:F214" si="27">(D197+E197)</f>
        <v>218000</v>
      </c>
      <c r="G197" s="261">
        <f t="shared" ref="G197:G215" si="28">+H197*20%</f>
        <v>40000</v>
      </c>
      <c r="H197" s="262">
        <v>200000</v>
      </c>
      <c r="I197" s="261">
        <f t="shared" ref="I197:I215" si="29">+H197+G197</f>
        <v>240000</v>
      </c>
      <c r="J197" s="205">
        <v>649500</v>
      </c>
      <c r="K197" s="205">
        <v>311000</v>
      </c>
      <c r="L197" s="205">
        <v>960500</v>
      </c>
      <c r="M197" s="219">
        <f t="shared" ref="M197:M214" si="30">MIN(D197,G197,J197)</f>
        <v>40000</v>
      </c>
      <c r="N197" s="219">
        <f t="shared" ref="N197:N214" si="31">MIN(E197,H197,K197)</f>
        <v>156000</v>
      </c>
      <c r="O197" s="219">
        <f t="shared" ref="O197:O214" si="32">(M197+N197)</f>
        <v>196000</v>
      </c>
      <c r="P197" s="301">
        <f t="shared" ref="P197:P215" si="33">M197-(M197*7%)</f>
        <v>37200</v>
      </c>
      <c r="Q197" s="301">
        <f t="shared" ref="Q197:Q215" si="34">N197-(N197*7%)</f>
        <v>145080</v>
      </c>
      <c r="R197" s="300">
        <f t="shared" ref="R197:R215" si="35">Q197+P197</f>
        <v>182280</v>
      </c>
    </row>
    <row r="198" spans="1:18" x14ac:dyDescent="0.25">
      <c r="A198" s="210">
        <v>183</v>
      </c>
      <c r="B198" s="158" t="s">
        <v>69</v>
      </c>
      <c r="C198" s="153" t="s">
        <v>153</v>
      </c>
      <c r="D198" s="200">
        <v>47000</v>
      </c>
      <c r="E198" s="173">
        <v>107000</v>
      </c>
      <c r="F198" s="202">
        <f t="shared" si="27"/>
        <v>154000</v>
      </c>
      <c r="G198" s="261">
        <f t="shared" si="28"/>
        <v>41000</v>
      </c>
      <c r="H198" s="262">
        <v>205000</v>
      </c>
      <c r="I198" s="261">
        <f t="shared" si="29"/>
        <v>246000</v>
      </c>
      <c r="J198" s="205">
        <v>119500</v>
      </c>
      <c r="K198" s="205">
        <v>90570.255582074999</v>
      </c>
      <c r="L198" s="205">
        <v>210070.25558207498</v>
      </c>
      <c r="M198" s="219">
        <f t="shared" si="30"/>
        <v>41000</v>
      </c>
      <c r="N198" s="219">
        <f t="shared" si="31"/>
        <v>90570.255582074999</v>
      </c>
      <c r="O198" s="219">
        <f t="shared" si="32"/>
        <v>131570.25558207498</v>
      </c>
      <c r="P198" s="301">
        <f t="shared" si="33"/>
        <v>38130</v>
      </c>
      <c r="Q198" s="301">
        <f t="shared" si="34"/>
        <v>84230.337691329754</v>
      </c>
      <c r="R198" s="300">
        <f t="shared" si="35"/>
        <v>122360.33769132975</v>
      </c>
    </row>
    <row r="199" spans="1:18" x14ac:dyDescent="0.25">
      <c r="A199" s="210">
        <v>184</v>
      </c>
      <c r="B199" s="158" t="s">
        <v>70</v>
      </c>
      <c r="C199" s="153" t="s">
        <v>153</v>
      </c>
      <c r="D199" s="200">
        <v>189000</v>
      </c>
      <c r="E199" s="173">
        <v>478000</v>
      </c>
      <c r="F199" s="202">
        <f t="shared" si="27"/>
        <v>667000</v>
      </c>
      <c r="G199" s="261">
        <f t="shared" si="28"/>
        <v>116000</v>
      </c>
      <c r="H199" s="262">
        <v>580000</v>
      </c>
      <c r="I199" s="261">
        <f t="shared" si="29"/>
        <v>696000</v>
      </c>
      <c r="J199" s="205">
        <v>249500</v>
      </c>
      <c r="K199" s="205">
        <v>622612.27503525012</v>
      </c>
      <c r="L199" s="205">
        <v>872112.27503525012</v>
      </c>
      <c r="M199" s="219">
        <f t="shared" si="30"/>
        <v>116000</v>
      </c>
      <c r="N199" s="219">
        <f t="shared" si="31"/>
        <v>478000</v>
      </c>
      <c r="O199" s="219">
        <f t="shared" si="32"/>
        <v>594000</v>
      </c>
      <c r="P199" s="301">
        <f t="shared" si="33"/>
        <v>107880</v>
      </c>
      <c r="Q199" s="301">
        <f t="shared" si="34"/>
        <v>444540</v>
      </c>
      <c r="R199" s="300">
        <f t="shared" si="35"/>
        <v>552420</v>
      </c>
    </row>
    <row r="200" spans="1:18" x14ac:dyDescent="0.25">
      <c r="A200" s="210">
        <v>185</v>
      </c>
      <c r="B200" s="158" t="s">
        <v>1</v>
      </c>
      <c r="C200" s="153" t="s">
        <v>153</v>
      </c>
      <c r="D200" s="200">
        <v>88000</v>
      </c>
      <c r="E200" s="173">
        <v>203000</v>
      </c>
      <c r="F200" s="202">
        <f t="shared" si="27"/>
        <v>291000</v>
      </c>
      <c r="G200" s="261">
        <f t="shared" si="28"/>
        <v>60000</v>
      </c>
      <c r="H200" s="262">
        <v>300000</v>
      </c>
      <c r="I200" s="261">
        <f t="shared" si="29"/>
        <v>360000</v>
      </c>
      <c r="J200" s="205">
        <v>134500</v>
      </c>
      <c r="K200" s="205">
        <v>172054.16847130004</v>
      </c>
      <c r="L200" s="205">
        <v>306554.16847130004</v>
      </c>
      <c r="M200" s="219">
        <f t="shared" si="30"/>
        <v>60000</v>
      </c>
      <c r="N200" s="219">
        <f t="shared" si="31"/>
        <v>172054.16847130004</v>
      </c>
      <c r="O200" s="219">
        <f t="shared" si="32"/>
        <v>232054.16847130004</v>
      </c>
      <c r="P200" s="301">
        <f t="shared" si="33"/>
        <v>55800</v>
      </c>
      <c r="Q200" s="301">
        <f t="shared" si="34"/>
        <v>160010.37667830905</v>
      </c>
      <c r="R200" s="300">
        <f t="shared" si="35"/>
        <v>215810.37667830905</v>
      </c>
    </row>
    <row r="201" spans="1:18" x14ac:dyDescent="0.25">
      <c r="A201" s="210">
        <v>186</v>
      </c>
      <c r="B201" s="166" t="s">
        <v>56</v>
      </c>
      <c r="C201" s="153" t="s">
        <v>153</v>
      </c>
      <c r="D201" s="200">
        <v>34000</v>
      </c>
      <c r="E201" s="173">
        <v>86000</v>
      </c>
      <c r="F201" s="202">
        <f t="shared" si="27"/>
        <v>120000</v>
      </c>
      <c r="G201" s="261">
        <f t="shared" si="28"/>
        <v>30000</v>
      </c>
      <c r="H201" s="262">
        <v>150000</v>
      </c>
      <c r="I201" s="261">
        <f t="shared" si="29"/>
        <v>180000</v>
      </c>
      <c r="J201" s="205">
        <v>59500</v>
      </c>
      <c r="K201" s="205">
        <v>113623.12729583333</v>
      </c>
      <c r="L201" s="205">
        <v>173123.12729583331</v>
      </c>
      <c r="M201" s="219">
        <f t="shared" si="30"/>
        <v>30000</v>
      </c>
      <c r="N201" s="219">
        <f t="shared" si="31"/>
        <v>86000</v>
      </c>
      <c r="O201" s="219">
        <f t="shared" si="32"/>
        <v>116000</v>
      </c>
      <c r="P201" s="301">
        <f t="shared" si="33"/>
        <v>27900</v>
      </c>
      <c r="Q201" s="301">
        <f t="shared" si="34"/>
        <v>79980</v>
      </c>
      <c r="R201" s="300">
        <f t="shared" si="35"/>
        <v>107880</v>
      </c>
    </row>
    <row r="202" spans="1:18" x14ac:dyDescent="0.25">
      <c r="A202" s="210">
        <v>187</v>
      </c>
      <c r="B202" s="166" t="s">
        <v>57</v>
      </c>
      <c r="C202" s="153" t="s">
        <v>153</v>
      </c>
      <c r="D202" s="200">
        <v>13000</v>
      </c>
      <c r="E202" s="173">
        <v>33000</v>
      </c>
      <c r="F202" s="202">
        <f t="shared" si="27"/>
        <v>46000</v>
      </c>
      <c r="G202" s="261">
        <f t="shared" si="28"/>
        <v>10000</v>
      </c>
      <c r="H202" s="262">
        <v>50000</v>
      </c>
      <c r="I202" s="261">
        <f t="shared" si="29"/>
        <v>60000</v>
      </c>
      <c r="J202" s="205">
        <v>34500</v>
      </c>
      <c r="K202" s="205">
        <v>58844.026193833342</v>
      </c>
      <c r="L202" s="205">
        <v>93344.026193833342</v>
      </c>
      <c r="M202" s="219">
        <f t="shared" si="30"/>
        <v>10000</v>
      </c>
      <c r="N202" s="219">
        <f t="shared" si="31"/>
        <v>33000</v>
      </c>
      <c r="O202" s="219">
        <f t="shared" si="32"/>
        <v>43000</v>
      </c>
      <c r="P202" s="301">
        <f t="shared" si="33"/>
        <v>9300</v>
      </c>
      <c r="Q202" s="301">
        <f t="shared" si="34"/>
        <v>30690</v>
      </c>
      <c r="R202" s="300">
        <f t="shared" si="35"/>
        <v>39990</v>
      </c>
    </row>
    <row r="203" spans="1:18" x14ac:dyDescent="0.25">
      <c r="A203" s="210">
        <v>188</v>
      </c>
      <c r="B203" s="166" t="s">
        <v>257</v>
      </c>
      <c r="C203" s="153" t="s">
        <v>153</v>
      </c>
      <c r="D203" s="200">
        <v>54000</v>
      </c>
      <c r="E203" s="173">
        <v>137000</v>
      </c>
      <c r="F203" s="202">
        <f t="shared" si="27"/>
        <v>191000</v>
      </c>
      <c r="G203" s="261">
        <f t="shared" si="28"/>
        <v>34000</v>
      </c>
      <c r="H203" s="262">
        <v>170000</v>
      </c>
      <c r="I203" s="261">
        <f t="shared" si="29"/>
        <v>204000</v>
      </c>
      <c r="J203" s="205">
        <v>119500</v>
      </c>
      <c r="K203" s="205">
        <v>176847.33981772501</v>
      </c>
      <c r="L203" s="205">
        <v>296347.33981772501</v>
      </c>
      <c r="M203" s="219">
        <f t="shared" si="30"/>
        <v>34000</v>
      </c>
      <c r="N203" s="219">
        <f t="shared" si="31"/>
        <v>137000</v>
      </c>
      <c r="O203" s="219">
        <f t="shared" si="32"/>
        <v>171000</v>
      </c>
      <c r="P203" s="301">
        <f t="shared" si="33"/>
        <v>31620</v>
      </c>
      <c r="Q203" s="301">
        <f t="shared" si="34"/>
        <v>127410</v>
      </c>
      <c r="R203" s="300">
        <f t="shared" si="35"/>
        <v>159030</v>
      </c>
    </row>
    <row r="204" spans="1:18" x14ac:dyDescent="0.25">
      <c r="A204" s="210">
        <v>189</v>
      </c>
      <c r="B204" s="166" t="s">
        <v>258</v>
      </c>
      <c r="C204" s="153" t="s">
        <v>153</v>
      </c>
      <c r="D204" s="200">
        <v>32000</v>
      </c>
      <c r="E204" s="173">
        <v>82000</v>
      </c>
      <c r="F204" s="202">
        <f t="shared" si="27"/>
        <v>114000</v>
      </c>
      <c r="G204" s="261">
        <f t="shared" si="28"/>
        <v>20000</v>
      </c>
      <c r="H204" s="262">
        <v>100000</v>
      </c>
      <c r="I204" s="261">
        <f t="shared" si="29"/>
        <v>120000</v>
      </c>
      <c r="J204" s="205">
        <v>75500</v>
      </c>
      <c r="K204" s="205">
        <v>109058.202204</v>
      </c>
      <c r="L204" s="205">
        <v>184558.202204</v>
      </c>
      <c r="M204" s="219">
        <f t="shared" si="30"/>
        <v>20000</v>
      </c>
      <c r="N204" s="219">
        <f t="shared" si="31"/>
        <v>82000</v>
      </c>
      <c r="O204" s="219">
        <f t="shared" si="32"/>
        <v>102000</v>
      </c>
      <c r="P204" s="301">
        <f t="shared" si="33"/>
        <v>18600</v>
      </c>
      <c r="Q204" s="301">
        <f t="shared" si="34"/>
        <v>76260</v>
      </c>
      <c r="R204" s="300">
        <f t="shared" si="35"/>
        <v>94860</v>
      </c>
    </row>
    <row r="205" spans="1:18" x14ac:dyDescent="0.25">
      <c r="A205" s="210">
        <v>190</v>
      </c>
      <c r="B205" s="166" t="s">
        <v>259</v>
      </c>
      <c r="C205" s="153" t="s">
        <v>153</v>
      </c>
      <c r="D205" s="200">
        <v>8000</v>
      </c>
      <c r="E205" s="173">
        <v>20000</v>
      </c>
      <c r="F205" s="202">
        <f t="shared" si="27"/>
        <v>28000</v>
      </c>
      <c r="G205" s="261">
        <f t="shared" si="28"/>
        <v>16000</v>
      </c>
      <c r="H205" s="262">
        <v>80000</v>
      </c>
      <c r="I205" s="261">
        <f t="shared" si="29"/>
        <v>96000</v>
      </c>
      <c r="J205" s="205">
        <v>67500</v>
      </c>
      <c r="K205" s="205">
        <v>61800</v>
      </c>
      <c r="L205" s="205">
        <v>129300</v>
      </c>
      <c r="M205" s="219">
        <f t="shared" si="30"/>
        <v>8000</v>
      </c>
      <c r="N205" s="219">
        <f t="shared" si="31"/>
        <v>20000</v>
      </c>
      <c r="O205" s="219">
        <f t="shared" si="32"/>
        <v>28000</v>
      </c>
      <c r="P205" s="301">
        <f t="shared" si="33"/>
        <v>7440</v>
      </c>
      <c r="Q205" s="301">
        <f t="shared" si="34"/>
        <v>18600</v>
      </c>
      <c r="R205" s="300">
        <f t="shared" si="35"/>
        <v>26040</v>
      </c>
    </row>
    <row r="206" spans="1:18" x14ac:dyDescent="0.25">
      <c r="A206" s="210">
        <v>191</v>
      </c>
      <c r="B206" s="152" t="s">
        <v>260</v>
      </c>
      <c r="C206" s="153" t="s">
        <v>153</v>
      </c>
      <c r="D206" s="200">
        <v>13000</v>
      </c>
      <c r="E206" s="173">
        <v>34000</v>
      </c>
      <c r="F206" s="202">
        <f t="shared" si="27"/>
        <v>47000</v>
      </c>
      <c r="G206" s="261">
        <f t="shared" si="28"/>
        <v>80000</v>
      </c>
      <c r="H206" s="262">
        <v>400000</v>
      </c>
      <c r="I206" s="261">
        <f t="shared" si="29"/>
        <v>480000</v>
      </c>
      <c r="J206" s="205">
        <v>64500</v>
      </c>
      <c r="K206" s="205">
        <v>61823.275035250001</v>
      </c>
      <c r="L206" s="205">
        <v>126323.27503525</v>
      </c>
      <c r="M206" s="219">
        <f t="shared" si="30"/>
        <v>13000</v>
      </c>
      <c r="N206" s="219">
        <f t="shared" si="31"/>
        <v>34000</v>
      </c>
      <c r="O206" s="219">
        <f t="shared" si="32"/>
        <v>47000</v>
      </c>
      <c r="P206" s="301">
        <f t="shared" si="33"/>
        <v>12090</v>
      </c>
      <c r="Q206" s="301">
        <f t="shared" si="34"/>
        <v>31620</v>
      </c>
      <c r="R206" s="300">
        <f t="shared" si="35"/>
        <v>43710</v>
      </c>
    </row>
    <row r="207" spans="1:18" x14ac:dyDescent="0.25">
      <c r="A207" s="210">
        <v>192</v>
      </c>
      <c r="B207" s="167" t="s">
        <v>261</v>
      </c>
      <c r="C207" s="153" t="s">
        <v>153</v>
      </c>
      <c r="D207" s="200">
        <v>94000</v>
      </c>
      <c r="E207" s="173">
        <v>237000</v>
      </c>
      <c r="F207" s="202">
        <f t="shared" si="27"/>
        <v>331000</v>
      </c>
      <c r="G207" s="261">
        <f t="shared" si="28"/>
        <v>50000</v>
      </c>
      <c r="H207" s="262">
        <v>250000</v>
      </c>
      <c r="I207" s="261">
        <f t="shared" si="29"/>
        <v>300000</v>
      </c>
      <c r="J207" s="205">
        <v>247224</v>
      </c>
      <c r="K207" s="205">
        <v>250570.88005083337</v>
      </c>
      <c r="L207" s="205">
        <v>497794.88005083334</v>
      </c>
      <c r="M207" s="219">
        <f t="shared" si="30"/>
        <v>50000</v>
      </c>
      <c r="N207" s="219">
        <f t="shared" si="31"/>
        <v>237000</v>
      </c>
      <c r="O207" s="219">
        <f t="shared" si="32"/>
        <v>287000</v>
      </c>
      <c r="P207" s="301">
        <f t="shared" si="33"/>
        <v>46500</v>
      </c>
      <c r="Q207" s="301">
        <f t="shared" si="34"/>
        <v>220410</v>
      </c>
      <c r="R207" s="300">
        <f t="shared" si="35"/>
        <v>266910</v>
      </c>
    </row>
    <row r="208" spans="1:18" x14ac:dyDescent="0.25">
      <c r="A208" s="210">
        <v>193</v>
      </c>
      <c r="B208" s="152" t="s">
        <v>562</v>
      </c>
      <c r="C208" s="153" t="s">
        <v>153</v>
      </c>
      <c r="D208" s="200">
        <v>39000</v>
      </c>
      <c r="E208" s="173">
        <v>249000</v>
      </c>
      <c r="F208" s="202">
        <f t="shared" si="27"/>
        <v>288000</v>
      </c>
      <c r="G208" s="261">
        <f t="shared" si="28"/>
        <v>60000</v>
      </c>
      <c r="H208" s="262">
        <v>300000</v>
      </c>
      <c r="I208" s="261">
        <f t="shared" si="29"/>
        <v>360000</v>
      </c>
      <c r="J208" s="205">
        <v>47500</v>
      </c>
      <c r="K208" s="205">
        <v>384300</v>
      </c>
      <c r="L208" s="205">
        <v>431800</v>
      </c>
      <c r="M208" s="219">
        <f t="shared" si="30"/>
        <v>39000</v>
      </c>
      <c r="N208" s="219">
        <f t="shared" si="31"/>
        <v>249000</v>
      </c>
      <c r="O208" s="219">
        <f t="shared" si="32"/>
        <v>288000</v>
      </c>
      <c r="P208" s="301">
        <f t="shared" si="33"/>
        <v>36270</v>
      </c>
      <c r="Q208" s="301">
        <f t="shared" si="34"/>
        <v>231570</v>
      </c>
      <c r="R208" s="300">
        <f t="shared" si="35"/>
        <v>267840</v>
      </c>
    </row>
    <row r="209" spans="1:18" ht="22.5" x14ac:dyDescent="0.25">
      <c r="A209" s="214"/>
      <c r="B209" s="163" t="s">
        <v>62</v>
      </c>
      <c r="C209" s="153"/>
      <c r="D209" s="200">
        <v>0</v>
      </c>
      <c r="E209" s="173">
        <v>0</v>
      </c>
      <c r="F209" s="202">
        <f t="shared" si="27"/>
        <v>0</v>
      </c>
      <c r="G209" s="261">
        <f t="shared" si="28"/>
        <v>0</v>
      </c>
      <c r="H209" s="262"/>
      <c r="I209" s="261">
        <f t="shared" si="29"/>
        <v>0</v>
      </c>
      <c r="J209" s="205"/>
      <c r="K209" s="205"/>
      <c r="L209" s="205">
        <v>0</v>
      </c>
      <c r="M209" s="219">
        <f t="shared" si="30"/>
        <v>0</v>
      </c>
      <c r="N209" s="219">
        <f t="shared" si="31"/>
        <v>0</v>
      </c>
      <c r="O209" s="219">
        <f t="shared" si="32"/>
        <v>0</v>
      </c>
      <c r="P209" s="301">
        <f t="shared" si="33"/>
        <v>0</v>
      </c>
      <c r="Q209" s="301">
        <f t="shared" si="34"/>
        <v>0</v>
      </c>
      <c r="R209" s="300">
        <f t="shared" si="35"/>
        <v>0</v>
      </c>
    </row>
    <row r="210" spans="1:18" ht="22.5" x14ac:dyDescent="0.25">
      <c r="A210" s="214">
        <v>194</v>
      </c>
      <c r="B210" s="166" t="s">
        <v>384</v>
      </c>
      <c r="C210" s="153" t="s">
        <v>153</v>
      </c>
      <c r="D210" s="200">
        <v>421000</v>
      </c>
      <c r="E210" s="173">
        <v>539000</v>
      </c>
      <c r="F210" s="202">
        <f t="shared" si="27"/>
        <v>960000</v>
      </c>
      <c r="G210" s="261">
        <f t="shared" si="28"/>
        <v>164000</v>
      </c>
      <c r="H210" s="262">
        <v>820000</v>
      </c>
      <c r="I210" s="261">
        <f t="shared" si="29"/>
        <v>984000</v>
      </c>
      <c r="J210" s="205">
        <v>424500</v>
      </c>
      <c r="K210" s="205">
        <v>758379.81205700757</v>
      </c>
      <c r="L210" s="205">
        <v>1182879.8120570076</v>
      </c>
      <c r="M210" s="219">
        <f t="shared" si="30"/>
        <v>164000</v>
      </c>
      <c r="N210" s="219">
        <f t="shared" si="31"/>
        <v>539000</v>
      </c>
      <c r="O210" s="219">
        <f t="shared" si="32"/>
        <v>703000</v>
      </c>
      <c r="P210" s="301">
        <f t="shared" si="33"/>
        <v>152520</v>
      </c>
      <c r="Q210" s="301">
        <f t="shared" si="34"/>
        <v>501270</v>
      </c>
      <c r="R210" s="300">
        <f t="shared" si="35"/>
        <v>653790</v>
      </c>
    </row>
    <row r="211" spans="1:18" x14ac:dyDescent="0.25">
      <c r="A211" s="214">
        <v>195</v>
      </c>
      <c r="B211" s="166" t="s">
        <v>63</v>
      </c>
      <c r="C211" s="153" t="s">
        <v>153</v>
      </c>
      <c r="D211" s="200">
        <v>383000</v>
      </c>
      <c r="E211" s="173">
        <v>844000</v>
      </c>
      <c r="F211" s="202">
        <f t="shared" si="27"/>
        <v>1227000</v>
      </c>
      <c r="G211" s="261">
        <f t="shared" si="28"/>
        <v>250000</v>
      </c>
      <c r="H211" s="262">
        <v>1250000</v>
      </c>
      <c r="I211" s="261">
        <f t="shared" si="29"/>
        <v>1500000</v>
      </c>
      <c r="J211" s="205">
        <v>324500</v>
      </c>
      <c r="K211" s="205">
        <v>715086.92982182745</v>
      </c>
      <c r="L211" s="205">
        <v>1039586.9298218274</v>
      </c>
      <c r="M211" s="219">
        <f t="shared" si="30"/>
        <v>250000</v>
      </c>
      <c r="N211" s="219">
        <f t="shared" si="31"/>
        <v>715086.92982182745</v>
      </c>
      <c r="O211" s="219">
        <f t="shared" si="32"/>
        <v>965086.92982182745</v>
      </c>
      <c r="P211" s="301">
        <f t="shared" si="33"/>
        <v>232500</v>
      </c>
      <c r="Q211" s="301">
        <f t="shared" si="34"/>
        <v>665030.84473429946</v>
      </c>
      <c r="R211" s="300">
        <f t="shared" si="35"/>
        <v>897530.84473429946</v>
      </c>
    </row>
    <row r="212" spans="1:18" x14ac:dyDescent="0.25">
      <c r="A212" s="214">
        <v>196</v>
      </c>
      <c r="B212" s="166" t="s">
        <v>134</v>
      </c>
      <c r="C212" s="153" t="s">
        <v>153</v>
      </c>
      <c r="D212" s="200">
        <v>64000</v>
      </c>
      <c r="E212" s="173">
        <v>231000</v>
      </c>
      <c r="F212" s="202">
        <f t="shared" si="27"/>
        <v>295000</v>
      </c>
      <c r="G212" s="261">
        <f t="shared" si="28"/>
        <v>56000</v>
      </c>
      <c r="H212" s="262">
        <v>280000</v>
      </c>
      <c r="I212" s="261">
        <f t="shared" si="29"/>
        <v>336000</v>
      </c>
      <c r="J212" s="205">
        <v>219500</v>
      </c>
      <c r="K212" s="205">
        <v>349754.0249516007</v>
      </c>
      <c r="L212" s="205">
        <v>569254.0249516007</v>
      </c>
      <c r="M212" s="219">
        <f t="shared" si="30"/>
        <v>56000</v>
      </c>
      <c r="N212" s="219">
        <f t="shared" si="31"/>
        <v>231000</v>
      </c>
      <c r="O212" s="219">
        <f t="shared" si="32"/>
        <v>287000</v>
      </c>
      <c r="P212" s="301">
        <f t="shared" si="33"/>
        <v>52080</v>
      </c>
      <c r="Q212" s="301">
        <f t="shared" si="34"/>
        <v>214830</v>
      </c>
      <c r="R212" s="300">
        <f t="shared" si="35"/>
        <v>266910</v>
      </c>
    </row>
    <row r="213" spans="1:18" x14ac:dyDescent="0.25">
      <c r="A213" s="214">
        <v>197</v>
      </c>
      <c r="B213" s="215" t="s">
        <v>264</v>
      </c>
      <c r="C213" s="153" t="s">
        <v>153</v>
      </c>
      <c r="D213" s="200">
        <v>302000</v>
      </c>
      <c r="E213" s="173">
        <v>295000</v>
      </c>
      <c r="F213" s="202">
        <f t="shared" si="27"/>
        <v>597000</v>
      </c>
      <c r="G213" s="261">
        <f t="shared" si="28"/>
        <v>104000</v>
      </c>
      <c r="H213" s="262">
        <v>520000</v>
      </c>
      <c r="I213" s="261">
        <f t="shared" si="29"/>
        <v>624000</v>
      </c>
      <c r="J213" s="205">
        <v>267500</v>
      </c>
      <c r="K213" s="205">
        <v>673981.65098915622</v>
      </c>
      <c r="L213" s="205">
        <v>941481.65098915622</v>
      </c>
      <c r="M213" s="219">
        <f t="shared" si="30"/>
        <v>104000</v>
      </c>
      <c r="N213" s="219">
        <f t="shared" si="31"/>
        <v>295000</v>
      </c>
      <c r="O213" s="219">
        <f t="shared" si="32"/>
        <v>399000</v>
      </c>
      <c r="P213" s="301">
        <f t="shared" si="33"/>
        <v>96720</v>
      </c>
      <c r="Q213" s="301">
        <f t="shared" si="34"/>
        <v>274350</v>
      </c>
      <c r="R213" s="300">
        <f t="shared" si="35"/>
        <v>371070</v>
      </c>
    </row>
    <row r="214" spans="1:18" x14ac:dyDescent="0.25">
      <c r="A214" s="214">
        <v>198</v>
      </c>
      <c r="B214" s="158" t="s">
        <v>72</v>
      </c>
      <c r="C214" s="153" t="s">
        <v>153</v>
      </c>
      <c r="D214" s="200">
        <v>50000</v>
      </c>
      <c r="E214" s="173">
        <v>105000</v>
      </c>
      <c r="F214" s="202">
        <f t="shared" si="27"/>
        <v>155000</v>
      </c>
      <c r="G214" s="261">
        <f t="shared" si="28"/>
        <v>34000</v>
      </c>
      <c r="H214" s="262">
        <v>170000</v>
      </c>
      <c r="I214" s="261">
        <f t="shared" si="29"/>
        <v>204000</v>
      </c>
      <c r="J214" s="205">
        <v>264500</v>
      </c>
      <c r="K214" s="205">
        <v>89132.304178147489</v>
      </c>
      <c r="L214" s="205">
        <v>353632.30417814746</v>
      </c>
      <c r="M214" s="219">
        <f t="shared" si="30"/>
        <v>34000</v>
      </c>
      <c r="N214" s="219">
        <f t="shared" si="31"/>
        <v>89132.304178147489</v>
      </c>
      <c r="O214" s="219">
        <f t="shared" si="32"/>
        <v>123132.30417814749</v>
      </c>
      <c r="P214" s="301">
        <f t="shared" si="33"/>
        <v>31620</v>
      </c>
      <c r="Q214" s="301">
        <f t="shared" si="34"/>
        <v>82893.042885677161</v>
      </c>
      <c r="R214" s="300">
        <f t="shared" si="35"/>
        <v>114513.04288567716</v>
      </c>
    </row>
    <row r="215" spans="1:18" x14ac:dyDescent="0.25">
      <c r="A215" s="273" t="s">
        <v>491</v>
      </c>
      <c r="B215" s="273"/>
      <c r="C215" s="287"/>
      <c r="D215" s="202">
        <f t="shared" ref="D215:F215" si="36">SUM(D4:D214)</f>
        <v>30269000</v>
      </c>
      <c r="E215" s="202">
        <f t="shared" si="36"/>
        <v>81461000</v>
      </c>
      <c r="F215" s="202">
        <f t="shared" si="36"/>
        <v>111730000</v>
      </c>
      <c r="G215" s="261">
        <f t="shared" si="28"/>
        <v>70000</v>
      </c>
      <c r="H215" s="262">
        <v>350000</v>
      </c>
      <c r="I215" s="261">
        <f t="shared" si="29"/>
        <v>420000</v>
      </c>
      <c r="J215" s="222">
        <f t="shared" ref="J215:N215" si="37">SUM(J4:J214)</f>
        <v>51999614</v>
      </c>
      <c r="K215" s="222">
        <f t="shared" si="37"/>
        <v>349948575.96722752</v>
      </c>
      <c r="L215" s="222">
        <f t="shared" si="37"/>
        <v>401948189.96722758</v>
      </c>
      <c r="M215" s="220">
        <f t="shared" si="37"/>
        <v>20331000</v>
      </c>
      <c r="N215" s="220">
        <f t="shared" si="37"/>
        <v>69719816.005715773</v>
      </c>
      <c r="O215" s="221">
        <f t="shared" ref="O215" si="38">(M215+N215)</f>
        <v>90050816.005715773</v>
      </c>
      <c r="P215" s="301">
        <f t="shared" si="33"/>
        <v>18907830</v>
      </c>
      <c r="Q215" s="301">
        <f t="shared" si="34"/>
        <v>64839428.885315672</v>
      </c>
      <c r="R215" s="300">
        <f t="shared" si="35"/>
        <v>83747258.885315672</v>
      </c>
    </row>
  </sheetData>
  <mergeCells count="7">
    <mergeCell ref="P2:R2"/>
    <mergeCell ref="M2:O2"/>
    <mergeCell ref="A215:C215"/>
    <mergeCell ref="A1:C1"/>
    <mergeCell ref="D2:F2"/>
    <mergeCell ref="J2:L2"/>
    <mergeCell ref="G2:I2"/>
  </mergeCells>
  <pageMargins left="0.7" right="0.7" top="0.75" bottom="0.75" header="0.3" footer="0.3"/>
  <pageSetup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00B0F0"/>
  </sheetPr>
  <dimension ref="A1:R217"/>
  <sheetViews>
    <sheetView topLeftCell="G198" workbookViewId="0">
      <selection activeCell="S14" sqref="S14"/>
    </sheetView>
  </sheetViews>
  <sheetFormatPr baseColWidth="10" defaultRowHeight="15" x14ac:dyDescent="0.25"/>
  <cols>
    <col min="2" max="2" width="42.28515625" bestFit="1" customWidth="1"/>
    <col min="4" max="5" width="15.5703125" bestFit="1" customWidth="1"/>
    <col min="6" max="6" width="16.7109375" bestFit="1" customWidth="1"/>
    <col min="7" max="7" width="14" customWidth="1"/>
    <col min="8" max="9" width="16.28515625" bestFit="1" customWidth="1"/>
    <col min="10" max="10" width="15.28515625" bestFit="1" customWidth="1"/>
    <col min="11" max="12" width="16.42578125" bestFit="1" customWidth="1"/>
    <col min="13" max="14" width="15.140625" bestFit="1" customWidth="1"/>
    <col min="15" max="15" width="16.7109375" bestFit="1" customWidth="1"/>
    <col min="16" max="16" width="12.85546875" customWidth="1"/>
    <col min="17" max="17" width="14.28515625" customWidth="1"/>
    <col min="18" max="18" width="13.42578125" customWidth="1"/>
  </cols>
  <sheetData>
    <row r="1" spans="1:18" x14ac:dyDescent="0.25">
      <c r="A1" s="279" t="s">
        <v>563</v>
      </c>
      <c r="B1" s="279"/>
      <c r="C1" s="279"/>
      <c r="D1" s="44"/>
      <c r="E1" s="44"/>
      <c r="F1" s="44"/>
      <c r="G1" s="223"/>
      <c r="H1" s="223"/>
      <c r="I1" s="223"/>
      <c r="J1" s="223"/>
      <c r="K1" s="223"/>
      <c r="L1" s="223"/>
    </row>
    <row r="2" spans="1:18" x14ac:dyDescent="0.25">
      <c r="A2" s="28"/>
      <c r="B2" s="27"/>
      <c r="C2" s="27"/>
      <c r="D2" s="286" t="s">
        <v>473</v>
      </c>
      <c r="E2" s="286"/>
      <c r="F2" s="286"/>
      <c r="G2" s="291" t="s">
        <v>573</v>
      </c>
      <c r="H2" s="291"/>
      <c r="I2" s="292"/>
      <c r="J2" s="277" t="s">
        <v>490</v>
      </c>
      <c r="K2" s="277"/>
      <c r="L2" s="277"/>
      <c r="M2" s="266" t="s">
        <v>480</v>
      </c>
      <c r="N2" s="266"/>
      <c r="O2" s="266"/>
      <c r="P2" s="295" t="s">
        <v>576</v>
      </c>
      <c r="Q2" s="296"/>
      <c r="R2" s="297"/>
    </row>
    <row r="3" spans="1:18" ht="45" x14ac:dyDescent="0.25">
      <c r="A3" s="29" t="s">
        <v>0</v>
      </c>
      <c r="B3" s="30" t="s">
        <v>91</v>
      </c>
      <c r="C3" s="45" t="s">
        <v>152</v>
      </c>
      <c r="D3" s="199" t="s">
        <v>469</v>
      </c>
      <c r="E3" s="199" t="s">
        <v>470</v>
      </c>
      <c r="F3" s="208" t="s">
        <v>471</v>
      </c>
      <c r="G3" s="234" t="s">
        <v>469</v>
      </c>
      <c r="H3" s="234" t="s">
        <v>470</v>
      </c>
      <c r="I3" s="240" t="s">
        <v>471</v>
      </c>
      <c r="J3" s="115" t="s">
        <v>469</v>
      </c>
      <c r="K3" s="115" t="s">
        <v>470</v>
      </c>
      <c r="L3" s="116" t="s">
        <v>471</v>
      </c>
      <c r="M3" s="97" t="s">
        <v>469</v>
      </c>
      <c r="N3" s="97" t="s">
        <v>470</v>
      </c>
      <c r="O3" s="98" t="s">
        <v>471</v>
      </c>
      <c r="P3" s="298" t="s">
        <v>574</v>
      </c>
      <c r="Q3" s="298" t="s">
        <v>575</v>
      </c>
      <c r="R3" s="299" t="s">
        <v>471</v>
      </c>
    </row>
    <row r="4" spans="1:18" ht="45" x14ac:dyDescent="0.25">
      <c r="A4" s="151">
        <v>1</v>
      </c>
      <c r="B4" s="152" t="s">
        <v>154</v>
      </c>
      <c r="C4" s="153" t="s">
        <v>153</v>
      </c>
      <c r="D4" s="173">
        <v>1979000</v>
      </c>
      <c r="E4" s="173">
        <v>4782000</v>
      </c>
      <c r="F4" s="225">
        <f>(D4+E4)</f>
        <v>6761000</v>
      </c>
      <c r="G4" s="263">
        <v>2371800</v>
      </c>
      <c r="H4" s="264">
        <v>11859000</v>
      </c>
      <c r="I4" s="264">
        <v>14230800</v>
      </c>
      <c r="J4" s="146">
        <v>1799500</v>
      </c>
      <c r="K4" s="146">
        <v>4347607.4665263807</v>
      </c>
      <c r="L4" s="146">
        <v>6147107.4665263807</v>
      </c>
      <c r="M4" s="220">
        <f>MIN(D4,G4,J4)</f>
        <v>1799500</v>
      </c>
      <c r="N4" s="220">
        <f>MIN(E4,H4,K4)</f>
        <v>4347607.4665263807</v>
      </c>
      <c r="O4" s="220">
        <f>(M4+N4)</f>
        <v>6147107.4665263807</v>
      </c>
      <c r="P4" s="301">
        <f>M4-(M4*7%)</f>
        <v>1673535</v>
      </c>
      <c r="Q4" s="301">
        <f>N4-(N4*7%)</f>
        <v>4043274.9438695339</v>
      </c>
      <c r="R4" s="300">
        <f>Q4+P4</f>
        <v>5716809.9438695339</v>
      </c>
    </row>
    <row r="5" spans="1:18" ht="14.25" customHeight="1" x14ac:dyDescent="0.25">
      <c r="A5" s="151">
        <v>2</v>
      </c>
      <c r="B5" s="152" t="s">
        <v>155</v>
      </c>
      <c r="C5" s="153" t="s">
        <v>153</v>
      </c>
      <c r="D5" s="173">
        <v>136000</v>
      </c>
      <c r="E5" s="173">
        <v>345000</v>
      </c>
      <c r="F5" s="225">
        <f t="shared" ref="F5:F68" si="0">(D5+E5)</f>
        <v>481000</v>
      </c>
      <c r="G5" s="263">
        <v>169600</v>
      </c>
      <c r="H5" s="264">
        <v>848000</v>
      </c>
      <c r="I5" s="264">
        <v>1017600</v>
      </c>
      <c r="J5" s="146">
        <v>149500</v>
      </c>
      <c r="K5" s="146">
        <v>356414.12839942053</v>
      </c>
      <c r="L5" s="146">
        <v>505914.12839942053</v>
      </c>
      <c r="M5" s="220">
        <f t="shared" ref="M5:M68" si="1">MIN(D5,G5,J5)</f>
        <v>136000</v>
      </c>
      <c r="N5" s="220">
        <f t="shared" ref="N5:N68" si="2">MIN(E5,H5,K5)</f>
        <v>345000</v>
      </c>
      <c r="O5" s="220">
        <f t="shared" ref="O5:O68" si="3">(M5+N5)</f>
        <v>481000</v>
      </c>
      <c r="P5" s="301">
        <f t="shared" ref="P5:P68" si="4">M5-(M5*7%)</f>
        <v>126480</v>
      </c>
      <c r="Q5" s="301">
        <f t="shared" ref="Q5:Q68" si="5">N5-(N5*7%)</f>
        <v>320850</v>
      </c>
      <c r="R5" s="300">
        <f t="shared" ref="R5:R68" si="6">Q5+P5</f>
        <v>447330</v>
      </c>
    </row>
    <row r="6" spans="1:18" x14ac:dyDescent="0.25">
      <c r="A6" s="151">
        <v>3</v>
      </c>
      <c r="B6" s="152" t="s">
        <v>156</v>
      </c>
      <c r="C6" s="153" t="s">
        <v>153</v>
      </c>
      <c r="D6" s="173">
        <v>55000</v>
      </c>
      <c r="E6" s="173">
        <v>139000</v>
      </c>
      <c r="F6" s="225">
        <f t="shared" si="0"/>
        <v>194000</v>
      </c>
      <c r="G6" s="263">
        <v>68400</v>
      </c>
      <c r="H6" s="264">
        <v>342000</v>
      </c>
      <c r="I6" s="264">
        <v>410400</v>
      </c>
      <c r="J6" s="146">
        <v>649500</v>
      </c>
      <c r="K6" s="146">
        <v>143331.06666842321</v>
      </c>
      <c r="L6" s="146">
        <v>792831.06666842324</v>
      </c>
      <c r="M6" s="220">
        <f t="shared" si="1"/>
        <v>55000</v>
      </c>
      <c r="N6" s="220">
        <f t="shared" si="2"/>
        <v>139000</v>
      </c>
      <c r="O6" s="220">
        <f t="shared" si="3"/>
        <v>194000</v>
      </c>
      <c r="P6" s="301">
        <f t="shared" si="4"/>
        <v>51150</v>
      </c>
      <c r="Q6" s="301">
        <f t="shared" si="5"/>
        <v>129270</v>
      </c>
      <c r="R6" s="300">
        <f t="shared" si="6"/>
        <v>180420</v>
      </c>
    </row>
    <row r="7" spans="1:18" x14ac:dyDescent="0.25">
      <c r="A7" s="151">
        <v>4</v>
      </c>
      <c r="B7" s="152" t="s">
        <v>133</v>
      </c>
      <c r="C7" s="153" t="s">
        <v>153</v>
      </c>
      <c r="D7" s="173">
        <v>671000</v>
      </c>
      <c r="E7" s="173">
        <v>1698000</v>
      </c>
      <c r="F7" s="225">
        <f t="shared" si="0"/>
        <v>2369000</v>
      </c>
      <c r="G7" s="263">
        <v>835600</v>
      </c>
      <c r="H7" s="264">
        <v>4178000</v>
      </c>
      <c r="I7" s="264">
        <v>5013600</v>
      </c>
      <c r="J7" s="146">
        <v>899500</v>
      </c>
      <c r="K7" s="146">
        <v>1757435.2592807282</v>
      </c>
      <c r="L7" s="146">
        <v>2656935.2592807282</v>
      </c>
      <c r="M7" s="220">
        <f t="shared" si="1"/>
        <v>671000</v>
      </c>
      <c r="N7" s="220">
        <f t="shared" si="2"/>
        <v>1698000</v>
      </c>
      <c r="O7" s="220">
        <f t="shared" si="3"/>
        <v>2369000</v>
      </c>
      <c r="P7" s="301">
        <f t="shared" si="4"/>
        <v>624030</v>
      </c>
      <c r="Q7" s="301">
        <f t="shared" si="5"/>
        <v>1579140</v>
      </c>
      <c r="R7" s="300">
        <f t="shared" si="6"/>
        <v>2203170</v>
      </c>
    </row>
    <row r="8" spans="1:18" x14ac:dyDescent="0.25">
      <c r="A8" s="151">
        <v>5</v>
      </c>
      <c r="B8" s="152" t="s">
        <v>4</v>
      </c>
      <c r="C8" s="153" t="s">
        <v>153</v>
      </c>
      <c r="D8" s="173">
        <v>320000</v>
      </c>
      <c r="E8" s="173">
        <v>809000</v>
      </c>
      <c r="F8" s="225">
        <f t="shared" si="0"/>
        <v>1129000</v>
      </c>
      <c r="G8" s="263">
        <v>398000</v>
      </c>
      <c r="H8" s="264">
        <v>1990000</v>
      </c>
      <c r="I8" s="264">
        <v>2388000</v>
      </c>
      <c r="J8" s="146">
        <v>899500</v>
      </c>
      <c r="K8" s="146">
        <v>836543.53724479023</v>
      </c>
      <c r="L8" s="146">
        <v>1736043.5372447902</v>
      </c>
      <c r="M8" s="220">
        <f t="shared" si="1"/>
        <v>320000</v>
      </c>
      <c r="N8" s="220">
        <f t="shared" si="2"/>
        <v>809000</v>
      </c>
      <c r="O8" s="220">
        <f t="shared" si="3"/>
        <v>1129000</v>
      </c>
      <c r="P8" s="301">
        <f t="shared" si="4"/>
        <v>297600</v>
      </c>
      <c r="Q8" s="301">
        <f t="shared" si="5"/>
        <v>752370</v>
      </c>
      <c r="R8" s="300">
        <f t="shared" si="6"/>
        <v>1049970</v>
      </c>
    </row>
    <row r="9" spans="1:18" x14ac:dyDescent="0.25">
      <c r="A9" s="151">
        <v>6</v>
      </c>
      <c r="B9" s="152" t="s">
        <v>96</v>
      </c>
      <c r="C9" s="153" t="s">
        <v>153</v>
      </c>
      <c r="D9" s="173">
        <v>209000</v>
      </c>
      <c r="E9" s="173">
        <v>529000</v>
      </c>
      <c r="F9" s="225">
        <f t="shared" si="0"/>
        <v>738000</v>
      </c>
      <c r="G9" s="263">
        <v>260600</v>
      </c>
      <c r="H9" s="264">
        <v>1303000</v>
      </c>
      <c r="I9" s="264">
        <v>1563600</v>
      </c>
      <c r="J9" s="146">
        <v>899500</v>
      </c>
      <c r="K9" s="146">
        <v>547249.18765508465</v>
      </c>
      <c r="L9" s="146">
        <v>1446749.1876550848</v>
      </c>
      <c r="M9" s="220">
        <f t="shared" si="1"/>
        <v>209000</v>
      </c>
      <c r="N9" s="220">
        <f t="shared" si="2"/>
        <v>529000</v>
      </c>
      <c r="O9" s="220">
        <f t="shared" si="3"/>
        <v>738000</v>
      </c>
      <c r="P9" s="301">
        <f t="shared" si="4"/>
        <v>194370</v>
      </c>
      <c r="Q9" s="301">
        <f t="shared" si="5"/>
        <v>491970</v>
      </c>
      <c r="R9" s="300">
        <f t="shared" si="6"/>
        <v>686340</v>
      </c>
    </row>
    <row r="10" spans="1:18" x14ac:dyDescent="0.25">
      <c r="A10" s="151">
        <v>7</v>
      </c>
      <c r="B10" s="152" t="s">
        <v>8</v>
      </c>
      <c r="C10" s="153" t="s">
        <v>153</v>
      </c>
      <c r="D10" s="173">
        <v>31000</v>
      </c>
      <c r="E10" s="173">
        <v>77000</v>
      </c>
      <c r="F10" s="225">
        <f t="shared" si="0"/>
        <v>108000</v>
      </c>
      <c r="G10" s="263">
        <v>37800</v>
      </c>
      <c r="H10" s="264">
        <v>189000</v>
      </c>
      <c r="I10" s="264">
        <v>226800</v>
      </c>
      <c r="J10" s="146">
        <v>297500</v>
      </c>
      <c r="K10" s="146">
        <v>79406.148149123997</v>
      </c>
      <c r="L10" s="146">
        <v>376906.148149124</v>
      </c>
      <c r="M10" s="220">
        <f t="shared" si="1"/>
        <v>31000</v>
      </c>
      <c r="N10" s="220">
        <f t="shared" si="2"/>
        <v>77000</v>
      </c>
      <c r="O10" s="220">
        <f t="shared" si="3"/>
        <v>108000</v>
      </c>
      <c r="P10" s="301">
        <f t="shared" si="4"/>
        <v>28830</v>
      </c>
      <c r="Q10" s="301">
        <f t="shared" si="5"/>
        <v>71610</v>
      </c>
      <c r="R10" s="300">
        <f t="shared" si="6"/>
        <v>100440</v>
      </c>
    </row>
    <row r="11" spans="1:18" x14ac:dyDescent="0.25">
      <c r="A11" s="151">
        <v>8</v>
      </c>
      <c r="B11" s="152" t="s">
        <v>157</v>
      </c>
      <c r="C11" s="153" t="s">
        <v>153</v>
      </c>
      <c r="D11" s="173">
        <v>49000</v>
      </c>
      <c r="E11" s="173">
        <v>124000</v>
      </c>
      <c r="F11" s="225">
        <f t="shared" si="0"/>
        <v>173000</v>
      </c>
      <c r="G11" s="263">
        <v>60800</v>
      </c>
      <c r="H11" s="264">
        <v>304000</v>
      </c>
      <c r="I11" s="264">
        <v>364800</v>
      </c>
      <c r="J11" s="146">
        <v>399500</v>
      </c>
      <c r="K11" s="146">
        <v>127349.83703859839</v>
      </c>
      <c r="L11" s="146">
        <v>526849.83703859837</v>
      </c>
      <c r="M11" s="220">
        <f t="shared" si="1"/>
        <v>49000</v>
      </c>
      <c r="N11" s="220">
        <f t="shared" si="2"/>
        <v>124000</v>
      </c>
      <c r="O11" s="220">
        <f t="shared" si="3"/>
        <v>173000</v>
      </c>
      <c r="P11" s="301">
        <f t="shared" si="4"/>
        <v>45570</v>
      </c>
      <c r="Q11" s="301">
        <f t="shared" si="5"/>
        <v>115320</v>
      </c>
      <c r="R11" s="300">
        <f t="shared" si="6"/>
        <v>160890</v>
      </c>
    </row>
    <row r="12" spans="1:18" x14ac:dyDescent="0.25">
      <c r="A12" s="151">
        <v>9</v>
      </c>
      <c r="B12" s="152" t="s">
        <v>10</v>
      </c>
      <c r="C12" s="153" t="s">
        <v>153</v>
      </c>
      <c r="D12" s="173">
        <v>42000</v>
      </c>
      <c r="E12" s="173">
        <v>107000</v>
      </c>
      <c r="F12" s="225">
        <f t="shared" si="0"/>
        <v>149000</v>
      </c>
      <c r="G12" s="263">
        <v>52200</v>
      </c>
      <c r="H12" s="264">
        <v>261000</v>
      </c>
      <c r="I12" s="264">
        <v>313200</v>
      </c>
      <c r="J12" s="146">
        <v>149500</v>
      </c>
      <c r="K12" s="146">
        <v>109808.83939690269</v>
      </c>
      <c r="L12" s="146">
        <v>259308.83939690271</v>
      </c>
      <c r="M12" s="220">
        <f t="shared" si="1"/>
        <v>42000</v>
      </c>
      <c r="N12" s="220">
        <f t="shared" si="2"/>
        <v>107000</v>
      </c>
      <c r="O12" s="220">
        <f t="shared" si="3"/>
        <v>149000</v>
      </c>
      <c r="P12" s="301">
        <f t="shared" si="4"/>
        <v>39060</v>
      </c>
      <c r="Q12" s="301">
        <f t="shared" si="5"/>
        <v>99510</v>
      </c>
      <c r="R12" s="300">
        <f t="shared" si="6"/>
        <v>138570</v>
      </c>
    </row>
    <row r="13" spans="1:18" x14ac:dyDescent="0.25">
      <c r="A13" s="151">
        <v>10</v>
      </c>
      <c r="B13" s="152" t="s">
        <v>65</v>
      </c>
      <c r="C13" s="153" t="s">
        <v>153</v>
      </c>
      <c r="D13" s="173">
        <v>182000</v>
      </c>
      <c r="E13" s="173">
        <v>418000</v>
      </c>
      <c r="F13" s="225">
        <f t="shared" si="0"/>
        <v>600000</v>
      </c>
      <c r="G13" s="263">
        <v>209400</v>
      </c>
      <c r="H13" s="264">
        <v>1047000</v>
      </c>
      <c r="I13" s="264">
        <v>1256400</v>
      </c>
      <c r="J13" s="146">
        <v>649500</v>
      </c>
      <c r="K13" s="146">
        <v>380356.69736230659</v>
      </c>
      <c r="L13" s="146">
        <v>1029856.6973623065</v>
      </c>
      <c r="M13" s="220">
        <f t="shared" si="1"/>
        <v>182000</v>
      </c>
      <c r="N13" s="220">
        <f t="shared" si="2"/>
        <v>380356.69736230659</v>
      </c>
      <c r="O13" s="220">
        <f t="shared" si="3"/>
        <v>562356.69736230653</v>
      </c>
      <c r="P13" s="301">
        <f t="shared" si="4"/>
        <v>169260</v>
      </c>
      <c r="Q13" s="301">
        <f t="shared" si="5"/>
        <v>353731.72854694515</v>
      </c>
      <c r="R13" s="300">
        <f t="shared" si="6"/>
        <v>522991.72854694515</v>
      </c>
    </row>
    <row r="14" spans="1:18" x14ac:dyDescent="0.25">
      <c r="A14" s="151">
        <v>11</v>
      </c>
      <c r="B14" s="152" t="s">
        <v>9</v>
      </c>
      <c r="C14" s="153" t="s">
        <v>153</v>
      </c>
      <c r="D14" s="173">
        <v>35000</v>
      </c>
      <c r="E14" s="173">
        <v>88000</v>
      </c>
      <c r="F14" s="225">
        <f t="shared" si="0"/>
        <v>123000</v>
      </c>
      <c r="G14" s="263">
        <v>43200</v>
      </c>
      <c r="H14" s="264">
        <v>216000</v>
      </c>
      <c r="I14" s="264">
        <v>259200</v>
      </c>
      <c r="J14" s="146">
        <v>249500</v>
      </c>
      <c r="K14" s="146">
        <v>90273.38429740486</v>
      </c>
      <c r="L14" s="146">
        <v>339773.38429740485</v>
      </c>
      <c r="M14" s="220">
        <f t="shared" si="1"/>
        <v>35000</v>
      </c>
      <c r="N14" s="220">
        <f t="shared" si="2"/>
        <v>88000</v>
      </c>
      <c r="O14" s="220">
        <f t="shared" si="3"/>
        <v>123000</v>
      </c>
      <c r="P14" s="301">
        <f t="shared" si="4"/>
        <v>32550</v>
      </c>
      <c r="Q14" s="301">
        <f t="shared" si="5"/>
        <v>81840</v>
      </c>
      <c r="R14" s="300">
        <f t="shared" si="6"/>
        <v>114390</v>
      </c>
    </row>
    <row r="15" spans="1:18" x14ac:dyDescent="0.25">
      <c r="A15" s="151">
        <v>12</v>
      </c>
      <c r="B15" s="152" t="s">
        <v>370</v>
      </c>
      <c r="C15" s="153" t="s">
        <v>153</v>
      </c>
      <c r="D15" s="173">
        <v>31000</v>
      </c>
      <c r="E15" s="173">
        <v>78000</v>
      </c>
      <c r="F15" s="225">
        <f t="shared" si="0"/>
        <v>109000</v>
      </c>
      <c r="G15" s="263">
        <v>38400</v>
      </c>
      <c r="H15" s="264">
        <v>192000</v>
      </c>
      <c r="I15" s="264">
        <v>230400</v>
      </c>
      <c r="J15" s="146">
        <v>249500</v>
      </c>
      <c r="K15" s="146">
        <v>80066.705640490094</v>
      </c>
      <c r="L15" s="146">
        <v>329566.70564049011</v>
      </c>
      <c r="M15" s="220">
        <f t="shared" si="1"/>
        <v>31000</v>
      </c>
      <c r="N15" s="220">
        <f t="shared" si="2"/>
        <v>78000</v>
      </c>
      <c r="O15" s="220">
        <f t="shared" si="3"/>
        <v>109000</v>
      </c>
      <c r="P15" s="301">
        <f t="shared" si="4"/>
        <v>28830</v>
      </c>
      <c r="Q15" s="301">
        <f t="shared" si="5"/>
        <v>72540</v>
      </c>
      <c r="R15" s="300">
        <f t="shared" si="6"/>
        <v>101370</v>
      </c>
    </row>
    <row r="16" spans="1:18" x14ac:dyDescent="0.25">
      <c r="A16" s="151">
        <v>13</v>
      </c>
      <c r="B16" s="158" t="s">
        <v>158</v>
      </c>
      <c r="C16" s="153" t="s">
        <v>153</v>
      </c>
      <c r="D16" s="173">
        <v>879000</v>
      </c>
      <c r="E16" s="173">
        <v>3591000</v>
      </c>
      <c r="F16" s="225">
        <f t="shared" si="0"/>
        <v>4470000</v>
      </c>
      <c r="G16" s="263">
        <v>1656200</v>
      </c>
      <c r="H16" s="264">
        <v>8281000</v>
      </c>
      <c r="I16" s="264">
        <v>9937200</v>
      </c>
      <c r="J16" s="146">
        <v>799500</v>
      </c>
      <c r="K16" s="146">
        <v>3717264.5887209591</v>
      </c>
      <c r="L16" s="146">
        <v>4516764.5887209587</v>
      </c>
      <c r="M16" s="220">
        <f t="shared" si="1"/>
        <v>799500</v>
      </c>
      <c r="N16" s="220">
        <f t="shared" si="2"/>
        <v>3591000</v>
      </c>
      <c r="O16" s="220">
        <f t="shared" si="3"/>
        <v>4390500</v>
      </c>
      <c r="P16" s="301">
        <f t="shared" si="4"/>
        <v>743535</v>
      </c>
      <c r="Q16" s="301">
        <f t="shared" si="5"/>
        <v>3339630</v>
      </c>
      <c r="R16" s="300">
        <f t="shared" si="6"/>
        <v>4083165</v>
      </c>
    </row>
    <row r="17" spans="1:18" x14ac:dyDescent="0.25">
      <c r="A17" s="151">
        <v>14</v>
      </c>
      <c r="B17" s="152" t="s">
        <v>2</v>
      </c>
      <c r="C17" s="153" t="s">
        <v>153</v>
      </c>
      <c r="D17" s="173">
        <v>117000</v>
      </c>
      <c r="E17" s="173">
        <v>296000</v>
      </c>
      <c r="F17" s="225">
        <f t="shared" si="0"/>
        <v>413000</v>
      </c>
      <c r="G17" s="263">
        <v>145600</v>
      </c>
      <c r="H17" s="264">
        <v>728000</v>
      </c>
      <c r="I17" s="264">
        <v>873600</v>
      </c>
      <c r="J17" s="146">
        <v>549500</v>
      </c>
      <c r="K17" s="146">
        <v>305526.69701213244</v>
      </c>
      <c r="L17" s="146">
        <v>855026.6970121325</v>
      </c>
      <c r="M17" s="220">
        <f t="shared" si="1"/>
        <v>117000</v>
      </c>
      <c r="N17" s="220">
        <f t="shared" si="2"/>
        <v>296000</v>
      </c>
      <c r="O17" s="220">
        <f t="shared" si="3"/>
        <v>413000</v>
      </c>
      <c r="P17" s="301">
        <f t="shared" si="4"/>
        <v>108810</v>
      </c>
      <c r="Q17" s="301">
        <f t="shared" si="5"/>
        <v>275280</v>
      </c>
      <c r="R17" s="300">
        <f t="shared" si="6"/>
        <v>384090</v>
      </c>
    </row>
    <row r="18" spans="1:18" x14ac:dyDescent="0.25">
      <c r="A18" s="151">
        <v>15</v>
      </c>
      <c r="B18" s="152" t="s">
        <v>3</v>
      </c>
      <c r="C18" s="153" t="s">
        <v>153</v>
      </c>
      <c r="D18" s="173">
        <v>116000</v>
      </c>
      <c r="E18" s="173">
        <v>294000</v>
      </c>
      <c r="F18" s="225">
        <f t="shared" si="0"/>
        <v>410000</v>
      </c>
      <c r="G18" s="263">
        <v>144600</v>
      </c>
      <c r="H18" s="264">
        <v>723000</v>
      </c>
      <c r="I18" s="264">
        <v>867600</v>
      </c>
      <c r="J18" s="146">
        <v>549500</v>
      </c>
      <c r="K18" s="146">
        <v>303695.24809655454</v>
      </c>
      <c r="L18" s="146">
        <v>853195.24809655454</v>
      </c>
      <c r="M18" s="220">
        <f t="shared" si="1"/>
        <v>116000</v>
      </c>
      <c r="N18" s="220">
        <f t="shared" si="2"/>
        <v>294000</v>
      </c>
      <c r="O18" s="220">
        <f t="shared" si="3"/>
        <v>410000</v>
      </c>
      <c r="P18" s="301">
        <f t="shared" si="4"/>
        <v>107880</v>
      </c>
      <c r="Q18" s="301">
        <f t="shared" si="5"/>
        <v>273420</v>
      </c>
      <c r="R18" s="300">
        <f t="shared" si="6"/>
        <v>381300</v>
      </c>
    </row>
    <row r="19" spans="1:18" x14ac:dyDescent="0.25">
      <c r="A19" s="151">
        <v>16</v>
      </c>
      <c r="B19" s="152" t="s">
        <v>15</v>
      </c>
      <c r="C19" s="153" t="s">
        <v>153</v>
      </c>
      <c r="D19" s="173">
        <v>278000</v>
      </c>
      <c r="E19" s="173">
        <v>704000</v>
      </c>
      <c r="F19" s="225">
        <f t="shared" si="0"/>
        <v>982000</v>
      </c>
      <c r="G19" s="263">
        <v>346800</v>
      </c>
      <c r="H19" s="264">
        <v>1734000</v>
      </c>
      <c r="I19" s="264">
        <v>2080800</v>
      </c>
      <c r="J19" s="146">
        <v>649500</v>
      </c>
      <c r="K19" s="146">
        <v>728689.41471902875</v>
      </c>
      <c r="L19" s="146">
        <v>1378189.4147190289</v>
      </c>
      <c r="M19" s="220">
        <f t="shared" si="1"/>
        <v>278000</v>
      </c>
      <c r="N19" s="220">
        <f t="shared" si="2"/>
        <v>704000</v>
      </c>
      <c r="O19" s="220">
        <f t="shared" si="3"/>
        <v>982000</v>
      </c>
      <c r="P19" s="301">
        <f t="shared" si="4"/>
        <v>258540</v>
      </c>
      <c r="Q19" s="301">
        <f t="shared" si="5"/>
        <v>654720</v>
      </c>
      <c r="R19" s="300">
        <f t="shared" si="6"/>
        <v>913260</v>
      </c>
    </row>
    <row r="20" spans="1:18" x14ac:dyDescent="0.25">
      <c r="A20" s="151">
        <v>17</v>
      </c>
      <c r="B20" s="152" t="s">
        <v>105</v>
      </c>
      <c r="C20" s="153" t="s">
        <v>153</v>
      </c>
      <c r="D20" s="173">
        <v>106000</v>
      </c>
      <c r="E20" s="173">
        <v>268000</v>
      </c>
      <c r="F20" s="225">
        <f t="shared" si="0"/>
        <v>374000</v>
      </c>
      <c r="G20" s="263">
        <v>131800</v>
      </c>
      <c r="H20" s="264">
        <v>659000</v>
      </c>
      <c r="I20" s="264">
        <v>790800</v>
      </c>
      <c r="J20" s="146">
        <v>549500</v>
      </c>
      <c r="K20" s="146">
        <v>276625.17593424849</v>
      </c>
      <c r="L20" s="146">
        <v>826125.17593424849</v>
      </c>
      <c r="M20" s="220">
        <f t="shared" si="1"/>
        <v>106000</v>
      </c>
      <c r="N20" s="220">
        <f t="shared" si="2"/>
        <v>268000</v>
      </c>
      <c r="O20" s="220">
        <f t="shared" si="3"/>
        <v>374000</v>
      </c>
      <c r="P20" s="301">
        <f t="shared" si="4"/>
        <v>98580</v>
      </c>
      <c r="Q20" s="301">
        <f t="shared" si="5"/>
        <v>249240</v>
      </c>
      <c r="R20" s="300">
        <f t="shared" si="6"/>
        <v>347820</v>
      </c>
    </row>
    <row r="21" spans="1:18" ht="23.25" customHeight="1" x14ac:dyDescent="0.25">
      <c r="A21" s="151">
        <v>18</v>
      </c>
      <c r="B21" s="152" t="s">
        <v>106</v>
      </c>
      <c r="C21" s="153" t="s">
        <v>153</v>
      </c>
      <c r="D21" s="173">
        <v>116000</v>
      </c>
      <c r="E21" s="173">
        <v>293000</v>
      </c>
      <c r="F21" s="225">
        <f t="shared" si="0"/>
        <v>409000</v>
      </c>
      <c r="G21" s="263">
        <v>144200</v>
      </c>
      <c r="H21" s="264">
        <v>721000</v>
      </c>
      <c r="I21" s="264">
        <v>865200</v>
      </c>
      <c r="J21" s="146">
        <v>474500</v>
      </c>
      <c r="K21" s="146">
        <v>303143.36296667124</v>
      </c>
      <c r="L21" s="146">
        <v>777643.36296667124</v>
      </c>
      <c r="M21" s="220">
        <f t="shared" si="1"/>
        <v>116000</v>
      </c>
      <c r="N21" s="220">
        <f t="shared" si="2"/>
        <v>293000</v>
      </c>
      <c r="O21" s="220">
        <f t="shared" si="3"/>
        <v>409000</v>
      </c>
      <c r="P21" s="301">
        <f t="shared" si="4"/>
        <v>107880</v>
      </c>
      <c r="Q21" s="301">
        <f t="shared" si="5"/>
        <v>272490</v>
      </c>
      <c r="R21" s="300">
        <f t="shared" si="6"/>
        <v>380370</v>
      </c>
    </row>
    <row r="22" spans="1:18" x14ac:dyDescent="0.25">
      <c r="A22" s="151">
        <v>19</v>
      </c>
      <c r="B22" s="152" t="s">
        <v>6</v>
      </c>
      <c r="C22" s="153" t="s">
        <v>153</v>
      </c>
      <c r="D22" s="173">
        <v>90000</v>
      </c>
      <c r="E22" s="173">
        <v>226000</v>
      </c>
      <c r="F22" s="225">
        <f t="shared" si="0"/>
        <v>316000</v>
      </c>
      <c r="G22" s="263">
        <v>111600</v>
      </c>
      <c r="H22" s="264">
        <v>558000</v>
      </c>
      <c r="I22" s="264">
        <v>669600</v>
      </c>
      <c r="J22" s="146">
        <v>374500</v>
      </c>
      <c r="K22" s="146">
        <v>233891.36790409707</v>
      </c>
      <c r="L22" s="146">
        <v>608391.36790409707</v>
      </c>
      <c r="M22" s="220">
        <f t="shared" si="1"/>
        <v>90000</v>
      </c>
      <c r="N22" s="220">
        <f t="shared" si="2"/>
        <v>226000</v>
      </c>
      <c r="O22" s="220">
        <f t="shared" si="3"/>
        <v>316000</v>
      </c>
      <c r="P22" s="301">
        <f t="shared" si="4"/>
        <v>83700</v>
      </c>
      <c r="Q22" s="301">
        <f t="shared" si="5"/>
        <v>210180</v>
      </c>
      <c r="R22" s="300">
        <f t="shared" si="6"/>
        <v>293880</v>
      </c>
    </row>
    <row r="23" spans="1:18" x14ac:dyDescent="0.25">
      <c r="A23" s="151">
        <v>20</v>
      </c>
      <c r="B23" s="152" t="s">
        <v>159</v>
      </c>
      <c r="C23" s="153" t="s">
        <v>153</v>
      </c>
      <c r="D23" s="173">
        <v>401000</v>
      </c>
      <c r="E23" s="173">
        <v>1014000</v>
      </c>
      <c r="F23" s="225">
        <f t="shared" si="0"/>
        <v>1415000</v>
      </c>
      <c r="G23" s="263">
        <v>499200</v>
      </c>
      <c r="H23" s="264">
        <v>2496000</v>
      </c>
      <c r="I23" s="264">
        <v>2995200</v>
      </c>
      <c r="J23" s="146">
        <v>474500</v>
      </c>
      <c r="K23" s="146">
        <v>1049663.8885115907</v>
      </c>
      <c r="L23" s="146">
        <v>1524163.8885115907</v>
      </c>
      <c r="M23" s="220">
        <f t="shared" si="1"/>
        <v>401000</v>
      </c>
      <c r="N23" s="220">
        <f t="shared" si="2"/>
        <v>1014000</v>
      </c>
      <c r="O23" s="220">
        <f t="shared" si="3"/>
        <v>1415000</v>
      </c>
      <c r="P23" s="301">
        <f t="shared" si="4"/>
        <v>372930</v>
      </c>
      <c r="Q23" s="301">
        <f t="shared" si="5"/>
        <v>943020</v>
      </c>
      <c r="R23" s="300">
        <f t="shared" si="6"/>
        <v>1315950</v>
      </c>
    </row>
    <row r="24" spans="1:18" ht="22.5" x14ac:dyDescent="0.25">
      <c r="A24" s="151">
        <v>21</v>
      </c>
      <c r="B24" s="152" t="s">
        <v>160</v>
      </c>
      <c r="C24" s="153" t="s">
        <v>153</v>
      </c>
      <c r="D24" s="173">
        <v>92000</v>
      </c>
      <c r="E24" s="173">
        <v>233000</v>
      </c>
      <c r="F24" s="225">
        <f t="shared" si="0"/>
        <v>325000</v>
      </c>
      <c r="G24" s="263">
        <v>115000</v>
      </c>
      <c r="H24" s="264">
        <v>575000</v>
      </c>
      <c r="I24" s="264">
        <v>690000</v>
      </c>
      <c r="J24" s="146">
        <v>184500</v>
      </c>
      <c r="K24" s="146">
        <v>239800</v>
      </c>
      <c r="L24" s="146">
        <v>424300</v>
      </c>
      <c r="M24" s="220">
        <f t="shared" si="1"/>
        <v>92000</v>
      </c>
      <c r="N24" s="220">
        <f t="shared" si="2"/>
        <v>233000</v>
      </c>
      <c r="O24" s="220">
        <f t="shared" si="3"/>
        <v>325000</v>
      </c>
      <c r="P24" s="301">
        <f t="shared" si="4"/>
        <v>85560</v>
      </c>
      <c r="Q24" s="301">
        <f t="shared" si="5"/>
        <v>216690</v>
      </c>
      <c r="R24" s="300">
        <f t="shared" si="6"/>
        <v>302250</v>
      </c>
    </row>
    <row r="25" spans="1:18" x14ac:dyDescent="0.25">
      <c r="A25" s="151">
        <v>22</v>
      </c>
      <c r="B25" s="152" t="s">
        <v>107</v>
      </c>
      <c r="C25" s="153" t="s">
        <v>153</v>
      </c>
      <c r="D25" s="173">
        <v>147000</v>
      </c>
      <c r="E25" s="173">
        <v>372000</v>
      </c>
      <c r="F25" s="225">
        <f t="shared" si="0"/>
        <v>519000</v>
      </c>
      <c r="G25" s="263">
        <v>183000</v>
      </c>
      <c r="H25" s="264">
        <v>915000</v>
      </c>
      <c r="I25" s="264">
        <v>1098000</v>
      </c>
      <c r="J25" s="146">
        <v>199500</v>
      </c>
      <c r="K25" s="146">
        <v>523785.54631257564</v>
      </c>
      <c r="L25" s="146">
        <v>723285.54631257569</v>
      </c>
      <c r="M25" s="220">
        <f t="shared" si="1"/>
        <v>147000</v>
      </c>
      <c r="N25" s="220">
        <f t="shared" si="2"/>
        <v>372000</v>
      </c>
      <c r="O25" s="220">
        <f t="shared" si="3"/>
        <v>519000</v>
      </c>
      <c r="P25" s="301">
        <f t="shared" si="4"/>
        <v>136710</v>
      </c>
      <c r="Q25" s="301">
        <f t="shared" si="5"/>
        <v>345960</v>
      </c>
      <c r="R25" s="300">
        <f t="shared" si="6"/>
        <v>482670</v>
      </c>
    </row>
    <row r="26" spans="1:18" x14ac:dyDescent="0.25">
      <c r="A26" s="151">
        <v>23</v>
      </c>
      <c r="B26" s="158" t="s">
        <v>132</v>
      </c>
      <c r="C26" s="153" t="s">
        <v>153</v>
      </c>
      <c r="D26" s="173">
        <v>281000</v>
      </c>
      <c r="E26" s="173">
        <v>711000</v>
      </c>
      <c r="F26" s="225">
        <f t="shared" si="0"/>
        <v>992000</v>
      </c>
      <c r="G26" s="263">
        <v>350200</v>
      </c>
      <c r="H26" s="264">
        <v>1751000</v>
      </c>
      <c r="I26" s="264">
        <v>2101200</v>
      </c>
      <c r="J26" s="146">
        <v>384500</v>
      </c>
      <c r="K26" s="146">
        <v>735708.3707724479</v>
      </c>
      <c r="L26" s="146">
        <v>1120208.3707724479</v>
      </c>
      <c r="M26" s="220">
        <f t="shared" si="1"/>
        <v>281000</v>
      </c>
      <c r="N26" s="220">
        <f t="shared" si="2"/>
        <v>711000</v>
      </c>
      <c r="O26" s="220">
        <f t="shared" si="3"/>
        <v>992000</v>
      </c>
      <c r="P26" s="301">
        <f t="shared" si="4"/>
        <v>261330</v>
      </c>
      <c r="Q26" s="301">
        <f t="shared" si="5"/>
        <v>661230</v>
      </c>
      <c r="R26" s="300">
        <f t="shared" si="6"/>
        <v>922560</v>
      </c>
    </row>
    <row r="27" spans="1:18" x14ac:dyDescent="0.25">
      <c r="A27" s="151">
        <v>24</v>
      </c>
      <c r="B27" s="158" t="s">
        <v>149</v>
      </c>
      <c r="C27" s="153" t="s">
        <v>153</v>
      </c>
      <c r="D27" s="173">
        <v>102000</v>
      </c>
      <c r="E27" s="173">
        <v>259000</v>
      </c>
      <c r="F27" s="225">
        <f t="shared" si="0"/>
        <v>361000</v>
      </c>
      <c r="G27" s="263">
        <v>127400</v>
      </c>
      <c r="H27" s="264">
        <v>637000</v>
      </c>
      <c r="I27" s="264">
        <v>764400</v>
      </c>
      <c r="J27" s="146">
        <v>384500</v>
      </c>
      <c r="K27" s="146">
        <v>267871.72375833918</v>
      </c>
      <c r="L27" s="146">
        <v>652371.72375833918</v>
      </c>
      <c r="M27" s="220">
        <f t="shared" si="1"/>
        <v>102000</v>
      </c>
      <c r="N27" s="220">
        <f t="shared" si="2"/>
        <v>259000</v>
      </c>
      <c r="O27" s="220">
        <f t="shared" si="3"/>
        <v>361000</v>
      </c>
      <c r="P27" s="301">
        <f t="shared" si="4"/>
        <v>94860</v>
      </c>
      <c r="Q27" s="301">
        <f t="shared" si="5"/>
        <v>240870</v>
      </c>
      <c r="R27" s="300">
        <f t="shared" si="6"/>
        <v>335730</v>
      </c>
    </row>
    <row r="28" spans="1:18" x14ac:dyDescent="0.25">
      <c r="A28" s="151">
        <v>25</v>
      </c>
      <c r="B28" s="152" t="s">
        <v>11</v>
      </c>
      <c r="C28" s="153" t="s">
        <v>153</v>
      </c>
      <c r="D28" s="173">
        <v>53000</v>
      </c>
      <c r="E28" s="173">
        <v>135000</v>
      </c>
      <c r="F28" s="225">
        <f t="shared" si="0"/>
        <v>188000</v>
      </c>
      <c r="G28" s="263">
        <v>66600</v>
      </c>
      <c r="H28" s="264">
        <v>333000</v>
      </c>
      <c r="I28" s="264">
        <v>399600</v>
      </c>
      <c r="J28" s="146">
        <v>109500</v>
      </c>
      <c r="K28" s="146">
        <v>139182.98083653656</v>
      </c>
      <c r="L28" s="146">
        <v>248682.98083653656</v>
      </c>
      <c r="M28" s="220">
        <f t="shared" si="1"/>
        <v>53000</v>
      </c>
      <c r="N28" s="220">
        <f t="shared" si="2"/>
        <v>135000</v>
      </c>
      <c r="O28" s="220">
        <f t="shared" si="3"/>
        <v>188000</v>
      </c>
      <c r="P28" s="301">
        <f t="shared" si="4"/>
        <v>49290</v>
      </c>
      <c r="Q28" s="301">
        <f t="shared" si="5"/>
        <v>125550</v>
      </c>
      <c r="R28" s="300">
        <f t="shared" si="6"/>
        <v>174840</v>
      </c>
    </row>
    <row r="29" spans="1:18" x14ac:dyDescent="0.25">
      <c r="A29" s="151">
        <v>26</v>
      </c>
      <c r="B29" s="158" t="s">
        <v>66</v>
      </c>
      <c r="C29" s="153" t="s">
        <v>153</v>
      </c>
      <c r="D29" s="173">
        <v>71000</v>
      </c>
      <c r="E29" s="173">
        <v>180000</v>
      </c>
      <c r="F29" s="225">
        <f t="shared" si="0"/>
        <v>251000</v>
      </c>
      <c r="G29" s="263">
        <v>88600</v>
      </c>
      <c r="H29" s="264">
        <v>443000</v>
      </c>
      <c r="I29" s="264">
        <v>531600</v>
      </c>
      <c r="J29" s="146">
        <v>109500</v>
      </c>
      <c r="K29" s="146">
        <v>185947.67901462273</v>
      </c>
      <c r="L29" s="146">
        <v>295447.6790146227</v>
      </c>
      <c r="M29" s="220">
        <f t="shared" si="1"/>
        <v>71000</v>
      </c>
      <c r="N29" s="220">
        <f t="shared" si="2"/>
        <v>180000</v>
      </c>
      <c r="O29" s="220">
        <f t="shared" si="3"/>
        <v>251000</v>
      </c>
      <c r="P29" s="301">
        <f t="shared" si="4"/>
        <v>66030</v>
      </c>
      <c r="Q29" s="301">
        <f t="shared" si="5"/>
        <v>167400</v>
      </c>
      <c r="R29" s="300">
        <f t="shared" si="6"/>
        <v>233430</v>
      </c>
    </row>
    <row r="30" spans="1:18" x14ac:dyDescent="0.25">
      <c r="A30" s="151">
        <v>27</v>
      </c>
      <c r="B30" s="152" t="s">
        <v>13</v>
      </c>
      <c r="C30" s="153" t="s">
        <v>153</v>
      </c>
      <c r="D30" s="173">
        <v>148000</v>
      </c>
      <c r="E30" s="173">
        <v>813000</v>
      </c>
      <c r="F30" s="225">
        <f t="shared" si="0"/>
        <v>961000</v>
      </c>
      <c r="G30" s="263">
        <v>364400</v>
      </c>
      <c r="H30" s="264">
        <v>1822000</v>
      </c>
      <c r="I30" s="264">
        <v>2186400</v>
      </c>
      <c r="J30" s="146">
        <v>134500</v>
      </c>
      <c r="K30" s="146">
        <v>841109.3958583374</v>
      </c>
      <c r="L30" s="146">
        <v>975609.3958583374</v>
      </c>
      <c r="M30" s="220">
        <f t="shared" si="1"/>
        <v>134500</v>
      </c>
      <c r="N30" s="220">
        <f t="shared" si="2"/>
        <v>813000</v>
      </c>
      <c r="O30" s="220">
        <f t="shared" si="3"/>
        <v>947500</v>
      </c>
      <c r="P30" s="301">
        <f t="shared" si="4"/>
        <v>125085</v>
      </c>
      <c r="Q30" s="301">
        <f t="shared" si="5"/>
        <v>756090</v>
      </c>
      <c r="R30" s="300">
        <f t="shared" si="6"/>
        <v>881175</v>
      </c>
    </row>
    <row r="31" spans="1:18" x14ac:dyDescent="0.25">
      <c r="A31" s="151">
        <v>28</v>
      </c>
      <c r="B31" s="152" t="s">
        <v>151</v>
      </c>
      <c r="C31" s="153" t="s">
        <v>153</v>
      </c>
      <c r="D31" s="173">
        <v>34000</v>
      </c>
      <c r="E31" s="173">
        <v>86000</v>
      </c>
      <c r="F31" s="225">
        <f t="shared" si="0"/>
        <v>120000</v>
      </c>
      <c r="G31" s="263">
        <v>42600</v>
      </c>
      <c r="H31" s="264">
        <v>213000</v>
      </c>
      <c r="I31" s="264">
        <v>255600</v>
      </c>
      <c r="J31" s="146">
        <v>65500</v>
      </c>
      <c r="K31" s="146">
        <v>88892.60605738801</v>
      </c>
      <c r="L31" s="146">
        <v>154392.60605738801</v>
      </c>
      <c r="M31" s="220">
        <f t="shared" si="1"/>
        <v>34000</v>
      </c>
      <c r="N31" s="220">
        <f t="shared" si="2"/>
        <v>86000</v>
      </c>
      <c r="O31" s="220">
        <f t="shared" si="3"/>
        <v>120000</v>
      </c>
      <c r="P31" s="301">
        <f t="shared" si="4"/>
        <v>31620</v>
      </c>
      <c r="Q31" s="301">
        <f t="shared" si="5"/>
        <v>79980</v>
      </c>
      <c r="R31" s="300">
        <f t="shared" si="6"/>
        <v>111600</v>
      </c>
    </row>
    <row r="32" spans="1:18" x14ac:dyDescent="0.25">
      <c r="A32" s="151">
        <v>29</v>
      </c>
      <c r="B32" s="152" t="s">
        <v>163</v>
      </c>
      <c r="C32" s="153" t="s">
        <v>153</v>
      </c>
      <c r="D32" s="173">
        <v>30000</v>
      </c>
      <c r="E32" s="173">
        <v>75000</v>
      </c>
      <c r="F32" s="225">
        <f t="shared" si="0"/>
        <v>105000</v>
      </c>
      <c r="G32" s="263">
        <v>36800</v>
      </c>
      <c r="H32" s="264">
        <v>184000</v>
      </c>
      <c r="I32" s="264">
        <v>220800</v>
      </c>
      <c r="J32" s="146">
        <v>99500</v>
      </c>
      <c r="K32" s="146">
        <v>77174.103077491818</v>
      </c>
      <c r="L32" s="146">
        <v>176674.1030774918</v>
      </c>
      <c r="M32" s="220">
        <f t="shared" si="1"/>
        <v>30000</v>
      </c>
      <c r="N32" s="220">
        <f t="shared" si="2"/>
        <v>75000</v>
      </c>
      <c r="O32" s="220">
        <f t="shared" si="3"/>
        <v>105000</v>
      </c>
      <c r="P32" s="301">
        <f t="shared" si="4"/>
        <v>27900</v>
      </c>
      <c r="Q32" s="301">
        <f t="shared" si="5"/>
        <v>69750</v>
      </c>
      <c r="R32" s="300">
        <f t="shared" si="6"/>
        <v>97650</v>
      </c>
    </row>
    <row r="33" spans="1:18" x14ac:dyDescent="0.25">
      <c r="A33" s="151">
        <v>30</v>
      </c>
      <c r="B33" s="152" t="s">
        <v>165</v>
      </c>
      <c r="C33" s="153" t="s">
        <v>153</v>
      </c>
      <c r="D33" s="173">
        <v>70000</v>
      </c>
      <c r="E33" s="173">
        <v>178000</v>
      </c>
      <c r="F33" s="225">
        <f t="shared" si="0"/>
        <v>248000</v>
      </c>
      <c r="G33" s="263">
        <v>87600</v>
      </c>
      <c r="H33" s="264">
        <v>438000</v>
      </c>
      <c r="I33" s="264">
        <v>525600</v>
      </c>
      <c r="J33" s="146">
        <v>99500</v>
      </c>
      <c r="K33" s="146">
        <v>183715.63394299051</v>
      </c>
      <c r="L33" s="146">
        <v>283215.63394299051</v>
      </c>
      <c r="M33" s="220">
        <f t="shared" si="1"/>
        <v>70000</v>
      </c>
      <c r="N33" s="220">
        <f t="shared" si="2"/>
        <v>178000</v>
      </c>
      <c r="O33" s="220">
        <f t="shared" si="3"/>
        <v>248000</v>
      </c>
      <c r="P33" s="301">
        <f t="shared" si="4"/>
        <v>65100</v>
      </c>
      <c r="Q33" s="301">
        <f t="shared" si="5"/>
        <v>165540</v>
      </c>
      <c r="R33" s="300">
        <f t="shared" si="6"/>
        <v>230640</v>
      </c>
    </row>
    <row r="34" spans="1:18" x14ac:dyDescent="0.25">
      <c r="A34" s="151">
        <v>31</v>
      </c>
      <c r="B34" s="152" t="s">
        <v>7</v>
      </c>
      <c r="C34" s="153" t="s">
        <v>153</v>
      </c>
      <c r="D34" s="173">
        <v>105000</v>
      </c>
      <c r="E34" s="173">
        <v>265000</v>
      </c>
      <c r="F34" s="225">
        <f t="shared" si="0"/>
        <v>370000</v>
      </c>
      <c r="G34" s="263">
        <v>130400</v>
      </c>
      <c r="H34" s="264">
        <v>652000</v>
      </c>
      <c r="I34" s="264">
        <v>782400</v>
      </c>
      <c r="J34" s="146">
        <v>184500</v>
      </c>
      <c r="K34" s="146">
        <v>274089.48749964975</v>
      </c>
      <c r="L34" s="146">
        <v>458589.48749964975</v>
      </c>
      <c r="M34" s="220">
        <f t="shared" si="1"/>
        <v>105000</v>
      </c>
      <c r="N34" s="220">
        <f t="shared" si="2"/>
        <v>265000</v>
      </c>
      <c r="O34" s="220">
        <f t="shared" si="3"/>
        <v>370000</v>
      </c>
      <c r="P34" s="301">
        <f t="shared" si="4"/>
        <v>97650</v>
      </c>
      <c r="Q34" s="301">
        <f t="shared" si="5"/>
        <v>246450</v>
      </c>
      <c r="R34" s="300">
        <f t="shared" si="6"/>
        <v>344100</v>
      </c>
    </row>
    <row r="35" spans="1:18" x14ac:dyDescent="0.25">
      <c r="A35" s="151">
        <v>32</v>
      </c>
      <c r="B35" s="158" t="s">
        <v>353</v>
      </c>
      <c r="C35" s="153" t="s">
        <v>153</v>
      </c>
      <c r="D35" s="173">
        <v>93000</v>
      </c>
      <c r="E35" s="173">
        <v>285000</v>
      </c>
      <c r="F35" s="225">
        <f t="shared" si="0"/>
        <v>378000</v>
      </c>
      <c r="G35" s="263">
        <v>136200</v>
      </c>
      <c r="H35" s="264">
        <v>681000</v>
      </c>
      <c r="I35" s="264">
        <v>817200</v>
      </c>
      <c r="J35" s="146">
        <v>84500</v>
      </c>
      <c r="K35" s="146">
        <v>294753.21741101315</v>
      </c>
      <c r="L35" s="146">
        <v>379253.21741101315</v>
      </c>
      <c r="M35" s="220">
        <f t="shared" si="1"/>
        <v>84500</v>
      </c>
      <c r="N35" s="220">
        <f t="shared" si="2"/>
        <v>285000</v>
      </c>
      <c r="O35" s="220">
        <f t="shared" si="3"/>
        <v>369500</v>
      </c>
      <c r="P35" s="301">
        <f t="shared" si="4"/>
        <v>78585</v>
      </c>
      <c r="Q35" s="301">
        <f t="shared" si="5"/>
        <v>265050</v>
      </c>
      <c r="R35" s="300">
        <f t="shared" si="6"/>
        <v>343635</v>
      </c>
    </row>
    <row r="36" spans="1:18" x14ac:dyDescent="0.25">
      <c r="A36" s="151">
        <v>33</v>
      </c>
      <c r="B36" s="158" t="s">
        <v>109</v>
      </c>
      <c r="C36" s="153" t="s">
        <v>153</v>
      </c>
      <c r="D36" s="173">
        <v>212000</v>
      </c>
      <c r="E36" s="173">
        <v>536000</v>
      </c>
      <c r="F36" s="225">
        <f t="shared" si="0"/>
        <v>748000</v>
      </c>
      <c r="G36" s="263">
        <v>264000</v>
      </c>
      <c r="H36" s="264">
        <v>1320000</v>
      </c>
      <c r="I36" s="264">
        <v>1584000</v>
      </c>
      <c r="J36" s="146">
        <v>749500</v>
      </c>
      <c r="K36" s="146">
        <v>554383.20856183837</v>
      </c>
      <c r="L36" s="146">
        <v>1303883.2085618384</v>
      </c>
      <c r="M36" s="220">
        <f t="shared" si="1"/>
        <v>212000</v>
      </c>
      <c r="N36" s="220">
        <f t="shared" si="2"/>
        <v>536000</v>
      </c>
      <c r="O36" s="220">
        <f t="shared" si="3"/>
        <v>748000</v>
      </c>
      <c r="P36" s="301">
        <f t="shared" si="4"/>
        <v>197160</v>
      </c>
      <c r="Q36" s="301">
        <f t="shared" si="5"/>
        <v>498480</v>
      </c>
      <c r="R36" s="300">
        <f t="shared" si="6"/>
        <v>695640</v>
      </c>
    </row>
    <row r="37" spans="1:18" x14ac:dyDescent="0.25">
      <c r="A37" s="151">
        <v>34</v>
      </c>
      <c r="B37" s="152" t="s">
        <v>135</v>
      </c>
      <c r="C37" s="153" t="s">
        <v>153</v>
      </c>
      <c r="D37" s="173">
        <v>132000</v>
      </c>
      <c r="E37" s="173">
        <v>333000</v>
      </c>
      <c r="F37" s="225">
        <f t="shared" si="0"/>
        <v>465000</v>
      </c>
      <c r="G37" s="263">
        <v>163800</v>
      </c>
      <c r="H37" s="264">
        <v>819000</v>
      </c>
      <c r="I37" s="264">
        <v>982800</v>
      </c>
      <c r="J37" s="146">
        <v>299500</v>
      </c>
      <c r="K37" s="146">
        <v>344226.84268371615</v>
      </c>
      <c r="L37" s="146">
        <v>643726.84268371621</v>
      </c>
      <c r="M37" s="220">
        <f t="shared" si="1"/>
        <v>132000</v>
      </c>
      <c r="N37" s="220">
        <f t="shared" si="2"/>
        <v>333000</v>
      </c>
      <c r="O37" s="220">
        <f t="shared" si="3"/>
        <v>465000</v>
      </c>
      <c r="P37" s="301">
        <f t="shared" si="4"/>
        <v>122760</v>
      </c>
      <c r="Q37" s="301">
        <f t="shared" si="5"/>
        <v>309690</v>
      </c>
      <c r="R37" s="300">
        <f t="shared" si="6"/>
        <v>432450</v>
      </c>
    </row>
    <row r="38" spans="1:18" ht="33.75" x14ac:dyDescent="0.25">
      <c r="A38" s="151">
        <v>35</v>
      </c>
      <c r="B38" s="152" t="s">
        <v>333</v>
      </c>
      <c r="C38" s="153" t="s">
        <v>153</v>
      </c>
      <c r="D38" s="173">
        <v>135000</v>
      </c>
      <c r="E38" s="173">
        <v>343000</v>
      </c>
      <c r="F38" s="225">
        <f t="shared" si="0"/>
        <v>478000</v>
      </c>
      <c r="G38" s="263">
        <v>168600</v>
      </c>
      <c r="H38" s="264">
        <v>843000</v>
      </c>
      <c r="I38" s="264">
        <v>1011600</v>
      </c>
      <c r="J38" s="146">
        <v>299500</v>
      </c>
      <c r="K38" s="146">
        <v>574881.79910036025</v>
      </c>
      <c r="L38" s="146">
        <v>874381.79910036025</v>
      </c>
      <c r="M38" s="220">
        <f t="shared" si="1"/>
        <v>135000</v>
      </c>
      <c r="N38" s="220">
        <f t="shared" si="2"/>
        <v>343000</v>
      </c>
      <c r="O38" s="220">
        <f t="shared" si="3"/>
        <v>478000</v>
      </c>
      <c r="P38" s="301">
        <f t="shared" si="4"/>
        <v>125550</v>
      </c>
      <c r="Q38" s="301">
        <f t="shared" si="5"/>
        <v>318990</v>
      </c>
      <c r="R38" s="300">
        <f t="shared" si="6"/>
        <v>444540</v>
      </c>
    </row>
    <row r="39" spans="1:18" ht="22.5" x14ac:dyDescent="0.25">
      <c r="A39" s="210"/>
      <c r="B39" s="156" t="s">
        <v>22</v>
      </c>
      <c r="C39" s="153" t="s">
        <v>153</v>
      </c>
      <c r="D39" s="173">
        <v>0</v>
      </c>
      <c r="E39" s="173">
        <v>0</v>
      </c>
      <c r="F39" s="225">
        <f t="shared" si="0"/>
        <v>0</v>
      </c>
      <c r="G39" s="263">
        <v>0</v>
      </c>
      <c r="H39" s="264">
        <v>0</v>
      </c>
      <c r="I39" s="264">
        <v>0</v>
      </c>
      <c r="J39" s="146"/>
      <c r="K39" s="146">
        <v>-500</v>
      </c>
      <c r="L39" s="146">
        <v>-500</v>
      </c>
      <c r="M39" s="220">
        <f t="shared" si="1"/>
        <v>0</v>
      </c>
      <c r="N39" s="220">
        <f t="shared" si="2"/>
        <v>-500</v>
      </c>
      <c r="O39" s="220">
        <f t="shared" si="3"/>
        <v>-500</v>
      </c>
      <c r="P39" s="301">
        <f t="shared" si="4"/>
        <v>0</v>
      </c>
      <c r="Q39" s="301">
        <f t="shared" si="5"/>
        <v>-465</v>
      </c>
      <c r="R39" s="300">
        <f t="shared" si="6"/>
        <v>-465</v>
      </c>
    </row>
    <row r="40" spans="1:18" x14ac:dyDescent="0.25">
      <c r="A40" s="210">
        <v>36</v>
      </c>
      <c r="B40" s="152" t="s">
        <v>23</v>
      </c>
      <c r="C40" s="153" t="s">
        <v>153</v>
      </c>
      <c r="D40" s="173">
        <v>247000</v>
      </c>
      <c r="E40" s="173">
        <v>655000</v>
      </c>
      <c r="F40" s="225">
        <f t="shared" si="0"/>
        <v>902000</v>
      </c>
      <c r="G40" s="263">
        <v>320000</v>
      </c>
      <c r="H40" s="264">
        <v>1600000</v>
      </c>
      <c r="I40" s="264">
        <v>1920000</v>
      </c>
      <c r="J40" s="146">
        <v>224500</v>
      </c>
      <c r="K40" s="146">
        <v>677279.98154968955</v>
      </c>
      <c r="L40" s="146">
        <v>901779.98154968955</v>
      </c>
      <c r="M40" s="220">
        <f t="shared" si="1"/>
        <v>224500</v>
      </c>
      <c r="N40" s="220">
        <f t="shared" si="2"/>
        <v>655000</v>
      </c>
      <c r="O40" s="220">
        <f t="shared" si="3"/>
        <v>879500</v>
      </c>
      <c r="P40" s="301">
        <f t="shared" si="4"/>
        <v>208785</v>
      </c>
      <c r="Q40" s="301">
        <f t="shared" si="5"/>
        <v>609150</v>
      </c>
      <c r="R40" s="300">
        <f t="shared" si="6"/>
        <v>817935</v>
      </c>
    </row>
    <row r="41" spans="1:18" x14ac:dyDescent="0.25">
      <c r="A41" s="210">
        <v>37</v>
      </c>
      <c r="B41" s="152" t="s">
        <v>167</v>
      </c>
      <c r="C41" s="153" t="s">
        <v>153</v>
      </c>
      <c r="D41" s="173">
        <v>70000</v>
      </c>
      <c r="E41" s="173">
        <v>176000</v>
      </c>
      <c r="F41" s="225">
        <f t="shared" si="0"/>
        <v>246000</v>
      </c>
      <c r="G41" s="263">
        <v>86800</v>
      </c>
      <c r="H41" s="264">
        <v>434000</v>
      </c>
      <c r="I41" s="264">
        <v>520800</v>
      </c>
      <c r="J41" s="146">
        <v>224500</v>
      </c>
      <c r="K41" s="146">
        <v>248901.31115059461</v>
      </c>
      <c r="L41" s="146">
        <v>473401.31115059461</v>
      </c>
      <c r="M41" s="220">
        <f t="shared" si="1"/>
        <v>70000</v>
      </c>
      <c r="N41" s="220">
        <f t="shared" si="2"/>
        <v>176000</v>
      </c>
      <c r="O41" s="220">
        <f t="shared" si="3"/>
        <v>246000</v>
      </c>
      <c r="P41" s="301">
        <f t="shared" si="4"/>
        <v>65100</v>
      </c>
      <c r="Q41" s="301">
        <f t="shared" si="5"/>
        <v>163680</v>
      </c>
      <c r="R41" s="300">
        <f t="shared" si="6"/>
        <v>228780</v>
      </c>
    </row>
    <row r="42" spans="1:18" x14ac:dyDescent="0.25">
      <c r="A42" s="210">
        <v>38</v>
      </c>
      <c r="B42" s="152" t="s">
        <v>24</v>
      </c>
      <c r="C42" s="153" t="s">
        <v>153</v>
      </c>
      <c r="D42" s="173">
        <v>53000</v>
      </c>
      <c r="E42" s="173">
        <v>135000</v>
      </c>
      <c r="F42" s="225">
        <f t="shared" si="0"/>
        <v>188000</v>
      </c>
      <c r="G42" s="263">
        <v>66600</v>
      </c>
      <c r="H42" s="264">
        <v>333000</v>
      </c>
      <c r="I42" s="264">
        <v>399600</v>
      </c>
      <c r="J42" s="146">
        <v>84500</v>
      </c>
      <c r="K42" s="146">
        <v>139141.81229944</v>
      </c>
      <c r="L42" s="146">
        <v>223641.81229944</v>
      </c>
      <c r="M42" s="220">
        <f t="shared" si="1"/>
        <v>53000</v>
      </c>
      <c r="N42" s="220">
        <f t="shared" si="2"/>
        <v>135000</v>
      </c>
      <c r="O42" s="220">
        <f t="shared" si="3"/>
        <v>188000</v>
      </c>
      <c r="P42" s="301">
        <f t="shared" si="4"/>
        <v>49290</v>
      </c>
      <c r="Q42" s="301">
        <f t="shared" si="5"/>
        <v>125550</v>
      </c>
      <c r="R42" s="300">
        <f t="shared" si="6"/>
        <v>174840</v>
      </c>
    </row>
    <row r="43" spans="1:18" x14ac:dyDescent="0.25">
      <c r="A43" s="210">
        <v>39</v>
      </c>
      <c r="B43" s="152" t="s">
        <v>25</v>
      </c>
      <c r="C43" s="153" t="s">
        <v>153</v>
      </c>
      <c r="D43" s="173">
        <v>73000</v>
      </c>
      <c r="E43" s="173">
        <v>185000</v>
      </c>
      <c r="F43" s="225">
        <f t="shared" si="0"/>
        <v>258000</v>
      </c>
      <c r="G43" s="263">
        <v>91000</v>
      </c>
      <c r="H43" s="264">
        <v>455000</v>
      </c>
      <c r="I43" s="264">
        <v>546000</v>
      </c>
      <c r="J43" s="146">
        <v>124500</v>
      </c>
      <c r="K43" s="146">
        <v>190861.00203997333</v>
      </c>
      <c r="L43" s="146">
        <v>315361.00203997333</v>
      </c>
      <c r="M43" s="220">
        <f t="shared" si="1"/>
        <v>73000</v>
      </c>
      <c r="N43" s="220">
        <f t="shared" si="2"/>
        <v>185000</v>
      </c>
      <c r="O43" s="220">
        <f t="shared" si="3"/>
        <v>258000</v>
      </c>
      <c r="P43" s="301">
        <f t="shared" si="4"/>
        <v>67890</v>
      </c>
      <c r="Q43" s="301">
        <f t="shared" si="5"/>
        <v>172050</v>
      </c>
      <c r="R43" s="300">
        <f t="shared" si="6"/>
        <v>239940</v>
      </c>
    </row>
    <row r="44" spans="1:18" x14ac:dyDescent="0.25">
      <c r="A44" s="210">
        <v>40</v>
      </c>
      <c r="B44" s="152" t="s">
        <v>283</v>
      </c>
      <c r="C44" s="153" t="s">
        <v>153</v>
      </c>
      <c r="D44" s="173">
        <v>466000</v>
      </c>
      <c r="E44" s="173">
        <v>1179000</v>
      </c>
      <c r="F44" s="225">
        <f t="shared" si="0"/>
        <v>1645000</v>
      </c>
      <c r="G44" s="263">
        <v>580600</v>
      </c>
      <c r="H44" s="264">
        <v>2903000</v>
      </c>
      <c r="I44" s="264">
        <v>3483600</v>
      </c>
      <c r="J44" s="146">
        <v>619500</v>
      </c>
      <c r="K44" s="146">
        <v>1220485.4822723458</v>
      </c>
      <c r="L44" s="146">
        <v>1839985.4822723458</v>
      </c>
      <c r="M44" s="220">
        <f t="shared" si="1"/>
        <v>466000</v>
      </c>
      <c r="N44" s="220">
        <f t="shared" si="2"/>
        <v>1179000</v>
      </c>
      <c r="O44" s="220">
        <f t="shared" si="3"/>
        <v>1645000</v>
      </c>
      <c r="P44" s="301">
        <f t="shared" si="4"/>
        <v>433380</v>
      </c>
      <c r="Q44" s="301">
        <f t="shared" si="5"/>
        <v>1096470</v>
      </c>
      <c r="R44" s="300">
        <f t="shared" si="6"/>
        <v>1529850</v>
      </c>
    </row>
    <row r="45" spans="1:18" x14ac:dyDescent="0.25">
      <c r="A45" s="210">
        <v>41</v>
      </c>
      <c r="B45" s="152" t="s">
        <v>332</v>
      </c>
      <c r="C45" s="153" t="s">
        <v>153</v>
      </c>
      <c r="D45" s="173">
        <v>70000</v>
      </c>
      <c r="E45" s="173">
        <v>176000</v>
      </c>
      <c r="F45" s="225">
        <f t="shared" si="0"/>
        <v>246000</v>
      </c>
      <c r="G45" s="263">
        <v>86800</v>
      </c>
      <c r="H45" s="264">
        <v>434000</v>
      </c>
      <c r="I45" s="264">
        <v>520800</v>
      </c>
      <c r="J45" s="146">
        <v>389500</v>
      </c>
      <c r="K45" s="146">
        <v>255824.44188926247</v>
      </c>
      <c r="L45" s="146">
        <v>645324.44188926253</v>
      </c>
      <c r="M45" s="220">
        <f t="shared" si="1"/>
        <v>70000</v>
      </c>
      <c r="N45" s="220">
        <f t="shared" si="2"/>
        <v>176000</v>
      </c>
      <c r="O45" s="220">
        <f t="shared" si="3"/>
        <v>246000</v>
      </c>
      <c r="P45" s="301">
        <f t="shared" si="4"/>
        <v>65100</v>
      </c>
      <c r="Q45" s="301">
        <f t="shared" si="5"/>
        <v>163680</v>
      </c>
      <c r="R45" s="300">
        <f t="shared" si="6"/>
        <v>228780</v>
      </c>
    </row>
    <row r="46" spans="1:18" x14ac:dyDescent="0.25">
      <c r="A46" s="210">
        <v>42</v>
      </c>
      <c r="B46" s="152" t="s">
        <v>92</v>
      </c>
      <c r="C46" s="153" t="s">
        <v>153</v>
      </c>
      <c r="D46" s="173">
        <v>234000</v>
      </c>
      <c r="E46" s="173">
        <v>591000</v>
      </c>
      <c r="F46" s="225">
        <f t="shared" si="0"/>
        <v>825000</v>
      </c>
      <c r="G46" s="263">
        <v>290800</v>
      </c>
      <c r="H46" s="264">
        <v>1454000</v>
      </c>
      <c r="I46" s="264">
        <v>1744800</v>
      </c>
      <c r="J46" s="146">
        <v>349500</v>
      </c>
      <c r="K46" s="146">
        <v>611676.25813141244</v>
      </c>
      <c r="L46" s="146">
        <v>961176.25813141244</v>
      </c>
      <c r="M46" s="220">
        <f t="shared" si="1"/>
        <v>234000</v>
      </c>
      <c r="N46" s="220">
        <f t="shared" si="2"/>
        <v>591000</v>
      </c>
      <c r="O46" s="220">
        <f t="shared" si="3"/>
        <v>825000</v>
      </c>
      <c r="P46" s="301">
        <f t="shared" si="4"/>
        <v>217620</v>
      </c>
      <c r="Q46" s="301">
        <f t="shared" si="5"/>
        <v>549630</v>
      </c>
      <c r="R46" s="300">
        <f t="shared" si="6"/>
        <v>767250</v>
      </c>
    </row>
    <row r="47" spans="1:18" ht="22.5" x14ac:dyDescent="0.25">
      <c r="A47" s="210"/>
      <c r="B47" s="156" t="s">
        <v>97</v>
      </c>
      <c r="C47" s="153" t="s">
        <v>153</v>
      </c>
      <c r="D47" s="173">
        <v>0</v>
      </c>
      <c r="E47" s="173">
        <v>0</v>
      </c>
      <c r="F47" s="225">
        <f t="shared" si="0"/>
        <v>0</v>
      </c>
      <c r="G47" s="263">
        <v>0</v>
      </c>
      <c r="H47" s="264">
        <v>0</v>
      </c>
      <c r="I47" s="264">
        <v>0</v>
      </c>
      <c r="J47" s="146"/>
      <c r="K47" s="146"/>
      <c r="L47" s="146">
        <v>0</v>
      </c>
      <c r="M47" s="220">
        <f t="shared" si="1"/>
        <v>0</v>
      </c>
      <c r="N47" s="220">
        <f t="shared" si="2"/>
        <v>0</v>
      </c>
      <c r="O47" s="220">
        <f t="shared" si="3"/>
        <v>0</v>
      </c>
      <c r="P47" s="301">
        <f t="shared" si="4"/>
        <v>0</v>
      </c>
      <c r="Q47" s="301">
        <f t="shared" si="5"/>
        <v>0</v>
      </c>
      <c r="R47" s="300">
        <f t="shared" si="6"/>
        <v>0</v>
      </c>
    </row>
    <row r="48" spans="1:18" x14ac:dyDescent="0.25">
      <c r="A48" s="210">
        <v>43</v>
      </c>
      <c r="B48" s="152" t="s">
        <v>169</v>
      </c>
      <c r="C48" s="153" t="s">
        <v>153</v>
      </c>
      <c r="D48" s="173">
        <v>409000</v>
      </c>
      <c r="E48" s="173">
        <v>1035000</v>
      </c>
      <c r="F48" s="225">
        <f t="shared" si="0"/>
        <v>1444000</v>
      </c>
      <c r="G48" s="263">
        <v>509200</v>
      </c>
      <c r="H48" s="264">
        <v>2546000</v>
      </c>
      <c r="I48" s="264">
        <v>3055200</v>
      </c>
      <c r="J48" s="146">
        <v>549500</v>
      </c>
      <c r="K48" s="146">
        <v>1071121.6114238505</v>
      </c>
      <c r="L48" s="146">
        <v>1620621.6114238505</v>
      </c>
      <c r="M48" s="220">
        <f t="shared" si="1"/>
        <v>409000</v>
      </c>
      <c r="N48" s="220">
        <f t="shared" si="2"/>
        <v>1035000</v>
      </c>
      <c r="O48" s="220">
        <f t="shared" si="3"/>
        <v>1444000</v>
      </c>
      <c r="P48" s="301">
        <f t="shared" si="4"/>
        <v>380370</v>
      </c>
      <c r="Q48" s="301">
        <f t="shared" si="5"/>
        <v>962550</v>
      </c>
      <c r="R48" s="300">
        <f t="shared" si="6"/>
        <v>1342920</v>
      </c>
    </row>
    <row r="49" spans="1:18" x14ac:dyDescent="0.25">
      <c r="A49" s="210">
        <v>44</v>
      </c>
      <c r="B49" s="152" t="s">
        <v>170</v>
      </c>
      <c r="C49" s="153" t="s">
        <v>153</v>
      </c>
      <c r="D49" s="173">
        <v>180000</v>
      </c>
      <c r="E49" s="173">
        <v>455000</v>
      </c>
      <c r="F49" s="225">
        <f t="shared" si="0"/>
        <v>635000</v>
      </c>
      <c r="G49" s="263">
        <v>224200</v>
      </c>
      <c r="H49" s="264">
        <v>1121000</v>
      </c>
      <c r="I49" s="264">
        <v>1345200</v>
      </c>
      <c r="J49" s="146">
        <v>579500</v>
      </c>
      <c r="K49" s="146">
        <v>578000</v>
      </c>
      <c r="L49" s="146">
        <v>1157500</v>
      </c>
      <c r="M49" s="220">
        <f t="shared" si="1"/>
        <v>180000</v>
      </c>
      <c r="N49" s="220">
        <f t="shared" si="2"/>
        <v>455000</v>
      </c>
      <c r="O49" s="220">
        <f t="shared" si="3"/>
        <v>635000</v>
      </c>
      <c r="P49" s="301">
        <f t="shared" si="4"/>
        <v>167400</v>
      </c>
      <c r="Q49" s="301">
        <f t="shared" si="5"/>
        <v>423150</v>
      </c>
      <c r="R49" s="300">
        <f t="shared" si="6"/>
        <v>590550</v>
      </c>
    </row>
    <row r="50" spans="1:18" x14ac:dyDescent="0.25">
      <c r="A50" s="210">
        <v>45</v>
      </c>
      <c r="B50" s="152" t="s">
        <v>211</v>
      </c>
      <c r="C50" s="153" t="s">
        <v>153</v>
      </c>
      <c r="D50" s="173">
        <v>143000</v>
      </c>
      <c r="E50" s="173">
        <v>362000</v>
      </c>
      <c r="F50" s="225">
        <f t="shared" si="0"/>
        <v>505000</v>
      </c>
      <c r="G50" s="263">
        <v>178200</v>
      </c>
      <c r="H50" s="264">
        <v>891000</v>
      </c>
      <c r="I50" s="264">
        <v>1069200</v>
      </c>
      <c r="J50" s="146">
        <v>574500</v>
      </c>
      <c r="K50" s="146">
        <v>328800</v>
      </c>
      <c r="L50" s="146">
        <v>903300</v>
      </c>
      <c r="M50" s="220">
        <f t="shared" si="1"/>
        <v>143000</v>
      </c>
      <c r="N50" s="220">
        <f t="shared" si="2"/>
        <v>328800</v>
      </c>
      <c r="O50" s="220">
        <f t="shared" si="3"/>
        <v>471800</v>
      </c>
      <c r="P50" s="301">
        <f t="shared" si="4"/>
        <v>132990</v>
      </c>
      <c r="Q50" s="301">
        <f t="shared" si="5"/>
        <v>305784</v>
      </c>
      <c r="R50" s="300">
        <f t="shared" si="6"/>
        <v>438774</v>
      </c>
    </row>
    <row r="51" spans="1:18" x14ac:dyDescent="0.25">
      <c r="A51" s="210">
        <v>46</v>
      </c>
      <c r="B51" s="152" t="s">
        <v>291</v>
      </c>
      <c r="C51" s="153" t="s">
        <v>153</v>
      </c>
      <c r="D51" s="173">
        <v>124000</v>
      </c>
      <c r="E51" s="173">
        <v>313000</v>
      </c>
      <c r="F51" s="225">
        <f t="shared" si="0"/>
        <v>437000</v>
      </c>
      <c r="G51" s="263">
        <v>153800</v>
      </c>
      <c r="H51" s="264">
        <v>769000</v>
      </c>
      <c r="I51" s="264">
        <v>922800</v>
      </c>
      <c r="J51" s="146">
        <v>549500</v>
      </c>
      <c r="K51" s="146">
        <v>284300</v>
      </c>
      <c r="L51" s="146">
        <v>833800</v>
      </c>
      <c r="M51" s="220">
        <f t="shared" si="1"/>
        <v>124000</v>
      </c>
      <c r="N51" s="220">
        <f t="shared" si="2"/>
        <v>284300</v>
      </c>
      <c r="O51" s="220">
        <f t="shared" si="3"/>
        <v>408300</v>
      </c>
      <c r="P51" s="301">
        <f t="shared" si="4"/>
        <v>115320</v>
      </c>
      <c r="Q51" s="301">
        <f t="shared" si="5"/>
        <v>264399</v>
      </c>
      <c r="R51" s="300">
        <f t="shared" si="6"/>
        <v>379719</v>
      </c>
    </row>
    <row r="52" spans="1:18" x14ac:dyDescent="0.25">
      <c r="A52" s="210">
        <v>47</v>
      </c>
      <c r="B52" s="152" t="s">
        <v>17</v>
      </c>
      <c r="C52" s="153" t="s">
        <v>153</v>
      </c>
      <c r="D52" s="173">
        <v>137000</v>
      </c>
      <c r="E52" s="173">
        <v>436000</v>
      </c>
      <c r="F52" s="225">
        <f t="shared" si="0"/>
        <v>573000</v>
      </c>
      <c r="G52" s="263">
        <v>207400</v>
      </c>
      <c r="H52" s="264">
        <v>1037000</v>
      </c>
      <c r="I52" s="264">
        <v>1244400</v>
      </c>
      <c r="J52" s="146">
        <v>124500</v>
      </c>
      <c r="K52" s="146">
        <v>450501.02297591872</v>
      </c>
      <c r="L52" s="146">
        <v>575001.02297591872</v>
      </c>
      <c r="M52" s="220">
        <f t="shared" si="1"/>
        <v>124500</v>
      </c>
      <c r="N52" s="220">
        <f t="shared" si="2"/>
        <v>436000</v>
      </c>
      <c r="O52" s="220">
        <f t="shared" si="3"/>
        <v>560500</v>
      </c>
      <c r="P52" s="301">
        <f t="shared" si="4"/>
        <v>115785</v>
      </c>
      <c r="Q52" s="301">
        <f t="shared" si="5"/>
        <v>405480</v>
      </c>
      <c r="R52" s="300">
        <f t="shared" si="6"/>
        <v>521265</v>
      </c>
    </row>
    <row r="53" spans="1:18" x14ac:dyDescent="0.25">
      <c r="A53" s="210">
        <v>48</v>
      </c>
      <c r="B53" s="152" t="s">
        <v>16</v>
      </c>
      <c r="C53" s="153" t="s">
        <v>153</v>
      </c>
      <c r="D53" s="173">
        <v>128000</v>
      </c>
      <c r="E53" s="173">
        <v>325000</v>
      </c>
      <c r="F53" s="225">
        <f t="shared" si="0"/>
        <v>453000</v>
      </c>
      <c r="G53" s="263">
        <v>160000</v>
      </c>
      <c r="H53" s="264">
        <v>800000</v>
      </c>
      <c r="I53" s="264">
        <v>960000</v>
      </c>
      <c r="J53" s="146">
        <v>124500</v>
      </c>
      <c r="K53" s="146">
        <v>335674.73331346666</v>
      </c>
      <c r="L53" s="146">
        <v>460174.73331346666</v>
      </c>
      <c r="M53" s="220">
        <f t="shared" si="1"/>
        <v>124500</v>
      </c>
      <c r="N53" s="220">
        <f t="shared" si="2"/>
        <v>325000</v>
      </c>
      <c r="O53" s="220">
        <f t="shared" si="3"/>
        <v>449500</v>
      </c>
      <c r="P53" s="301">
        <f t="shared" si="4"/>
        <v>115785</v>
      </c>
      <c r="Q53" s="301">
        <f t="shared" si="5"/>
        <v>302250</v>
      </c>
      <c r="R53" s="300">
        <f t="shared" si="6"/>
        <v>418035</v>
      </c>
    </row>
    <row r="54" spans="1:18" x14ac:dyDescent="0.25">
      <c r="A54" s="210">
        <v>49</v>
      </c>
      <c r="B54" s="158" t="s">
        <v>74</v>
      </c>
      <c r="C54" s="153" t="s">
        <v>153</v>
      </c>
      <c r="D54" s="173">
        <v>80000</v>
      </c>
      <c r="E54" s="173">
        <v>201000</v>
      </c>
      <c r="F54" s="225">
        <f t="shared" si="0"/>
        <v>281000</v>
      </c>
      <c r="G54" s="263">
        <v>99200</v>
      </c>
      <c r="H54" s="264">
        <v>496000</v>
      </c>
      <c r="I54" s="264">
        <v>595200</v>
      </c>
      <c r="J54" s="146">
        <v>149500</v>
      </c>
      <c r="K54" s="146">
        <v>207787.65845825511</v>
      </c>
      <c r="L54" s="146">
        <v>357287.65845825511</v>
      </c>
      <c r="M54" s="220">
        <f t="shared" si="1"/>
        <v>80000</v>
      </c>
      <c r="N54" s="220">
        <f t="shared" si="2"/>
        <v>201000</v>
      </c>
      <c r="O54" s="220">
        <f t="shared" si="3"/>
        <v>281000</v>
      </c>
      <c r="P54" s="301">
        <f t="shared" si="4"/>
        <v>74400</v>
      </c>
      <c r="Q54" s="301">
        <f t="shared" si="5"/>
        <v>186930</v>
      </c>
      <c r="R54" s="300">
        <f t="shared" si="6"/>
        <v>261330</v>
      </c>
    </row>
    <row r="55" spans="1:18" x14ac:dyDescent="0.25">
      <c r="A55" s="210">
        <v>50</v>
      </c>
      <c r="B55" s="158" t="s">
        <v>75</v>
      </c>
      <c r="C55" s="153" t="s">
        <v>153</v>
      </c>
      <c r="D55" s="173">
        <v>93000</v>
      </c>
      <c r="E55" s="173">
        <v>235000</v>
      </c>
      <c r="F55" s="225">
        <f t="shared" si="0"/>
        <v>328000</v>
      </c>
      <c r="G55" s="263">
        <v>115400</v>
      </c>
      <c r="H55" s="264">
        <v>577000</v>
      </c>
      <c r="I55" s="264">
        <v>692400</v>
      </c>
      <c r="J55" s="146">
        <v>449500</v>
      </c>
      <c r="K55" s="146">
        <v>242580.19178050669</v>
      </c>
      <c r="L55" s="146">
        <v>692080.19178050663</v>
      </c>
      <c r="M55" s="220">
        <f t="shared" si="1"/>
        <v>93000</v>
      </c>
      <c r="N55" s="220">
        <f t="shared" si="2"/>
        <v>235000</v>
      </c>
      <c r="O55" s="220">
        <f t="shared" si="3"/>
        <v>328000</v>
      </c>
      <c r="P55" s="301">
        <f t="shared" si="4"/>
        <v>86490</v>
      </c>
      <c r="Q55" s="301">
        <f t="shared" si="5"/>
        <v>218550</v>
      </c>
      <c r="R55" s="300">
        <f t="shared" si="6"/>
        <v>305040</v>
      </c>
    </row>
    <row r="56" spans="1:18" x14ac:dyDescent="0.25">
      <c r="A56" s="210">
        <v>51</v>
      </c>
      <c r="B56" s="158" t="s">
        <v>76</v>
      </c>
      <c r="C56" s="153" t="s">
        <v>153</v>
      </c>
      <c r="D56" s="173">
        <v>137000</v>
      </c>
      <c r="E56" s="173">
        <v>346000</v>
      </c>
      <c r="F56" s="225">
        <f t="shared" si="0"/>
        <v>483000</v>
      </c>
      <c r="G56" s="263">
        <v>170000</v>
      </c>
      <c r="H56" s="264">
        <v>850000</v>
      </c>
      <c r="I56" s="264">
        <v>1020000</v>
      </c>
      <c r="J56" s="146">
        <v>449500</v>
      </c>
      <c r="K56" s="146">
        <v>357189.91624552861</v>
      </c>
      <c r="L56" s="146">
        <v>806689.91624552861</v>
      </c>
      <c r="M56" s="220">
        <f t="shared" si="1"/>
        <v>137000</v>
      </c>
      <c r="N56" s="220">
        <f t="shared" si="2"/>
        <v>346000</v>
      </c>
      <c r="O56" s="220">
        <f t="shared" si="3"/>
        <v>483000</v>
      </c>
      <c r="P56" s="301">
        <f t="shared" si="4"/>
        <v>127410</v>
      </c>
      <c r="Q56" s="301">
        <f t="shared" si="5"/>
        <v>321780</v>
      </c>
      <c r="R56" s="300">
        <f t="shared" si="6"/>
        <v>449190</v>
      </c>
    </row>
    <row r="57" spans="1:18" x14ac:dyDescent="0.25">
      <c r="A57" s="210">
        <v>52</v>
      </c>
      <c r="B57" s="152" t="s">
        <v>18</v>
      </c>
      <c r="C57" s="153" t="s">
        <v>153</v>
      </c>
      <c r="D57" s="173">
        <v>104000</v>
      </c>
      <c r="E57" s="173">
        <v>262000</v>
      </c>
      <c r="F57" s="225">
        <f t="shared" si="0"/>
        <v>366000</v>
      </c>
      <c r="G57" s="263">
        <v>129000</v>
      </c>
      <c r="H57" s="264">
        <v>645000</v>
      </c>
      <c r="I57" s="264">
        <v>774000</v>
      </c>
      <c r="J57" s="146">
        <v>449500</v>
      </c>
      <c r="K57" s="146">
        <v>271055.7432678495</v>
      </c>
      <c r="L57" s="146">
        <v>720555.74326784955</v>
      </c>
      <c r="M57" s="220">
        <f t="shared" si="1"/>
        <v>104000</v>
      </c>
      <c r="N57" s="220">
        <f t="shared" si="2"/>
        <v>262000</v>
      </c>
      <c r="O57" s="220">
        <f t="shared" si="3"/>
        <v>366000</v>
      </c>
      <c r="P57" s="301">
        <f t="shared" si="4"/>
        <v>96720</v>
      </c>
      <c r="Q57" s="301">
        <f t="shared" si="5"/>
        <v>243660</v>
      </c>
      <c r="R57" s="300">
        <f t="shared" si="6"/>
        <v>340380</v>
      </c>
    </row>
    <row r="58" spans="1:18" x14ac:dyDescent="0.25">
      <c r="A58" s="210">
        <v>53</v>
      </c>
      <c r="B58" s="152" t="s">
        <v>21</v>
      </c>
      <c r="C58" s="153" t="s">
        <v>153</v>
      </c>
      <c r="D58" s="173">
        <v>113000</v>
      </c>
      <c r="E58" s="173">
        <v>285000</v>
      </c>
      <c r="F58" s="225">
        <f t="shared" si="0"/>
        <v>398000</v>
      </c>
      <c r="G58" s="263">
        <v>140400</v>
      </c>
      <c r="H58" s="264">
        <v>702000</v>
      </c>
      <c r="I58" s="264">
        <v>842400</v>
      </c>
      <c r="J58" s="146">
        <v>384500</v>
      </c>
      <c r="K58" s="146">
        <v>294299.38152103999</v>
      </c>
      <c r="L58" s="146">
        <v>678799.38152103999</v>
      </c>
      <c r="M58" s="220">
        <f t="shared" si="1"/>
        <v>113000</v>
      </c>
      <c r="N58" s="220">
        <f t="shared" si="2"/>
        <v>285000</v>
      </c>
      <c r="O58" s="220">
        <f t="shared" si="3"/>
        <v>398000</v>
      </c>
      <c r="P58" s="301">
        <f t="shared" si="4"/>
        <v>105090</v>
      </c>
      <c r="Q58" s="301">
        <f t="shared" si="5"/>
        <v>265050</v>
      </c>
      <c r="R58" s="300">
        <f t="shared" si="6"/>
        <v>370140</v>
      </c>
    </row>
    <row r="59" spans="1:18" x14ac:dyDescent="0.25">
      <c r="A59" s="210">
        <v>54</v>
      </c>
      <c r="B59" s="152" t="s">
        <v>20</v>
      </c>
      <c r="C59" s="153" t="s">
        <v>153</v>
      </c>
      <c r="D59" s="173">
        <v>96000</v>
      </c>
      <c r="E59" s="173">
        <v>221000</v>
      </c>
      <c r="F59" s="225">
        <f t="shared" si="0"/>
        <v>317000</v>
      </c>
      <c r="G59" s="263">
        <v>110600</v>
      </c>
      <c r="H59" s="264">
        <v>553000</v>
      </c>
      <c r="I59" s="264">
        <v>663600</v>
      </c>
      <c r="J59" s="146">
        <v>384500</v>
      </c>
      <c r="K59" s="146">
        <v>201204.83998808003</v>
      </c>
      <c r="L59" s="146">
        <v>585704.83998808009</v>
      </c>
      <c r="M59" s="220">
        <f t="shared" si="1"/>
        <v>96000</v>
      </c>
      <c r="N59" s="220">
        <f t="shared" si="2"/>
        <v>201204.83998808003</v>
      </c>
      <c r="O59" s="220">
        <f t="shared" si="3"/>
        <v>297204.83998808003</v>
      </c>
      <c r="P59" s="301">
        <f t="shared" si="4"/>
        <v>89280</v>
      </c>
      <c r="Q59" s="301">
        <f t="shared" si="5"/>
        <v>187120.50118891444</v>
      </c>
      <c r="R59" s="300">
        <f t="shared" si="6"/>
        <v>276400.50118891441</v>
      </c>
    </row>
    <row r="60" spans="1:18" ht="22.5" x14ac:dyDescent="0.25">
      <c r="A60" s="210">
        <v>55</v>
      </c>
      <c r="B60" s="152" t="s">
        <v>172</v>
      </c>
      <c r="C60" s="153" t="s">
        <v>153</v>
      </c>
      <c r="D60" s="173">
        <v>426000</v>
      </c>
      <c r="E60" s="173">
        <v>1079000</v>
      </c>
      <c r="F60" s="225">
        <f t="shared" si="0"/>
        <v>1505000</v>
      </c>
      <c r="G60" s="263">
        <v>530800</v>
      </c>
      <c r="H60" s="264">
        <v>2654000</v>
      </c>
      <c r="I60" s="264">
        <v>3184800</v>
      </c>
      <c r="J60" s="146">
        <v>549500</v>
      </c>
      <c r="K60" s="146">
        <v>1116088.2516134717</v>
      </c>
      <c r="L60" s="146">
        <v>1665588.2516134717</v>
      </c>
      <c r="M60" s="220">
        <f t="shared" si="1"/>
        <v>426000</v>
      </c>
      <c r="N60" s="220">
        <f t="shared" si="2"/>
        <v>1079000</v>
      </c>
      <c r="O60" s="220">
        <f t="shared" si="3"/>
        <v>1505000</v>
      </c>
      <c r="P60" s="301">
        <f t="shared" si="4"/>
        <v>396180</v>
      </c>
      <c r="Q60" s="301">
        <f t="shared" si="5"/>
        <v>1003470</v>
      </c>
      <c r="R60" s="300">
        <f t="shared" si="6"/>
        <v>1399650</v>
      </c>
    </row>
    <row r="61" spans="1:18" x14ac:dyDescent="0.25">
      <c r="A61" s="210">
        <v>56</v>
      </c>
      <c r="B61" s="152" t="s">
        <v>294</v>
      </c>
      <c r="C61" s="153" t="s">
        <v>153</v>
      </c>
      <c r="D61" s="173">
        <v>224000</v>
      </c>
      <c r="E61" s="173">
        <v>566000</v>
      </c>
      <c r="F61" s="225">
        <f t="shared" si="0"/>
        <v>790000</v>
      </c>
      <c r="G61" s="263">
        <v>278400</v>
      </c>
      <c r="H61" s="264">
        <v>1392000</v>
      </c>
      <c r="I61" s="264">
        <v>1670400</v>
      </c>
      <c r="J61" s="146">
        <v>549500</v>
      </c>
      <c r="K61" s="146">
        <v>578000</v>
      </c>
      <c r="L61" s="146">
        <v>1127500</v>
      </c>
      <c r="M61" s="220">
        <f t="shared" si="1"/>
        <v>224000</v>
      </c>
      <c r="N61" s="220">
        <f t="shared" si="2"/>
        <v>566000</v>
      </c>
      <c r="O61" s="220">
        <f t="shared" si="3"/>
        <v>790000</v>
      </c>
      <c r="P61" s="301">
        <f t="shared" si="4"/>
        <v>208320</v>
      </c>
      <c r="Q61" s="301">
        <f t="shared" si="5"/>
        <v>526380</v>
      </c>
      <c r="R61" s="300">
        <f t="shared" si="6"/>
        <v>734700</v>
      </c>
    </row>
    <row r="62" spans="1:18" x14ac:dyDescent="0.25">
      <c r="A62" s="210">
        <v>57</v>
      </c>
      <c r="B62" s="158" t="s">
        <v>292</v>
      </c>
      <c r="C62" s="153" t="s">
        <v>153</v>
      </c>
      <c r="D62" s="173">
        <v>89000</v>
      </c>
      <c r="E62" s="173">
        <v>225000</v>
      </c>
      <c r="F62" s="225">
        <f t="shared" si="0"/>
        <v>314000</v>
      </c>
      <c r="G62" s="263">
        <v>110600</v>
      </c>
      <c r="H62" s="264">
        <v>553000</v>
      </c>
      <c r="I62" s="264">
        <v>663600</v>
      </c>
      <c r="J62" s="146">
        <v>549500</v>
      </c>
      <c r="K62" s="146">
        <v>232236.35383240003</v>
      </c>
      <c r="L62" s="146">
        <v>781736.35383240005</v>
      </c>
      <c r="M62" s="220">
        <f t="shared" si="1"/>
        <v>89000</v>
      </c>
      <c r="N62" s="220">
        <f t="shared" si="2"/>
        <v>225000</v>
      </c>
      <c r="O62" s="220">
        <f t="shared" si="3"/>
        <v>314000</v>
      </c>
      <c r="P62" s="301">
        <f t="shared" si="4"/>
        <v>82770</v>
      </c>
      <c r="Q62" s="301">
        <f t="shared" si="5"/>
        <v>209250</v>
      </c>
      <c r="R62" s="300">
        <f t="shared" si="6"/>
        <v>292020</v>
      </c>
    </row>
    <row r="63" spans="1:18" x14ac:dyDescent="0.25">
      <c r="A63" s="210">
        <v>58</v>
      </c>
      <c r="B63" s="158" t="s">
        <v>150</v>
      </c>
      <c r="C63" s="153" t="s">
        <v>153</v>
      </c>
      <c r="D63" s="173">
        <v>152000</v>
      </c>
      <c r="E63" s="173">
        <v>385000</v>
      </c>
      <c r="F63" s="225">
        <f t="shared" si="0"/>
        <v>537000</v>
      </c>
      <c r="G63" s="263">
        <v>189200</v>
      </c>
      <c r="H63" s="264">
        <v>946000</v>
      </c>
      <c r="I63" s="264">
        <v>1135200</v>
      </c>
      <c r="J63" s="146">
        <v>549500</v>
      </c>
      <c r="K63" s="146">
        <v>397737.76100210671</v>
      </c>
      <c r="L63" s="146">
        <v>947237.76100210671</v>
      </c>
      <c r="M63" s="220">
        <f t="shared" si="1"/>
        <v>152000</v>
      </c>
      <c r="N63" s="220">
        <f t="shared" si="2"/>
        <v>385000</v>
      </c>
      <c r="O63" s="220">
        <f t="shared" si="3"/>
        <v>537000</v>
      </c>
      <c r="P63" s="301">
        <f t="shared" si="4"/>
        <v>141360</v>
      </c>
      <c r="Q63" s="301">
        <f t="shared" si="5"/>
        <v>358050</v>
      </c>
      <c r="R63" s="300">
        <f t="shared" si="6"/>
        <v>499410</v>
      </c>
    </row>
    <row r="64" spans="1:18" ht="22.5" x14ac:dyDescent="0.25">
      <c r="A64" s="210"/>
      <c r="B64" s="156" t="s">
        <v>124</v>
      </c>
      <c r="C64" s="153" t="s">
        <v>153</v>
      </c>
      <c r="D64" s="173">
        <v>0</v>
      </c>
      <c r="E64" s="173">
        <v>0</v>
      </c>
      <c r="F64" s="225">
        <f t="shared" si="0"/>
        <v>0</v>
      </c>
      <c r="G64" s="263">
        <v>0</v>
      </c>
      <c r="H64" s="264">
        <v>0</v>
      </c>
      <c r="I64" s="264">
        <v>0</v>
      </c>
      <c r="J64" s="146"/>
      <c r="K64" s="146"/>
      <c r="L64" s="146">
        <v>0</v>
      </c>
      <c r="M64" s="220">
        <f t="shared" si="1"/>
        <v>0</v>
      </c>
      <c r="N64" s="220">
        <f t="shared" si="2"/>
        <v>0</v>
      </c>
      <c r="O64" s="220">
        <f t="shared" si="3"/>
        <v>0</v>
      </c>
      <c r="P64" s="301">
        <f t="shared" si="4"/>
        <v>0</v>
      </c>
      <c r="Q64" s="301">
        <f t="shared" si="5"/>
        <v>0</v>
      </c>
      <c r="R64" s="300">
        <f t="shared" si="6"/>
        <v>0</v>
      </c>
    </row>
    <row r="65" spans="1:18" ht="22.5" x14ac:dyDescent="0.25">
      <c r="A65" s="210">
        <v>59</v>
      </c>
      <c r="B65" s="152" t="s">
        <v>371</v>
      </c>
      <c r="C65" s="153" t="s">
        <v>153</v>
      </c>
      <c r="D65" s="173">
        <v>189000</v>
      </c>
      <c r="E65" s="173">
        <v>478000</v>
      </c>
      <c r="F65" s="225">
        <f t="shared" si="0"/>
        <v>667000</v>
      </c>
      <c r="G65" s="263">
        <v>235200</v>
      </c>
      <c r="H65" s="264">
        <v>1176000</v>
      </c>
      <c r="I65" s="264">
        <v>1411200</v>
      </c>
      <c r="J65" s="146">
        <v>33000</v>
      </c>
      <c r="K65" s="146">
        <v>134000</v>
      </c>
      <c r="L65" s="146">
        <v>167000</v>
      </c>
      <c r="M65" s="220">
        <f t="shared" si="1"/>
        <v>33000</v>
      </c>
      <c r="N65" s="220">
        <f t="shared" si="2"/>
        <v>134000</v>
      </c>
      <c r="O65" s="220">
        <f t="shared" si="3"/>
        <v>167000</v>
      </c>
      <c r="P65" s="301">
        <f t="shared" si="4"/>
        <v>30690</v>
      </c>
      <c r="Q65" s="301">
        <f t="shared" si="5"/>
        <v>124620</v>
      </c>
      <c r="R65" s="300">
        <f t="shared" si="6"/>
        <v>155310</v>
      </c>
    </row>
    <row r="66" spans="1:18" x14ac:dyDescent="0.25">
      <c r="A66" s="210">
        <v>60</v>
      </c>
      <c r="B66" s="152" t="s">
        <v>372</v>
      </c>
      <c r="C66" s="153" t="s">
        <v>153</v>
      </c>
      <c r="D66" s="173">
        <v>304000</v>
      </c>
      <c r="E66" s="173">
        <v>769000</v>
      </c>
      <c r="F66" s="225">
        <f t="shared" si="0"/>
        <v>1073000</v>
      </c>
      <c r="G66" s="263">
        <v>378400</v>
      </c>
      <c r="H66" s="264">
        <v>1892000</v>
      </c>
      <c r="I66" s="264">
        <v>2270400</v>
      </c>
      <c r="J66" s="146">
        <v>114000</v>
      </c>
      <c r="K66" s="146">
        <v>457500</v>
      </c>
      <c r="L66" s="146">
        <v>571500</v>
      </c>
      <c r="M66" s="220">
        <f t="shared" si="1"/>
        <v>114000</v>
      </c>
      <c r="N66" s="220">
        <f t="shared" si="2"/>
        <v>457500</v>
      </c>
      <c r="O66" s="220">
        <f t="shared" si="3"/>
        <v>571500</v>
      </c>
      <c r="P66" s="301">
        <f t="shared" si="4"/>
        <v>106020</v>
      </c>
      <c r="Q66" s="301">
        <f t="shared" si="5"/>
        <v>425475</v>
      </c>
      <c r="R66" s="300">
        <f t="shared" si="6"/>
        <v>531495</v>
      </c>
    </row>
    <row r="67" spans="1:18" x14ac:dyDescent="0.25">
      <c r="A67" s="210">
        <v>61</v>
      </c>
      <c r="B67" s="158" t="s">
        <v>368</v>
      </c>
      <c r="C67" s="153" t="s">
        <v>153</v>
      </c>
      <c r="D67" s="173">
        <v>207000</v>
      </c>
      <c r="E67" s="173">
        <v>523000</v>
      </c>
      <c r="F67" s="225">
        <f t="shared" si="0"/>
        <v>730000</v>
      </c>
      <c r="G67" s="263">
        <v>257600</v>
      </c>
      <c r="H67" s="264">
        <v>1288000</v>
      </c>
      <c r="I67" s="264">
        <v>1545600</v>
      </c>
      <c r="J67" s="146">
        <v>149500</v>
      </c>
      <c r="K67" s="146">
        <v>601500</v>
      </c>
      <c r="L67" s="146">
        <v>751000</v>
      </c>
      <c r="M67" s="220">
        <f t="shared" si="1"/>
        <v>149500</v>
      </c>
      <c r="N67" s="220">
        <f t="shared" si="2"/>
        <v>523000</v>
      </c>
      <c r="O67" s="220">
        <f t="shared" si="3"/>
        <v>672500</v>
      </c>
      <c r="P67" s="301">
        <f t="shared" si="4"/>
        <v>139035</v>
      </c>
      <c r="Q67" s="301">
        <f t="shared" si="5"/>
        <v>486390</v>
      </c>
      <c r="R67" s="300">
        <f t="shared" si="6"/>
        <v>625425</v>
      </c>
    </row>
    <row r="68" spans="1:18" ht="22.5" x14ac:dyDescent="0.25">
      <c r="A68" s="210"/>
      <c r="B68" s="156" t="s">
        <v>31</v>
      </c>
      <c r="C68" s="153" t="s">
        <v>153</v>
      </c>
      <c r="D68" s="173">
        <v>0</v>
      </c>
      <c r="E68" s="173">
        <v>0</v>
      </c>
      <c r="F68" s="225">
        <f t="shared" si="0"/>
        <v>0</v>
      </c>
      <c r="G68" s="263">
        <v>0</v>
      </c>
      <c r="H68" s="264">
        <v>0</v>
      </c>
      <c r="I68" s="264">
        <v>0</v>
      </c>
      <c r="J68" s="146"/>
      <c r="K68" s="146"/>
      <c r="L68" s="146">
        <v>0</v>
      </c>
      <c r="M68" s="220">
        <f t="shared" si="1"/>
        <v>0</v>
      </c>
      <c r="N68" s="220">
        <f t="shared" si="2"/>
        <v>0</v>
      </c>
      <c r="O68" s="220">
        <f t="shared" si="3"/>
        <v>0</v>
      </c>
      <c r="P68" s="301">
        <f t="shared" si="4"/>
        <v>0</v>
      </c>
      <c r="Q68" s="301">
        <f t="shared" si="5"/>
        <v>0</v>
      </c>
      <c r="R68" s="300">
        <f t="shared" si="6"/>
        <v>0</v>
      </c>
    </row>
    <row r="69" spans="1:18" x14ac:dyDescent="0.25">
      <c r="A69" s="210">
        <v>62</v>
      </c>
      <c r="B69" s="152" t="s">
        <v>323</v>
      </c>
      <c r="C69" s="153" t="s">
        <v>153</v>
      </c>
      <c r="D69" s="173">
        <v>384000</v>
      </c>
      <c r="E69" s="173">
        <v>1566000</v>
      </c>
      <c r="F69" s="225">
        <f t="shared" ref="F69:F132" si="7">(D69+E69)</f>
        <v>1950000</v>
      </c>
      <c r="G69" s="263">
        <v>722600</v>
      </c>
      <c r="H69" s="264">
        <v>3613000</v>
      </c>
      <c r="I69" s="264">
        <v>4335600</v>
      </c>
      <c r="J69" s="146">
        <v>349500</v>
      </c>
      <c r="K69" s="146">
        <v>2053372.4629760599</v>
      </c>
      <c r="L69" s="146">
        <v>2402872.4629760599</v>
      </c>
      <c r="M69" s="220">
        <f t="shared" ref="M69:M132" si="8">MIN(D69,G69,J69)</f>
        <v>349500</v>
      </c>
      <c r="N69" s="220">
        <f t="shared" ref="N69:N132" si="9">MIN(E69,H69,K69)</f>
        <v>1566000</v>
      </c>
      <c r="O69" s="220">
        <f t="shared" ref="O69:O132" si="10">(M69+N69)</f>
        <v>1915500</v>
      </c>
      <c r="P69" s="301">
        <f t="shared" ref="P69:P132" si="11">M69-(M69*7%)</f>
        <v>325035</v>
      </c>
      <c r="Q69" s="301">
        <f t="shared" ref="Q69:Q132" si="12">N69-(N69*7%)</f>
        <v>1456380</v>
      </c>
      <c r="R69" s="300">
        <f t="shared" ref="R69:R132" si="13">Q69+P69</f>
        <v>1781415</v>
      </c>
    </row>
    <row r="70" spans="1:18" x14ac:dyDescent="0.25">
      <c r="A70" s="210">
        <v>63</v>
      </c>
      <c r="B70" s="152" t="s">
        <v>178</v>
      </c>
      <c r="C70" s="153" t="s">
        <v>153</v>
      </c>
      <c r="D70" s="173">
        <v>271000</v>
      </c>
      <c r="E70" s="173">
        <v>685000</v>
      </c>
      <c r="F70" s="225">
        <f t="shared" si="7"/>
        <v>956000</v>
      </c>
      <c r="G70" s="263">
        <v>337200</v>
      </c>
      <c r="H70" s="264">
        <v>1686000</v>
      </c>
      <c r="I70" s="264">
        <v>2023200</v>
      </c>
      <c r="J70" s="146">
        <v>334500</v>
      </c>
      <c r="K70" s="146">
        <v>1015872.0697916285</v>
      </c>
      <c r="L70" s="146">
        <v>1350372.0697916285</v>
      </c>
      <c r="M70" s="220">
        <f t="shared" si="8"/>
        <v>271000</v>
      </c>
      <c r="N70" s="220">
        <f t="shared" si="9"/>
        <v>685000</v>
      </c>
      <c r="O70" s="220">
        <f t="shared" si="10"/>
        <v>956000</v>
      </c>
      <c r="P70" s="301">
        <f t="shared" si="11"/>
        <v>252030</v>
      </c>
      <c r="Q70" s="301">
        <f t="shared" si="12"/>
        <v>637050</v>
      </c>
      <c r="R70" s="300">
        <f t="shared" si="13"/>
        <v>889080</v>
      </c>
    </row>
    <row r="71" spans="1:18" x14ac:dyDescent="0.25">
      <c r="A71" s="210">
        <v>64</v>
      </c>
      <c r="B71" s="152" t="s">
        <v>301</v>
      </c>
      <c r="C71" s="153" t="s">
        <v>153</v>
      </c>
      <c r="D71" s="173">
        <v>302000</v>
      </c>
      <c r="E71" s="173">
        <v>812000</v>
      </c>
      <c r="F71" s="225">
        <f t="shared" si="7"/>
        <v>1114000</v>
      </c>
      <c r="G71" s="263">
        <v>395600</v>
      </c>
      <c r="H71" s="264">
        <v>1978000</v>
      </c>
      <c r="I71" s="264">
        <v>2373600</v>
      </c>
      <c r="J71" s="146">
        <v>274500</v>
      </c>
      <c r="K71" s="146">
        <v>840351.62118538585</v>
      </c>
      <c r="L71" s="146">
        <v>1114851.6211853859</v>
      </c>
      <c r="M71" s="220">
        <f t="shared" si="8"/>
        <v>274500</v>
      </c>
      <c r="N71" s="220">
        <f t="shared" si="9"/>
        <v>812000</v>
      </c>
      <c r="O71" s="220">
        <f t="shared" si="10"/>
        <v>1086500</v>
      </c>
      <c r="P71" s="301">
        <f t="shared" si="11"/>
        <v>255285</v>
      </c>
      <c r="Q71" s="301">
        <f t="shared" si="12"/>
        <v>755160</v>
      </c>
      <c r="R71" s="300">
        <f t="shared" si="13"/>
        <v>1010445</v>
      </c>
    </row>
    <row r="72" spans="1:18" x14ac:dyDescent="0.25">
      <c r="A72" s="210">
        <v>65</v>
      </c>
      <c r="B72" s="158" t="s">
        <v>79</v>
      </c>
      <c r="C72" s="153" t="s">
        <v>153</v>
      </c>
      <c r="D72" s="173">
        <v>38000</v>
      </c>
      <c r="E72" s="173">
        <v>95000</v>
      </c>
      <c r="F72" s="225">
        <f t="shared" si="7"/>
        <v>133000</v>
      </c>
      <c r="G72" s="263">
        <v>47000</v>
      </c>
      <c r="H72" s="264">
        <v>235000</v>
      </c>
      <c r="I72" s="264">
        <v>282000</v>
      </c>
      <c r="J72" s="146">
        <v>257500</v>
      </c>
      <c r="K72" s="146">
        <v>97766.460507013355</v>
      </c>
      <c r="L72" s="146">
        <v>355266.46050701337</v>
      </c>
      <c r="M72" s="220">
        <f t="shared" si="8"/>
        <v>38000</v>
      </c>
      <c r="N72" s="220">
        <f t="shared" si="9"/>
        <v>95000</v>
      </c>
      <c r="O72" s="220">
        <f t="shared" si="10"/>
        <v>133000</v>
      </c>
      <c r="P72" s="301">
        <f t="shared" si="11"/>
        <v>35340</v>
      </c>
      <c r="Q72" s="301">
        <f t="shared" si="12"/>
        <v>88350</v>
      </c>
      <c r="R72" s="300">
        <f t="shared" si="13"/>
        <v>123690</v>
      </c>
    </row>
    <row r="73" spans="1:18" x14ac:dyDescent="0.25">
      <c r="A73" s="210">
        <v>66</v>
      </c>
      <c r="B73" s="152" t="s">
        <v>32</v>
      </c>
      <c r="C73" s="153" t="s">
        <v>153</v>
      </c>
      <c r="D73" s="173">
        <v>57000</v>
      </c>
      <c r="E73" s="173">
        <v>145000</v>
      </c>
      <c r="F73" s="225">
        <f t="shared" si="7"/>
        <v>202000</v>
      </c>
      <c r="G73" s="263">
        <v>71400</v>
      </c>
      <c r="H73" s="264">
        <v>357000</v>
      </c>
      <c r="I73" s="264">
        <v>428400</v>
      </c>
      <c r="J73" s="146">
        <v>324500</v>
      </c>
      <c r="K73" s="146">
        <v>149485.6502475467</v>
      </c>
      <c r="L73" s="146">
        <v>473985.65024754673</v>
      </c>
      <c r="M73" s="220">
        <f t="shared" si="8"/>
        <v>57000</v>
      </c>
      <c r="N73" s="220">
        <f t="shared" si="9"/>
        <v>145000</v>
      </c>
      <c r="O73" s="220">
        <f t="shared" si="10"/>
        <v>202000</v>
      </c>
      <c r="P73" s="301">
        <f t="shared" si="11"/>
        <v>53010</v>
      </c>
      <c r="Q73" s="301">
        <f t="shared" si="12"/>
        <v>134850</v>
      </c>
      <c r="R73" s="300">
        <f t="shared" si="13"/>
        <v>187860</v>
      </c>
    </row>
    <row r="74" spans="1:18" x14ac:dyDescent="0.25">
      <c r="A74" s="210">
        <v>67</v>
      </c>
      <c r="B74" s="158" t="s">
        <v>77</v>
      </c>
      <c r="C74" s="153" t="s">
        <v>153</v>
      </c>
      <c r="D74" s="173">
        <v>93000</v>
      </c>
      <c r="E74" s="173">
        <v>285000</v>
      </c>
      <c r="F74" s="225">
        <f t="shared" si="7"/>
        <v>378000</v>
      </c>
      <c r="G74" s="263">
        <v>136200</v>
      </c>
      <c r="H74" s="264">
        <v>681000</v>
      </c>
      <c r="I74" s="264">
        <v>817200</v>
      </c>
      <c r="J74" s="146">
        <v>84500</v>
      </c>
      <c r="K74" s="146">
        <v>294299.38152103999</v>
      </c>
      <c r="L74" s="146">
        <v>378799.38152103999</v>
      </c>
      <c r="M74" s="220">
        <f t="shared" si="8"/>
        <v>84500</v>
      </c>
      <c r="N74" s="220">
        <f t="shared" si="9"/>
        <v>285000</v>
      </c>
      <c r="O74" s="220">
        <f t="shared" si="10"/>
        <v>369500</v>
      </c>
      <c r="P74" s="301">
        <f t="shared" si="11"/>
        <v>78585</v>
      </c>
      <c r="Q74" s="301">
        <f t="shared" si="12"/>
        <v>265050</v>
      </c>
      <c r="R74" s="300">
        <f t="shared" si="13"/>
        <v>343635</v>
      </c>
    </row>
    <row r="75" spans="1:18" ht="22.5" x14ac:dyDescent="0.25">
      <c r="A75" s="210"/>
      <c r="B75" s="156" t="s">
        <v>90</v>
      </c>
      <c r="C75" s="153" t="s">
        <v>153</v>
      </c>
      <c r="D75" s="173">
        <v>0</v>
      </c>
      <c r="E75" s="173">
        <v>0</v>
      </c>
      <c r="F75" s="225">
        <f t="shared" si="7"/>
        <v>0</v>
      </c>
      <c r="G75" s="263">
        <v>0</v>
      </c>
      <c r="H75" s="264">
        <v>0</v>
      </c>
      <c r="I75" s="264">
        <v>0</v>
      </c>
      <c r="J75" s="146"/>
      <c r="K75" s="146"/>
      <c r="L75" s="146">
        <v>0</v>
      </c>
      <c r="M75" s="220">
        <f t="shared" si="8"/>
        <v>0</v>
      </c>
      <c r="N75" s="220">
        <f t="shared" si="9"/>
        <v>0</v>
      </c>
      <c r="O75" s="220">
        <f t="shared" si="10"/>
        <v>0</v>
      </c>
      <c r="P75" s="301">
        <f t="shared" si="11"/>
        <v>0</v>
      </c>
      <c r="Q75" s="301">
        <f t="shared" si="12"/>
        <v>0</v>
      </c>
      <c r="R75" s="300">
        <f t="shared" si="13"/>
        <v>0</v>
      </c>
    </row>
    <row r="76" spans="1:18" x14ac:dyDescent="0.25">
      <c r="A76" s="210">
        <v>68</v>
      </c>
      <c r="B76" s="152" t="s">
        <v>561</v>
      </c>
      <c r="C76" s="153" t="s">
        <v>153</v>
      </c>
      <c r="D76" s="173">
        <v>32000</v>
      </c>
      <c r="E76" s="173">
        <v>80000</v>
      </c>
      <c r="F76" s="225">
        <f t="shared" si="7"/>
        <v>112000</v>
      </c>
      <c r="G76" s="263">
        <v>39400</v>
      </c>
      <c r="H76" s="264">
        <v>197000</v>
      </c>
      <c r="I76" s="264">
        <v>236400</v>
      </c>
      <c r="J76" s="146">
        <v>124500</v>
      </c>
      <c r="K76" s="146">
        <v>82597.042173334616</v>
      </c>
      <c r="L76" s="146">
        <v>207097.04217333463</v>
      </c>
      <c r="M76" s="220">
        <f t="shared" si="8"/>
        <v>32000</v>
      </c>
      <c r="N76" s="220">
        <f t="shared" si="9"/>
        <v>80000</v>
      </c>
      <c r="O76" s="220">
        <f t="shared" si="10"/>
        <v>112000</v>
      </c>
      <c r="P76" s="301">
        <f t="shared" si="11"/>
        <v>29760</v>
      </c>
      <c r="Q76" s="301">
        <f t="shared" si="12"/>
        <v>74400</v>
      </c>
      <c r="R76" s="300">
        <f t="shared" si="13"/>
        <v>104160</v>
      </c>
    </row>
    <row r="77" spans="1:18" x14ac:dyDescent="0.25">
      <c r="A77" s="210">
        <v>69</v>
      </c>
      <c r="B77" s="152" t="s">
        <v>181</v>
      </c>
      <c r="C77" s="153" t="s">
        <v>153</v>
      </c>
      <c r="D77" s="173">
        <v>131000</v>
      </c>
      <c r="E77" s="173">
        <v>601000</v>
      </c>
      <c r="F77" s="225">
        <f t="shared" si="7"/>
        <v>732000</v>
      </c>
      <c r="G77" s="263">
        <v>273800</v>
      </c>
      <c r="H77" s="264">
        <v>1369000</v>
      </c>
      <c r="I77" s="264">
        <v>1642800</v>
      </c>
      <c r="J77" s="146">
        <v>119500</v>
      </c>
      <c r="K77" s="146">
        <v>559477.11431008705</v>
      </c>
      <c r="L77" s="146">
        <v>678977.11431008705</v>
      </c>
      <c r="M77" s="220">
        <f t="shared" si="8"/>
        <v>119500</v>
      </c>
      <c r="N77" s="220">
        <f t="shared" si="9"/>
        <v>559477.11431008705</v>
      </c>
      <c r="O77" s="220">
        <f t="shared" si="10"/>
        <v>678977.11431008705</v>
      </c>
      <c r="P77" s="301">
        <f t="shared" si="11"/>
        <v>111135</v>
      </c>
      <c r="Q77" s="301">
        <f t="shared" si="12"/>
        <v>520313.71630838094</v>
      </c>
      <c r="R77" s="300">
        <f t="shared" si="13"/>
        <v>631448.71630838094</v>
      </c>
    </row>
    <row r="78" spans="1:18" x14ac:dyDescent="0.25">
      <c r="A78" s="210">
        <v>70</v>
      </c>
      <c r="B78" s="158" t="s">
        <v>374</v>
      </c>
      <c r="C78" s="153" t="s">
        <v>153</v>
      </c>
      <c r="D78" s="173">
        <v>131000</v>
      </c>
      <c r="E78" s="173">
        <v>360000</v>
      </c>
      <c r="F78" s="225">
        <f t="shared" si="7"/>
        <v>491000</v>
      </c>
      <c r="G78" s="263">
        <v>175000</v>
      </c>
      <c r="H78" s="264">
        <v>875000</v>
      </c>
      <c r="I78" s="264">
        <v>1050000</v>
      </c>
      <c r="J78" s="146">
        <v>119500</v>
      </c>
      <c r="K78" s="146">
        <v>685688.8090328346</v>
      </c>
      <c r="L78" s="146">
        <v>805188.8090328346</v>
      </c>
      <c r="M78" s="220">
        <f t="shared" si="8"/>
        <v>119500</v>
      </c>
      <c r="N78" s="220">
        <f t="shared" si="9"/>
        <v>360000</v>
      </c>
      <c r="O78" s="220">
        <f t="shared" si="10"/>
        <v>479500</v>
      </c>
      <c r="P78" s="301">
        <f t="shared" si="11"/>
        <v>111135</v>
      </c>
      <c r="Q78" s="301">
        <f t="shared" si="12"/>
        <v>334800</v>
      </c>
      <c r="R78" s="300">
        <f t="shared" si="13"/>
        <v>445935</v>
      </c>
    </row>
    <row r="79" spans="1:18" x14ac:dyDescent="0.25">
      <c r="A79" s="210">
        <v>71</v>
      </c>
      <c r="B79" s="158" t="s">
        <v>450</v>
      </c>
      <c r="C79" s="153" t="s">
        <v>153</v>
      </c>
      <c r="D79" s="173">
        <v>97000</v>
      </c>
      <c r="E79" s="173">
        <v>245000</v>
      </c>
      <c r="F79" s="225">
        <f t="shared" si="7"/>
        <v>342000</v>
      </c>
      <c r="G79" s="263">
        <v>120200</v>
      </c>
      <c r="H79" s="264">
        <v>601000</v>
      </c>
      <c r="I79" s="264">
        <v>721200</v>
      </c>
      <c r="J79" s="146">
        <v>119500</v>
      </c>
      <c r="K79" s="146">
        <v>394477.04949651292</v>
      </c>
      <c r="L79" s="146">
        <v>513977.04949651292</v>
      </c>
      <c r="M79" s="220">
        <f t="shared" si="8"/>
        <v>97000</v>
      </c>
      <c r="N79" s="220">
        <f t="shared" si="9"/>
        <v>245000</v>
      </c>
      <c r="O79" s="220">
        <f t="shared" si="10"/>
        <v>342000</v>
      </c>
      <c r="P79" s="301">
        <f t="shared" si="11"/>
        <v>90210</v>
      </c>
      <c r="Q79" s="301">
        <f t="shared" si="12"/>
        <v>227850</v>
      </c>
      <c r="R79" s="300">
        <f t="shared" si="13"/>
        <v>318060</v>
      </c>
    </row>
    <row r="80" spans="1:18" x14ac:dyDescent="0.25">
      <c r="A80" s="210">
        <v>72</v>
      </c>
      <c r="B80" s="158" t="s">
        <v>305</v>
      </c>
      <c r="C80" s="153" t="s">
        <v>153</v>
      </c>
      <c r="D80" s="173">
        <v>98000</v>
      </c>
      <c r="E80" s="173">
        <v>249000</v>
      </c>
      <c r="F80" s="225">
        <f t="shared" si="7"/>
        <v>347000</v>
      </c>
      <c r="G80" s="263">
        <v>122600</v>
      </c>
      <c r="H80" s="264">
        <v>613000</v>
      </c>
      <c r="I80" s="264">
        <v>735600</v>
      </c>
      <c r="J80" s="146">
        <v>119500</v>
      </c>
      <c r="K80" s="146">
        <v>394477.04949651292</v>
      </c>
      <c r="L80" s="146">
        <v>513977.04949651292</v>
      </c>
      <c r="M80" s="220">
        <f t="shared" si="8"/>
        <v>98000</v>
      </c>
      <c r="N80" s="220">
        <f t="shared" si="9"/>
        <v>249000</v>
      </c>
      <c r="O80" s="220">
        <f t="shared" si="10"/>
        <v>347000</v>
      </c>
      <c r="P80" s="301">
        <f t="shared" si="11"/>
        <v>91140</v>
      </c>
      <c r="Q80" s="301">
        <f t="shared" si="12"/>
        <v>231570</v>
      </c>
      <c r="R80" s="300">
        <f t="shared" si="13"/>
        <v>322710</v>
      </c>
    </row>
    <row r="81" spans="1:18" x14ac:dyDescent="0.25">
      <c r="A81" s="210">
        <v>73</v>
      </c>
      <c r="B81" s="158" t="s">
        <v>80</v>
      </c>
      <c r="C81" s="153" t="s">
        <v>153</v>
      </c>
      <c r="D81" s="173">
        <v>119000</v>
      </c>
      <c r="E81" s="173">
        <v>302000</v>
      </c>
      <c r="F81" s="225">
        <f t="shared" si="7"/>
        <v>421000</v>
      </c>
      <c r="G81" s="263">
        <v>148600</v>
      </c>
      <c r="H81" s="264">
        <v>743000</v>
      </c>
      <c r="I81" s="264">
        <v>891600</v>
      </c>
      <c r="J81" s="146">
        <v>219500</v>
      </c>
      <c r="K81" s="146">
        <v>311857.01205415628</v>
      </c>
      <c r="L81" s="146">
        <v>531357.01205415628</v>
      </c>
      <c r="M81" s="220">
        <f t="shared" si="8"/>
        <v>119000</v>
      </c>
      <c r="N81" s="220">
        <f t="shared" si="9"/>
        <v>302000</v>
      </c>
      <c r="O81" s="220">
        <f t="shared" si="10"/>
        <v>421000</v>
      </c>
      <c r="P81" s="301">
        <f t="shared" si="11"/>
        <v>110670</v>
      </c>
      <c r="Q81" s="301">
        <f t="shared" si="12"/>
        <v>280860</v>
      </c>
      <c r="R81" s="300">
        <f t="shared" si="13"/>
        <v>391530</v>
      </c>
    </row>
    <row r="82" spans="1:18" x14ac:dyDescent="0.25">
      <c r="A82" s="210">
        <v>74</v>
      </c>
      <c r="B82" s="158" t="s">
        <v>99</v>
      </c>
      <c r="C82" s="153" t="s">
        <v>153</v>
      </c>
      <c r="D82" s="173">
        <v>75000</v>
      </c>
      <c r="E82" s="173">
        <v>189000</v>
      </c>
      <c r="F82" s="225">
        <f t="shared" si="7"/>
        <v>264000</v>
      </c>
      <c r="G82" s="263">
        <v>93400</v>
      </c>
      <c r="H82" s="264">
        <v>467000</v>
      </c>
      <c r="I82" s="264">
        <v>560400</v>
      </c>
      <c r="J82" s="146">
        <v>199500</v>
      </c>
      <c r="K82" s="146">
        <v>195603.90033898302</v>
      </c>
      <c r="L82" s="146">
        <v>395103.90033898305</v>
      </c>
      <c r="M82" s="220">
        <f t="shared" si="8"/>
        <v>75000</v>
      </c>
      <c r="N82" s="220">
        <f t="shared" si="9"/>
        <v>189000</v>
      </c>
      <c r="O82" s="220">
        <f t="shared" si="10"/>
        <v>264000</v>
      </c>
      <c r="P82" s="301">
        <f t="shared" si="11"/>
        <v>69750</v>
      </c>
      <c r="Q82" s="301">
        <f t="shared" si="12"/>
        <v>175770</v>
      </c>
      <c r="R82" s="300">
        <f t="shared" si="13"/>
        <v>245520</v>
      </c>
    </row>
    <row r="83" spans="1:18" x14ac:dyDescent="0.25">
      <c r="A83" s="210">
        <v>75</v>
      </c>
      <c r="B83" s="152" t="s">
        <v>27</v>
      </c>
      <c r="C83" s="153" t="s">
        <v>153</v>
      </c>
      <c r="D83" s="173">
        <v>97000</v>
      </c>
      <c r="E83" s="173">
        <v>245000</v>
      </c>
      <c r="F83" s="225">
        <f t="shared" si="7"/>
        <v>342000</v>
      </c>
      <c r="G83" s="263">
        <v>120200</v>
      </c>
      <c r="H83" s="264">
        <v>601000</v>
      </c>
      <c r="I83" s="264">
        <v>721200</v>
      </c>
      <c r="J83" s="146">
        <v>99500</v>
      </c>
      <c r="K83" s="146">
        <v>259214.76097157743</v>
      </c>
      <c r="L83" s="146">
        <v>358714.76097157743</v>
      </c>
      <c r="M83" s="220">
        <f t="shared" si="8"/>
        <v>97000</v>
      </c>
      <c r="N83" s="220">
        <f t="shared" si="9"/>
        <v>245000</v>
      </c>
      <c r="O83" s="220">
        <f t="shared" si="10"/>
        <v>342000</v>
      </c>
      <c r="P83" s="301">
        <f t="shared" si="11"/>
        <v>90210</v>
      </c>
      <c r="Q83" s="301">
        <f t="shared" si="12"/>
        <v>227850</v>
      </c>
      <c r="R83" s="300">
        <f t="shared" si="13"/>
        <v>318060</v>
      </c>
    </row>
    <row r="84" spans="1:18" x14ac:dyDescent="0.25">
      <c r="A84" s="210">
        <v>76</v>
      </c>
      <c r="B84" s="152" t="s">
        <v>144</v>
      </c>
      <c r="C84" s="153" t="s">
        <v>153</v>
      </c>
      <c r="D84" s="173">
        <v>89000</v>
      </c>
      <c r="E84" s="173">
        <v>225000</v>
      </c>
      <c r="F84" s="225">
        <f t="shared" si="7"/>
        <v>314000</v>
      </c>
      <c r="G84" s="263">
        <v>111200</v>
      </c>
      <c r="H84" s="264">
        <v>556000</v>
      </c>
      <c r="I84" s="264">
        <v>667200</v>
      </c>
      <c r="J84" s="146">
        <v>124500</v>
      </c>
      <c r="K84" s="146">
        <v>232863.64140338986</v>
      </c>
      <c r="L84" s="146">
        <v>357363.64140338986</v>
      </c>
      <c r="M84" s="220">
        <f t="shared" si="8"/>
        <v>89000</v>
      </c>
      <c r="N84" s="220">
        <f t="shared" si="9"/>
        <v>225000</v>
      </c>
      <c r="O84" s="220">
        <f t="shared" si="10"/>
        <v>314000</v>
      </c>
      <c r="P84" s="301">
        <f t="shared" si="11"/>
        <v>82770</v>
      </c>
      <c r="Q84" s="301">
        <f t="shared" si="12"/>
        <v>209250</v>
      </c>
      <c r="R84" s="300">
        <f t="shared" si="13"/>
        <v>292020</v>
      </c>
    </row>
    <row r="85" spans="1:18" x14ac:dyDescent="0.25">
      <c r="A85" s="210">
        <v>77</v>
      </c>
      <c r="B85" s="152" t="s">
        <v>380</v>
      </c>
      <c r="C85" s="153" t="s">
        <v>153</v>
      </c>
      <c r="D85" s="173">
        <v>170000</v>
      </c>
      <c r="E85" s="173">
        <v>431000</v>
      </c>
      <c r="F85" s="225">
        <f t="shared" si="7"/>
        <v>601000</v>
      </c>
      <c r="G85" s="263">
        <v>211800</v>
      </c>
      <c r="H85" s="264">
        <v>1059000</v>
      </c>
      <c r="I85" s="264">
        <v>1270800</v>
      </c>
      <c r="J85" s="146">
        <v>159500</v>
      </c>
      <c r="K85" s="146">
        <v>756000</v>
      </c>
      <c r="L85" s="146">
        <v>915500</v>
      </c>
      <c r="M85" s="220">
        <f t="shared" si="8"/>
        <v>159500</v>
      </c>
      <c r="N85" s="220">
        <f t="shared" si="9"/>
        <v>431000</v>
      </c>
      <c r="O85" s="220">
        <f t="shared" si="10"/>
        <v>590500</v>
      </c>
      <c r="P85" s="301">
        <f t="shared" si="11"/>
        <v>148335</v>
      </c>
      <c r="Q85" s="301">
        <f t="shared" si="12"/>
        <v>400830</v>
      </c>
      <c r="R85" s="300">
        <f t="shared" si="13"/>
        <v>549165</v>
      </c>
    </row>
    <row r="86" spans="1:18" x14ac:dyDescent="0.25">
      <c r="A86" s="210">
        <v>78</v>
      </c>
      <c r="B86" s="152" t="s">
        <v>381</v>
      </c>
      <c r="C86" s="153" t="s">
        <v>153</v>
      </c>
      <c r="D86" s="173">
        <v>53000</v>
      </c>
      <c r="E86" s="173">
        <v>135000</v>
      </c>
      <c r="F86" s="225">
        <f t="shared" si="7"/>
        <v>188000</v>
      </c>
      <c r="G86" s="263">
        <v>66600</v>
      </c>
      <c r="H86" s="264">
        <v>333000</v>
      </c>
      <c r="I86" s="264">
        <v>399600</v>
      </c>
      <c r="J86" s="146">
        <v>169500</v>
      </c>
      <c r="K86" s="146">
        <v>139141.81229944</v>
      </c>
      <c r="L86" s="146">
        <v>308641.81229944003</v>
      </c>
      <c r="M86" s="220">
        <f t="shared" si="8"/>
        <v>53000</v>
      </c>
      <c r="N86" s="220">
        <f t="shared" si="9"/>
        <v>135000</v>
      </c>
      <c r="O86" s="220">
        <f t="shared" si="10"/>
        <v>188000</v>
      </c>
      <c r="P86" s="301">
        <f t="shared" si="11"/>
        <v>49290</v>
      </c>
      <c r="Q86" s="301">
        <f t="shared" si="12"/>
        <v>125550</v>
      </c>
      <c r="R86" s="300">
        <f t="shared" si="13"/>
        <v>174840</v>
      </c>
    </row>
    <row r="87" spans="1:18" x14ac:dyDescent="0.25">
      <c r="A87" s="210">
        <v>79</v>
      </c>
      <c r="B87" s="158" t="s">
        <v>306</v>
      </c>
      <c r="C87" s="153" t="s">
        <v>153</v>
      </c>
      <c r="D87" s="173">
        <v>105000</v>
      </c>
      <c r="E87" s="173">
        <v>265000</v>
      </c>
      <c r="F87" s="225">
        <f t="shared" si="7"/>
        <v>370000</v>
      </c>
      <c r="G87" s="263">
        <v>130400</v>
      </c>
      <c r="H87" s="264">
        <v>652000</v>
      </c>
      <c r="I87" s="264">
        <v>782400</v>
      </c>
      <c r="J87" s="146">
        <v>157500</v>
      </c>
      <c r="K87" s="146">
        <v>273611.70562482672</v>
      </c>
      <c r="L87" s="146">
        <v>431111.70562482672</v>
      </c>
      <c r="M87" s="220">
        <f t="shared" si="8"/>
        <v>105000</v>
      </c>
      <c r="N87" s="220">
        <f t="shared" si="9"/>
        <v>265000</v>
      </c>
      <c r="O87" s="220">
        <f t="shared" si="10"/>
        <v>370000</v>
      </c>
      <c r="P87" s="301">
        <f t="shared" si="11"/>
        <v>97650</v>
      </c>
      <c r="Q87" s="301">
        <f t="shared" si="12"/>
        <v>246450</v>
      </c>
      <c r="R87" s="300">
        <f t="shared" si="13"/>
        <v>344100</v>
      </c>
    </row>
    <row r="88" spans="1:18" x14ac:dyDescent="0.25">
      <c r="A88" s="210">
        <v>80</v>
      </c>
      <c r="B88" s="158" t="s">
        <v>103</v>
      </c>
      <c r="C88" s="153" t="s">
        <v>153</v>
      </c>
      <c r="D88" s="173">
        <v>40000</v>
      </c>
      <c r="E88" s="173">
        <v>101000</v>
      </c>
      <c r="F88" s="225">
        <f t="shared" si="7"/>
        <v>141000</v>
      </c>
      <c r="G88" s="263">
        <v>49800</v>
      </c>
      <c r="H88" s="264">
        <v>249000</v>
      </c>
      <c r="I88" s="264">
        <v>298800</v>
      </c>
      <c r="J88" s="146">
        <v>119500</v>
      </c>
      <c r="K88" s="146">
        <v>104504.2151882779</v>
      </c>
      <c r="L88" s="146">
        <v>224004.21518827789</v>
      </c>
      <c r="M88" s="220">
        <f t="shared" si="8"/>
        <v>40000</v>
      </c>
      <c r="N88" s="220">
        <f t="shared" si="9"/>
        <v>101000</v>
      </c>
      <c r="O88" s="220">
        <f t="shared" si="10"/>
        <v>141000</v>
      </c>
      <c r="P88" s="301">
        <f t="shared" si="11"/>
        <v>37200</v>
      </c>
      <c r="Q88" s="301">
        <f t="shared" si="12"/>
        <v>93930</v>
      </c>
      <c r="R88" s="300">
        <f t="shared" si="13"/>
        <v>131130</v>
      </c>
    </row>
    <row r="89" spans="1:18" x14ac:dyDescent="0.25">
      <c r="A89" s="210">
        <v>81</v>
      </c>
      <c r="B89" s="152" t="s">
        <v>373</v>
      </c>
      <c r="C89" s="153" t="s">
        <v>153</v>
      </c>
      <c r="D89" s="173">
        <v>138000</v>
      </c>
      <c r="E89" s="173">
        <v>349000</v>
      </c>
      <c r="F89" s="225">
        <f t="shared" si="7"/>
        <v>487000</v>
      </c>
      <c r="G89" s="263">
        <v>172000</v>
      </c>
      <c r="H89" s="264">
        <v>860000</v>
      </c>
      <c r="I89" s="264">
        <v>1032000</v>
      </c>
      <c r="J89" s="146">
        <v>199500</v>
      </c>
      <c r="K89" s="146">
        <v>361181.77194033831</v>
      </c>
      <c r="L89" s="146">
        <v>560681.77194033831</v>
      </c>
      <c r="M89" s="220">
        <f t="shared" si="8"/>
        <v>138000</v>
      </c>
      <c r="N89" s="220">
        <f t="shared" si="9"/>
        <v>349000</v>
      </c>
      <c r="O89" s="220">
        <f t="shared" si="10"/>
        <v>487000</v>
      </c>
      <c r="P89" s="301">
        <f t="shared" si="11"/>
        <v>128340</v>
      </c>
      <c r="Q89" s="301">
        <f t="shared" si="12"/>
        <v>324570</v>
      </c>
      <c r="R89" s="300">
        <f t="shared" si="13"/>
        <v>452910</v>
      </c>
    </row>
    <row r="90" spans="1:18" x14ac:dyDescent="0.25">
      <c r="A90" s="210">
        <v>82</v>
      </c>
      <c r="B90" s="152" t="s">
        <v>375</v>
      </c>
      <c r="C90" s="153" t="s">
        <v>153</v>
      </c>
      <c r="D90" s="173">
        <v>34000</v>
      </c>
      <c r="E90" s="173">
        <v>87000</v>
      </c>
      <c r="F90" s="225">
        <f t="shared" si="7"/>
        <v>121000</v>
      </c>
      <c r="G90" s="263">
        <v>42600</v>
      </c>
      <c r="H90" s="264">
        <v>213000</v>
      </c>
      <c r="I90" s="264">
        <v>255600</v>
      </c>
      <c r="J90" s="146">
        <v>224500</v>
      </c>
      <c r="K90" s="146">
        <v>106300</v>
      </c>
      <c r="L90" s="146">
        <v>330800</v>
      </c>
      <c r="M90" s="220">
        <f t="shared" si="8"/>
        <v>34000</v>
      </c>
      <c r="N90" s="220">
        <f t="shared" si="9"/>
        <v>87000</v>
      </c>
      <c r="O90" s="220">
        <f t="shared" si="10"/>
        <v>121000</v>
      </c>
      <c r="P90" s="301">
        <f t="shared" si="11"/>
        <v>31620</v>
      </c>
      <c r="Q90" s="301">
        <f t="shared" si="12"/>
        <v>80910</v>
      </c>
      <c r="R90" s="300">
        <f t="shared" si="13"/>
        <v>112530</v>
      </c>
    </row>
    <row r="91" spans="1:18" x14ac:dyDescent="0.25">
      <c r="A91" s="210">
        <v>83</v>
      </c>
      <c r="B91" s="152" t="s">
        <v>376</v>
      </c>
      <c r="C91" s="153" t="s">
        <v>153</v>
      </c>
      <c r="D91" s="173">
        <v>37000</v>
      </c>
      <c r="E91" s="173">
        <v>94000</v>
      </c>
      <c r="F91" s="225">
        <f t="shared" si="7"/>
        <v>131000</v>
      </c>
      <c r="G91" s="263">
        <v>46000</v>
      </c>
      <c r="H91" s="264">
        <v>230000</v>
      </c>
      <c r="I91" s="264">
        <v>276000</v>
      </c>
      <c r="J91" s="146">
        <v>224500</v>
      </c>
      <c r="K91" s="146">
        <v>115200</v>
      </c>
      <c r="L91" s="146">
        <v>339700</v>
      </c>
      <c r="M91" s="220">
        <f t="shared" si="8"/>
        <v>37000</v>
      </c>
      <c r="N91" s="220">
        <f t="shared" si="9"/>
        <v>94000</v>
      </c>
      <c r="O91" s="220">
        <f t="shared" si="10"/>
        <v>131000</v>
      </c>
      <c r="P91" s="301">
        <f t="shared" si="11"/>
        <v>34410</v>
      </c>
      <c r="Q91" s="301">
        <f t="shared" si="12"/>
        <v>87420</v>
      </c>
      <c r="R91" s="300">
        <f t="shared" si="13"/>
        <v>121830</v>
      </c>
    </row>
    <row r="92" spans="1:18" x14ac:dyDescent="0.25">
      <c r="A92" s="210">
        <v>84</v>
      </c>
      <c r="B92" s="152" t="s">
        <v>377</v>
      </c>
      <c r="C92" s="153" t="s">
        <v>153</v>
      </c>
      <c r="D92" s="173">
        <v>28000</v>
      </c>
      <c r="E92" s="173">
        <v>71000</v>
      </c>
      <c r="F92" s="225">
        <f t="shared" si="7"/>
        <v>99000</v>
      </c>
      <c r="G92" s="263">
        <v>35000</v>
      </c>
      <c r="H92" s="264">
        <v>175000</v>
      </c>
      <c r="I92" s="264">
        <v>210000</v>
      </c>
      <c r="J92" s="146">
        <v>224500</v>
      </c>
      <c r="K92" s="146">
        <v>75150</v>
      </c>
      <c r="L92" s="146">
        <v>299650</v>
      </c>
      <c r="M92" s="220">
        <f t="shared" si="8"/>
        <v>28000</v>
      </c>
      <c r="N92" s="220">
        <f t="shared" si="9"/>
        <v>71000</v>
      </c>
      <c r="O92" s="220">
        <f t="shared" si="10"/>
        <v>99000</v>
      </c>
      <c r="P92" s="301">
        <f t="shared" si="11"/>
        <v>26040</v>
      </c>
      <c r="Q92" s="301">
        <f t="shared" si="12"/>
        <v>66030</v>
      </c>
      <c r="R92" s="300">
        <f t="shared" si="13"/>
        <v>92070</v>
      </c>
    </row>
    <row r="93" spans="1:18" ht="22.5" x14ac:dyDescent="0.25">
      <c r="A93" s="210"/>
      <c r="B93" s="156" t="s">
        <v>28</v>
      </c>
      <c r="C93" s="153" t="s">
        <v>153</v>
      </c>
      <c r="D93" s="173">
        <v>0</v>
      </c>
      <c r="E93" s="173">
        <v>0</v>
      </c>
      <c r="F93" s="225">
        <f t="shared" si="7"/>
        <v>0</v>
      </c>
      <c r="G93" s="263">
        <v>0</v>
      </c>
      <c r="H93" s="264">
        <v>0</v>
      </c>
      <c r="I93" s="264">
        <v>0</v>
      </c>
      <c r="J93" s="146"/>
      <c r="K93" s="146"/>
      <c r="L93" s="146">
        <v>0</v>
      </c>
      <c r="M93" s="220">
        <f t="shared" si="8"/>
        <v>0</v>
      </c>
      <c r="N93" s="220">
        <f t="shared" si="9"/>
        <v>0</v>
      </c>
      <c r="O93" s="220">
        <f t="shared" si="10"/>
        <v>0</v>
      </c>
      <c r="P93" s="301">
        <f t="shared" si="11"/>
        <v>0</v>
      </c>
      <c r="Q93" s="301">
        <f t="shared" si="12"/>
        <v>0</v>
      </c>
      <c r="R93" s="300">
        <f t="shared" si="13"/>
        <v>0</v>
      </c>
    </row>
    <row r="94" spans="1:18" x14ac:dyDescent="0.25">
      <c r="A94" s="210">
        <v>85</v>
      </c>
      <c r="B94" s="152" t="s">
        <v>114</v>
      </c>
      <c r="C94" s="153" t="s">
        <v>153</v>
      </c>
      <c r="D94" s="173">
        <v>156000</v>
      </c>
      <c r="E94" s="173">
        <v>395000</v>
      </c>
      <c r="F94" s="225">
        <f t="shared" si="7"/>
        <v>551000</v>
      </c>
      <c r="G94" s="263">
        <v>194400</v>
      </c>
      <c r="H94" s="264">
        <v>972000</v>
      </c>
      <c r="I94" s="264">
        <v>1166400</v>
      </c>
      <c r="J94" s="146">
        <v>199500</v>
      </c>
      <c r="K94" s="146">
        <v>454260.62908574077</v>
      </c>
      <c r="L94" s="146">
        <v>653760.62908574077</v>
      </c>
      <c r="M94" s="220">
        <f t="shared" si="8"/>
        <v>156000</v>
      </c>
      <c r="N94" s="220">
        <f t="shared" si="9"/>
        <v>395000</v>
      </c>
      <c r="O94" s="220">
        <f t="shared" si="10"/>
        <v>551000</v>
      </c>
      <c r="P94" s="301">
        <f t="shared" si="11"/>
        <v>145080</v>
      </c>
      <c r="Q94" s="301">
        <f t="shared" si="12"/>
        <v>367350</v>
      </c>
      <c r="R94" s="300">
        <f t="shared" si="13"/>
        <v>512430</v>
      </c>
    </row>
    <row r="95" spans="1:18" x14ac:dyDescent="0.25">
      <c r="A95" s="210">
        <v>86</v>
      </c>
      <c r="B95" s="158" t="s">
        <v>378</v>
      </c>
      <c r="C95" s="153" t="s">
        <v>153</v>
      </c>
      <c r="D95" s="173">
        <v>101000</v>
      </c>
      <c r="E95" s="173">
        <v>256000</v>
      </c>
      <c r="F95" s="225">
        <f t="shared" si="7"/>
        <v>357000</v>
      </c>
      <c r="G95" s="263">
        <v>126000</v>
      </c>
      <c r="H95" s="264">
        <v>630000</v>
      </c>
      <c r="I95" s="264">
        <v>756000</v>
      </c>
      <c r="J95" s="146">
        <v>199500</v>
      </c>
      <c r="K95" s="146">
        <v>264807.03076339833</v>
      </c>
      <c r="L95" s="146">
        <v>464307.03076339833</v>
      </c>
      <c r="M95" s="220">
        <f t="shared" si="8"/>
        <v>101000</v>
      </c>
      <c r="N95" s="220">
        <f t="shared" si="9"/>
        <v>256000</v>
      </c>
      <c r="O95" s="220">
        <f t="shared" si="10"/>
        <v>357000</v>
      </c>
      <c r="P95" s="301">
        <f t="shared" si="11"/>
        <v>93930</v>
      </c>
      <c r="Q95" s="301">
        <f t="shared" si="12"/>
        <v>238080</v>
      </c>
      <c r="R95" s="300">
        <f t="shared" si="13"/>
        <v>332010</v>
      </c>
    </row>
    <row r="96" spans="1:18" x14ac:dyDescent="0.25">
      <c r="A96" s="210">
        <v>87</v>
      </c>
      <c r="B96" s="152" t="s">
        <v>119</v>
      </c>
      <c r="C96" s="153" t="s">
        <v>153</v>
      </c>
      <c r="D96" s="173">
        <v>117000</v>
      </c>
      <c r="E96" s="173">
        <v>295000</v>
      </c>
      <c r="F96" s="225">
        <f t="shared" si="7"/>
        <v>412000</v>
      </c>
      <c r="G96" s="263">
        <v>145200</v>
      </c>
      <c r="H96" s="264">
        <v>726000</v>
      </c>
      <c r="I96" s="264">
        <v>871200</v>
      </c>
      <c r="J96" s="146">
        <v>157500</v>
      </c>
      <c r="K96" s="146">
        <v>304643.21946914663</v>
      </c>
      <c r="L96" s="146">
        <v>462143.21946914663</v>
      </c>
      <c r="M96" s="220">
        <f t="shared" si="8"/>
        <v>117000</v>
      </c>
      <c r="N96" s="220">
        <f t="shared" si="9"/>
        <v>295000</v>
      </c>
      <c r="O96" s="220">
        <f t="shared" si="10"/>
        <v>412000</v>
      </c>
      <c r="P96" s="301">
        <f t="shared" si="11"/>
        <v>108810</v>
      </c>
      <c r="Q96" s="301">
        <f t="shared" si="12"/>
        <v>274350</v>
      </c>
      <c r="R96" s="300">
        <f t="shared" si="13"/>
        <v>383160</v>
      </c>
    </row>
    <row r="97" spans="1:18" x14ac:dyDescent="0.25">
      <c r="A97" s="210">
        <v>88</v>
      </c>
      <c r="B97" s="152" t="s">
        <v>117</v>
      </c>
      <c r="C97" s="153" t="s">
        <v>153</v>
      </c>
      <c r="D97" s="173">
        <v>155000</v>
      </c>
      <c r="E97" s="173">
        <v>392000</v>
      </c>
      <c r="F97" s="225">
        <f t="shared" si="7"/>
        <v>547000</v>
      </c>
      <c r="G97" s="263">
        <v>193000</v>
      </c>
      <c r="H97" s="264">
        <v>965000</v>
      </c>
      <c r="I97" s="264">
        <v>1158000</v>
      </c>
      <c r="J97" s="146">
        <v>157500</v>
      </c>
      <c r="K97" s="146">
        <v>405526.60317708482</v>
      </c>
      <c r="L97" s="146">
        <v>563026.60317708482</v>
      </c>
      <c r="M97" s="220">
        <f t="shared" si="8"/>
        <v>155000</v>
      </c>
      <c r="N97" s="220">
        <f t="shared" si="9"/>
        <v>392000</v>
      </c>
      <c r="O97" s="220">
        <f t="shared" si="10"/>
        <v>547000</v>
      </c>
      <c r="P97" s="301">
        <f t="shared" si="11"/>
        <v>144150</v>
      </c>
      <c r="Q97" s="301">
        <f t="shared" si="12"/>
        <v>364560</v>
      </c>
      <c r="R97" s="300">
        <f t="shared" si="13"/>
        <v>508710</v>
      </c>
    </row>
    <row r="98" spans="1:18" x14ac:dyDescent="0.25">
      <c r="A98" s="210">
        <v>89</v>
      </c>
      <c r="B98" s="152" t="s">
        <v>377</v>
      </c>
      <c r="C98" s="153" t="s">
        <v>153</v>
      </c>
      <c r="D98" s="173">
        <v>25000</v>
      </c>
      <c r="E98" s="173">
        <v>64000</v>
      </c>
      <c r="F98" s="225">
        <f t="shared" si="7"/>
        <v>89000</v>
      </c>
      <c r="G98" s="263">
        <v>31200</v>
      </c>
      <c r="H98" s="264">
        <v>156000</v>
      </c>
      <c r="I98" s="264">
        <v>187200</v>
      </c>
      <c r="J98" s="146">
        <v>224500</v>
      </c>
      <c r="K98" s="146">
        <v>75150</v>
      </c>
      <c r="L98" s="146">
        <v>299650</v>
      </c>
      <c r="M98" s="220">
        <f t="shared" si="8"/>
        <v>25000</v>
      </c>
      <c r="N98" s="220">
        <f t="shared" si="9"/>
        <v>64000</v>
      </c>
      <c r="O98" s="220">
        <f t="shared" si="10"/>
        <v>89000</v>
      </c>
      <c r="P98" s="301">
        <f t="shared" si="11"/>
        <v>23250</v>
      </c>
      <c r="Q98" s="301">
        <f t="shared" si="12"/>
        <v>59520</v>
      </c>
      <c r="R98" s="300">
        <f t="shared" si="13"/>
        <v>82770</v>
      </c>
    </row>
    <row r="99" spans="1:18" ht="22.5" x14ac:dyDescent="0.25">
      <c r="A99" s="210"/>
      <c r="B99" s="156" t="s">
        <v>35</v>
      </c>
      <c r="C99" s="153" t="s">
        <v>153</v>
      </c>
      <c r="D99" s="173">
        <v>0</v>
      </c>
      <c r="E99" s="173">
        <v>0</v>
      </c>
      <c r="F99" s="225">
        <f t="shared" si="7"/>
        <v>0</v>
      </c>
      <c r="G99" s="263">
        <v>0</v>
      </c>
      <c r="H99" s="264">
        <v>0</v>
      </c>
      <c r="I99" s="264">
        <v>0</v>
      </c>
      <c r="J99" s="146"/>
      <c r="K99" s="146"/>
      <c r="L99" s="146">
        <v>0</v>
      </c>
      <c r="M99" s="220">
        <f t="shared" si="8"/>
        <v>0</v>
      </c>
      <c r="N99" s="220">
        <f t="shared" si="9"/>
        <v>0</v>
      </c>
      <c r="O99" s="220">
        <f t="shared" si="10"/>
        <v>0</v>
      </c>
      <c r="P99" s="301">
        <f t="shared" si="11"/>
        <v>0</v>
      </c>
      <c r="Q99" s="301">
        <f t="shared" si="12"/>
        <v>0</v>
      </c>
      <c r="R99" s="300">
        <f t="shared" si="13"/>
        <v>0</v>
      </c>
    </row>
    <row r="100" spans="1:18" x14ac:dyDescent="0.25">
      <c r="A100" s="210">
        <v>90</v>
      </c>
      <c r="B100" s="152" t="s">
        <v>30</v>
      </c>
      <c r="C100" s="153" t="s">
        <v>153</v>
      </c>
      <c r="D100" s="173">
        <v>13000</v>
      </c>
      <c r="E100" s="173">
        <v>33000</v>
      </c>
      <c r="F100" s="225">
        <f t="shared" si="7"/>
        <v>46000</v>
      </c>
      <c r="G100" s="263">
        <v>16200</v>
      </c>
      <c r="H100" s="264">
        <v>81000</v>
      </c>
      <c r="I100" s="264">
        <v>97200</v>
      </c>
      <c r="J100" s="146">
        <v>64500</v>
      </c>
      <c r="K100" s="146">
        <v>33347.169489681968</v>
      </c>
      <c r="L100" s="146">
        <v>97847.169489681968</v>
      </c>
      <c r="M100" s="220">
        <f t="shared" si="8"/>
        <v>13000</v>
      </c>
      <c r="N100" s="220">
        <f t="shared" si="9"/>
        <v>33000</v>
      </c>
      <c r="O100" s="220">
        <f t="shared" si="10"/>
        <v>46000</v>
      </c>
      <c r="P100" s="301">
        <f t="shared" si="11"/>
        <v>12090</v>
      </c>
      <c r="Q100" s="301">
        <f t="shared" si="12"/>
        <v>30690</v>
      </c>
      <c r="R100" s="300">
        <f t="shared" si="13"/>
        <v>42780</v>
      </c>
    </row>
    <row r="101" spans="1:18" x14ac:dyDescent="0.25">
      <c r="A101" s="210">
        <v>91</v>
      </c>
      <c r="B101" s="158" t="s">
        <v>81</v>
      </c>
      <c r="C101" s="153" t="s">
        <v>153</v>
      </c>
      <c r="D101" s="173">
        <v>82000</v>
      </c>
      <c r="E101" s="173">
        <v>209000</v>
      </c>
      <c r="F101" s="225">
        <f t="shared" si="7"/>
        <v>291000</v>
      </c>
      <c r="G101" s="263">
        <v>102600</v>
      </c>
      <c r="H101" s="264">
        <v>513000</v>
      </c>
      <c r="I101" s="264">
        <v>615600</v>
      </c>
      <c r="J101" s="146">
        <v>134500</v>
      </c>
      <c r="K101" s="146">
        <v>236261.36543936888</v>
      </c>
      <c r="L101" s="146">
        <v>370761.36543936888</v>
      </c>
      <c r="M101" s="220">
        <f t="shared" si="8"/>
        <v>82000</v>
      </c>
      <c r="N101" s="220">
        <f t="shared" si="9"/>
        <v>209000</v>
      </c>
      <c r="O101" s="220">
        <f t="shared" si="10"/>
        <v>291000</v>
      </c>
      <c r="P101" s="301">
        <f t="shared" si="11"/>
        <v>76260</v>
      </c>
      <c r="Q101" s="301">
        <f t="shared" si="12"/>
        <v>194370</v>
      </c>
      <c r="R101" s="300">
        <f t="shared" si="13"/>
        <v>270630</v>
      </c>
    </row>
    <row r="102" spans="1:18" x14ac:dyDescent="0.25">
      <c r="A102" s="210">
        <v>92</v>
      </c>
      <c r="B102" s="158" t="s">
        <v>82</v>
      </c>
      <c r="C102" s="153" t="s">
        <v>153</v>
      </c>
      <c r="D102" s="173">
        <v>72000</v>
      </c>
      <c r="E102" s="173">
        <v>182000</v>
      </c>
      <c r="F102" s="225">
        <f t="shared" si="7"/>
        <v>254000</v>
      </c>
      <c r="G102" s="263">
        <v>89600</v>
      </c>
      <c r="H102" s="264">
        <v>448000</v>
      </c>
      <c r="I102" s="264">
        <v>537600</v>
      </c>
      <c r="J102" s="146">
        <v>94500</v>
      </c>
      <c r="K102" s="146">
        <v>202379.26900487009</v>
      </c>
      <c r="L102" s="146">
        <v>296879.26900487009</v>
      </c>
      <c r="M102" s="220">
        <f t="shared" si="8"/>
        <v>72000</v>
      </c>
      <c r="N102" s="220">
        <f t="shared" si="9"/>
        <v>182000</v>
      </c>
      <c r="O102" s="220">
        <f t="shared" si="10"/>
        <v>254000</v>
      </c>
      <c r="P102" s="301">
        <f t="shared" si="11"/>
        <v>66960</v>
      </c>
      <c r="Q102" s="301">
        <f t="shared" si="12"/>
        <v>169260</v>
      </c>
      <c r="R102" s="300">
        <f t="shared" si="13"/>
        <v>236220</v>
      </c>
    </row>
    <row r="103" spans="1:18" x14ac:dyDescent="0.25">
      <c r="A103" s="210">
        <v>93</v>
      </c>
      <c r="B103" s="158" t="s">
        <v>328</v>
      </c>
      <c r="C103" s="153" t="s">
        <v>153</v>
      </c>
      <c r="D103" s="173">
        <v>101000</v>
      </c>
      <c r="E103" s="173">
        <v>232000</v>
      </c>
      <c r="F103" s="225">
        <f t="shared" si="7"/>
        <v>333000</v>
      </c>
      <c r="G103" s="263">
        <v>116000</v>
      </c>
      <c r="H103" s="264">
        <v>580000</v>
      </c>
      <c r="I103" s="264">
        <v>696000</v>
      </c>
      <c r="J103" s="146">
        <v>149500</v>
      </c>
      <c r="K103" s="146">
        <v>210821.18133192317</v>
      </c>
      <c r="L103" s="146">
        <v>360321.18133192317</v>
      </c>
      <c r="M103" s="220">
        <f t="shared" si="8"/>
        <v>101000</v>
      </c>
      <c r="N103" s="220">
        <f t="shared" si="9"/>
        <v>210821.18133192317</v>
      </c>
      <c r="O103" s="220">
        <f t="shared" si="10"/>
        <v>311821.18133192317</v>
      </c>
      <c r="P103" s="301">
        <f t="shared" si="11"/>
        <v>93930</v>
      </c>
      <c r="Q103" s="301">
        <f t="shared" si="12"/>
        <v>196063.69863868854</v>
      </c>
      <c r="R103" s="300">
        <f t="shared" si="13"/>
        <v>289993.69863868854</v>
      </c>
    </row>
    <row r="104" spans="1:18" x14ac:dyDescent="0.25">
      <c r="A104" s="210">
        <v>94</v>
      </c>
      <c r="B104" s="160" t="s">
        <v>199</v>
      </c>
      <c r="C104" s="153" t="s">
        <v>153</v>
      </c>
      <c r="D104" s="173">
        <v>31000</v>
      </c>
      <c r="E104" s="173">
        <v>78000</v>
      </c>
      <c r="F104" s="225">
        <f t="shared" si="7"/>
        <v>109000</v>
      </c>
      <c r="G104" s="263">
        <v>38400</v>
      </c>
      <c r="H104" s="264">
        <v>192000</v>
      </c>
      <c r="I104" s="264">
        <v>230400</v>
      </c>
      <c r="J104" s="146">
        <v>77500</v>
      </c>
      <c r="K104" s="146">
        <v>87949.123910465292</v>
      </c>
      <c r="L104" s="146">
        <v>165449.12391046528</v>
      </c>
      <c r="M104" s="220">
        <f t="shared" si="8"/>
        <v>31000</v>
      </c>
      <c r="N104" s="220">
        <f t="shared" si="9"/>
        <v>78000</v>
      </c>
      <c r="O104" s="220">
        <f t="shared" si="10"/>
        <v>109000</v>
      </c>
      <c r="P104" s="301">
        <f t="shared" si="11"/>
        <v>28830</v>
      </c>
      <c r="Q104" s="301">
        <f t="shared" si="12"/>
        <v>72540</v>
      </c>
      <c r="R104" s="300">
        <f t="shared" si="13"/>
        <v>101370</v>
      </c>
    </row>
    <row r="105" spans="1:18" x14ac:dyDescent="0.25">
      <c r="A105" s="210">
        <v>95</v>
      </c>
      <c r="B105" s="152" t="s">
        <v>327</v>
      </c>
      <c r="C105" s="153" t="s">
        <v>153</v>
      </c>
      <c r="D105" s="173">
        <v>93000</v>
      </c>
      <c r="E105" s="173">
        <v>280000</v>
      </c>
      <c r="F105" s="225">
        <f t="shared" si="7"/>
        <v>373000</v>
      </c>
      <c r="G105" s="263">
        <v>134200</v>
      </c>
      <c r="H105" s="264">
        <v>671000</v>
      </c>
      <c r="I105" s="264">
        <v>805200</v>
      </c>
      <c r="J105" s="146">
        <v>84500</v>
      </c>
      <c r="K105" s="146">
        <v>254839.7085166027</v>
      </c>
      <c r="L105" s="146">
        <v>339339.7085166027</v>
      </c>
      <c r="M105" s="220">
        <f t="shared" si="8"/>
        <v>84500</v>
      </c>
      <c r="N105" s="220">
        <f t="shared" si="9"/>
        <v>254839.7085166027</v>
      </c>
      <c r="O105" s="220">
        <f t="shared" si="10"/>
        <v>339339.7085166027</v>
      </c>
      <c r="P105" s="301">
        <f t="shared" si="11"/>
        <v>78585</v>
      </c>
      <c r="Q105" s="301">
        <f t="shared" si="12"/>
        <v>237000.92892044049</v>
      </c>
      <c r="R105" s="300">
        <f t="shared" si="13"/>
        <v>315585.92892044049</v>
      </c>
    </row>
    <row r="106" spans="1:18" x14ac:dyDescent="0.25">
      <c r="A106" s="210">
        <v>96</v>
      </c>
      <c r="B106" s="160" t="s">
        <v>200</v>
      </c>
      <c r="C106" s="153" t="s">
        <v>153</v>
      </c>
      <c r="D106" s="173">
        <v>43000</v>
      </c>
      <c r="E106" s="173">
        <v>108000</v>
      </c>
      <c r="F106" s="225">
        <f t="shared" si="7"/>
        <v>151000</v>
      </c>
      <c r="G106" s="263">
        <v>53200</v>
      </c>
      <c r="H106" s="264">
        <v>266000</v>
      </c>
      <c r="I106" s="264">
        <v>319200</v>
      </c>
      <c r="J106" s="146">
        <v>77500</v>
      </c>
      <c r="K106" s="146">
        <v>98558.798493838302</v>
      </c>
      <c r="L106" s="146">
        <v>176058.79849383829</v>
      </c>
      <c r="M106" s="220">
        <f t="shared" si="8"/>
        <v>43000</v>
      </c>
      <c r="N106" s="220">
        <f t="shared" si="9"/>
        <v>98558.798493838302</v>
      </c>
      <c r="O106" s="220">
        <f t="shared" si="10"/>
        <v>141558.79849383829</v>
      </c>
      <c r="P106" s="301">
        <f t="shared" si="11"/>
        <v>39990</v>
      </c>
      <c r="Q106" s="301">
        <f t="shared" si="12"/>
        <v>91659.682599269625</v>
      </c>
      <c r="R106" s="300">
        <f t="shared" si="13"/>
        <v>131649.68259926961</v>
      </c>
    </row>
    <row r="107" spans="1:18" x14ac:dyDescent="0.25">
      <c r="A107" s="210">
        <v>97</v>
      </c>
      <c r="B107" s="152" t="s">
        <v>36</v>
      </c>
      <c r="C107" s="153" t="s">
        <v>153</v>
      </c>
      <c r="D107" s="173">
        <v>197000</v>
      </c>
      <c r="E107" s="173">
        <v>620000</v>
      </c>
      <c r="F107" s="225">
        <f t="shared" si="7"/>
        <v>817000</v>
      </c>
      <c r="G107" s="263">
        <v>295400</v>
      </c>
      <c r="H107" s="264">
        <v>1477000</v>
      </c>
      <c r="I107" s="264">
        <v>1772400</v>
      </c>
      <c r="J107" s="146">
        <v>179500</v>
      </c>
      <c r="K107" s="146">
        <v>564081.15658078925</v>
      </c>
      <c r="L107" s="146">
        <v>743581.15658078925</v>
      </c>
      <c r="M107" s="220">
        <f t="shared" si="8"/>
        <v>179500</v>
      </c>
      <c r="N107" s="220">
        <f t="shared" si="9"/>
        <v>564081.15658078925</v>
      </c>
      <c r="O107" s="220">
        <f t="shared" si="10"/>
        <v>743581.15658078925</v>
      </c>
      <c r="P107" s="301">
        <f t="shared" si="11"/>
        <v>166935</v>
      </c>
      <c r="Q107" s="301">
        <f t="shared" si="12"/>
        <v>524595.47562013404</v>
      </c>
      <c r="R107" s="300">
        <f t="shared" si="13"/>
        <v>691530.47562013404</v>
      </c>
    </row>
    <row r="108" spans="1:18" x14ac:dyDescent="0.25">
      <c r="A108" s="210">
        <v>98</v>
      </c>
      <c r="B108" s="158" t="s">
        <v>201</v>
      </c>
      <c r="C108" s="153" t="s">
        <v>153</v>
      </c>
      <c r="D108" s="173">
        <v>108000</v>
      </c>
      <c r="E108" s="173">
        <v>260000</v>
      </c>
      <c r="F108" s="225">
        <f t="shared" si="7"/>
        <v>368000</v>
      </c>
      <c r="G108" s="263">
        <v>129000</v>
      </c>
      <c r="H108" s="264">
        <v>645000</v>
      </c>
      <c r="I108" s="264">
        <v>774000</v>
      </c>
      <c r="J108" s="146">
        <v>279500</v>
      </c>
      <c r="K108" s="146">
        <v>236160.80594991165</v>
      </c>
      <c r="L108" s="146">
        <v>515660.80594991165</v>
      </c>
      <c r="M108" s="220">
        <f t="shared" si="8"/>
        <v>108000</v>
      </c>
      <c r="N108" s="220">
        <f t="shared" si="9"/>
        <v>236160.80594991165</v>
      </c>
      <c r="O108" s="220">
        <f t="shared" si="10"/>
        <v>344160.80594991165</v>
      </c>
      <c r="P108" s="301">
        <f t="shared" si="11"/>
        <v>100440</v>
      </c>
      <c r="Q108" s="301">
        <f t="shared" si="12"/>
        <v>219629.54953341783</v>
      </c>
      <c r="R108" s="300">
        <f t="shared" si="13"/>
        <v>320069.5495334178</v>
      </c>
    </row>
    <row r="109" spans="1:18" x14ac:dyDescent="0.25">
      <c r="A109" s="210">
        <v>99</v>
      </c>
      <c r="B109" s="152" t="s">
        <v>316</v>
      </c>
      <c r="C109" s="153" t="s">
        <v>153</v>
      </c>
      <c r="D109" s="173">
        <v>59000</v>
      </c>
      <c r="E109" s="173">
        <v>149000</v>
      </c>
      <c r="F109" s="225">
        <f t="shared" si="7"/>
        <v>208000</v>
      </c>
      <c r="G109" s="263">
        <v>73400</v>
      </c>
      <c r="H109" s="264">
        <v>367000</v>
      </c>
      <c r="I109" s="264">
        <v>440400</v>
      </c>
      <c r="J109" s="146">
        <v>124500</v>
      </c>
      <c r="K109" s="146">
        <v>153983.8233368501</v>
      </c>
      <c r="L109" s="146">
        <v>278483.8233368501</v>
      </c>
      <c r="M109" s="220">
        <f t="shared" si="8"/>
        <v>59000</v>
      </c>
      <c r="N109" s="220">
        <f t="shared" si="9"/>
        <v>149000</v>
      </c>
      <c r="O109" s="220">
        <f t="shared" si="10"/>
        <v>208000</v>
      </c>
      <c r="P109" s="301">
        <f t="shared" si="11"/>
        <v>54870</v>
      </c>
      <c r="Q109" s="301">
        <f t="shared" si="12"/>
        <v>138570</v>
      </c>
      <c r="R109" s="300">
        <f t="shared" si="13"/>
        <v>193440</v>
      </c>
    </row>
    <row r="110" spans="1:18" x14ac:dyDescent="0.25">
      <c r="A110" s="210">
        <v>100</v>
      </c>
      <c r="B110" s="160" t="s">
        <v>202</v>
      </c>
      <c r="C110" s="153" t="s">
        <v>153</v>
      </c>
      <c r="D110" s="173">
        <v>7000</v>
      </c>
      <c r="E110" s="173">
        <v>18000</v>
      </c>
      <c r="F110" s="225">
        <f t="shared" si="7"/>
        <v>25000</v>
      </c>
      <c r="G110" s="263">
        <v>8600</v>
      </c>
      <c r="H110" s="264">
        <v>43000</v>
      </c>
      <c r="I110" s="264">
        <v>51600</v>
      </c>
      <c r="J110" s="146">
        <v>104500</v>
      </c>
      <c r="K110" s="146">
        <v>96944.125390138855</v>
      </c>
      <c r="L110" s="146">
        <v>201444.12539013886</v>
      </c>
      <c r="M110" s="220">
        <f t="shared" si="8"/>
        <v>7000</v>
      </c>
      <c r="N110" s="220">
        <f t="shared" si="9"/>
        <v>18000</v>
      </c>
      <c r="O110" s="220">
        <f t="shared" si="10"/>
        <v>25000</v>
      </c>
      <c r="P110" s="301">
        <f t="shared" si="11"/>
        <v>6510</v>
      </c>
      <c r="Q110" s="301">
        <f t="shared" si="12"/>
        <v>16740</v>
      </c>
      <c r="R110" s="300">
        <f t="shared" si="13"/>
        <v>23250</v>
      </c>
    </row>
    <row r="111" spans="1:18" x14ac:dyDescent="0.25">
      <c r="A111" s="210">
        <v>101</v>
      </c>
      <c r="B111" s="160" t="s">
        <v>271</v>
      </c>
      <c r="C111" s="153" t="s">
        <v>153</v>
      </c>
      <c r="D111" s="173">
        <v>72000</v>
      </c>
      <c r="E111" s="173">
        <v>166000</v>
      </c>
      <c r="F111" s="225">
        <f t="shared" si="7"/>
        <v>238000</v>
      </c>
      <c r="G111" s="263">
        <v>82800</v>
      </c>
      <c r="H111" s="264">
        <v>414000</v>
      </c>
      <c r="I111" s="264">
        <v>496800</v>
      </c>
      <c r="J111" s="146">
        <v>104500</v>
      </c>
      <c r="K111" s="146">
        <v>150800</v>
      </c>
      <c r="L111" s="146">
        <v>255300</v>
      </c>
      <c r="M111" s="220">
        <f t="shared" si="8"/>
        <v>72000</v>
      </c>
      <c r="N111" s="220">
        <f t="shared" si="9"/>
        <v>150800</v>
      </c>
      <c r="O111" s="220">
        <f t="shared" si="10"/>
        <v>222800</v>
      </c>
      <c r="P111" s="301">
        <f t="shared" si="11"/>
        <v>66960</v>
      </c>
      <c r="Q111" s="301">
        <f t="shared" si="12"/>
        <v>140244</v>
      </c>
      <c r="R111" s="300">
        <f t="shared" si="13"/>
        <v>207204</v>
      </c>
    </row>
    <row r="112" spans="1:18" x14ac:dyDescent="0.25">
      <c r="A112" s="210">
        <v>102</v>
      </c>
      <c r="B112" s="160" t="s">
        <v>203</v>
      </c>
      <c r="C112" s="153" t="s">
        <v>153</v>
      </c>
      <c r="D112" s="173">
        <v>60000</v>
      </c>
      <c r="E112" s="173">
        <v>153000</v>
      </c>
      <c r="F112" s="225">
        <f t="shared" si="7"/>
        <v>213000</v>
      </c>
      <c r="G112" s="263">
        <v>75200</v>
      </c>
      <c r="H112" s="264">
        <v>376000</v>
      </c>
      <c r="I112" s="264">
        <v>451200</v>
      </c>
      <c r="J112" s="146">
        <v>144500</v>
      </c>
      <c r="K112" s="146">
        <v>153850.7498616477</v>
      </c>
      <c r="L112" s="146">
        <v>298350.74986164772</v>
      </c>
      <c r="M112" s="220">
        <f t="shared" si="8"/>
        <v>60000</v>
      </c>
      <c r="N112" s="220">
        <f t="shared" si="9"/>
        <v>153000</v>
      </c>
      <c r="O112" s="220">
        <f t="shared" si="10"/>
        <v>213000</v>
      </c>
      <c r="P112" s="301">
        <f t="shared" si="11"/>
        <v>55800</v>
      </c>
      <c r="Q112" s="301">
        <f t="shared" si="12"/>
        <v>142290</v>
      </c>
      <c r="R112" s="300">
        <f t="shared" si="13"/>
        <v>198090</v>
      </c>
    </row>
    <row r="113" spans="1:18" x14ac:dyDescent="0.25">
      <c r="A113" s="210">
        <v>103</v>
      </c>
      <c r="B113" s="158" t="s">
        <v>204</v>
      </c>
      <c r="C113" s="153" t="s">
        <v>153</v>
      </c>
      <c r="D113" s="173">
        <v>56000</v>
      </c>
      <c r="E113" s="173">
        <v>142000</v>
      </c>
      <c r="F113" s="225">
        <f t="shared" si="7"/>
        <v>198000</v>
      </c>
      <c r="G113" s="263">
        <v>70000</v>
      </c>
      <c r="H113" s="264">
        <v>350000</v>
      </c>
      <c r="I113" s="264">
        <v>420000</v>
      </c>
      <c r="J113" s="146">
        <v>144500</v>
      </c>
      <c r="K113" s="146">
        <v>133000</v>
      </c>
      <c r="L113" s="146">
        <v>277500</v>
      </c>
      <c r="M113" s="220">
        <f t="shared" si="8"/>
        <v>56000</v>
      </c>
      <c r="N113" s="220">
        <f t="shared" si="9"/>
        <v>133000</v>
      </c>
      <c r="O113" s="220">
        <f t="shared" si="10"/>
        <v>189000</v>
      </c>
      <c r="P113" s="301">
        <f t="shared" si="11"/>
        <v>52080</v>
      </c>
      <c r="Q113" s="301">
        <f t="shared" si="12"/>
        <v>123690</v>
      </c>
      <c r="R113" s="300">
        <f t="shared" si="13"/>
        <v>175770</v>
      </c>
    </row>
    <row r="114" spans="1:18" x14ac:dyDescent="0.25">
      <c r="A114" s="210">
        <v>104</v>
      </c>
      <c r="B114" s="158" t="s">
        <v>206</v>
      </c>
      <c r="C114" s="153" t="s">
        <v>153</v>
      </c>
      <c r="D114" s="173">
        <v>53000</v>
      </c>
      <c r="E114" s="173">
        <v>128000</v>
      </c>
      <c r="F114" s="225">
        <f t="shared" si="7"/>
        <v>181000</v>
      </c>
      <c r="G114" s="263">
        <v>63600</v>
      </c>
      <c r="H114" s="264">
        <v>318000</v>
      </c>
      <c r="I114" s="264">
        <v>381600</v>
      </c>
      <c r="J114" s="146">
        <v>104500</v>
      </c>
      <c r="K114" s="146">
        <v>116441.22553852513</v>
      </c>
      <c r="L114" s="146">
        <v>220941.22553852515</v>
      </c>
      <c r="M114" s="220">
        <f t="shared" si="8"/>
        <v>53000</v>
      </c>
      <c r="N114" s="220">
        <f t="shared" si="9"/>
        <v>116441.22553852513</v>
      </c>
      <c r="O114" s="220">
        <f t="shared" si="10"/>
        <v>169441.22553852515</v>
      </c>
      <c r="P114" s="301">
        <f t="shared" si="11"/>
        <v>49290</v>
      </c>
      <c r="Q114" s="301">
        <f t="shared" si="12"/>
        <v>108290.33975082837</v>
      </c>
      <c r="R114" s="300">
        <f t="shared" si="13"/>
        <v>157580.33975082837</v>
      </c>
    </row>
    <row r="115" spans="1:18" x14ac:dyDescent="0.25">
      <c r="A115" s="210">
        <v>105</v>
      </c>
      <c r="B115" s="158" t="s">
        <v>205</v>
      </c>
      <c r="C115" s="153" t="s">
        <v>153</v>
      </c>
      <c r="D115" s="173">
        <v>34000</v>
      </c>
      <c r="E115" s="173">
        <v>78000</v>
      </c>
      <c r="F115" s="225">
        <f t="shared" si="7"/>
        <v>112000</v>
      </c>
      <c r="G115" s="263">
        <v>39000</v>
      </c>
      <c r="H115" s="264">
        <v>195000</v>
      </c>
      <c r="I115" s="264">
        <v>234000</v>
      </c>
      <c r="J115" s="146">
        <v>164500</v>
      </c>
      <c r="K115" s="146">
        <v>70700</v>
      </c>
      <c r="L115" s="146">
        <v>235200</v>
      </c>
      <c r="M115" s="220">
        <f t="shared" si="8"/>
        <v>34000</v>
      </c>
      <c r="N115" s="220">
        <f t="shared" si="9"/>
        <v>70700</v>
      </c>
      <c r="O115" s="220">
        <f t="shared" si="10"/>
        <v>104700</v>
      </c>
      <c r="P115" s="301">
        <f t="shared" si="11"/>
        <v>31620</v>
      </c>
      <c r="Q115" s="301">
        <f t="shared" si="12"/>
        <v>65751</v>
      </c>
      <c r="R115" s="300">
        <f t="shared" si="13"/>
        <v>97371</v>
      </c>
    </row>
    <row r="116" spans="1:18" x14ac:dyDescent="0.25">
      <c r="A116" s="210">
        <v>106</v>
      </c>
      <c r="B116" s="152" t="s">
        <v>37</v>
      </c>
      <c r="C116" s="153" t="s">
        <v>153</v>
      </c>
      <c r="D116" s="173">
        <v>93000</v>
      </c>
      <c r="E116" s="173">
        <v>235000</v>
      </c>
      <c r="F116" s="225">
        <f t="shared" si="7"/>
        <v>328000</v>
      </c>
      <c r="G116" s="263">
        <v>116000</v>
      </c>
      <c r="H116" s="264">
        <v>580000</v>
      </c>
      <c r="I116" s="264">
        <v>696000</v>
      </c>
      <c r="J116" s="146">
        <v>134500</v>
      </c>
      <c r="K116" s="146">
        <v>294299.38152103999</v>
      </c>
      <c r="L116" s="146">
        <v>428799.38152103999</v>
      </c>
      <c r="M116" s="220">
        <f t="shared" si="8"/>
        <v>93000</v>
      </c>
      <c r="N116" s="220">
        <f t="shared" si="9"/>
        <v>235000</v>
      </c>
      <c r="O116" s="220">
        <f t="shared" si="10"/>
        <v>328000</v>
      </c>
      <c r="P116" s="301">
        <f t="shared" si="11"/>
        <v>86490</v>
      </c>
      <c r="Q116" s="301">
        <f t="shared" si="12"/>
        <v>218550</v>
      </c>
      <c r="R116" s="300">
        <f t="shared" si="13"/>
        <v>305040</v>
      </c>
    </row>
    <row r="117" spans="1:18" x14ac:dyDescent="0.25">
      <c r="A117" s="210">
        <v>107</v>
      </c>
      <c r="B117" s="152" t="s">
        <v>337</v>
      </c>
      <c r="C117" s="153" t="s">
        <v>153</v>
      </c>
      <c r="D117" s="173">
        <v>85000</v>
      </c>
      <c r="E117" s="173">
        <v>206000</v>
      </c>
      <c r="F117" s="225">
        <f t="shared" si="7"/>
        <v>291000</v>
      </c>
      <c r="G117" s="263">
        <v>102200</v>
      </c>
      <c r="H117" s="264">
        <v>511000</v>
      </c>
      <c r="I117" s="264">
        <v>613200</v>
      </c>
      <c r="J117" s="146">
        <v>144500</v>
      </c>
      <c r="K117" s="146">
        <v>187375.46792934611</v>
      </c>
      <c r="L117" s="146">
        <v>331875.46792934614</v>
      </c>
      <c r="M117" s="220">
        <f t="shared" si="8"/>
        <v>85000</v>
      </c>
      <c r="N117" s="220">
        <f t="shared" si="9"/>
        <v>187375.46792934611</v>
      </c>
      <c r="O117" s="220">
        <f t="shared" si="10"/>
        <v>272375.46792934614</v>
      </c>
      <c r="P117" s="301">
        <f t="shared" si="11"/>
        <v>79050</v>
      </c>
      <c r="Q117" s="301">
        <f t="shared" si="12"/>
        <v>174259.18517429187</v>
      </c>
      <c r="R117" s="300">
        <f t="shared" si="13"/>
        <v>253309.18517429187</v>
      </c>
    </row>
    <row r="118" spans="1:18" x14ac:dyDescent="0.25">
      <c r="A118" s="210">
        <v>108</v>
      </c>
      <c r="B118" s="161" t="s">
        <v>419</v>
      </c>
      <c r="C118" s="153" t="s">
        <v>153</v>
      </c>
      <c r="D118" s="173">
        <v>21000</v>
      </c>
      <c r="E118" s="173">
        <v>52000</v>
      </c>
      <c r="F118" s="225">
        <f t="shared" si="7"/>
        <v>73000</v>
      </c>
      <c r="G118" s="263">
        <v>25800</v>
      </c>
      <c r="H118" s="264">
        <v>129000</v>
      </c>
      <c r="I118" s="264">
        <v>154800</v>
      </c>
      <c r="J118" s="146">
        <v>84500</v>
      </c>
      <c r="K118" s="146">
        <v>53657.161068035559</v>
      </c>
      <c r="L118" s="146">
        <v>138157.16106803555</v>
      </c>
      <c r="M118" s="220">
        <f t="shared" si="8"/>
        <v>21000</v>
      </c>
      <c r="N118" s="220">
        <f t="shared" si="9"/>
        <v>52000</v>
      </c>
      <c r="O118" s="220">
        <f t="shared" si="10"/>
        <v>73000</v>
      </c>
      <c r="P118" s="301">
        <f t="shared" si="11"/>
        <v>19530</v>
      </c>
      <c r="Q118" s="301">
        <f t="shared" si="12"/>
        <v>48360</v>
      </c>
      <c r="R118" s="300">
        <f t="shared" si="13"/>
        <v>67890</v>
      </c>
    </row>
    <row r="119" spans="1:18" x14ac:dyDescent="0.25">
      <c r="A119" s="210">
        <v>109</v>
      </c>
      <c r="B119" s="161" t="s">
        <v>317</v>
      </c>
      <c r="C119" s="153" t="s">
        <v>153</v>
      </c>
      <c r="D119" s="173">
        <v>115000</v>
      </c>
      <c r="E119" s="173">
        <v>544000</v>
      </c>
      <c r="F119" s="225">
        <f t="shared" si="7"/>
        <v>659000</v>
      </c>
      <c r="G119" s="263">
        <v>247200</v>
      </c>
      <c r="H119" s="264">
        <v>1236000</v>
      </c>
      <c r="I119" s="264">
        <v>1483200</v>
      </c>
      <c r="J119" s="146">
        <v>104500</v>
      </c>
      <c r="K119" s="146">
        <v>693700</v>
      </c>
      <c r="L119" s="146">
        <v>798200</v>
      </c>
      <c r="M119" s="220">
        <f t="shared" si="8"/>
        <v>104500</v>
      </c>
      <c r="N119" s="220">
        <f t="shared" si="9"/>
        <v>544000</v>
      </c>
      <c r="O119" s="220">
        <f t="shared" si="10"/>
        <v>648500</v>
      </c>
      <c r="P119" s="301">
        <f t="shared" si="11"/>
        <v>97185</v>
      </c>
      <c r="Q119" s="301">
        <f t="shared" si="12"/>
        <v>505920</v>
      </c>
      <c r="R119" s="300">
        <f t="shared" si="13"/>
        <v>603105</v>
      </c>
    </row>
    <row r="120" spans="1:18" x14ac:dyDescent="0.25">
      <c r="A120" s="210">
        <v>110</v>
      </c>
      <c r="B120" s="161" t="s">
        <v>318</v>
      </c>
      <c r="C120" s="153" t="s">
        <v>153</v>
      </c>
      <c r="D120" s="173">
        <v>88000</v>
      </c>
      <c r="E120" s="173">
        <v>223000</v>
      </c>
      <c r="F120" s="225">
        <f t="shared" si="7"/>
        <v>311000</v>
      </c>
      <c r="G120" s="263">
        <v>109600</v>
      </c>
      <c r="H120" s="264">
        <v>548000</v>
      </c>
      <c r="I120" s="264">
        <v>657600</v>
      </c>
      <c r="J120" s="146">
        <v>104500</v>
      </c>
      <c r="K120" s="146">
        <v>373300</v>
      </c>
      <c r="L120" s="146">
        <v>477800</v>
      </c>
      <c r="M120" s="220">
        <f t="shared" si="8"/>
        <v>88000</v>
      </c>
      <c r="N120" s="220">
        <f t="shared" si="9"/>
        <v>223000</v>
      </c>
      <c r="O120" s="220">
        <f t="shared" si="10"/>
        <v>311000</v>
      </c>
      <c r="P120" s="301">
        <f t="shared" si="11"/>
        <v>81840</v>
      </c>
      <c r="Q120" s="301">
        <f t="shared" si="12"/>
        <v>207390</v>
      </c>
      <c r="R120" s="300">
        <f t="shared" si="13"/>
        <v>289230</v>
      </c>
    </row>
    <row r="121" spans="1:18" x14ac:dyDescent="0.25">
      <c r="A121" s="210">
        <v>111</v>
      </c>
      <c r="B121" s="161" t="s">
        <v>329</v>
      </c>
      <c r="C121" s="153" t="s">
        <v>153</v>
      </c>
      <c r="D121" s="173">
        <v>258000</v>
      </c>
      <c r="E121" s="173">
        <v>653000</v>
      </c>
      <c r="F121" s="225">
        <f t="shared" si="7"/>
        <v>911000</v>
      </c>
      <c r="G121" s="263">
        <v>321400</v>
      </c>
      <c r="H121" s="264">
        <v>1607000</v>
      </c>
      <c r="I121" s="264">
        <v>1928400</v>
      </c>
      <c r="J121" s="146">
        <v>379500</v>
      </c>
      <c r="K121" s="146">
        <v>756000</v>
      </c>
      <c r="L121" s="146">
        <v>1135500</v>
      </c>
      <c r="M121" s="220">
        <f t="shared" si="8"/>
        <v>258000</v>
      </c>
      <c r="N121" s="220">
        <f t="shared" si="9"/>
        <v>653000</v>
      </c>
      <c r="O121" s="220">
        <f t="shared" si="10"/>
        <v>911000</v>
      </c>
      <c r="P121" s="301">
        <f t="shared" si="11"/>
        <v>239940</v>
      </c>
      <c r="Q121" s="301">
        <f t="shared" si="12"/>
        <v>607290</v>
      </c>
      <c r="R121" s="300">
        <f t="shared" si="13"/>
        <v>847230</v>
      </c>
    </row>
    <row r="122" spans="1:18" ht="22.5" x14ac:dyDescent="0.25">
      <c r="A122" s="210"/>
      <c r="B122" s="156" t="s">
        <v>39</v>
      </c>
      <c r="C122" s="153" t="s">
        <v>153</v>
      </c>
      <c r="D122" s="173">
        <v>0</v>
      </c>
      <c r="E122" s="173">
        <v>0</v>
      </c>
      <c r="F122" s="225">
        <f t="shared" si="7"/>
        <v>0</v>
      </c>
      <c r="G122" s="263">
        <v>0</v>
      </c>
      <c r="H122" s="264">
        <v>0</v>
      </c>
      <c r="I122" s="264">
        <v>0</v>
      </c>
      <c r="J122" s="146"/>
      <c r="K122" s="146"/>
      <c r="L122" s="146">
        <v>0</v>
      </c>
      <c r="M122" s="220">
        <f t="shared" si="8"/>
        <v>0</v>
      </c>
      <c r="N122" s="220">
        <f t="shared" si="9"/>
        <v>0</v>
      </c>
      <c r="O122" s="220">
        <f t="shared" si="10"/>
        <v>0</v>
      </c>
      <c r="P122" s="301">
        <f t="shared" si="11"/>
        <v>0</v>
      </c>
      <c r="Q122" s="301">
        <f t="shared" si="12"/>
        <v>0</v>
      </c>
      <c r="R122" s="300">
        <f t="shared" si="13"/>
        <v>0</v>
      </c>
    </row>
    <row r="123" spans="1:18" x14ac:dyDescent="0.25">
      <c r="A123" s="210">
        <v>112</v>
      </c>
      <c r="B123" s="152" t="s">
        <v>40</v>
      </c>
      <c r="C123" s="153" t="s">
        <v>153</v>
      </c>
      <c r="D123" s="173">
        <v>219000</v>
      </c>
      <c r="E123" s="173">
        <v>1202000</v>
      </c>
      <c r="F123" s="225">
        <f t="shared" si="7"/>
        <v>1421000</v>
      </c>
      <c r="G123" s="263">
        <v>538600</v>
      </c>
      <c r="H123" s="264">
        <v>2693000</v>
      </c>
      <c r="I123" s="264">
        <v>3231600</v>
      </c>
      <c r="J123" s="146">
        <v>199500</v>
      </c>
      <c r="K123" s="146">
        <v>1092330.6167526487</v>
      </c>
      <c r="L123" s="146">
        <v>1291830.6167526487</v>
      </c>
      <c r="M123" s="220">
        <f t="shared" si="8"/>
        <v>199500</v>
      </c>
      <c r="N123" s="220">
        <f t="shared" si="9"/>
        <v>1092330.6167526487</v>
      </c>
      <c r="O123" s="220">
        <f t="shared" si="10"/>
        <v>1291830.6167526487</v>
      </c>
      <c r="P123" s="301">
        <f t="shared" si="11"/>
        <v>185535</v>
      </c>
      <c r="Q123" s="301">
        <f t="shared" si="12"/>
        <v>1015867.4735799633</v>
      </c>
      <c r="R123" s="300">
        <f t="shared" si="13"/>
        <v>1201402.4735799632</v>
      </c>
    </row>
    <row r="124" spans="1:18" ht="22.5" x14ac:dyDescent="0.25">
      <c r="A124" s="210">
        <v>113</v>
      </c>
      <c r="B124" s="152" t="s">
        <v>209</v>
      </c>
      <c r="C124" s="153" t="s">
        <v>153</v>
      </c>
      <c r="D124" s="173">
        <v>50000</v>
      </c>
      <c r="E124" s="173">
        <v>114000</v>
      </c>
      <c r="F124" s="225">
        <f t="shared" si="7"/>
        <v>164000</v>
      </c>
      <c r="G124" s="263">
        <v>57000</v>
      </c>
      <c r="H124" s="264">
        <v>285000</v>
      </c>
      <c r="I124" s="264">
        <v>342000</v>
      </c>
      <c r="J124" s="146">
        <v>199500</v>
      </c>
      <c r="K124" s="146">
        <v>103519.70317375028</v>
      </c>
      <c r="L124" s="146">
        <v>303019.70317375031</v>
      </c>
      <c r="M124" s="220">
        <f t="shared" si="8"/>
        <v>50000</v>
      </c>
      <c r="N124" s="220">
        <f t="shared" si="9"/>
        <v>103519.70317375028</v>
      </c>
      <c r="O124" s="220">
        <f t="shared" si="10"/>
        <v>153519.70317375028</v>
      </c>
      <c r="P124" s="301">
        <f t="shared" si="11"/>
        <v>46500</v>
      </c>
      <c r="Q124" s="301">
        <f t="shared" si="12"/>
        <v>96273.323951587765</v>
      </c>
      <c r="R124" s="300">
        <f t="shared" si="13"/>
        <v>142773.32395158778</v>
      </c>
    </row>
    <row r="125" spans="1:18" x14ac:dyDescent="0.25">
      <c r="A125" s="210">
        <v>114</v>
      </c>
      <c r="B125" s="152" t="s">
        <v>208</v>
      </c>
      <c r="C125" s="153" t="s">
        <v>153</v>
      </c>
      <c r="D125" s="173">
        <v>88000</v>
      </c>
      <c r="E125" s="173">
        <v>223000</v>
      </c>
      <c r="F125" s="225">
        <f t="shared" si="7"/>
        <v>311000</v>
      </c>
      <c r="G125" s="263">
        <v>109600</v>
      </c>
      <c r="H125" s="264">
        <v>548000</v>
      </c>
      <c r="I125" s="264">
        <v>657600</v>
      </c>
      <c r="J125" s="146">
        <v>199500</v>
      </c>
      <c r="K125" s="146">
        <v>222000</v>
      </c>
      <c r="L125" s="146">
        <v>421500</v>
      </c>
      <c r="M125" s="220">
        <f t="shared" si="8"/>
        <v>88000</v>
      </c>
      <c r="N125" s="220">
        <f t="shared" si="9"/>
        <v>222000</v>
      </c>
      <c r="O125" s="220">
        <f t="shared" si="10"/>
        <v>310000</v>
      </c>
      <c r="P125" s="301">
        <f t="shared" si="11"/>
        <v>81840</v>
      </c>
      <c r="Q125" s="301">
        <f t="shared" si="12"/>
        <v>206460</v>
      </c>
      <c r="R125" s="300">
        <f t="shared" si="13"/>
        <v>288300</v>
      </c>
    </row>
    <row r="126" spans="1:18" x14ac:dyDescent="0.25">
      <c r="A126" s="210">
        <v>115</v>
      </c>
      <c r="B126" s="152" t="s">
        <v>41</v>
      </c>
      <c r="C126" s="153" t="s">
        <v>153</v>
      </c>
      <c r="D126" s="173">
        <v>219000</v>
      </c>
      <c r="E126" s="173">
        <v>1219000</v>
      </c>
      <c r="F126" s="225">
        <f t="shared" si="7"/>
        <v>1438000</v>
      </c>
      <c r="G126" s="263">
        <v>545800</v>
      </c>
      <c r="H126" s="264">
        <v>2729000</v>
      </c>
      <c r="I126" s="264">
        <v>3274800</v>
      </c>
      <c r="J126" s="146">
        <v>199500</v>
      </c>
      <c r="K126" s="146">
        <v>1107773.9668091717</v>
      </c>
      <c r="L126" s="146">
        <v>1307273.9668091717</v>
      </c>
      <c r="M126" s="220">
        <f t="shared" si="8"/>
        <v>199500</v>
      </c>
      <c r="N126" s="220">
        <f t="shared" si="9"/>
        <v>1107773.9668091717</v>
      </c>
      <c r="O126" s="220">
        <f t="shared" si="10"/>
        <v>1307273.9668091717</v>
      </c>
      <c r="P126" s="301">
        <f t="shared" si="11"/>
        <v>185535</v>
      </c>
      <c r="Q126" s="301">
        <f t="shared" si="12"/>
        <v>1030229.7891325296</v>
      </c>
      <c r="R126" s="300">
        <f t="shared" si="13"/>
        <v>1215764.7891325296</v>
      </c>
    </row>
    <row r="127" spans="1:18" ht="22.5" x14ac:dyDescent="0.25">
      <c r="A127" s="210">
        <v>116</v>
      </c>
      <c r="B127" s="152" t="s">
        <v>210</v>
      </c>
      <c r="C127" s="153" t="s">
        <v>153</v>
      </c>
      <c r="D127" s="173">
        <v>219000</v>
      </c>
      <c r="E127" s="173">
        <v>541000</v>
      </c>
      <c r="F127" s="225">
        <f t="shared" si="7"/>
        <v>760000</v>
      </c>
      <c r="G127" s="263">
        <v>267000</v>
      </c>
      <c r="H127" s="264">
        <v>1335000</v>
      </c>
      <c r="I127" s="264">
        <v>1602000</v>
      </c>
      <c r="J127" s="146">
        <v>199500</v>
      </c>
      <c r="K127" s="146">
        <v>491413.62622775021</v>
      </c>
      <c r="L127" s="146">
        <v>690913.62622775021</v>
      </c>
      <c r="M127" s="220">
        <f t="shared" si="8"/>
        <v>199500</v>
      </c>
      <c r="N127" s="220">
        <f t="shared" si="9"/>
        <v>491413.62622775021</v>
      </c>
      <c r="O127" s="220">
        <f t="shared" si="10"/>
        <v>690913.62622775021</v>
      </c>
      <c r="P127" s="301">
        <f t="shared" si="11"/>
        <v>185535</v>
      </c>
      <c r="Q127" s="301">
        <f t="shared" si="12"/>
        <v>457014.67239180766</v>
      </c>
      <c r="R127" s="300">
        <f t="shared" si="13"/>
        <v>642549.67239180766</v>
      </c>
    </row>
    <row r="128" spans="1:18" ht="22.5" x14ac:dyDescent="0.25">
      <c r="A128" s="210">
        <v>117</v>
      </c>
      <c r="B128" s="152" t="s">
        <v>212</v>
      </c>
      <c r="C128" s="153" t="s">
        <v>153</v>
      </c>
      <c r="D128" s="173">
        <v>100000</v>
      </c>
      <c r="E128" s="173">
        <v>231000</v>
      </c>
      <c r="F128" s="225">
        <f t="shared" si="7"/>
        <v>331000</v>
      </c>
      <c r="G128" s="263">
        <v>115400</v>
      </c>
      <c r="H128" s="264">
        <v>577000</v>
      </c>
      <c r="I128" s="264">
        <v>692400</v>
      </c>
      <c r="J128" s="146">
        <v>264500</v>
      </c>
      <c r="K128" s="146">
        <v>210153.29419698709</v>
      </c>
      <c r="L128" s="146">
        <v>474653.29419698706</v>
      </c>
      <c r="M128" s="220">
        <f t="shared" si="8"/>
        <v>100000</v>
      </c>
      <c r="N128" s="220">
        <f t="shared" si="9"/>
        <v>210153.29419698709</v>
      </c>
      <c r="O128" s="220">
        <f t="shared" si="10"/>
        <v>310153.29419698706</v>
      </c>
      <c r="P128" s="301">
        <f t="shared" si="11"/>
        <v>93000</v>
      </c>
      <c r="Q128" s="301">
        <f t="shared" si="12"/>
        <v>195442.56360319798</v>
      </c>
      <c r="R128" s="300">
        <f t="shared" si="13"/>
        <v>288442.56360319798</v>
      </c>
    </row>
    <row r="129" spans="1:18" ht="22.5" x14ac:dyDescent="0.25">
      <c r="A129" s="210">
        <v>118</v>
      </c>
      <c r="B129" s="152" t="s">
        <v>213</v>
      </c>
      <c r="C129" s="153" t="s">
        <v>153</v>
      </c>
      <c r="D129" s="173">
        <v>240000</v>
      </c>
      <c r="E129" s="173">
        <v>552000</v>
      </c>
      <c r="F129" s="225">
        <f t="shared" si="7"/>
        <v>792000</v>
      </c>
      <c r="G129" s="263">
        <v>276000</v>
      </c>
      <c r="H129" s="264">
        <v>1380000</v>
      </c>
      <c r="I129" s="264">
        <v>1656000</v>
      </c>
      <c r="J129" s="146">
        <v>449500</v>
      </c>
      <c r="K129" s="146">
        <v>501554.72495207412</v>
      </c>
      <c r="L129" s="146">
        <v>951054.72495207412</v>
      </c>
      <c r="M129" s="220">
        <f t="shared" si="8"/>
        <v>240000</v>
      </c>
      <c r="N129" s="220">
        <f t="shared" si="9"/>
        <v>501554.72495207412</v>
      </c>
      <c r="O129" s="220">
        <f t="shared" si="10"/>
        <v>741554.72495207412</v>
      </c>
      <c r="P129" s="301">
        <f t="shared" si="11"/>
        <v>223200</v>
      </c>
      <c r="Q129" s="301">
        <f t="shared" si="12"/>
        <v>466445.89420542895</v>
      </c>
      <c r="R129" s="300">
        <f t="shared" si="13"/>
        <v>689645.89420542889</v>
      </c>
    </row>
    <row r="130" spans="1:18" x14ac:dyDescent="0.25">
      <c r="A130" s="210">
        <v>119</v>
      </c>
      <c r="B130" s="152" t="s">
        <v>214</v>
      </c>
      <c r="C130" s="153" t="s">
        <v>153</v>
      </c>
      <c r="D130" s="173">
        <v>104000</v>
      </c>
      <c r="E130" s="173">
        <v>493000</v>
      </c>
      <c r="F130" s="225">
        <f t="shared" si="7"/>
        <v>597000</v>
      </c>
      <c r="G130" s="263">
        <v>224200</v>
      </c>
      <c r="H130" s="264">
        <v>1121000</v>
      </c>
      <c r="I130" s="264">
        <v>1345200</v>
      </c>
      <c r="J130" s="146">
        <v>94500</v>
      </c>
      <c r="K130" s="146">
        <v>448575.65574946138</v>
      </c>
      <c r="L130" s="146">
        <v>543075.65574946138</v>
      </c>
      <c r="M130" s="220">
        <f t="shared" si="8"/>
        <v>94500</v>
      </c>
      <c r="N130" s="220">
        <f t="shared" si="9"/>
        <v>448575.65574946138</v>
      </c>
      <c r="O130" s="220">
        <f t="shared" si="10"/>
        <v>543075.65574946138</v>
      </c>
      <c r="P130" s="301">
        <f t="shared" si="11"/>
        <v>87885</v>
      </c>
      <c r="Q130" s="301">
        <f t="shared" si="12"/>
        <v>417175.35984699905</v>
      </c>
      <c r="R130" s="300">
        <f t="shared" si="13"/>
        <v>505060.35984699905</v>
      </c>
    </row>
    <row r="131" spans="1:18" x14ac:dyDescent="0.25">
      <c r="A131" s="210">
        <v>120</v>
      </c>
      <c r="B131" s="158" t="s">
        <v>242</v>
      </c>
      <c r="C131" s="153" t="s">
        <v>153</v>
      </c>
      <c r="D131" s="173">
        <v>73000</v>
      </c>
      <c r="E131" s="173">
        <v>167000</v>
      </c>
      <c r="F131" s="225">
        <f t="shared" si="7"/>
        <v>240000</v>
      </c>
      <c r="G131" s="263">
        <v>83800</v>
      </c>
      <c r="H131" s="264">
        <v>419000</v>
      </c>
      <c r="I131" s="264">
        <v>502800</v>
      </c>
      <c r="J131" s="146">
        <v>94500</v>
      </c>
      <c r="K131" s="146">
        <v>151986.79026339884</v>
      </c>
      <c r="L131" s="146">
        <v>246486.79026339884</v>
      </c>
      <c r="M131" s="220">
        <f t="shared" si="8"/>
        <v>73000</v>
      </c>
      <c r="N131" s="220">
        <f t="shared" si="9"/>
        <v>151986.79026339884</v>
      </c>
      <c r="O131" s="220">
        <f t="shared" si="10"/>
        <v>224986.79026339884</v>
      </c>
      <c r="P131" s="301">
        <f t="shared" si="11"/>
        <v>67890</v>
      </c>
      <c r="Q131" s="301">
        <f t="shared" si="12"/>
        <v>141347.71494496093</v>
      </c>
      <c r="R131" s="300">
        <f t="shared" si="13"/>
        <v>209237.71494496093</v>
      </c>
    </row>
    <row r="132" spans="1:18" x14ac:dyDescent="0.25">
      <c r="A132" s="210">
        <v>121</v>
      </c>
      <c r="B132" s="152" t="s">
        <v>355</v>
      </c>
      <c r="C132" s="153" t="s">
        <v>153</v>
      </c>
      <c r="D132" s="173">
        <v>148000</v>
      </c>
      <c r="E132" s="173">
        <v>373000</v>
      </c>
      <c r="F132" s="225">
        <f t="shared" si="7"/>
        <v>521000</v>
      </c>
      <c r="G132" s="263">
        <v>184000</v>
      </c>
      <c r="H132" s="264">
        <v>920000</v>
      </c>
      <c r="I132" s="264">
        <v>1104000</v>
      </c>
      <c r="J132" s="146">
        <v>134500</v>
      </c>
      <c r="K132" s="146">
        <v>339421.271418271</v>
      </c>
      <c r="L132" s="146">
        <v>473921.271418271</v>
      </c>
      <c r="M132" s="220">
        <f t="shared" si="8"/>
        <v>134500</v>
      </c>
      <c r="N132" s="220">
        <f t="shared" si="9"/>
        <v>339421.271418271</v>
      </c>
      <c r="O132" s="220">
        <f t="shared" si="10"/>
        <v>473921.271418271</v>
      </c>
      <c r="P132" s="301">
        <f t="shared" si="11"/>
        <v>125085</v>
      </c>
      <c r="Q132" s="301">
        <f t="shared" si="12"/>
        <v>315661.78241899202</v>
      </c>
      <c r="R132" s="300">
        <f t="shared" si="13"/>
        <v>440746.78241899202</v>
      </c>
    </row>
    <row r="133" spans="1:18" x14ac:dyDescent="0.25">
      <c r="A133" s="210">
        <v>122</v>
      </c>
      <c r="B133" s="152" t="s">
        <v>215</v>
      </c>
      <c r="C133" s="153" t="s">
        <v>153</v>
      </c>
      <c r="D133" s="173">
        <v>14000</v>
      </c>
      <c r="E133" s="173">
        <v>34000</v>
      </c>
      <c r="F133" s="225">
        <f t="shared" ref="F133:F196" si="14">(D133+E133)</f>
        <v>48000</v>
      </c>
      <c r="G133" s="263">
        <v>16800</v>
      </c>
      <c r="H133" s="264">
        <v>84000</v>
      </c>
      <c r="I133" s="264">
        <v>100800</v>
      </c>
      <c r="J133" s="146">
        <v>64500</v>
      </c>
      <c r="K133" s="146">
        <v>64918.323309193023</v>
      </c>
      <c r="L133" s="146">
        <v>129418.32330919302</v>
      </c>
      <c r="M133" s="220">
        <f t="shared" ref="M133:M196" si="15">MIN(D133,G133,J133)</f>
        <v>14000</v>
      </c>
      <c r="N133" s="220">
        <f t="shared" ref="N133:N196" si="16">MIN(E133,H133,K133)</f>
        <v>34000</v>
      </c>
      <c r="O133" s="220">
        <f t="shared" ref="O133:O196" si="17">(M133+N133)</f>
        <v>48000</v>
      </c>
      <c r="P133" s="301">
        <f t="shared" ref="P133:P196" si="18">M133-(M133*7%)</f>
        <v>13020</v>
      </c>
      <c r="Q133" s="301">
        <f t="shared" ref="Q133:Q196" si="19">N133-(N133*7%)</f>
        <v>31620</v>
      </c>
      <c r="R133" s="300">
        <f t="shared" ref="R133:R196" si="20">Q133+P133</f>
        <v>44640</v>
      </c>
    </row>
    <row r="134" spans="1:18" x14ac:dyDescent="0.25">
      <c r="A134" s="210">
        <v>123</v>
      </c>
      <c r="B134" s="152" t="s">
        <v>216</v>
      </c>
      <c r="C134" s="153" t="s">
        <v>153</v>
      </c>
      <c r="D134" s="173">
        <v>2000</v>
      </c>
      <c r="E134" s="173">
        <v>6000</v>
      </c>
      <c r="F134" s="225">
        <f t="shared" si="14"/>
        <v>8000</v>
      </c>
      <c r="G134" s="263">
        <v>2800</v>
      </c>
      <c r="H134" s="264">
        <v>14000</v>
      </c>
      <c r="I134" s="264">
        <v>16800</v>
      </c>
      <c r="J134" s="146">
        <v>64500</v>
      </c>
      <c r="K134" s="146">
        <v>8595.6893788869857</v>
      </c>
      <c r="L134" s="146">
        <v>73095.689378886978</v>
      </c>
      <c r="M134" s="220">
        <f t="shared" si="15"/>
        <v>2000</v>
      </c>
      <c r="N134" s="220">
        <f t="shared" si="16"/>
        <v>6000</v>
      </c>
      <c r="O134" s="220">
        <f t="shared" si="17"/>
        <v>8000</v>
      </c>
      <c r="P134" s="301">
        <f t="shared" si="18"/>
        <v>1860</v>
      </c>
      <c r="Q134" s="301">
        <f t="shared" si="19"/>
        <v>5580</v>
      </c>
      <c r="R134" s="300">
        <f t="shared" si="20"/>
        <v>7440</v>
      </c>
    </row>
    <row r="135" spans="1:18" x14ac:dyDescent="0.25">
      <c r="A135" s="210">
        <v>124</v>
      </c>
      <c r="B135" s="152" t="s">
        <v>217</v>
      </c>
      <c r="C135" s="153" t="s">
        <v>153</v>
      </c>
      <c r="D135" s="173">
        <v>2000</v>
      </c>
      <c r="E135" s="173">
        <v>6000</v>
      </c>
      <c r="F135" s="225">
        <f t="shared" si="14"/>
        <v>8000</v>
      </c>
      <c r="G135" s="263">
        <v>2800</v>
      </c>
      <c r="H135" s="264">
        <v>14000</v>
      </c>
      <c r="I135" s="264">
        <v>16800</v>
      </c>
      <c r="J135" s="146">
        <v>64500</v>
      </c>
      <c r="K135" s="146">
        <v>7082.1336415733349</v>
      </c>
      <c r="L135" s="146">
        <v>71582.133641573339</v>
      </c>
      <c r="M135" s="220">
        <f t="shared" si="15"/>
        <v>2000</v>
      </c>
      <c r="N135" s="220">
        <f t="shared" si="16"/>
        <v>6000</v>
      </c>
      <c r="O135" s="220">
        <f t="shared" si="17"/>
        <v>8000</v>
      </c>
      <c r="P135" s="301">
        <f t="shared" si="18"/>
        <v>1860</v>
      </c>
      <c r="Q135" s="301">
        <f t="shared" si="19"/>
        <v>5580</v>
      </c>
      <c r="R135" s="300">
        <f t="shared" si="20"/>
        <v>7440</v>
      </c>
    </row>
    <row r="136" spans="1:18" x14ac:dyDescent="0.25">
      <c r="A136" s="210">
        <v>125</v>
      </c>
      <c r="B136" s="152" t="s">
        <v>218</v>
      </c>
      <c r="C136" s="153" t="s">
        <v>153</v>
      </c>
      <c r="D136" s="173">
        <v>1000</v>
      </c>
      <c r="E136" s="173">
        <v>4000</v>
      </c>
      <c r="F136" s="225">
        <f t="shared" si="14"/>
        <v>5000</v>
      </c>
      <c r="G136" s="263">
        <v>2000</v>
      </c>
      <c r="H136" s="264">
        <v>10000</v>
      </c>
      <c r="I136" s="264">
        <v>12000</v>
      </c>
      <c r="J136" s="146">
        <v>64500</v>
      </c>
      <c r="K136" s="146">
        <v>6113.0264940080015</v>
      </c>
      <c r="L136" s="146">
        <v>70613.026494007994</v>
      </c>
      <c r="M136" s="220">
        <f t="shared" si="15"/>
        <v>1000</v>
      </c>
      <c r="N136" s="220">
        <f t="shared" si="16"/>
        <v>4000</v>
      </c>
      <c r="O136" s="220">
        <f t="shared" si="17"/>
        <v>5000</v>
      </c>
      <c r="P136" s="301">
        <f t="shared" si="18"/>
        <v>930</v>
      </c>
      <c r="Q136" s="301">
        <f t="shared" si="19"/>
        <v>3720</v>
      </c>
      <c r="R136" s="300">
        <f t="shared" si="20"/>
        <v>4650</v>
      </c>
    </row>
    <row r="137" spans="1:18" ht="22.5" x14ac:dyDescent="0.25">
      <c r="A137" s="210">
        <v>126</v>
      </c>
      <c r="B137" s="161" t="s">
        <v>224</v>
      </c>
      <c r="C137" s="153" t="s">
        <v>153</v>
      </c>
      <c r="D137" s="173">
        <v>258000</v>
      </c>
      <c r="E137" s="173">
        <v>614000</v>
      </c>
      <c r="F137" s="225">
        <f t="shared" si="14"/>
        <v>872000</v>
      </c>
      <c r="G137" s="263">
        <v>305400</v>
      </c>
      <c r="H137" s="264">
        <v>1527000</v>
      </c>
      <c r="I137" s="264">
        <v>1832400</v>
      </c>
      <c r="J137" s="146">
        <v>474500</v>
      </c>
      <c r="K137" s="146">
        <v>558526.51560265594</v>
      </c>
      <c r="L137" s="146">
        <v>1033026.5156026559</v>
      </c>
      <c r="M137" s="220">
        <f t="shared" si="15"/>
        <v>258000</v>
      </c>
      <c r="N137" s="220">
        <f t="shared" si="16"/>
        <v>558526.51560265594</v>
      </c>
      <c r="O137" s="220">
        <f t="shared" si="17"/>
        <v>816526.51560265594</v>
      </c>
      <c r="P137" s="301">
        <f t="shared" si="18"/>
        <v>239940</v>
      </c>
      <c r="Q137" s="301">
        <f t="shared" si="19"/>
        <v>519429.65951047</v>
      </c>
      <c r="R137" s="300">
        <f t="shared" si="20"/>
        <v>759369.65951047</v>
      </c>
    </row>
    <row r="138" spans="1:18" ht="22.5" x14ac:dyDescent="0.25">
      <c r="A138" s="210">
        <v>127</v>
      </c>
      <c r="B138" s="152" t="s">
        <v>226</v>
      </c>
      <c r="C138" s="153" t="s">
        <v>153</v>
      </c>
      <c r="D138" s="173">
        <v>152000</v>
      </c>
      <c r="E138" s="173">
        <v>385000</v>
      </c>
      <c r="F138" s="225">
        <f t="shared" si="14"/>
        <v>537000</v>
      </c>
      <c r="G138" s="263">
        <v>189200</v>
      </c>
      <c r="H138" s="264">
        <v>946000</v>
      </c>
      <c r="I138" s="264">
        <v>1135200</v>
      </c>
      <c r="J138" s="146">
        <v>374500</v>
      </c>
      <c r="K138" s="146">
        <v>397587.77535185916</v>
      </c>
      <c r="L138" s="146">
        <v>772087.77535185916</v>
      </c>
      <c r="M138" s="220">
        <f t="shared" si="15"/>
        <v>152000</v>
      </c>
      <c r="N138" s="220">
        <f t="shared" si="16"/>
        <v>385000</v>
      </c>
      <c r="O138" s="220">
        <f t="shared" si="17"/>
        <v>537000</v>
      </c>
      <c r="P138" s="301">
        <f t="shared" si="18"/>
        <v>141360</v>
      </c>
      <c r="Q138" s="301">
        <f t="shared" si="19"/>
        <v>358050</v>
      </c>
      <c r="R138" s="300">
        <f t="shared" si="20"/>
        <v>499410</v>
      </c>
    </row>
    <row r="139" spans="1:18" x14ac:dyDescent="0.25">
      <c r="A139" s="210">
        <v>128</v>
      </c>
      <c r="B139" s="152" t="s">
        <v>42</v>
      </c>
      <c r="C139" s="153" t="s">
        <v>153</v>
      </c>
      <c r="D139" s="173">
        <v>50000</v>
      </c>
      <c r="E139" s="173">
        <v>127000</v>
      </c>
      <c r="F139" s="225">
        <f t="shared" si="14"/>
        <v>177000</v>
      </c>
      <c r="G139" s="263">
        <v>62400</v>
      </c>
      <c r="H139" s="264">
        <v>312000</v>
      </c>
      <c r="I139" s="264">
        <v>374400</v>
      </c>
      <c r="J139" s="146">
        <v>84500</v>
      </c>
      <c r="K139" s="146">
        <v>139141.81229944</v>
      </c>
      <c r="L139" s="146">
        <v>223641.81229944</v>
      </c>
      <c r="M139" s="220">
        <f t="shared" si="15"/>
        <v>50000</v>
      </c>
      <c r="N139" s="220">
        <f t="shared" si="16"/>
        <v>127000</v>
      </c>
      <c r="O139" s="220">
        <f t="shared" si="17"/>
        <v>177000</v>
      </c>
      <c r="P139" s="301">
        <f t="shared" si="18"/>
        <v>46500</v>
      </c>
      <c r="Q139" s="301">
        <f t="shared" si="19"/>
        <v>118110</v>
      </c>
      <c r="R139" s="300">
        <f t="shared" si="20"/>
        <v>164610</v>
      </c>
    </row>
    <row r="140" spans="1:18" x14ac:dyDescent="0.25">
      <c r="A140" s="210">
        <v>129</v>
      </c>
      <c r="B140" s="211" t="s">
        <v>95</v>
      </c>
      <c r="C140" s="153" t="s">
        <v>153</v>
      </c>
      <c r="D140" s="173">
        <v>236000</v>
      </c>
      <c r="E140" s="173">
        <v>758000</v>
      </c>
      <c r="F140" s="225">
        <f t="shared" si="14"/>
        <v>994000</v>
      </c>
      <c r="G140" s="263">
        <v>359600</v>
      </c>
      <c r="H140" s="264">
        <v>1798000</v>
      </c>
      <c r="I140" s="264">
        <v>2157600</v>
      </c>
      <c r="J140" s="146">
        <v>214500</v>
      </c>
      <c r="K140" s="146">
        <v>783873.23160492862</v>
      </c>
      <c r="L140" s="146">
        <v>998373.23160492862</v>
      </c>
      <c r="M140" s="220">
        <f t="shared" si="15"/>
        <v>214500</v>
      </c>
      <c r="N140" s="220">
        <f t="shared" si="16"/>
        <v>758000</v>
      </c>
      <c r="O140" s="220">
        <f t="shared" si="17"/>
        <v>972500</v>
      </c>
      <c r="P140" s="301">
        <f t="shared" si="18"/>
        <v>199485</v>
      </c>
      <c r="Q140" s="301">
        <f t="shared" si="19"/>
        <v>704940</v>
      </c>
      <c r="R140" s="300">
        <f t="shared" si="20"/>
        <v>904425</v>
      </c>
    </row>
    <row r="141" spans="1:18" x14ac:dyDescent="0.25">
      <c r="A141" s="210">
        <v>130</v>
      </c>
      <c r="B141" s="211" t="s">
        <v>228</v>
      </c>
      <c r="C141" s="153" t="s">
        <v>153</v>
      </c>
      <c r="D141" s="173">
        <v>1000</v>
      </c>
      <c r="E141" s="173">
        <v>2000</v>
      </c>
      <c r="F141" s="225">
        <f t="shared" si="14"/>
        <v>3000</v>
      </c>
      <c r="G141" s="263">
        <v>1000</v>
      </c>
      <c r="H141" s="264">
        <v>5000</v>
      </c>
      <c r="I141" s="264">
        <v>6000</v>
      </c>
      <c r="J141" s="146">
        <v>64500</v>
      </c>
      <c r="K141" s="146">
        <v>2010.6402786666672</v>
      </c>
      <c r="L141" s="146">
        <v>66510.640278666673</v>
      </c>
      <c r="M141" s="220">
        <f t="shared" si="15"/>
        <v>1000</v>
      </c>
      <c r="N141" s="220">
        <f t="shared" si="16"/>
        <v>2000</v>
      </c>
      <c r="O141" s="220">
        <f t="shared" si="17"/>
        <v>3000</v>
      </c>
      <c r="P141" s="301">
        <f t="shared" si="18"/>
        <v>930</v>
      </c>
      <c r="Q141" s="301">
        <f t="shared" si="19"/>
        <v>1860</v>
      </c>
      <c r="R141" s="300">
        <f t="shared" si="20"/>
        <v>2790</v>
      </c>
    </row>
    <row r="142" spans="1:18" x14ac:dyDescent="0.25">
      <c r="A142" s="210">
        <v>131</v>
      </c>
      <c r="B142" s="211" t="s">
        <v>229</v>
      </c>
      <c r="C142" s="153" t="s">
        <v>153</v>
      </c>
      <c r="D142" s="173">
        <v>38000</v>
      </c>
      <c r="E142" s="173">
        <v>97000</v>
      </c>
      <c r="F142" s="225">
        <f t="shared" si="14"/>
        <v>135000</v>
      </c>
      <c r="G142" s="263">
        <v>47800</v>
      </c>
      <c r="H142" s="264">
        <v>239000</v>
      </c>
      <c r="I142" s="264">
        <v>286800</v>
      </c>
      <c r="J142" s="146">
        <v>64500</v>
      </c>
      <c r="K142" s="146">
        <v>99925.611146666677</v>
      </c>
      <c r="L142" s="146">
        <v>164425.61114666669</v>
      </c>
      <c r="M142" s="220">
        <f t="shared" si="15"/>
        <v>38000</v>
      </c>
      <c r="N142" s="220">
        <f t="shared" si="16"/>
        <v>97000</v>
      </c>
      <c r="O142" s="220">
        <f t="shared" si="17"/>
        <v>135000</v>
      </c>
      <c r="P142" s="301">
        <f t="shared" si="18"/>
        <v>35340</v>
      </c>
      <c r="Q142" s="301">
        <f t="shared" si="19"/>
        <v>90210</v>
      </c>
      <c r="R142" s="300">
        <f t="shared" si="20"/>
        <v>125550</v>
      </c>
    </row>
    <row r="143" spans="1:18" x14ac:dyDescent="0.25">
      <c r="A143" s="210">
        <v>132</v>
      </c>
      <c r="B143" s="211" t="s">
        <v>241</v>
      </c>
      <c r="C143" s="153" t="s">
        <v>153</v>
      </c>
      <c r="D143" s="173">
        <v>64000</v>
      </c>
      <c r="E143" s="173">
        <v>146000</v>
      </c>
      <c r="F143" s="225">
        <f t="shared" si="14"/>
        <v>210000</v>
      </c>
      <c r="G143" s="263">
        <v>73000</v>
      </c>
      <c r="H143" s="264">
        <v>365000</v>
      </c>
      <c r="I143" s="264">
        <v>438000</v>
      </c>
      <c r="J143" s="146">
        <v>84500</v>
      </c>
      <c r="K143" s="146">
        <v>133000</v>
      </c>
      <c r="L143" s="146">
        <v>217500</v>
      </c>
      <c r="M143" s="220">
        <f t="shared" si="15"/>
        <v>64000</v>
      </c>
      <c r="N143" s="220">
        <f t="shared" si="16"/>
        <v>133000</v>
      </c>
      <c r="O143" s="220">
        <f t="shared" si="17"/>
        <v>197000</v>
      </c>
      <c r="P143" s="301">
        <f t="shared" si="18"/>
        <v>59520</v>
      </c>
      <c r="Q143" s="301">
        <f t="shared" si="19"/>
        <v>123690</v>
      </c>
      <c r="R143" s="300">
        <f t="shared" si="20"/>
        <v>183210</v>
      </c>
    </row>
    <row r="144" spans="1:18" x14ac:dyDescent="0.25">
      <c r="A144" s="210">
        <v>133</v>
      </c>
      <c r="B144" s="158" t="s">
        <v>85</v>
      </c>
      <c r="C144" s="153" t="s">
        <v>153</v>
      </c>
      <c r="D144" s="173">
        <v>46000</v>
      </c>
      <c r="E144" s="173">
        <v>111000</v>
      </c>
      <c r="F144" s="225">
        <f t="shared" si="14"/>
        <v>157000</v>
      </c>
      <c r="G144" s="263">
        <v>55200</v>
      </c>
      <c r="H144" s="264">
        <v>276000</v>
      </c>
      <c r="I144" s="264">
        <v>331200</v>
      </c>
      <c r="J144" s="146">
        <v>84500</v>
      </c>
      <c r="K144" s="146">
        <v>101266.81526865264</v>
      </c>
      <c r="L144" s="146">
        <v>185766.81526865263</v>
      </c>
      <c r="M144" s="220">
        <f t="shared" si="15"/>
        <v>46000</v>
      </c>
      <c r="N144" s="220">
        <f t="shared" si="16"/>
        <v>101266.81526865264</v>
      </c>
      <c r="O144" s="220">
        <f t="shared" si="17"/>
        <v>147266.81526865263</v>
      </c>
      <c r="P144" s="301">
        <f t="shared" si="18"/>
        <v>42780</v>
      </c>
      <c r="Q144" s="301">
        <f t="shared" si="19"/>
        <v>94178.138199846959</v>
      </c>
      <c r="R144" s="300">
        <f t="shared" si="20"/>
        <v>136958.13819984696</v>
      </c>
    </row>
    <row r="145" spans="1:18" x14ac:dyDescent="0.25">
      <c r="A145" s="210">
        <v>134</v>
      </c>
      <c r="B145" s="158" t="s">
        <v>232</v>
      </c>
      <c r="C145" s="153" t="s">
        <v>153</v>
      </c>
      <c r="D145" s="173">
        <v>241000</v>
      </c>
      <c r="E145" s="173">
        <v>711000</v>
      </c>
      <c r="F145" s="225">
        <f t="shared" si="14"/>
        <v>952000</v>
      </c>
      <c r="G145" s="263">
        <v>341600</v>
      </c>
      <c r="H145" s="264">
        <v>1708000</v>
      </c>
      <c r="I145" s="264">
        <v>2049600</v>
      </c>
      <c r="J145" s="146">
        <v>219500</v>
      </c>
      <c r="K145" s="146">
        <v>645989.87175666681</v>
      </c>
      <c r="L145" s="146">
        <v>865489.87175666681</v>
      </c>
      <c r="M145" s="220">
        <f t="shared" si="15"/>
        <v>219500</v>
      </c>
      <c r="N145" s="220">
        <f t="shared" si="16"/>
        <v>645989.87175666681</v>
      </c>
      <c r="O145" s="220">
        <f t="shared" si="17"/>
        <v>865489.87175666681</v>
      </c>
      <c r="P145" s="301">
        <f t="shared" si="18"/>
        <v>204135</v>
      </c>
      <c r="Q145" s="301">
        <f t="shared" si="19"/>
        <v>600770.58073370007</v>
      </c>
      <c r="R145" s="300">
        <f t="shared" si="20"/>
        <v>804905.58073370007</v>
      </c>
    </row>
    <row r="146" spans="1:18" x14ac:dyDescent="0.25">
      <c r="A146" s="210">
        <v>135</v>
      </c>
      <c r="B146" s="158" t="s">
        <v>67</v>
      </c>
      <c r="C146" s="153" t="s">
        <v>153</v>
      </c>
      <c r="D146" s="173">
        <v>93000</v>
      </c>
      <c r="E146" s="173">
        <v>532000</v>
      </c>
      <c r="F146" s="225">
        <f t="shared" si="14"/>
        <v>625000</v>
      </c>
      <c r="G146" s="263">
        <v>237800</v>
      </c>
      <c r="H146" s="264">
        <v>1189000</v>
      </c>
      <c r="I146" s="264">
        <v>1426800</v>
      </c>
      <c r="J146" s="146">
        <v>84500</v>
      </c>
      <c r="K146" s="146">
        <v>550539.00393912802</v>
      </c>
      <c r="L146" s="146">
        <v>635039.00393912802</v>
      </c>
      <c r="M146" s="220">
        <f t="shared" si="15"/>
        <v>84500</v>
      </c>
      <c r="N146" s="220">
        <f t="shared" si="16"/>
        <v>532000</v>
      </c>
      <c r="O146" s="220">
        <f t="shared" si="17"/>
        <v>616500</v>
      </c>
      <c r="P146" s="301">
        <f t="shared" si="18"/>
        <v>78585</v>
      </c>
      <c r="Q146" s="301">
        <f t="shared" si="19"/>
        <v>494760</v>
      </c>
      <c r="R146" s="300">
        <f t="shared" si="20"/>
        <v>573345</v>
      </c>
    </row>
    <row r="147" spans="1:18" x14ac:dyDescent="0.25">
      <c r="A147" s="210">
        <v>136</v>
      </c>
      <c r="B147" s="161" t="s">
        <v>237</v>
      </c>
      <c r="C147" s="153" t="s">
        <v>153</v>
      </c>
      <c r="D147" s="173">
        <v>144000</v>
      </c>
      <c r="E147" s="173">
        <v>363000</v>
      </c>
      <c r="F147" s="225">
        <f t="shared" si="14"/>
        <v>507000</v>
      </c>
      <c r="G147" s="263">
        <v>178800</v>
      </c>
      <c r="H147" s="264">
        <v>894000</v>
      </c>
      <c r="I147" s="264">
        <v>1072800</v>
      </c>
      <c r="J147" s="146">
        <v>174500</v>
      </c>
      <c r="K147" s="146">
        <v>375777.79303827626</v>
      </c>
      <c r="L147" s="146">
        <v>550277.79303827626</v>
      </c>
      <c r="M147" s="220">
        <f t="shared" si="15"/>
        <v>144000</v>
      </c>
      <c r="N147" s="220">
        <f t="shared" si="16"/>
        <v>363000</v>
      </c>
      <c r="O147" s="220">
        <f t="shared" si="17"/>
        <v>507000</v>
      </c>
      <c r="P147" s="301">
        <f t="shared" si="18"/>
        <v>133920</v>
      </c>
      <c r="Q147" s="301">
        <f t="shared" si="19"/>
        <v>337590</v>
      </c>
      <c r="R147" s="300">
        <f t="shared" si="20"/>
        <v>471510</v>
      </c>
    </row>
    <row r="148" spans="1:18" x14ac:dyDescent="0.25">
      <c r="A148" s="210">
        <v>137</v>
      </c>
      <c r="B148" s="161" t="s">
        <v>238</v>
      </c>
      <c r="C148" s="153" t="s">
        <v>153</v>
      </c>
      <c r="D148" s="173">
        <v>93000</v>
      </c>
      <c r="E148" s="173">
        <v>381000</v>
      </c>
      <c r="F148" s="225">
        <f t="shared" si="14"/>
        <v>474000</v>
      </c>
      <c r="G148" s="263">
        <v>175400</v>
      </c>
      <c r="H148" s="264">
        <v>877000</v>
      </c>
      <c r="I148" s="264">
        <v>1052400</v>
      </c>
      <c r="J148" s="146">
        <v>84500</v>
      </c>
      <c r="K148" s="146">
        <v>393411.96797220851</v>
      </c>
      <c r="L148" s="146">
        <v>477911.96797220851</v>
      </c>
      <c r="M148" s="220">
        <f t="shared" si="15"/>
        <v>84500</v>
      </c>
      <c r="N148" s="220">
        <f t="shared" si="16"/>
        <v>381000</v>
      </c>
      <c r="O148" s="220">
        <f t="shared" si="17"/>
        <v>465500</v>
      </c>
      <c r="P148" s="301">
        <f t="shared" si="18"/>
        <v>78585</v>
      </c>
      <c r="Q148" s="301">
        <f t="shared" si="19"/>
        <v>354330</v>
      </c>
      <c r="R148" s="300">
        <f t="shared" si="20"/>
        <v>432915</v>
      </c>
    </row>
    <row r="149" spans="1:18" x14ac:dyDescent="0.25">
      <c r="A149" s="210">
        <v>138</v>
      </c>
      <c r="B149" s="158" t="s">
        <v>83</v>
      </c>
      <c r="C149" s="153" t="s">
        <v>153</v>
      </c>
      <c r="D149" s="173">
        <v>169000</v>
      </c>
      <c r="E149" s="173">
        <v>426000</v>
      </c>
      <c r="F149" s="225">
        <f t="shared" si="14"/>
        <v>595000</v>
      </c>
      <c r="G149" s="263">
        <v>209800</v>
      </c>
      <c r="H149" s="264">
        <v>1049000</v>
      </c>
      <c r="I149" s="264">
        <v>1258800</v>
      </c>
      <c r="J149" s="146">
        <v>184500</v>
      </c>
      <c r="K149" s="146">
        <v>440989.48499831988</v>
      </c>
      <c r="L149" s="146">
        <v>625489.48499831988</v>
      </c>
      <c r="M149" s="220">
        <f t="shared" si="15"/>
        <v>169000</v>
      </c>
      <c r="N149" s="220">
        <f t="shared" si="16"/>
        <v>426000</v>
      </c>
      <c r="O149" s="220">
        <f t="shared" si="17"/>
        <v>595000</v>
      </c>
      <c r="P149" s="301">
        <f t="shared" si="18"/>
        <v>157170</v>
      </c>
      <c r="Q149" s="301">
        <f t="shared" si="19"/>
        <v>396180</v>
      </c>
      <c r="R149" s="300">
        <f t="shared" si="20"/>
        <v>553350</v>
      </c>
    </row>
    <row r="150" spans="1:18" x14ac:dyDescent="0.25">
      <c r="A150" s="210">
        <v>139</v>
      </c>
      <c r="B150" s="161" t="s">
        <v>235</v>
      </c>
      <c r="C150" s="153" t="s">
        <v>153</v>
      </c>
      <c r="D150" s="173">
        <v>137000</v>
      </c>
      <c r="E150" s="173">
        <v>663000</v>
      </c>
      <c r="F150" s="225">
        <f t="shared" si="14"/>
        <v>800000</v>
      </c>
      <c r="G150" s="263">
        <v>300600</v>
      </c>
      <c r="H150" s="264">
        <v>1503000</v>
      </c>
      <c r="I150" s="264">
        <v>1803600</v>
      </c>
      <c r="J150" s="146">
        <v>124500</v>
      </c>
      <c r="K150" s="146">
        <v>686007.07762650691</v>
      </c>
      <c r="L150" s="146">
        <v>810507.07762650691</v>
      </c>
      <c r="M150" s="220">
        <f t="shared" si="15"/>
        <v>124500</v>
      </c>
      <c r="N150" s="220">
        <f t="shared" si="16"/>
        <v>663000</v>
      </c>
      <c r="O150" s="220">
        <f t="shared" si="17"/>
        <v>787500</v>
      </c>
      <c r="P150" s="301">
        <f t="shared" si="18"/>
        <v>115785</v>
      </c>
      <c r="Q150" s="301">
        <f t="shared" si="19"/>
        <v>616590</v>
      </c>
      <c r="R150" s="300">
        <f t="shared" si="20"/>
        <v>732375</v>
      </c>
    </row>
    <row r="151" spans="1:18" x14ac:dyDescent="0.25">
      <c r="A151" s="210">
        <v>140</v>
      </c>
      <c r="B151" s="158" t="s">
        <v>84</v>
      </c>
      <c r="C151" s="153" t="s">
        <v>153</v>
      </c>
      <c r="D151" s="173">
        <v>247000</v>
      </c>
      <c r="E151" s="173">
        <v>755000</v>
      </c>
      <c r="F151" s="225">
        <f t="shared" si="14"/>
        <v>1002000</v>
      </c>
      <c r="G151" s="263">
        <v>361200</v>
      </c>
      <c r="H151" s="264">
        <v>1806000</v>
      </c>
      <c r="I151" s="264">
        <v>2167200</v>
      </c>
      <c r="J151" s="146">
        <v>224500</v>
      </c>
      <c r="K151" s="146">
        <v>781348.15801683208</v>
      </c>
      <c r="L151" s="146">
        <v>1005848.1580168321</v>
      </c>
      <c r="M151" s="220">
        <f t="shared" si="15"/>
        <v>224500</v>
      </c>
      <c r="N151" s="220">
        <f t="shared" si="16"/>
        <v>755000</v>
      </c>
      <c r="O151" s="220">
        <f t="shared" si="17"/>
        <v>979500</v>
      </c>
      <c r="P151" s="301">
        <f t="shared" si="18"/>
        <v>208785</v>
      </c>
      <c r="Q151" s="301">
        <f t="shared" si="19"/>
        <v>702150</v>
      </c>
      <c r="R151" s="300">
        <f t="shared" si="20"/>
        <v>910935</v>
      </c>
    </row>
    <row r="152" spans="1:18" x14ac:dyDescent="0.25">
      <c r="A152" s="210">
        <v>141</v>
      </c>
      <c r="B152" s="158" t="s">
        <v>236</v>
      </c>
      <c r="C152" s="153" t="s">
        <v>153</v>
      </c>
      <c r="D152" s="173">
        <v>65000</v>
      </c>
      <c r="E152" s="173">
        <v>165000</v>
      </c>
      <c r="F152" s="225">
        <f t="shared" si="14"/>
        <v>230000</v>
      </c>
      <c r="G152" s="263">
        <v>81000</v>
      </c>
      <c r="H152" s="264">
        <v>405000</v>
      </c>
      <c r="I152" s="264">
        <v>486000</v>
      </c>
      <c r="J152" s="146">
        <v>224500</v>
      </c>
      <c r="K152" s="146">
        <v>170173.32614376003</v>
      </c>
      <c r="L152" s="146">
        <v>394673.32614376</v>
      </c>
      <c r="M152" s="220">
        <f t="shared" si="15"/>
        <v>65000</v>
      </c>
      <c r="N152" s="220">
        <f t="shared" si="16"/>
        <v>165000</v>
      </c>
      <c r="O152" s="220">
        <f t="shared" si="17"/>
        <v>230000</v>
      </c>
      <c r="P152" s="301">
        <f t="shared" si="18"/>
        <v>60450</v>
      </c>
      <c r="Q152" s="301">
        <f t="shared" si="19"/>
        <v>153450</v>
      </c>
      <c r="R152" s="300">
        <f t="shared" si="20"/>
        <v>213900</v>
      </c>
    </row>
    <row r="153" spans="1:18" x14ac:dyDescent="0.25">
      <c r="A153" s="210">
        <v>142</v>
      </c>
      <c r="B153" s="211" t="s">
        <v>239</v>
      </c>
      <c r="C153" s="153" t="s">
        <v>153</v>
      </c>
      <c r="D153" s="173">
        <v>53000</v>
      </c>
      <c r="E153" s="173">
        <v>135000</v>
      </c>
      <c r="F153" s="225">
        <f t="shared" si="14"/>
        <v>188000</v>
      </c>
      <c r="G153" s="263">
        <v>66600</v>
      </c>
      <c r="H153" s="264">
        <v>333000</v>
      </c>
      <c r="I153" s="264">
        <v>399600</v>
      </c>
      <c r="J153" s="146">
        <v>184500</v>
      </c>
      <c r="K153" s="146">
        <v>139141.81229944</v>
      </c>
      <c r="L153" s="146">
        <v>323641.81229944003</v>
      </c>
      <c r="M153" s="220">
        <f t="shared" si="15"/>
        <v>53000</v>
      </c>
      <c r="N153" s="220">
        <f t="shared" si="16"/>
        <v>135000</v>
      </c>
      <c r="O153" s="220">
        <f t="shared" si="17"/>
        <v>188000</v>
      </c>
      <c r="P153" s="301">
        <f t="shared" si="18"/>
        <v>49290</v>
      </c>
      <c r="Q153" s="301">
        <f t="shared" si="19"/>
        <v>125550</v>
      </c>
      <c r="R153" s="300">
        <f t="shared" si="20"/>
        <v>174840</v>
      </c>
    </row>
    <row r="154" spans="1:18" x14ac:dyDescent="0.25">
      <c r="A154" s="210">
        <v>143</v>
      </c>
      <c r="B154" s="211" t="s">
        <v>338</v>
      </c>
      <c r="C154" s="153" t="s">
        <v>153</v>
      </c>
      <c r="D154" s="173">
        <v>80000</v>
      </c>
      <c r="E154" s="173">
        <v>201000</v>
      </c>
      <c r="F154" s="225">
        <f t="shared" si="14"/>
        <v>281000</v>
      </c>
      <c r="G154" s="263">
        <v>99200</v>
      </c>
      <c r="H154" s="264">
        <v>496000</v>
      </c>
      <c r="I154" s="264">
        <v>595200</v>
      </c>
      <c r="J154" s="146">
        <v>184500</v>
      </c>
      <c r="K154" s="146">
        <v>207928.3346543494</v>
      </c>
      <c r="L154" s="146">
        <v>392428.33465434937</v>
      </c>
      <c r="M154" s="220">
        <f t="shared" si="15"/>
        <v>80000</v>
      </c>
      <c r="N154" s="220">
        <f t="shared" si="16"/>
        <v>201000</v>
      </c>
      <c r="O154" s="220">
        <f t="shared" si="17"/>
        <v>281000</v>
      </c>
      <c r="P154" s="301">
        <f t="shared" si="18"/>
        <v>74400</v>
      </c>
      <c r="Q154" s="301">
        <f t="shared" si="19"/>
        <v>186930</v>
      </c>
      <c r="R154" s="300">
        <f t="shared" si="20"/>
        <v>261330</v>
      </c>
    </row>
    <row r="155" spans="1:18" x14ac:dyDescent="0.25">
      <c r="A155" s="210">
        <v>144</v>
      </c>
      <c r="B155" s="158" t="s">
        <v>68</v>
      </c>
      <c r="C155" s="153" t="s">
        <v>153</v>
      </c>
      <c r="D155" s="173">
        <v>136000</v>
      </c>
      <c r="E155" s="173">
        <v>345000</v>
      </c>
      <c r="F155" s="225">
        <f t="shared" si="14"/>
        <v>481000</v>
      </c>
      <c r="G155" s="263">
        <v>169600</v>
      </c>
      <c r="H155" s="264">
        <v>848000</v>
      </c>
      <c r="I155" s="264">
        <v>1017600</v>
      </c>
      <c r="J155" s="146">
        <v>184500</v>
      </c>
      <c r="K155" s="146">
        <v>356362.40920967999</v>
      </c>
      <c r="L155" s="146">
        <v>540862.40920968005</v>
      </c>
      <c r="M155" s="220">
        <f t="shared" si="15"/>
        <v>136000</v>
      </c>
      <c r="N155" s="220">
        <f t="shared" si="16"/>
        <v>345000</v>
      </c>
      <c r="O155" s="220">
        <f t="shared" si="17"/>
        <v>481000</v>
      </c>
      <c r="P155" s="301">
        <f t="shared" si="18"/>
        <v>126480</v>
      </c>
      <c r="Q155" s="301">
        <f t="shared" si="19"/>
        <v>320850</v>
      </c>
      <c r="R155" s="300">
        <f t="shared" si="20"/>
        <v>447330</v>
      </c>
    </row>
    <row r="156" spans="1:18" x14ac:dyDescent="0.25">
      <c r="A156" s="210">
        <v>145</v>
      </c>
      <c r="B156" s="211" t="s">
        <v>94</v>
      </c>
      <c r="C156" s="153" t="s">
        <v>153</v>
      </c>
      <c r="D156" s="173">
        <v>93000</v>
      </c>
      <c r="E156" s="173">
        <v>235000</v>
      </c>
      <c r="F156" s="225">
        <f t="shared" si="14"/>
        <v>328000</v>
      </c>
      <c r="G156" s="263">
        <v>115400</v>
      </c>
      <c r="H156" s="264">
        <v>577000</v>
      </c>
      <c r="I156" s="264">
        <v>692400</v>
      </c>
      <c r="J156" s="146">
        <v>104500</v>
      </c>
      <c r="K156" s="146">
        <v>242580.19178050669</v>
      </c>
      <c r="L156" s="146">
        <v>347080.19178050669</v>
      </c>
      <c r="M156" s="220">
        <f t="shared" si="15"/>
        <v>93000</v>
      </c>
      <c r="N156" s="220">
        <f t="shared" si="16"/>
        <v>235000</v>
      </c>
      <c r="O156" s="220">
        <f t="shared" si="17"/>
        <v>328000</v>
      </c>
      <c r="P156" s="301">
        <f t="shared" si="18"/>
        <v>86490</v>
      </c>
      <c r="Q156" s="301">
        <f t="shared" si="19"/>
        <v>218550</v>
      </c>
      <c r="R156" s="300">
        <f t="shared" si="20"/>
        <v>305040</v>
      </c>
    </row>
    <row r="157" spans="1:18" x14ac:dyDescent="0.25">
      <c r="A157" s="210">
        <v>146</v>
      </c>
      <c r="B157" s="211" t="s">
        <v>250</v>
      </c>
      <c r="C157" s="153" t="s">
        <v>153</v>
      </c>
      <c r="D157" s="173">
        <v>42000</v>
      </c>
      <c r="E157" s="173">
        <v>97000</v>
      </c>
      <c r="F157" s="225">
        <f t="shared" si="14"/>
        <v>139000</v>
      </c>
      <c r="G157" s="263">
        <v>48800</v>
      </c>
      <c r="H157" s="264">
        <v>244000</v>
      </c>
      <c r="I157" s="264">
        <v>292800</v>
      </c>
      <c r="J157" s="146">
        <v>84500</v>
      </c>
      <c r="K157" s="146">
        <v>88500</v>
      </c>
      <c r="L157" s="146">
        <v>173000</v>
      </c>
      <c r="M157" s="220">
        <f t="shared" si="15"/>
        <v>42000</v>
      </c>
      <c r="N157" s="220">
        <f t="shared" si="16"/>
        <v>88500</v>
      </c>
      <c r="O157" s="220">
        <f t="shared" si="17"/>
        <v>130500</v>
      </c>
      <c r="P157" s="301">
        <f t="shared" si="18"/>
        <v>39060</v>
      </c>
      <c r="Q157" s="301">
        <f t="shared" si="19"/>
        <v>82305</v>
      </c>
      <c r="R157" s="300">
        <f t="shared" si="20"/>
        <v>121365</v>
      </c>
    </row>
    <row r="158" spans="1:18" x14ac:dyDescent="0.25">
      <c r="A158" s="210">
        <v>147</v>
      </c>
      <c r="B158" s="158" t="s">
        <v>120</v>
      </c>
      <c r="C158" s="153" t="s">
        <v>153</v>
      </c>
      <c r="D158" s="173">
        <v>401000</v>
      </c>
      <c r="E158" s="173">
        <v>4437000</v>
      </c>
      <c r="F158" s="225">
        <f t="shared" si="14"/>
        <v>4838000</v>
      </c>
      <c r="G158" s="263">
        <v>1905600</v>
      </c>
      <c r="H158" s="264">
        <v>9528000</v>
      </c>
      <c r="I158" s="264">
        <v>11433600</v>
      </c>
      <c r="J158" s="146">
        <v>364500</v>
      </c>
      <c r="K158" s="146">
        <v>4085315.9895021338</v>
      </c>
      <c r="L158" s="146">
        <v>4449815.9895021338</v>
      </c>
      <c r="M158" s="220">
        <f t="shared" si="15"/>
        <v>364500</v>
      </c>
      <c r="N158" s="220">
        <f t="shared" si="16"/>
        <v>4085315.9895021338</v>
      </c>
      <c r="O158" s="220">
        <f t="shared" si="17"/>
        <v>4449815.9895021338</v>
      </c>
      <c r="P158" s="301">
        <f t="shared" si="18"/>
        <v>338985</v>
      </c>
      <c r="Q158" s="301">
        <f t="shared" si="19"/>
        <v>3799343.8702369845</v>
      </c>
      <c r="R158" s="300">
        <f t="shared" si="20"/>
        <v>4138328.8702369845</v>
      </c>
    </row>
    <row r="159" spans="1:18" x14ac:dyDescent="0.25">
      <c r="A159" s="210">
        <v>148</v>
      </c>
      <c r="B159" s="166" t="s">
        <v>230</v>
      </c>
      <c r="C159" s="153" t="s">
        <v>153</v>
      </c>
      <c r="D159" s="173">
        <v>82000</v>
      </c>
      <c r="E159" s="173">
        <v>572000</v>
      </c>
      <c r="F159" s="225">
        <f t="shared" si="14"/>
        <v>654000</v>
      </c>
      <c r="G159" s="263">
        <v>251600</v>
      </c>
      <c r="H159" s="264">
        <v>1258000</v>
      </c>
      <c r="I159" s="264">
        <v>1509600</v>
      </c>
      <c r="J159" s="146">
        <v>74500</v>
      </c>
      <c r="K159" s="146">
        <v>519704.66573973332</v>
      </c>
      <c r="L159" s="146">
        <v>594204.66573973326</v>
      </c>
      <c r="M159" s="220">
        <f t="shared" si="15"/>
        <v>74500</v>
      </c>
      <c r="N159" s="220">
        <f t="shared" si="16"/>
        <v>519704.66573973332</v>
      </c>
      <c r="O159" s="220">
        <f t="shared" si="17"/>
        <v>594204.66573973326</v>
      </c>
      <c r="P159" s="301">
        <f t="shared" si="18"/>
        <v>69285</v>
      </c>
      <c r="Q159" s="301">
        <f t="shared" si="19"/>
        <v>483325.33913795196</v>
      </c>
      <c r="R159" s="300">
        <f t="shared" si="20"/>
        <v>552610.33913795196</v>
      </c>
    </row>
    <row r="160" spans="1:18" x14ac:dyDescent="0.25">
      <c r="A160" s="210">
        <v>149</v>
      </c>
      <c r="B160" s="166" t="s">
        <v>231</v>
      </c>
      <c r="C160" s="153" t="s">
        <v>153</v>
      </c>
      <c r="D160" s="173">
        <v>8000</v>
      </c>
      <c r="E160" s="173">
        <v>19000</v>
      </c>
      <c r="F160" s="225">
        <f t="shared" si="14"/>
        <v>27000</v>
      </c>
      <c r="G160" s="263">
        <v>9800</v>
      </c>
      <c r="H160" s="264">
        <v>49000</v>
      </c>
      <c r="I160" s="264">
        <v>58800</v>
      </c>
      <c r="J160" s="146">
        <v>34500</v>
      </c>
      <c r="K160" s="146">
        <v>17601.716409186673</v>
      </c>
      <c r="L160" s="146">
        <v>52101.716409186673</v>
      </c>
      <c r="M160" s="220">
        <f t="shared" si="15"/>
        <v>8000</v>
      </c>
      <c r="N160" s="220">
        <f t="shared" si="16"/>
        <v>17601.716409186673</v>
      </c>
      <c r="O160" s="220">
        <f t="shared" si="17"/>
        <v>25601.716409186673</v>
      </c>
      <c r="P160" s="301">
        <f t="shared" si="18"/>
        <v>7440</v>
      </c>
      <c r="Q160" s="301">
        <f t="shared" si="19"/>
        <v>16369.596260543605</v>
      </c>
      <c r="R160" s="300">
        <f t="shared" si="20"/>
        <v>23809.596260543607</v>
      </c>
    </row>
    <row r="161" spans="1:18" x14ac:dyDescent="0.25">
      <c r="A161" s="210">
        <v>150</v>
      </c>
      <c r="B161" s="152" t="s">
        <v>339</v>
      </c>
      <c r="C161" s="153" t="s">
        <v>153</v>
      </c>
      <c r="D161" s="173">
        <v>23000</v>
      </c>
      <c r="E161" s="173">
        <v>58000</v>
      </c>
      <c r="F161" s="225">
        <f t="shared" si="14"/>
        <v>81000</v>
      </c>
      <c r="G161" s="263">
        <v>28800</v>
      </c>
      <c r="H161" s="264">
        <v>144000</v>
      </c>
      <c r="I161" s="264">
        <v>172800</v>
      </c>
      <c r="J161" s="146">
        <v>134500</v>
      </c>
      <c r="K161" s="146">
        <v>59494.260099018662</v>
      </c>
      <c r="L161" s="146">
        <v>193994.26009901866</v>
      </c>
      <c r="M161" s="220">
        <f t="shared" si="15"/>
        <v>23000</v>
      </c>
      <c r="N161" s="220">
        <f t="shared" si="16"/>
        <v>58000</v>
      </c>
      <c r="O161" s="220">
        <f t="shared" si="17"/>
        <v>81000</v>
      </c>
      <c r="P161" s="301">
        <f t="shared" si="18"/>
        <v>21390</v>
      </c>
      <c r="Q161" s="301">
        <f t="shared" si="19"/>
        <v>53940</v>
      </c>
      <c r="R161" s="300">
        <f t="shared" si="20"/>
        <v>75330</v>
      </c>
    </row>
    <row r="162" spans="1:18" x14ac:dyDescent="0.25">
      <c r="A162" s="210">
        <v>151</v>
      </c>
      <c r="B162" s="152" t="s">
        <v>340</v>
      </c>
      <c r="C162" s="153" t="s">
        <v>153</v>
      </c>
      <c r="D162" s="173">
        <v>60000</v>
      </c>
      <c r="E162" s="173">
        <v>153000</v>
      </c>
      <c r="F162" s="225">
        <f t="shared" si="14"/>
        <v>213000</v>
      </c>
      <c r="G162" s="263">
        <v>75200</v>
      </c>
      <c r="H162" s="264">
        <v>376000</v>
      </c>
      <c r="I162" s="264">
        <v>451200</v>
      </c>
      <c r="J162" s="146">
        <v>104500</v>
      </c>
      <c r="K162" s="146">
        <v>317054.79062307981</v>
      </c>
      <c r="L162" s="146">
        <v>421554.79062307981</v>
      </c>
      <c r="M162" s="220">
        <f t="shared" si="15"/>
        <v>60000</v>
      </c>
      <c r="N162" s="220">
        <f t="shared" si="16"/>
        <v>153000</v>
      </c>
      <c r="O162" s="220">
        <f t="shared" si="17"/>
        <v>213000</v>
      </c>
      <c r="P162" s="301">
        <f t="shared" si="18"/>
        <v>55800</v>
      </c>
      <c r="Q162" s="301">
        <f t="shared" si="19"/>
        <v>142290</v>
      </c>
      <c r="R162" s="300">
        <f t="shared" si="20"/>
        <v>198090</v>
      </c>
    </row>
    <row r="163" spans="1:18" x14ac:dyDescent="0.25">
      <c r="A163" s="210">
        <v>152</v>
      </c>
      <c r="B163" s="152" t="s">
        <v>341</v>
      </c>
      <c r="C163" s="153" t="s">
        <v>153</v>
      </c>
      <c r="D163" s="173">
        <v>148000</v>
      </c>
      <c r="E163" s="173">
        <v>422000</v>
      </c>
      <c r="F163" s="225">
        <f t="shared" si="14"/>
        <v>570000</v>
      </c>
      <c r="G163" s="263">
        <v>203600</v>
      </c>
      <c r="H163" s="264">
        <v>1018000</v>
      </c>
      <c r="I163" s="264">
        <v>1221600</v>
      </c>
      <c r="J163" s="146">
        <v>134500</v>
      </c>
      <c r="K163" s="146">
        <v>436322.34531613428</v>
      </c>
      <c r="L163" s="146">
        <v>570822.34531613428</v>
      </c>
      <c r="M163" s="220">
        <f t="shared" si="15"/>
        <v>134500</v>
      </c>
      <c r="N163" s="220">
        <f t="shared" si="16"/>
        <v>422000</v>
      </c>
      <c r="O163" s="220">
        <f t="shared" si="17"/>
        <v>556500</v>
      </c>
      <c r="P163" s="301">
        <f t="shared" si="18"/>
        <v>125085</v>
      </c>
      <c r="Q163" s="301">
        <f t="shared" si="19"/>
        <v>392460</v>
      </c>
      <c r="R163" s="300">
        <f t="shared" si="20"/>
        <v>517545</v>
      </c>
    </row>
    <row r="164" spans="1:18" ht="22.5" x14ac:dyDescent="0.25">
      <c r="A164" s="210"/>
      <c r="B164" s="163" t="s">
        <v>44</v>
      </c>
      <c r="C164" s="153" t="s">
        <v>153</v>
      </c>
      <c r="D164" s="173">
        <v>0</v>
      </c>
      <c r="E164" s="173">
        <v>0</v>
      </c>
      <c r="F164" s="225">
        <f t="shared" si="14"/>
        <v>0</v>
      </c>
      <c r="G164" s="263">
        <v>0</v>
      </c>
      <c r="H164" s="264">
        <v>0</v>
      </c>
      <c r="I164" s="264">
        <v>0</v>
      </c>
      <c r="J164" s="146"/>
      <c r="K164" s="146"/>
      <c r="L164" s="146">
        <v>0</v>
      </c>
      <c r="M164" s="220">
        <f t="shared" si="15"/>
        <v>0</v>
      </c>
      <c r="N164" s="220">
        <f t="shared" si="16"/>
        <v>0</v>
      </c>
      <c r="O164" s="220">
        <f t="shared" si="17"/>
        <v>0</v>
      </c>
      <c r="P164" s="301">
        <f t="shared" si="18"/>
        <v>0</v>
      </c>
      <c r="Q164" s="301">
        <f t="shared" si="19"/>
        <v>0</v>
      </c>
      <c r="R164" s="300">
        <f t="shared" si="20"/>
        <v>0</v>
      </c>
    </row>
    <row r="165" spans="1:18" x14ac:dyDescent="0.25">
      <c r="A165" s="210">
        <v>153</v>
      </c>
      <c r="B165" s="158" t="s">
        <v>86</v>
      </c>
      <c r="C165" s="153" t="s">
        <v>153</v>
      </c>
      <c r="D165" s="173">
        <v>22000</v>
      </c>
      <c r="E165" s="173">
        <v>51000</v>
      </c>
      <c r="F165" s="225">
        <f t="shared" si="14"/>
        <v>73000</v>
      </c>
      <c r="G165" s="263">
        <v>25400</v>
      </c>
      <c r="H165" s="264">
        <v>127000</v>
      </c>
      <c r="I165" s="264">
        <v>152400</v>
      </c>
      <c r="J165" s="146">
        <v>164500</v>
      </c>
      <c r="K165" s="146">
        <v>46047.270766480004</v>
      </c>
      <c r="L165" s="146">
        <v>210547.27076648001</v>
      </c>
      <c r="M165" s="220">
        <f t="shared" si="15"/>
        <v>22000</v>
      </c>
      <c r="N165" s="220">
        <f t="shared" si="16"/>
        <v>46047.270766480004</v>
      </c>
      <c r="O165" s="220">
        <f t="shared" si="17"/>
        <v>68047.270766480011</v>
      </c>
      <c r="P165" s="301">
        <f t="shared" si="18"/>
        <v>20460</v>
      </c>
      <c r="Q165" s="301">
        <f t="shared" si="19"/>
        <v>42823.961812826405</v>
      </c>
      <c r="R165" s="300">
        <f t="shared" si="20"/>
        <v>63283.961812826405</v>
      </c>
    </row>
    <row r="166" spans="1:18" x14ac:dyDescent="0.25">
      <c r="A166" s="210">
        <v>154</v>
      </c>
      <c r="B166" s="166" t="s">
        <v>45</v>
      </c>
      <c r="C166" s="153" t="s">
        <v>153</v>
      </c>
      <c r="D166" s="173">
        <v>212000</v>
      </c>
      <c r="E166" s="173">
        <v>537000</v>
      </c>
      <c r="F166" s="225">
        <f t="shared" si="14"/>
        <v>749000</v>
      </c>
      <c r="G166" s="263">
        <v>264400</v>
      </c>
      <c r="H166" s="264">
        <v>1322000</v>
      </c>
      <c r="I166" s="264">
        <v>1586400</v>
      </c>
      <c r="J166" s="146">
        <v>224500</v>
      </c>
      <c r="K166" s="146">
        <v>555543.35273842211</v>
      </c>
      <c r="L166" s="146">
        <v>780043.35273842211</v>
      </c>
      <c r="M166" s="220">
        <f t="shared" si="15"/>
        <v>212000</v>
      </c>
      <c r="N166" s="220">
        <f t="shared" si="16"/>
        <v>537000</v>
      </c>
      <c r="O166" s="220">
        <f t="shared" si="17"/>
        <v>749000</v>
      </c>
      <c r="P166" s="301">
        <f t="shared" si="18"/>
        <v>197160</v>
      </c>
      <c r="Q166" s="301">
        <f t="shared" si="19"/>
        <v>499410</v>
      </c>
      <c r="R166" s="300">
        <f t="shared" si="20"/>
        <v>696570</v>
      </c>
    </row>
    <row r="167" spans="1:18" x14ac:dyDescent="0.25">
      <c r="A167" s="210">
        <v>155</v>
      </c>
      <c r="B167" s="164" t="s">
        <v>243</v>
      </c>
      <c r="C167" s="153" t="s">
        <v>153</v>
      </c>
      <c r="D167" s="173">
        <v>43000</v>
      </c>
      <c r="E167" s="173">
        <v>108000</v>
      </c>
      <c r="F167" s="225">
        <f t="shared" si="14"/>
        <v>151000</v>
      </c>
      <c r="G167" s="263">
        <v>53200</v>
      </c>
      <c r="H167" s="264">
        <v>266000</v>
      </c>
      <c r="I167" s="264">
        <v>319200</v>
      </c>
      <c r="J167" s="146">
        <v>297500</v>
      </c>
      <c r="K167" s="146">
        <v>388142.81692144298</v>
      </c>
      <c r="L167" s="146">
        <v>685642.81692144298</v>
      </c>
      <c r="M167" s="220">
        <f t="shared" si="15"/>
        <v>43000</v>
      </c>
      <c r="N167" s="220">
        <f t="shared" si="16"/>
        <v>108000</v>
      </c>
      <c r="O167" s="220">
        <f t="shared" si="17"/>
        <v>151000</v>
      </c>
      <c r="P167" s="301">
        <f t="shared" si="18"/>
        <v>39990</v>
      </c>
      <c r="Q167" s="301">
        <f t="shared" si="19"/>
        <v>100440</v>
      </c>
      <c r="R167" s="300">
        <f t="shared" si="20"/>
        <v>140430</v>
      </c>
    </row>
    <row r="168" spans="1:18" x14ac:dyDescent="0.25">
      <c r="A168" s="210">
        <v>156</v>
      </c>
      <c r="B168" s="166" t="s">
        <v>46</v>
      </c>
      <c r="C168" s="153" t="s">
        <v>153</v>
      </c>
      <c r="D168" s="173">
        <v>30000</v>
      </c>
      <c r="E168" s="173">
        <v>75000</v>
      </c>
      <c r="F168" s="225">
        <f t="shared" si="14"/>
        <v>105000</v>
      </c>
      <c r="G168" s="263">
        <v>36800</v>
      </c>
      <c r="H168" s="264">
        <v>184000</v>
      </c>
      <c r="I168" s="264">
        <v>220800</v>
      </c>
      <c r="J168" s="146">
        <v>199500</v>
      </c>
      <c r="K168" s="146">
        <v>77078.784610800009</v>
      </c>
      <c r="L168" s="146">
        <v>276578.78461079998</v>
      </c>
      <c r="M168" s="220">
        <f t="shared" si="15"/>
        <v>30000</v>
      </c>
      <c r="N168" s="220">
        <f t="shared" si="16"/>
        <v>75000</v>
      </c>
      <c r="O168" s="220">
        <f t="shared" si="17"/>
        <v>105000</v>
      </c>
      <c r="P168" s="301">
        <f t="shared" si="18"/>
        <v>27900</v>
      </c>
      <c r="Q168" s="301">
        <f t="shared" si="19"/>
        <v>69750</v>
      </c>
      <c r="R168" s="300">
        <f t="shared" si="20"/>
        <v>97650</v>
      </c>
    </row>
    <row r="169" spans="1:18" x14ac:dyDescent="0.25">
      <c r="A169" s="210">
        <v>157</v>
      </c>
      <c r="B169" s="158" t="s">
        <v>87</v>
      </c>
      <c r="C169" s="153" t="s">
        <v>153</v>
      </c>
      <c r="D169" s="173">
        <v>38000</v>
      </c>
      <c r="E169" s="173">
        <v>95000</v>
      </c>
      <c r="F169" s="225">
        <f t="shared" si="14"/>
        <v>133000</v>
      </c>
      <c r="G169" s="263">
        <v>47000</v>
      </c>
      <c r="H169" s="264">
        <v>235000</v>
      </c>
      <c r="I169" s="264">
        <v>282000</v>
      </c>
      <c r="J169" s="146">
        <v>124500</v>
      </c>
      <c r="K169" s="146">
        <v>97766.460507013355</v>
      </c>
      <c r="L169" s="146">
        <v>222266.46050701337</v>
      </c>
      <c r="M169" s="220">
        <f t="shared" si="15"/>
        <v>38000</v>
      </c>
      <c r="N169" s="220">
        <f t="shared" si="16"/>
        <v>95000</v>
      </c>
      <c r="O169" s="220">
        <f t="shared" si="17"/>
        <v>133000</v>
      </c>
      <c r="P169" s="301">
        <f t="shared" si="18"/>
        <v>35340</v>
      </c>
      <c r="Q169" s="301">
        <f t="shared" si="19"/>
        <v>88350</v>
      </c>
      <c r="R169" s="300">
        <f t="shared" si="20"/>
        <v>123690</v>
      </c>
    </row>
    <row r="170" spans="1:18" x14ac:dyDescent="0.25">
      <c r="A170" s="210">
        <v>158</v>
      </c>
      <c r="B170" s="152" t="s">
        <v>129</v>
      </c>
      <c r="C170" s="153" t="s">
        <v>153</v>
      </c>
      <c r="D170" s="173">
        <v>39000</v>
      </c>
      <c r="E170" s="173">
        <v>98000</v>
      </c>
      <c r="F170" s="225">
        <f t="shared" si="14"/>
        <v>137000</v>
      </c>
      <c r="G170" s="263">
        <v>48400</v>
      </c>
      <c r="H170" s="264">
        <v>242000</v>
      </c>
      <c r="I170" s="264">
        <v>290400</v>
      </c>
      <c r="J170" s="146">
        <v>219500</v>
      </c>
      <c r="K170" s="146">
        <v>100929.66821457206</v>
      </c>
      <c r="L170" s="146">
        <v>320429.66821457207</v>
      </c>
      <c r="M170" s="220">
        <f t="shared" si="15"/>
        <v>39000</v>
      </c>
      <c r="N170" s="220">
        <f t="shared" si="16"/>
        <v>98000</v>
      </c>
      <c r="O170" s="220">
        <f t="shared" si="17"/>
        <v>137000</v>
      </c>
      <c r="P170" s="301">
        <f t="shared" si="18"/>
        <v>36270</v>
      </c>
      <c r="Q170" s="301">
        <f t="shared" si="19"/>
        <v>91140</v>
      </c>
      <c r="R170" s="300">
        <f t="shared" si="20"/>
        <v>127410</v>
      </c>
    </row>
    <row r="171" spans="1:18" ht="22.5" x14ac:dyDescent="0.25">
      <c r="A171" s="210"/>
      <c r="B171" s="163" t="s">
        <v>59</v>
      </c>
      <c r="C171" s="153" t="s">
        <v>153</v>
      </c>
      <c r="D171" s="173">
        <v>0</v>
      </c>
      <c r="E171" s="173">
        <v>0</v>
      </c>
      <c r="F171" s="225">
        <f t="shared" si="14"/>
        <v>0</v>
      </c>
      <c r="G171" s="263">
        <v>0</v>
      </c>
      <c r="H171" s="264">
        <v>0</v>
      </c>
      <c r="I171" s="264">
        <v>0</v>
      </c>
      <c r="J171" s="146">
        <v>-500</v>
      </c>
      <c r="K171" s="146">
        <v>-500</v>
      </c>
      <c r="L171" s="146">
        <v>-1000</v>
      </c>
      <c r="M171" s="220">
        <f t="shared" si="15"/>
        <v>-500</v>
      </c>
      <c r="N171" s="220">
        <f t="shared" si="16"/>
        <v>-500</v>
      </c>
      <c r="O171" s="220">
        <f t="shared" si="17"/>
        <v>-1000</v>
      </c>
      <c r="P171" s="301">
        <f t="shared" si="18"/>
        <v>-465</v>
      </c>
      <c r="Q171" s="301">
        <f t="shared" si="19"/>
        <v>-465</v>
      </c>
      <c r="R171" s="300">
        <f t="shared" si="20"/>
        <v>-930</v>
      </c>
    </row>
    <row r="172" spans="1:18" x14ac:dyDescent="0.25">
      <c r="A172" s="210">
        <v>159</v>
      </c>
      <c r="B172" s="166" t="s">
        <v>60</v>
      </c>
      <c r="C172" s="153" t="s">
        <v>153</v>
      </c>
      <c r="D172" s="173">
        <v>52000</v>
      </c>
      <c r="E172" s="173">
        <v>128000</v>
      </c>
      <c r="F172" s="225">
        <f t="shared" si="14"/>
        <v>180000</v>
      </c>
      <c r="G172" s="263">
        <v>63000</v>
      </c>
      <c r="H172" s="264">
        <v>315000</v>
      </c>
      <c r="I172" s="264">
        <v>378000</v>
      </c>
      <c r="J172" s="146">
        <v>64500</v>
      </c>
      <c r="K172" s="146">
        <v>115993.70893013335</v>
      </c>
      <c r="L172" s="146">
        <v>180493.70893013335</v>
      </c>
      <c r="M172" s="220">
        <f t="shared" si="15"/>
        <v>52000</v>
      </c>
      <c r="N172" s="220">
        <f t="shared" si="16"/>
        <v>115993.70893013335</v>
      </c>
      <c r="O172" s="220">
        <f t="shared" si="17"/>
        <v>167993.70893013335</v>
      </c>
      <c r="P172" s="301">
        <f t="shared" si="18"/>
        <v>48360</v>
      </c>
      <c r="Q172" s="301">
        <f t="shared" si="19"/>
        <v>107874.14930502401</v>
      </c>
      <c r="R172" s="300">
        <f t="shared" si="20"/>
        <v>156234.14930502401</v>
      </c>
    </row>
    <row r="173" spans="1:18" x14ac:dyDescent="0.25">
      <c r="A173" s="210">
        <v>160</v>
      </c>
      <c r="B173" s="166" t="s">
        <v>131</v>
      </c>
      <c r="C173" s="153" t="s">
        <v>153</v>
      </c>
      <c r="D173" s="173">
        <v>13000</v>
      </c>
      <c r="E173" s="173">
        <v>31000</v>
      </c>
      <c r="F173" s="225">
        <f t="shared" si="14"/>
        <v>44000</v>
      </c>
      <c r="G173" s="263">
        <v>15400</v>
      </c>
      <c r="H173" s="264">
        <v>77000</v>
      </c>
      <c r="I173" s="264">
        <v>92400</v>
      </c>
      <c r="J173" s="146">
        <v>64500</v>
      </c>
      <c r="K173" s="146">
        <v>28111.055764463043</v>
      </c>
      <c r="L173" s="146">
        <v>92611.055764463046</v>
      </c>
      <c r="M173" s="220">
        <f t="shared" si="15"/>
        <v>13000</v>
      </c>
      <c r="N173" s="220">
        <f t="shared" si="16"/>
        <v>28111.055764463043</v>
      </c>
      <c r="O173" s="220">
        <f t="shared" si="17"/>
        <v>41111.055764463046</v>
      </c>
      <c r="P173" s="301">
        <f t="shared" si="18"/>
        <v>12090</v>
      </c>
      <c r="Q173" s="301">
        <f t="shared" si="19"/>
        <v>26143.281860950628</v>
      </c>
      <c r="R173" s="300">
        <f t="shared" si="20"/>
        <v>38233.281860950628</v>
      </c>
    </row>
    <row r="174" spans="1:18" x14ac:dyDescent="0.25">
      <c r="A174" s="210">
        <v>161</v>
      </c>
      <c r="B174" s="166" t="s">
        <v>244</v>
      </c>
      <c r="C174" s="153" t="s">
        <v>153</v>
      </c>
      <c r="D174" s="173">
        <v>36000</v>
      </c>
      <c r="E174" s="173">
        <v>59000</v>
      </c>
      <c r="F174" s="225">
        <f t="shared" si="14"/>
        <v>95000</v>
      </c>
      <c r="G174" s="263">
        <v>31800</v>
      </c>
      <c r="H174" s="264">
        <v>159000</v>
      </c>
      <c r="I174" s="264">
        <v>190800</v>
      </c>
      <c r="J174" s="146">
        <v>64500</v>
      </c>
      <c r="K174" s="146">
        <v>77211.185736535757</v>
      </c>
      <c r="L174" s="146">
        <v>141711.18573653576</v>
      </c>
      <c r="M174" s="220">
        <f t="shared" si="15"/>
        <v>31800</v>
      </c>
      <c r="N174" s="220">
        <f t="shared" si="16"/>
        <v>59000</v>
      </c>
      <c r="O174" s="220">
        <f t="shared" si="17"/>
        <v>90800</v>
      </c>
      <c r="P174" s="301">
        <f t="shared" si="18"/>
        <v>29574</v>
      </c>
      <c r="Q174" s="301">
        <f t="shared" si="19"/>
        <v>54870</v>
      </c>
      <c r="R174" s="300">
        <f t="shared" si="20"/>
        <v>84444</v>
      </c>
    </row>
    <row r="175" spans="1:18" x14ac:dyDescent="0.25">
      <c r="A175" s="210">
        <v>162</v>
      </c>
      <c r="B175" s="166" t="s">
        <v>61</v>
      </c>
      <c r="C175" s="153" t="s">
        <v>153</v>
      </c>
      <c r="D175" s="173">
        <v>36000</v>
      </c>
      <c r="E175" s="173">
        <v>59000</v>
      </c>
      <c r="F175" s="225">
        <f t="shared" si="14"/>
        <v>95000</v>
      </c>
      <c r="G175" s="263">
        <v>31800</v>
      </c>
      <c r="H175" s="264">
        <v>159000</v>
      </c>
      <c r="I175" s="264">
        <v>190800</v>
      </c>
      <c r="J175" s="146">
        <v>64500</v>
      </c>
      <c r="K175" s="146">
        <v>78893.093786897909</v>
      </c>
      <c r="L175" s="146">
        <v>143393.09378689789</v>
      </c>
      <c r="M175" s="220">
        <f t="shared" si="15"/>
        <v>31800</v>
      </c>
      <c r="N175" s="220">
        <f t="shared" si="16"/>
        <v>59000</v>
      </c>
      <c r="O175" s="220">
        <f t="shared" si="17"/>
        <v>90800</v>
      </c>
      <c r="P175" s="301">
        <f t="shared" si="18"/>
        <v>29574</v>
      </c>
      <c r="Q175" s="301">
        <f t="shared" si="19"/>
        <v>54870</v>
      </c>
      <c r="R175" s="300">
        <f t="shared" si="20"/>
        <v>84444</v>
      </c>
    </row>
    <row r="176" spans="1:18" x14ac:dyDescent="0.25">
      <c r="A176" s="210">
        <v>163</v>
      </c>
      <c r="B176" s="166" t="s">
        <v>118</v>
      </c>
      <c r="C176" s="153" t="s">
        <v>153</v>
      </c>
      <c r="D176" s="173">
        <v>60000</v>
      </c>
      <c r="E176" s="173">
        <v>153000</v>
      </c>
      <c r="F176" s="225">
        <f t="shared" si="14"/>
        <v>213000</v>
      </c>
      <c r="G176" s="263">
        <v>75200</v>
      </c>
      <c r="H176" s="264">
        <v>376000</v>
      </c>
      <c r="I176" s="264">
        <v>451200</v>
      </c>
      <c r="J176" s="146">
        <v>64500</v>
      </c>
      <c r="K176" s="146">
        <v>143420.02367477689</v>
      </c>
      <c r="L176" s="146">
        <v>207920.02367477689</v>
      </c>
      <c r="M176" s="220">
        <f t="shared" si="15"/>
        <v>60000</v>
      </c>
      <c r="N176" s="220">
        <f t="shared" si="16"/>
        <v>143420.02367477689</v>
      </c>
      <c r="O176" s="220">
        <f t="shared" si="17"/>
        <v>203420.02367477689</v>
      </c>
      <c r="P176" s="301">
        <f t="shared" si="18"/>
        <v>55800</v>
      </c>
      <c r="Q176" s="301">
        <f t="shared" si="19"/>
        <v>133380.62201754251</v>
      </c>
      <c r="R176" s="300">
        <f t="shared" si="20"/>
        <v>189180.62201754251</v>
      </c>
    </row>
    <row r="177" spans="1:18" x14ac:dyDescent="0.25">
      <c r="A177" s="210">
        <v>164</v>
      </c>
      <c r="B177" s="166" t="s">
        <v>247</v>
      </c>
      <c r="C177" s="153" t="s">
        <v>153</v>
      </c>
      <c r="D177" s="173">
        <v>6000</v>
      </c>
      <c r="E177" s="173">
        <v>14000</v>
      </c>
      <c r="F177" s="225">
        <f t="shared" si="14"/>
        <v>20000</v>
      </c>
      <c r="G177" s="263">
        <v>7400</v>
      </c>
      <c r="H177" s="264">
        <v>37000</v>
      </c>
      <c r="I177" s="264">
        <v>44400</v>
      </c>
      <c r="J177" s="146">
        <v>64500</v>
      </c>
      <c r="K177" s="146">
        <v>12850</v>
      </c>
      <c r="L177" s="146">
        <v>77350</v>
      </c>
      <c r="M177" s="220">
        <f t="shared" si="15"/>
        <v>6000</v>
      </c>
      <c r="N177" s="220">
        <f t="shared" si="16"/>
        <v>12850</v>
      </c>
      <c r="O177" s="220">
        <f t="shared" si="17"/>
        <v>18850</v>
      </c>
      <c r="P177" s="301">
        <f t="shared" si="18"/>
        <v>5580</v>
      </c>
      <c r="Q177" s="301">
        <f t="shared" si="19"/>
        <v>11950.5</v>
      </c>
      <c r="R177" s="300">
        <f t="shared" si="20"/>
        <v>17530.5</v>
      </c>
    </row>
    <row r="178" spans="1:18" x14ac:dyDescent="0.25">
      <c r="A178" s="210">
        <v>165</v>
      </c>
      <c r="B178" s="166" t="s">
        <v>248</v>
      </c>
      <c r="C178" s="153" t="s">
        <v>153</v>
      </c>
      <c r="D178" s="173">
        <v>13000</v>
      </c>
      <c r="E178" s="173">
        <v>28000</v>
      </c>
      <c r="F178" s="225">
        <f t="shared" si="14"/>
        <v>41000</v>
      </c>
      <c r="G178" s="263">
        <v>14200</v>
      </c>
      <c r="H178" s="264">
        <v>71000</v>
      </c>
      <c r="I178" s="264">
        <v>85200</v>
      </c>
      <c r="J178" s="146">
        <v>64500</v>
      </c>
      <c r="K178" s="146">
        <v>25750.362835213498</v>
      </c>
      <c r="L178" s="146">
        <v>90250.362835213498</v>
      </c>
      <c r="M178" s="220">
        <f t="shared" si="15"/>
        <v>13000</v>
      </c>
      <c r="N178" s="220">
        <f t="shared" si="16"/>
        <v>25750.362835213498</v>
      </c>
      <c r="O178" s="220">
        <f t="shared" si="17"/>
        <v>38750.362835213498</v>
      </c>
      <c r="P178" s="301">
        <f t="shared" si="18"/>
        <v>12090</v>
      </c>
      <c r="Q178" s="301">
        <f t="shared" si="19"/>
        <v>23947.837436748552</v>
      </c>
      <c r="R178" s="300">
        <f t="shared" si="20"/>
        <v>36037.837436748552</v>
      </c>
    </row>
    <row r="179" spans="1:18" x14ac:dyDescent="0.25">
      <c r="A179" s="210">
        <v>166</v>
      </c>
      <c r="B179" s="166" t="s">
        <v>249</v>
      </c>
      <c r="C179" s="153" t="s">
        <v>153</v>
      </c>
      <c r="D179" s="173">
        <v>10000</v>
      </c>
      <c r="E179" s="173">
        <v>26000</v>
      </c>
      <c r="F179" s="225">
        <f t="shared" si="14"/>
        <v>36000</v>
      </c>
      <c r="G179" s="263">
        <v>12600</v>
      </c>
      <c r="H179" s="264">
        <v>63000</v>
      </c>
      <c r="I179" s="264">
        <v>75600</v>
      </c>
      <c r="J179" s="146">
        <v>64500</v>
      </c>
      <c r="K179" s="146">
        <v>23371.611791096668</v>
      </c>
      <c r="L179" s="146">
        <v>87871.611791096671</v>
      </c>
      <c r="M179" s="220">
        <f t="shared" si="15"/>
        <v>10000</v>
      </c>
      <c r="N179" s="220">
        <f t="shared" si="16"/>
        <v>23371.611791096668</v>
      </c>
      <c r="O179" s="220">
        <f t="shared" si="17"/>
        <v>33371.611791096671</v>
      </c>
      <c r="P179" s="301">
        <f t="shared" si="18"/>
        <v>9300</v>
      </c>
      <c r="Q179" s="301">
        <f t="shared" si="19"/>
        <v>21735.598965719902</v>
      </c>
      <c r="R179" s="300">
        <f t="shared" si="20"/>
        <v>31035.598965719902</v>
      </c>
    </row>
    <row r="180" spans="1:18" ht="22.5" x14ac:dyDescent="0.25">
      <c r="A180" s="210"/>
      <c r="B180" s="165" t="s">
        <v>47</v>
      </c>
      <c r="C180" s="153" t="s">
        <v>153</v>
      </c>
      <c r="D180" s="173">
        <v>0</v>
      </c>
      <c r="E180" s="173">
        <v>0</v>
      </c>
      <c r="F180" s="225">
        <f t="shared" si="14"/>
        <v>0</v>
      </c>
      <c r="G180" s="263">
        <v>0</v>
      </c>
      <c r="H180" s="264">
        <v>0</v>
      </c>
      <c r="I180" s="264">
        <v>0</v>
      </c>
      <c r="J180" s="146"/>
      <c r="K180" s="146"/>
      <c r="L180" s="146">
        <v>0</v>
      </c>
      <c r="M180" s="220">
        <f t="shared" si="15"/>
        <v>0</v>
      </c>
      <c r="N180" s="220">
        <f t="shared" si="16"/>
        <v>0</v>
      </c>
      <c r="O180" s="220">
        <f t="shared" si="17"/>
        <v>0</v>
      </c>
      <c r="P180" s="301">
        <f t="shared" si="18"/>
        <v>0</v>
      </c>
      <c r="Q180" s="301">
        <f t="shared" si="19"/>
        <v>0</v>
      </c>
      <c r="R180" s="300">
        <f t="shared" si="20"/>
        <v>0</v>
      </c>
    </row>
    <row r="181" spans="1:18" x14ac:dyDescent="0.25">
      <c r="A181" s="210">
        <v>167</v>
      </c>
      <c r="B181" s="166" t="s">
        <v>48</v>
      </c>
      <c r="C181" s="153" t="s">
        <v>153</v>
      </c>
      <c r="D181" s="173">
        <v>241000</v>
      </c>
      <c r="E181" s="173">
        <v>808000</v>
      </c>
      <c r="F181" s="225">
        <f t="shared" si="14"/>
        <v>1049000</v>
      </c>
      <c r="G181" s="263">
        <v>381600</v>
      </c>
      <c r="H181" s="264">
        <v>1908000</v>
      </c>
      <c r="I181" s="264">
        <v>2289600</v>
      </c>
      <c r="J181" s="146">
        <v>219500</v>
      </c>
      <c r="K181" s="146">
        <v>734530.02144107537</v>
      </c>
      <c r="L181" s="146">
        <v>954030.02144107537</v>
      </c>
      <c r="M181" s="220">
        <f t="shared" si="15"/>
        <v>219500</v>
      </c>
      <c r="N181" s="220">
        <f t="shared" si="16"/>
        <v>734530.02144107537</v>
      </c>
      <c r="O181" s="220">
        <f t="shared" si="17"/>
        <v>954030.02144107537</v>
      </c>
      <c r="P181" s="301">
        <f t="shared" si="18"/>
        <v>204135</v>
      </c>
      <c r="Q181" s="301">
        <f t="shared" si="19"/>
        <v>683112.91994020005</v>
      </c>
      <c r="R181" s="300">
        <f t="shared" si="20"/>
        <v>887247.91994020005</v>
      </c>
    </row>
    <row r="182" spans="1:18" x14ac:dyDescent="0.25">
      <c r="A182" s="210">
        <v>168</v>
      </c>
      <c r="B182" s="166" t="s">
        <v>49</v>
      </c>
      <c r="C182" s="153" t="s">
        <v>153</v>
      </c>
      <c r="D182" s="173">
        <v>240000</v>
      </c>
      <c r="E182" s="173">
        <v>552000</v>
      </c>
      <c r="F182" s="225">
        <f t="shared" si="14"/>
        <v>792000</v>
      </c>
      <c r="G182" s="263">
        <v>276000</v>
      </c>
      <c r="H182" s="264">
        <v>1380000</v>
      </c>
      <c r="I182" s="264">
        <v>1656000</v>
      </c>
      <c r="J182" s="146">
        <v>219500</v>
      </c>
      <c r="K182" s="146">
        <v>501796.77076005971</v>
      </c>
      <c r="L182" s="146">
        <v>721296.77076005971</v>
      </c>
      <c r="M182" s="220">
        <f t="shared" si="15"/>
        <v>219500</v>
      </c>
      <c r="N182" s="220">
        <f t="shared" si="16"/>
        <v>501796.77076005971</v>
      </c>
      <c r="O182" s="220">
        <f t="shared" si="17"/>
        <v>721296.77076005971</v>
      </c>
      <c r="P182" s="301">
        <f t="shared" si="18"/>
        <v>204135</v>
      </c>
      <c r="Q182" s="301">
        <f t="shared" si="19"/>
        <v>466670.99680685555</v>
      </c>
      <c r="R182" s="300">
        <f t="shared" si="20"/>
        <v>670805.99680685555</v>
      </c>
    </row>
    <row r="183" spans="1:18" x14ac:dyDescent="0.25">
      <c r="A183" s="210">
        <v>169</v>
      </c>
      <c r="B183" s="213" t="s">
        <v>379</v>
      </c>
      <c r="C183" s="153" t="s">
        <v>153</v>
      </c>
      <c r="D183" s="173">
        <v>117000</v>
      </c>
      <c r="E183" s="173">
        <v>269000</v>
      </c>
      <c r="F183" s="225">
        <f t="shared" si="14"/>
        <v>386000</v>
      </c>
      <c r="G183" s="263">
        <v>134400</v>
      </c>
      <c r="H183" s="264">
        <v>672000</v>
      </c>
      <c r="I183" s="264">
        <v>806400</v>
      </c>
      <c r="J183" s="146">
        <v>184500</v>
      </c>
      <c r="K183" s="146">
        <v>244672.75019740869</v>
      </c>
      <c r="L183" s="146">
        <v>429172.75019740872</v>
      </c>
      <c r="M183" s="220">
        <f t="shared" si="15"/>
        <v>117000</v>
      </c>
      <c r="N183" s="220">
        <f t="shared" si="16"/>
        <v>244672.75019740869</v>
      </c>
      <c r="O183" s="220">
        <f t="shared" si="17"/>
        <v>361672.75019740872</v>
      </c>
      <c r="P183" s="301">
        <f t="shared" si="18"/>
        <v>108810</v>
      </c>
      <c r="Q183" s="301">
        <f t="shared" si="19"/>
        <v>227545.65768359008</v>
      </c>
      <c r="R183" s="300">
        <f t="shared" si="20"/>
        <v>336355.65768359008</v>
      </c>
    </row>
    <row r="184" spans="1:18" x14ac:dyDescent="0.25">
      <c r="A184" s="210">
        <v>170</v>
      </c>
      <c r="B184" s="213" t="s">
        <v>148</v>
      </c>
      <c r="C184" s="153" t="s">
        <v>153</v>
      </c>
      <c r="D184" s="173">
        <v>111000</v>
      </c>
      <c r="E184" s="173">
        <v>255000</v>
      </c>
      <c r="F184" s="225">
        <f t="shared" si="14"/>
        <v>366000</v>
      </c>
      <c r="G184" s="263">
        <v>127600</v>
      </c>
      <c r="H184" s="264">
        <v>638000</v>
      </c>
      <c r="I184" s="264">
        <v>765600</v>
      </c>
      <c r="J184" s="146">
        <v>184500</v>
      </c>
      <c r="K184" s="146">
        <v>232257.04150829627</v>
      </c>
      <c r="L184" s="146">
        <v>416757.04150829627</v>
      </c>
      <c r="M184" s="220">
        <f t="shared" si="15"/>
        <v>111000</v>
      </c>
      <c r="N184" s="220">
        <f t="shared" si="16"/>
        <v>232257.04150829627</v>
      </c>
      <c r="O184" s="220">
        <f t="shared" si="17"/>
        <v>343257.04150829627</v>
      </c>
      <c r="P184" s="301">
        <f t="shared" si="18"/>
        <v>103230</v>
      </c>
      <c r="Q184" s="301">
        <f t="shared" si="19"/>
        <v>215999.04860271554</v>
      </c>
      <c r="R184" s="300">
        <f t="shared" si="20"/>
        <v>319229.04860271554</v>
      </c>
    </row>
    <row r="185" spans="1:18" x14ac:dyDescent="0.25">
      <c r="A185" s="210">
        <v>171</v>
      </c>
      <c r="B185" s="166" t="s">
        <v>322</v>
      </c>
      <c r="C185" s="153" t="s">
        <v>153</v>
      </c>
      <c r="D185" s="173">
        <v>17000</v>
      </c>
      <c r="E185" s="173">
        <v>250000</v>
      </c>
      <c r="F185" s="225">
        <f t="shared" si="14"/>
        <v>267000</v>
      </c>
      <c r="G185" s="263">
        <v>19600</v>
      </c>
      <c r="H185" s="264">
        <v>98000</v>
      </c>
      <c r="I185" s="264">
        <v>117600</v>
      </c>
      <c r="J185" s="146">
        <v>94500</v>
      </c>
      <c r="K185" s="146">
        <v>35703.432818373345</v>
      </c>
      <c r="L185" s="146">
        <v>130203.43281837335</v>
      </c>
      <c r="M185" s="220">
        <f t="shared" si="15"/>
        <v>17000</v>
      </c>
      <c r="N185" s="220">
        <f t="shared" si="16"/>
        <v>35703.432818373345</v>
      </c>
      <c r="O185" s="220">
        <f t="shared" si="17"/>
        <v>52703.432818373345</v>
      </c>
      <c r="P185" s="301">
        <f t="shared" si="18"/>
        <v>15810</v>
      </c>
      <c r="Q185" s="301">
        <f t="shared" si="19"/>
        <v>33204.192521087214</v>
      </c>
      <c r="R185" s="300">
        <f t="shared" si="20"/>
        <v>49014.192521087214</v>
      </c>
    </row>
    <row r="186" spans="1:18" x14ac:dyDescent="0.25">
      <c r="A186" s="210">
        <v>172</v>
      </c>
      <c r="B186" s="166" t="s">
        <v>50</v>
      </c>
      <c r="C186" s="153" t="s">
        <v>153</v>
      </c>
      <c r="D186" s="173">
        <v>75000</v>
      </c>
      <c r="E186" s="173">
        <v>53000</v>
      </c>
      <c r="F186" s="225">
        <f t="shared" si="14"/>
        <v>128000</v>
      </c>
      <c r="G186" s="263">
        <v>86200</v>
      </c>
      <c r="H186" s="264">
        <v>431000</v>
      </c>
      <c r="I186" s="264">
        <v>517200</v>
      </c>
      <c r="J186" s="146">
        <v>94500</v>
      </c>
      <c r="K186" s="146">
        <v>156726.33681122135</v>
      </c>
      <c r="L186" s="146">
        <v>251226.33681122135</v>
      </c>
      <c r="M186" s="220">
        <f t="shared" si="15"/>
        <v>75000</v>
      </c>
      <c r="N186" s="220">
        <f t="shared" si="16"/>
        <v>53000</v>
      </c>
      <c r="O186" s="220">
        <f t="shared" si="17"/>
        <v>128000</v>
      </c>
      <c r="P186" s="301">
        <f t="shared" si="18"/>
        <v>69750</v>
      </c>
      <c r="Q186" s="301">
        <f t="shared" si="19"/>
        <v>49290</v>
      </c>
      <c r="R186" s="300">
        <f t="shared" si="20"/>
        <v>119040</v>
      </c>
    </row>
    <row r="187" spans="1:18" x14ac:dyDescent="0.25">
      <c r="A187" s="210">
        <v>173</v>
      </c>
      <c r="B187" s="166" t="s">
        <v>51</v>
      </c>
      <c r="C187" s="153" t="s">
        <v>153</v>
      </c>
      <c r="D187" s="173">
        <v>104000</v>
      </c>
      <c r="E187" s="173">
        <v>255000</v>
      </c>
      <c r="F187" s="225">
        <f t="shared" si="14"/>
        <v>359000</v>
      </c>
      <c r="G187" s="263">
        <v>126200</v>
      </c>
      <c r="H187" s="264">
        <v>631000</v>
      </c>
      <c r="I187" s="264">
        <v>757200</v>
      </c>
      <c r="J187" s="146">
        <v>94500</v>
      </c>
      <c r="K187" s="146">
        <v>232236.35383240003</v>
      </c>
      <c r="L187" s="146">
        <v>326736.35383240005</v>
      </c>
      <c r="M187" s="220">
        <f t="shared" si="15"/>
        <v>94500</v>
      </c>
      <c r="N187" s="220">
        <f t="shared" si="16"/>
        <v>232236.35383240003</v>
      </c>
      <c r="O187" s="220">
        <f t="shared" si="17"/>
        <v>326736.35383240005</v>
      </c>
      <c r="P187" s="301">
        <f t="shared" si="18"/>
        <v>87885</v>
      </c>
      <c r="Q187" s="301">
        <f t="shared" si="19"/>
        <v>215979.80906413202</v>
      </c>
      <c r="R187" s="300">
        <f t="shared" si="20"/>
        <v>303864.80906413205</v>
      </c>
    </row>
    <row r="188" spans="1:18" x14ac:dyDescent="0.25">
      <c r="A188" s="210">
        <v>174</v>
      </c>
      <c r="B188" s="166" t="s">
        <v>52</v>
      </c>
      <c r="C188" s="153" t="s">
        <v>153</v>
      </c>
      <c r="D188" s="173">
        <v>131000</v>
      </c>
      <c r="E188" s="173">
        <v>128000</v>
      </c>
      <c r="F188" s="225">
        <f t="shared" si="14"/>
        <v>259000</v>
      </c>
      <c r="G188" s="263">
        <v>150400</v>
      </c>
      <c r="H188" s="264">
        <v>752000</v>
      </c>
      <c r="I188" s="264">
        <v>902400</v>
      </c>
      <c r="J188" s="146">
        <v>134500</v>
      </c>
      <c r="K188" s="146">
        <v>273611.70562482672</v>
      </c>
      <c r="L188" s="146">
        <v>408111.70562482672</v>
      </c>
      <c r="M188" s="220">
        <f t="shared" si="15"/>
        <v>131000</v>
      </c>
      <c r="N188" s="220">
        <f t="shared" si="16"/>
        <v>128000</v>
      </c>
      <c r="O188" s="220">
        <f t="shared" si="17"/>
        <v>259000</v>
      </c>
      <c r="P188" s="301">
        <f t="shared" si="18"/>
        <v>121830</v>
      </c>
      <c r="Q188" s="301">
        <f t="shared" si="19"/>
        <v>119040</v>
      </c>
      <c r="R188" s="300">
        <f t="shared" si="20"/>
        <v>240870</v>
      </c>
    </row>
    <row r="189" spans="1:18" x14ac:dyDescent="0.25">
      <c r="A189" s="210">
        <v>175</v>
      </c>
      <c r="B189" s="166" t="s">
        <v>53</v>
      </c>
      <c r="C189" s="153" t="s">
        <v>153</v>
      </c>
      <c r="D189" s="173">
        <v>115000</v>
      </c>
      <c r="E189" s="173">
        <v>324000</v>
      </c>
      <c r="F189" s="225">
        <f t="shared" si="14"/>
        <v>439000</v>
      </c>
      <c r="G189" s="263">
        <v>156800</v>
      </c>
      <c r="H189" s="264">
        <v>784000</v>
      </c>
      <c r="I189" s="264">
        <v>940800</v>
      </c>
      <c r="J189" s="146">
        <v>104500</v>
      </c>
      <c r="K189" s="146">
        <v>294299.38152103999</v>
      </c>
      <c r="L189" s="146">
        <v>398799.38152103999</v>
      </c>
      <c r="M189" s="220">
        <f t="shared" si="15"/>
        <v>104500</v>
      </c>
      <c r="N189" s="220">
        <f t="shared" si="16"/>
        <v>294299.38152103999</v>
      </c>
      <c r="O189" s="220">
        <f t="shared" si="17"/>
        <v>398799.38152103999</v>
      </c>
      <c r="P189" s="301">
        <f t="shared" si="18"/>
        <v>97185</v>
      </c>
      <c r="Q189" s="301">
        <f t="shared" si="19"/>
        <v>273698.4248145672</v>
      </c>
      <c r="R189" s="300">
        <f t="shared" si="20"/>
        <v>370883.4248145672</v>
      </c>
    </row>
    <row r="190" spans="1:18" x14ac:dyDescent="0.25">
      <c r="A190" s="210">
        <v>176</v>
      </c>
      <c r="B190" s="166" t="s">
        <v>54</v>
      </c>
      <c r="C190" s="153" t="s">
        <v>153</v>
      </c>
      <c r="D190" s="173">
        <v>180000</v>
      </c>
      <c r="E190" s="173">
        <v>415000</v>
      </c>
      <c r="F190" s="225">
        <f t="shared" si="14"/>
        <v>595000</v>
      </c>
      <c r="G190" s="263">
        <v>207400</v>
      </c>
      <c r="H190" s="264">
        <v>1037000</v>
      </c>
      <c r="I190" s="264">
        <v>1244400</v>
      </c>
      <c r="J190" s="146">
        <v>224500</v>
      </c>
      <c r="K190" s="146">
        <v>377050.08510589332</v>
      </c>
      <c r="L190" s="146">
        <v>601550.08510589332</v>
      </c>
      <c r="M190" s="220">
        <f t="shared" si="15"/>
        <v>180000</v>
      </c>
      <c r="N190" s="220">
        <f t="shared" si="16"/>
        <v>377050.08510589332</v>
      </c>
      <c r="O190" s="220">
        <f t="shared" si="17"/>
        <v>557050.08510589332</v>
      </c>
      <c r="P190" s="301">
        <f t="shared" si="18"/>
        <v>167400</v>
      </c>
      <c r="Q190" s="301">
        <f t="shared" si="19"/>
        <v>350656.57914848079</v>
      </c>
      <c r="R190" s="300">
        <f t="shared" si="20"/>
        <v>518056.57914848079</v>
      </c>
    </row>
    <row r="191" spans="1:18" x14ac:dyDescent="0.25">
      <c r="A191" s="210">
        <v>177</v>
      </c>
      <c r="B191" s="166" t="s">
        <v>251</v>
      </c>
      <c r="C191" s="153" t="s">
        <v>153</v>
      </c>
      <c r="D191" s="173">
        <v>219000</v>
      </c>
      <c r="E191" s="173">
        <v>679000</v>
      </c>
      <c r="F191" s="225">
        <f t="shared" si="14"/>
        <v>898000</v>
      </c>
      <c r="G191" s="263">
        <v>323800</v>
      </c>
      <c r="H191" s="264">
        <v>1619000</v>
      </c>
      <c r="I191" s="264">
        <v>1942800</v>
      </c>
      <c r="J191" s="146">
        <v>199500</v>
      </c>
      <c r="K191" s="146">
        <v>616820.24874300591</v>
      </c>
      <c r="L191" s="146">
        <v>816320.24874300591</v>
      </c>
      <c r="M191" s="220">
        <f t="shared" si="15"/>
        <v>199500</v>
      </c>
      <c r="N191" s="220">
        <f t="shared" si="16"/>
        <v>616820.24874300591</v>
      </c>
      <c r="O191" s="220">
        <f t="shared" si="17"/>
        <v>816320.24874300591</v>
      </c>
      <c r="P191" s="301">
        <f t="shared" si="18"/>
        <v>185535</v>
      </c>
      <c r="Q191" s="301">
        <f t="shared" si="19"/>
        <v>573642.83133099554</v>
      </c>
      <c r="R191" s="300">
        <f t="shared" si="20"/>
        <v>759177.83133099554</v>
      </c>
    </row>
    <row r="192" spans="1:18" x14ac:dyDescent="0.25">
      <c r="A192" s="210">
        <v>178</v>
      </c>
      <c r="B192" s="166" t="s">
        <v>252</v>
      </c>
      <c r="C192" s="153" t="s">
        <v>153</v>
      </c>
      <c r="D192" s="173">
        <v>188000</v>
      </c>
      <c r="E192" s="173">
        <v>475000</v>
      </c>
      <c r="F192" s="225">
        <f t="shared" si="14"/>
        <v>663000</v>
      </c>
      <c r="G192" s="263">
        <v>233800</v>
      </c>
      <c r="H192" s="264">
        <v>1169000</v>
      </c>
      <c r="I192" s="264">
        <v>1402800</v>
      </c>
      <c r="J192" s="146">
        <v>199500</v>
      </c>
      <c r="K192" s="146">
        <v>622500</v>
      </c>
      <c r="L192" s="146">
        <v>822000</v>
      </c>
      <c r="M192" s="220">
        <f t="shared" si="15"/>
        <v>188000</v>
      </c>
      <c r="N192" s="220">
        <f t="shared" si="16"/>
        <v>475000</v>
      </c>
      <c r="O192" s="220">
        <f t="shared" si="17"/>
        <v>663000</v>
      </c>
      <c r="P192" s="301">
        <f t="shared" si="18"/>
        <v>174840</v>
      </c>
      <c r="Q192" s="301">
        <f t="shared" si="19"/>
        <v>441750</v>
      </c>
      <c r="R192" s="300">
        <f t="shared" si="20"/>
        <v>616590</v>
      </c>
    </row>
    <row r="193" spans="1:18" x14ac:dyDescent="0.25">
      <c r="A193" s="210">
        <v>179</v>
      </c>
      <c r="B193" s="213" t="s">
        <v>58</v>
      </c>
      <c r="C193" s="153" t="s">
        <v>153</v>
      </c>
      <c r="D193" s="173">
        <v>123000</v>
      </c>
      <c r="E193" s="173">
        <v>284000</v>
      </c>
      <c r="F193" s="225">
        <f t="shared" si="14"/>
        <v>407000</v>
      </c>
      <c r="G193" s="263">
        <v>142200</v>
      </c>
      <c r="H193" s="264">
        <v>711000</v>
      </c>
      <c r="I193" s="264">
        <v>853200</v>
      </c>
      <c r="J193" s="146">
        <v>422325</v>
      </c>
      <c r="K193" s="146">
        <v>258095.94870266668</v>
      </c>
      <c r="L193" s="146">
        <v>680420.94870266668</v>
      </c>
      <c r="M193" s="220">
        <f t="shared" si="15"/>
        <v>123000</v>
      </c>
      <c r="N193" s="220">
        <f t="shared" si="16"/>
        <v>258095.94870266668</v>
      </c>
      <c r="O193" s="220">
        <f t="shared" si="17"/>
        <v>381095.94870266668</v>
      </c>
      <c r="P193" s="301">
        <f t="shared" si="18"/>
        <v>114390</v>
      </c>
      <c r="Q193" s="301">
        <f t="shared" si="19"/>
        <v>240029.23229348002</v>
      </c>
      <c r="R193" s="300">
        <f t="shared" si="20"/>
        <v>354419.23229348002</v>
      </c>
    </row>
    <row r="194" spans="1:18" x14ac:dyDescent="0.25">
      <c r="A194" s="210">
        <v>180</v>
      </c>
      <c r="B194" s="213" t="s">
        <v>136</v>
      </c>
      <c r="C194" s="153" t="s">
        <v>153</v>
      </c>
      <c r="D194" s="173">
        <v>1599000</v>
      </c>
      <c r="E194" s="173">
        <v>2945000</v>
      </c>
      <c r="F194" s="225">
        <f t="shared" si="14"/>
        <v>4544000</v>
      </c>
      <c r="G194" s="263">
        <v>1538400</v>
      </c>
      <c r="H194" s="264">
        <v>7692000</v>
      </c>
      <c r="I194" s="264">
        <v>9230400</v>
      </c>
      <c r="J194" s="146">
        <v>2907565</v>
      </c>
      <c r="K194" s="146">
        <v>4489166.3169748839</v>
      </c>
      <c r="L194" s="146">
        <v>7396731.3169748839</v>
      </c>
      <c r="M194" s="220">
        <f t="shared" si="15"/>
        <v>1538400</v>
      </c>
      <c r="N194" s="220">
        <f t="shared" si="16"/>
        <v>2945000</v>
      </c>
      <c r="O194" s="220">
        <f t="shared" si="17"/>
        <v>4483400</v>
      </c>
      <c r="P194" s="301">
        <f t="shared" si="18"/>
        <v>1430712</v>
      </c>
      <c r="Q194" s="301">
        <f t="shared" si="19"/>
        <v>2738850</v>
      </c>
      <c r="R194" s="300">
        <f t="shared" si="20"/>
        <v>4169562</v>
      </c>
    </row>
    <row r="195" spans="1:18" ht="22.5" x14ac:dyDescent="0.25">
      <c r="A195" s="210"/>
      <c r="B195" s="163" t="s">
        <v>98</v>
      </c>
      <c r="C195" s="153" t="s">
        <v>153</v>
      </c>
      <c r="D195" s="173">
        <v>0</v>
      </c>
      <c r="E195" s="173">
        <v>0</v>
      </c>
      <c r="F195" s="225">
        <f t="shared" si="14"/>
        <v>0</v>
      </c>
      <c r="G195" s="263">
        <v>0</v>
      </c>
      <c r="H195" s="264">
        <v>0</v>
      </c>
      <c r="I195" s="264">
        <v>0</v>
      </c>
      <c r="J195" s="146"/>
      <c r="K195" s="146"/>
      <c r="L195" s="146">
        <v>0</v>
      </c>
      <c r="M195" s="220">
        <f t="shared" si="15"/>
        <v>0</v>
      </c>
      <c r="N195" s="220">
        <f t="shared" si="16"/>
        <v>0</v>
      </c>
      <c r="O195" s="220">
        <f t="shared" si="17"/>
        <v>0</v>
      </c>
      <c r="P195" s="301">
        <f t="shared" si="18"/>
        <v>0</v>
      </c>
      <c r="Q195" s="301">
        <f t="shared" si="19"/>
        <v>0</v>
      </c>
      <c r="R195" s="300">
        <f t="shared" si="20"/>
        <v>0</v>
      </c>
    </row>
    <row r="196" spans="1:18" x14ac:dyDescent="0.25">
      <c r="A196" s="210">
        <v>181</v>
      </c>
      <c r="B196" s="166" t="s">
        <v>254</v>
      </c>
      <c r="C196" s="153" t="s">
        <v>153</v>
      </c>
      <c r="D196" s="173">
        <v>29000</v>
      </c>
      <c r="E196" s="173">
        <v>73000</v>
      </c>
      <c r="F196" s="225">
        <f t="shared" si="14"/>
        <v>102000</v>
      </c>
      <c r="G196" s="263">
        <v>36000</v>
      </c>
      <c r="H196" s="264">
        <v>180000</v>
      </c>
      <c r="I196" s="264">
        <v>216000</v>
      </c>
      <c r="J196" s="146">
        <v>44500</v>
      </c>
      <c r="K196" s="146">
        <v>66753.857632306695</v>
      </c>
      <c r="L196" s="146">
        <v>111253.8576323067</v>
      </c>
      <c r="M196" s="220">
        <f t="shared" si="15"/>
        <v>29000</v>
      </c>
      <c r="N196" s="220">
        <f t="shared" si="16"/>
        <v>66753.857632306695</v>
      </c>
      <c r="O196" s="220">
        <f t="shared" si="17"/>
        <v>95753.857632306695</v>
      </c>
      <c r="P196" s="301">
        <f t="shared" si="18"/>
        <v>26970</v>
      </c>
      <c r="Q196" s="301">
        <f t="shared" si="19"/>
        <v>62081.087598045226</v>
      </c>
      <c r="R196" s="300">
        <f t="shared" si="20"/>
        <v>89051.087598045226</v>
      </c>
    </row>
    <row r="197" spans="1:18" x14ac:dyDescent="0.25">
      <c r="A197" s="210">
        <v>182</v>
      </c>
      <c r="B197" s="166" t="s">
        <v>255</v>
      </c>
      <c r="C197" s="153" t="s">
        <v>153</v>
      </c>
      <c r="D197" s="173">
        <v>67000</v>
      </c>
      <c r="E197" s="173">
        <v>268000</v>
      </c>
      <c r="F197" s="225">
        <f t="shared" ref="F197:F216" si="21">(D197+E197)</f>
        <v>335000</v>
      </c>
      <c r="G197" s="263">
        <v>124200</v>
      </c>
      <c r="H197" s="264">
        <v>621000</v>
      </c>
      <c r="I197" s="264">
        <v>745200</v>
      </c>
      <c r="J197" s="146">
        <v>749500</v>
      </c>
      <c r="K197" s="146">
        <v>1334500</v>
      </c>
      <c r="L197" s="146">
        <v>2084000</v>
      </c>
      <c r="M197" s="220">
        <f t="shared" ref="M197:M216" si="22">MIN(D197,G197,J197)</f>
        <v>67000</v>
      </c>
      <c r="N197" s="220">
        <f t="shared" ref="N197:N216" si="23">MIN(E197,H197,K197)</f>
        <v>268000</v>
      </c>
      <c r="O197" s="220">
        <f t="shared" ref="O197:O217" si="24">(M197+N197)</f>
        <v>335000</v>
      </c>
      <c r="P197" s="301">
        <f t="shared" ref="P197:P217" si="25">M197-(M197*7%)</f>
        <v>62310</v>
      </c>
      <c r="Q197" s="301">
        <f t="shared" ref="Q197:Q217" si="26">N197-(N197*7%)</f>
        <v>249240</v>
      </c>
      <c r="R197" s="300">
        <f t="shared" ref="R197:R217" si="27">Q197+P197</f>
        <v>311550</v>
      </c>
    </row>
    <row r="198" spans="1:18" x14ac:dyDescent="0.25">
      <c r="A198" s="210">
        <v>183</v>
      </c>
      <c r="B198" s="166" t="s">
        <v>256</v>
      </c>
      <c r="C198" s="153" t="s">
        <v>153</v>
      </c>
      <c r="D198" s="173">
        <v>56000</v>
      </c>
      <c r="E198" s="173">
        <v>141000</v>
      </c>
      <c r="F198" s="225">
        <f t="shared" si="21"/>
        <v>197000</v>
      </c>
      <c r="G198" s="263">
        <v>69000</v>
      </c>
      <c r="H198" s="264">
        <v>345000</v>
      </c>
      <c r="I198" s="264">
        <v>414000</v>
      </c>
      <c r="J198" s="146">
        <v>649500</v>
      </c>
      <c r="K198" s="146">
        <v>311000</v>
      </c>
      <c r="L198" s="146">
        <v>960500</v>
      </c>
      <c r="M198" s="220">
        <f t="shared" si="22"/>
        <v>56000</v>
      </c>
      <c r="N198" s="220">
        <f t="shared" si="23"/>
        <v>141000</v>
      </c>
      <c r="O198" s="220">
        <f t="shared" si="24"/>
        <v>197000</v>
      </c>
      <c r="P198" s="301">
        <f t="shared" si="25"/>
        <v>52080</v>
      </c>
      <c r="Q198" s="301">
        <f t="shared" si="26"/>
        <v>131130</v>
      </c>
      <c r="R198" s="300">
        <f t="shared" si="27"/>
        <v>183210</v>
      </c>
    </row>
    <row r="199" spans="1:18" x14ac:dyDescent="0.25">
      <c r="A199" s="210">
        <v>184</v>
      </c>
      <c r="B199" s="158" t="s">
        <v>69</v>
      </c>
      <c r="C199" s="153" t="s">
        <v>153</v>
      </c>
      <c r="D199" s="173">
        <v>43000</v>
      </c>
      <c r="E199" s="173">
        <v>108000</v>
      </c>
      <c r="F199" s="225">
        <f t="shared" si="21"/>
        <v>151000</v>
      </c>
      <c r="G199" s="263">
        <v>52800</v>
      </c>
      <c r="H199" s="264">
        <v>264000</v>
      </c>
      <c r="I199" s="264">
        <v>316800</v>
      </c>
      <c r="J199" s="146">
        <v>119500</v>
      </c>
      <c r="K199" s="146">
        <v>97766.460507013355</v>
      </c>
      <c r="L199" s="146">
        <v>217266.46050701337</v>
      </c>
      <c r="M199" s="220">
        <f t="shared" si="22"/>
        <v>43000</v>
      </c>
      <c r="N199" s="220">
        <f t="shared" si="23"/>
        <v>97766.460507013355</v>
      </c>
      <c r="O199" s="220">
        <f t="shared" si="24"/>
        <v>140766.46050701337</v>
      </c>
      <c r="P199" s="301">
        <f t="shared" si="25"/>
        <v>39990</v>
      </c>
      <c r="Q199" s="301">
        <f t="shared" si="26"/>
        <v>90922.808271522415</v>
      </c>
      <c r="R199" s="300">
        <f t="shared" si="27"/>
        <v>130912.80827152242</v>
      </c>
    </row>
    <row r="200" spans="1:18" x14ac:dyDescent="0.25">
      <c r="A200" s="210">
        <v>185</v>
      </c>
      <c r="B200" s="158" t="s">
        <v>70</v>
      </c>
      <c r="C200" s="153" t="s">
        <v>153</v>
      </c>
      <c r="D200" s="173">
        <v>171000</v>
      </c>
      <c r="E200" s="173">
        <v>432000</v>
      </c>
      <c r="F200" s="225">
        <f t="shared" si="21"/>
        <v>603000</v>
      </c>
      <c r="G200" s="263">
        <v>212600</v>
      </c>
      <c r="H200" s="264">
        <v>1063000</v>
      </c>
      <c r="I200" s="264">
        <v>1275600</v>
      </c>
      <c r="J200" s="146">
        <v>249500</v>
      </c>
      <c r="K200" s="146">
        <v>671849.46662693331</v>
      </c>
      <c r="L200" s="146">
        <v>921349.46662693331</v>
      </c>
      <c r="M200" s="220">
        <f t="shared" si="22"/>
        <v>171000</v>
      </c>
      <c r="N200" s="220">
        <f t="shared" si="23"/>
        <v>432000</v>
      </c>
      <c r="O200" s="220">
        <f t="shared" si="24"/>
        <v>603000</v>
      </c>
      <c r="P200" s="301">
        <f t="shared" si="25"/>
        <v>159030</v>
      </c>
      <c r="Q200" s="301">
        <f t="shared" si="26"/>
        <v>401760</v>
      </c>
      <c r="R200" s="300">
        <f t="shared" si="27"/>
        <v>560790</v>
      </c>
    </row>
    <row r="201" spans="1:18" x14ac:dyDescent="0.25">
      <c r="A201" s="210">
        <v>186</v>
      </c>
      <c r="B201" s="158" t="s">
        <v>1</v>
      </c>
      <c r="C201" s="153" t="s">
        <v>153</v>
      </c>
      <c r="D201" s="173">
        <v>88000</v>
      </c>
      <c r="E201" s="173">
        <v>204000</v>
      </c>
      <c r="F201" s="225">
        <f t="shared" si="21"/>
        <v>292000</v>
      </c>
      <c r="G201" s="263">
        <v>102000</v>
      </c>
      <c r="H201" s="264">
        <v>510000</v>
      </c>
      <c r="I201" s="264">
        <v>612000</v>
      </c>
      <c r="J201" s="146">
        <v>134500</v>
      </c>
      <c r="K201" s="146">
        <v>185689.08306592001</v>
      </c>
      <c r="L201" s="146">
        <v>320189.08306592004</v>
      </c>
      <c r="M201" s="220">
        <f t="shared" si="22"/>
        <v>88000</v>
      </c>
      <c r="N201" s="220">
        <f t="shared" si="23"/>
        <v>185689.08306592001</v>
      </c>
      <c r="O201" s="220">
        <f t="shared" si="24"/>
        <v>273689.08306592004</v>
      </c>
      <c r="P201" s="301">
        <f t="shared" si="25"/>
        <v>81840</v>
      </c>
      <c r="Q201" s="301">
        <f t="shared" si="26"/>
        <v>172690.84725130562</v>
      </c>
      <c r="R201" s="300">
        <f t="shared" si="27"/>
        <v>254530.84725130562</v>
      </c>
    </row>
    <row r="202" spans="1:18" x14ac:dyDescent="0.25">
      <c r="A202" s="210">
        <v>187</v>
      </c>
      <c r="B202" s="166" t="s">
        <v>56</v>
      </c>
      <c r="C202" s="153" t="s">
        <v>153</v>
      </c>
      <c r="D202" s="173">
        <v>32000</v>
      </c>
      <c r="E202" s="173">
        <v>80000</v>
      </c>
      <c r="F202" s="225">
        <f t="shared" si="21"/>
        <v>112000</v>
      </c>
      <c r="G202" s="263">
        <v>39800</v>
      </c>
      <c r="H202" s="264">
        <v>199000</v>
      </c>
      <c r="I202" s="264">
        <v>238800</v>
      </c>
      <c r="J202" s="146">
        <v>59500</v>
      </c>
      <c r="K202" s="146">
        <v>125032.01393333334</v>
      </c>
      <c r="L202" s="146">
        <v>184532.01393333334</v>
      </c>
      <c r="M202" s="220">
        <f t="shared" si="22"/>
        <v>32000</v>
      </c>
      <c r="N202" s="220">
        <f t="shared" si="23"/>
        <v>80000</v>
      </c>
      <c r="O202" s="220">
        <f t="shared" si="24"/>
        <v>112000</v>
      </c>
      <c r="P202" s="301">
        <f t="shared" si="25"/>
        <v>29760</v>
      </c>
      <c r="Q202" s="301">
        <f t="shared" si="26"/>
        <v>74400</v>
      </c>
      <c r="R202" s="300">
        <f t="shared" si="27"/>
        <v>104160</v>
      </c>
    </row>
    <row r="203" spans="1:18" x14ac:dyDescent="0.25">
      <c r="A203" s="210">
        <v>188</v>
      </c>
      <c r="B203" s="166" t="s">
        <v>57</v>
      </c>
      <c r="C203" s="153" t="s">
        <v>153</v>
      </c>
      <c r="D203" s="173">
        <v>12000</v>
      </c>
      <c r="E203" s="173">
        <v>31000</v>
      </c>
      <c r="F203" s="225">
        <f t="shared" si="21"/>
        <v>43000</v>
      </c>
      <c r="G203" s="263">
        <v>15400</v>
      </c>
      <c r="H203" s="264">
        <v>77000</v>
      </c>
      <c r="I203" s="264">
        <v>92400</v>
      </c>
      <c r="J203" s="146">
        <v>34500</v>
      </c>
      <c r="K203" s="146">
        <v>64776.647245333341</v>
      </c>
      <c r="L203" s="146">
        <v>99276.647245333341</v>
      </c>
      <c r="M203" s="220">
        <f t="shared" si="22"/>
        <v>12000</v>
      </c>
      <c r="N203" s="220">
        <f t="shared" si="23"/>
        <v>31000</v>
      </c>
      <c r="O203" s="220">
        <f t="shared" si="24"/>
        <v>43000</v>
      </c>
      <c r="P203" s="301">
        <f t="shared" si="25"/>
        <v>11160</v>
      </c>
      <c r="Q203" s="301">
        <f t="shared" si="26"/>
        <v>28830</v>
      </c>
      <c r="R203" s="300">
        <f t="shared" si="27"/>
        <v>39990</v>
      </c>
    </row>
    <row r="204" spans="1:18" x14ac:dyDescent="0.25">
      <c r="A204" s="210">
        <v>189</v>
      </c>
      <c r="B204" s="166" t="s">
        <v>257</v>
      </c>
      <c r="C204" s="153" t="s">
        <v>153</v>
      </c>
      <c r="D204" s="173">
        <v>50000</v>
      </c>
      <c r="E204" s="173">
        <v>127000</v>
      </c>
      <c r="F204" s="225">
        <f t="shared" si="21"/>
        <v>177000</v>
      </c>
      <c r="G204" s="263">
        <v>62800</v>
      </c>
      <c r="H204" s="264">
        <v>314000</v>
      </c>
      <c r="I204" s="264">
        <v>376800</v>
      </c>
      <c r="J204" s="146">
        <v>119500</v>
      </c>
      <c r="K204" s="146">
        <v>185287.38062133332</v>
      </c>
      <c r="L204" s="146">
        <v>304787.38062133332</v>
      </c>
      <c r="M204" s="220">
        <f t="shared" si="22"/>
        <v>50000</v>
      </c>
      <c r="N204" s="220">
        <f t="shared" si="23"/>
        <v>127000</v>
      </c>
      <c r="O204" s="220">
        <f t="shared" si="24"/>
        <v>177000</v>
      </c>
      <c r="P204" s="301">
        <f t="shared" si="25"/>
        <v>46500</v>
      </c>
      <c r="Q204" s="301">
        <f t="shared" si="26"/>
        <v>118110</v>
      </c>
      <c r="R204" s="300">
        <f t="shared" si="27"/>
        <v>164610</v>
      </c>
    </row>
    <row r="205" spans="1:18" x14ac:dyDescent="0.25">
      <c r="A205" s="210">
        <v>190</v>
      </c>
      <c r="B205" s="166" t="s">
        <v>258</v>
      </c>
      <c r="C205" s="153" t="s">
        <v>153</v>
      </c>
      <c r="D205" s="173">
        <v>33000</v>
      </c>
      <c r="E205" s="173">
        <v>85000</v>
      </c>
      <c r="F205" s="225">
        <f t="shared" si="21"/>
        <v>118000</v>
      </c>
      <c r="G205" s="263">
        <v>41600</v>
      </c>
      <c r="H205" s="264">
        <v>208000</v>
      </c>
      <c r="I205" s="264">
        <v>249600</v>
      </c>
      <c r="J205" s="146">
        <v>75500</v>
      </c>
      <c r="K205" s="146">
        <v>123626.05537728002</v>
      </c>
      <c r="L205" s="146">
        <v>199126.05537728002</v>
      </c>
      <c r="M205" s="220">
        <f t="shared" si="22"/>
        <v>33000</v>
      </c>
      <c r="N205" s="220">
        <f t="shared" si="23"/>
        <v>85000</v>
      </c>
      <c r="O205" s="220">
        <f t="shared" si="24"/>
        <v>118000</v>
      </c>
      <c r="P205" s="301">
        <f t="shared" si="25"/>
        <v>30690</v>
      </c>
      <c r="Q205" s="301">
        <f t="shared" si="26"/>
        <v>79050</v>
      </c>
      <c r="R205" s="300">
        <f t="shared" si="27"/>
        <v>109740</v>
      </c>
    </row>
    <row r="206" spans="1:18" x14ac:dyDescent="0.25">
      <c r="A206" s="210">
        <v>191</v>
      </c>
      <c r="B206" s="166" t="s">
        <v>259</v>
      </c>
      <c r="C206" s="153" t="s">
        <v>153</v>
      </c>
      <c r="D206" s="173">
        <v>10000</v>
      </c>
      <c r="E206" s="173">
        <v>26000</v>
      </c>
      <c r="F206" s="225">
        <f t="shared" si="21"/>
        <v>36000</v>
      </c>
      <c r="G206" s="263">
        <v>12400</v>
      </c>
      <c r="H206" s="264">
        <v>62000</v>
      </c>
      <c r="I206" s="264">
        <v>74400</v>
      </c>
      <c r="J206" s="146">
        <v>67500</v>
      </c>
      <c r="K206" s="146">
        <v>61800</v>
      </c>
      <c r="L206" s="146">
        <v>129300</v>
      </c>
      <c r="M206" s="220">
        <f t="shared" si="22"/>
        <v>10000</v>
      </c>
      <c r="N206" s="220">
        <f t="shared" si="23"/>
        <v>26000</v>
      </c>
      <c r="O206" s="220">
        <f t="shared" si="24"/>
        <v>36000</v>
      </c>
      <c r="P206" s="301">
        <f t="shared" si="25"/>
        <v>9300</v>
      </c>
      <c r="Q206" s="301">
        <f t="shared" si="26"/>
        <v>24180</v>
      </c>
      <c r="R206" s="300">
        <f t="shared" si="27"/>
        <v>33480</v>
      </c>
    </row>
    <row r="207" spans="1:18" x14ac:dyDescent="0.25">
      <c r="A207" s="210">
        <v>192</v>
      </c>
      <c r="B207" s="152" t="s">
        <v>260</v>
      </c>
      <c r="C207" s="153" t="s">
        <v>153</v>
      </c>
      <c r="D207" s="173">
        <v>12000</v>
      </c>
      <c r="E207" s="173">
        <v>32000</v>
      </c>
      <c r="F207" s="225">
        <f t="shared" si="21"/>
        <v>44000</v>
      </c>
      <c r="G207" s="263">
        <v>15400</v>
      </c>
      <c r="H207" s="264">
        <v>77000</v>
      </c>
      <c r="I207" s="264">
        <v>92400</v>
      </c>
      <c r="J207" s="146">
        <v>64500</v>
      </c>
      <c r="K207" s="146">
        <v>66738.46662693363</v>
      </c>
      <c r="L207" s="146">
        <v>131238.46662693363</v>
      </c>
      <c r="M207" s="220">
        <f t="shared" si="22"/>
        <v>12000</v>
      </c>
      <c r="N207" s="220">
        <f t="shared" si="23"/>
        <v>32000</v>
      </c>
      <c r="O207" s="220">
        <f t="shared" si="24"/>
        <v>44000</v>
      </c>
      <c r="P207" s="301">
        <f t="shared" si="25"/>
        <v>11160</v>
      </c>
      <c r="Q207" s="301">
        <f t="shared" si="26"/>
        <v>29760</v>
      </c>
      <c r="R207" s="300">
        <f t="shared" si="27"/>
        <v>40920</v>
      </c>
    </row>
    <row r="208" spans="1:18" x14ac:dyDescent="0.25">
      <c r="A208" s="210">
        <v>193</v>
      </c>
      <c r="B208" s="167" t="s">
        <v>261</v>
      </c>
      <c r="C208" s="153" t="s">
        <v>153</v>
      </c>
      <c r="D208" s="173">
        <v>87000</v>
      </c>
      <c r="E208" s="173">
        <v>221000</v>
      </c>
      <c r="F208" s="225">
        <f t="shared" si="21"/>
        <v>308000</v>
      </c>
      <c r="G208" s="263">
        <v>108800</v>
      </c>
      <c r="H208" s="264">
        <v>544000</v>
      </c>
      <c r="I208" s="264">
        <v>652800</v>
      </c>
      <c r="J208" s="146">
        <v>247224</v>
      </c>
      <c r="K208" s="146">
        <v>275670.43065333337</v>
      </c>
      <c r="L208" s="146">
        <v>522894.43065333337</v>
      </c>
      <c r="M208" s="220">
        <f t="shared" si="22"/>
        <v>87000</v>
      </c>
      <c r="N208" s="220">
        <f t="shared" si="23"/>
        <v>221000</v>
      </c>
      <c r="O208" s="220">
        <f t="shared" si="24"/>
        <v>308000</v>
      </c>
      <c r="P208" s="301">
        <f t="shared" si="25"/>
        <v>80910</v>
      </c>
      <c r="Q208" s="301">
        <f t="shared" si="26"/>
        <v>205530</v>
      </c>
      <c r="R208" s="300">
        <f t="shared" si="27"/>
        <v>286440</v>
      </c>
    </row>
    <row r="209" spans="1:18" x14ac:dyDescent="0.25">
      <c r="A209" s="210">
        <v>194</v>
      </c>
      <c r="B209" s="152" t="s">
        <v>562</v>
      </c>
      <c r="C209" s="153" t="s">
        <v>153</v>
      </c>
      <c r="D209" s="173">
        <v>36000</v>
      </c>
      <c r="E209" s="173">
        <v>232000</v>
      </c>
      <c r="F209" s="225">
        <f t="shared" si="21"/>
        <v>268000</v>
      </c>
      <c r="G209" s="263">
        <v>102600</v>
      </c>
      <c r="H209" s="264">
        <v>513000</v>
      </c>
      <c r="I209" s="264">
        <v>615600</v>
      </c>
      <c r="J209" s="146">
        <v>47500</v>
      </c>
      <c r="K209" s="146">
        <v>393150</v>
      </c>
      <c r="L209" s="146">
        <v>440650</v>
      </c>
      <c r="M209" s="220">
        <f t="shared" si="22"/>
        <v>36000</v>
      </c>
      <c r="N209" s="220">
        <f t="shared" si="23"/>
        <v>232000</v>
      </c>
      <c r="O209" s="220">
        <f t="shared" si="24"/>
        <v>268000</v>
      </c>
      <c r="P209" s="301">
        <f t="shared" si="25"/>
        <v>33480</v>
      </c>
      <c r="Q209" s="301">
        <f t="shared" si="26"/>
        <v>215760</v>
      </c>
      <c r="R209" s="300">
        <f t="shared" si="27"/>
        <v>249240</v>
      </c>
    </row>
    <row r="210" spans="1:18" ht="33.75" x14ac:dyDescent="0.25">
      <c r="A210" s="214"/>
      <c r="B210" s="163" t="s">
        <v>62</v>
      </c>
      <c r="C210" s="153" t="s">
        <v>153</v>
      </c>
      <c r="D210" s="173">
        <v>0</v>
      </c>
      <c r="E210" s="173">
        <v>0</v>
      </c>
      <c r="F210" s="225">
        <f t="shared" si="21"/>
        <v>0</v>
      </c>
      <c r="G210" s="263">
        <v>0</v>
      </c>
      <c r="H210" s="264">
        <v>0</v>
      </c>
      <c r="I210" s="264">
        <v>0</v>
      </c>
      <c r="J210" s="146"/>
      <c r="K210" s="146"/>
      <c r="L210" s="146">
        <v>0</v>
      </c>
      <c r="M210" s="220">
        <f t="shared" si="22"/>
        <v>0</v>
      </c>
      <c r="N210" s="220">
        <f t="shared" si="23"/>
        <v>0</v>
      </c>
      <c r="O210" s="220">
        <f t="shared" si="24"/>
        <v>0</v>
      </c>
      <c r="P210" s="301">
        <f t="shared" si="25"/>
        <v>0</v>
      </c>
      <c r="Q210" s="301">
        <f t="shared" si="26"/>
        <v>0</v>
      </c>
      <c r="R210" s="300">
        <f t="shared" si="27"/>
        <v>0</v>
      </c>
    </row>
    <row r="211" spans="1:18" ht="22.5" x14ac:dyDescent="0.25">
      <c r="A211" s="214">
        <v>195</v>
      </c>
      <c r="B211" s="166" t="s">
        <v>384</v>
      </c>
      <c r="C211" s="153" t="s">
        <v>153</v>
      </c>
      <c r="D211" s="173">
        <v>420000</v>
      </c>
      <c r="E211" s="173">
        <v>502000</v>
      </c>
      <c r="F211" s="225">
        <f t="shared" si="21"/>
        <v>922000</v>
      </c>
      <c r="G211" s="263">
        <v>292800</v>
      </c>
      <c r="H211" s="264">
        <v>1464000</v>
      </c>
      <c r="I211" s="264">
        <v>1756800</v>
      </c>
      <c r="J211" s="146">
        <v>424500</v>
      </c>
      <c r="K211" s="146">
        <v>818345.10595078894</v>
      </c>
      <c r="L211" s="146">
        <v>1242845.1059507891</v>
      </c>
      <c r="M211" s="220">
        <f t="shared" si="22"/>
        <v>292800</v>
      </c>
      <c r="N211" s="220">
        <f t="shared" si="23"/>
        <v>502000</v>
      </c>
      <c r="O211" s="220">
        <f t="shared" si="24"/>
        <v>794800</v>
      </c>
      <c r="P211" s="301">
        <f t="shared" si="25"/>
        <v>272304</v>
      </c>
      <c r="Q211" s="301">
        <f t="shared" si="26"/>
        <v>466860</v>
      </c>
      <c r="R211" s="300">
        <f t="shared" si="27"/>
        <v>739164</v>
      </c>
    </row>
    <row r="212" spans="1:18" x14ac:dyDescent="0.25">
      <c r="A212" s="214">
        <v>196</v>
      </c>
      <c r="B212" s="166" t="s">
        <v>63</v>
      </c>
      <c r="C212" s="153" t="s">
        <v>153</v>
      </c>
      <c r="D212" s="173">
        <v>357000</v>
      </c>
      <c r="E212" s="173">
        <v>849000</v>
      </c>
      <c r="F212" s="225">
        <f t="shared" si="21"/>
        <v>1206000</v>
      </c>
      <c r="G212" s="263">
        <v>422200</v>
      </c>
      <c r="H212" s="264">
        <v>2111000</v>
      </c>
      <c r="I212" s="264">
        <v>2533200</v>
      </c>
      <c r="J212" s="146">
        <v>324500</v>
      </c>
      <c r="K212" s="146">
        <v>771631.29939334444</v>
      </c>
      <c r="L212" s="146">
        <v>1096131.2993933444</v>
      </c>
      <c r="M212" s="220">
        <f t="shared" si="22"/>
        <v>324500</v>
      </c>
      <c r="N212" s="220">
        <f t="shared" si="23"/>
        <v>771631.29939334444</v>
      </c>
      <c r="O212" s="220">
        <f t="shared" si="24"/>
        <v>1096131.2993933444</v>
      </c>
      <c r="P212" s="301">
        <f t="shared" si="25"/>
        <v>301785</v>
      </c>
      <c r="Q212" s="301">
        <f t="shared" si="26"/>
        <v>717617.10843581031</v>
      </c>
      <c r="R212" s="300">
        <f t="shared" si="27"/>
        <v>1019402.1084358103</v>
      </c>
    </row>
    <row r="213" spans="1:18" x14ac:dyDescent="0.25">
      <c r="A213" s="214">
        <v>197</v>
      </c>
      <c r="B213" s="166" t="s">
        <v>134</v>
      </c>
      <c r="C213" s="153" t="s">
        <v>153</v>
      </c>
      <c r="D213" s="173">
        <v>60000</v>
      </c>
      <c r="E213" s="173">
        <v>239000</v>
      </c>
      <c r="F213" s="225">
        <f t="shared" si="21"/>
        <v>299000</v>
      </c>
      <c r="G213" s="263">
        <v>110600</v>
      </c>
      <c r="H213" s="264">
        <v>553000</v>
      </c>
      <c r="I213" s="264">
        <v>663600</v>
      </c>
      <c r="J213" s="146">
        <v>219500</v>
      </c>
      <c r="K213" s="146">
        <v>377430.45698999142</v>
      </c>
      <c r="L213" s="146">
        <v>596930.45698999148</v>
      </c>
      <c r="M213" s="220">
        <f t="shared" si="22"/>
        <v>60000</v>
      </c>
      <c r="N213" s="220">
        <f t="shared" si="23"/>
        <v>239000</v>
      </c>
      <c r="O213" s="220">
        <f t="shared" si="24"/>
        <v>299000</v>
      </c>
      <c r="P213" s="301">
        <f t="shared" si="25"/>
        <v>55800</v>
      </c>
      <c r="Q213" s="301">
        <f t="shared" si="26"/>
        <v>222270</v>
      </c>
      <c r="R213" s="300">
        <f t="shared" si="27"/>
        <v>278070</v>
      </c>
    </row>
    <row r="214" spans="1:18" ht="22.5" x14ac:dyDescent="0.25">
      <c r="A214" s="214">
        <v>198</v>
      </c>
      <c r="B214" s="224" t="s">
        <v>264</v>
      </c>
      <c r="C214" s="153" t="s">
        <v>153</v>
      </c>
      <c r="D214" s="173">
        <v>294000</v>
      </c>
      <c r="E214" s="173">
        <v>275000</v>
      </c>
      <c r="F214" s="225">
        <f t="shared" si="21"/>
        <v>569000</v>
      </c>
      <c r="G214" s="263">
        <v>173200</v>
      </c>
      <c r="H214" s="264">
        <v>866000</v>
      </c>
      <c r="I214" s="264">
        <v>1039200</v>
      </c>
      <c r="J214" s="146">
        <v>267500</v>
      </c>
      <c r="K214" s="146">
        <v>727277.95665565773</v>
      </c>
      <c r="L214" s="146">
        <v>994777.95665565773</v>
      </c>
      <c r="M214" s="220">
        <f t="shared" si="22"/>
        <v>173200</v>
      </c>
      <c r="N214" s="220">
        <f t="shared" si="23"/>
        <v>275000</v>
      </c>
      <c r="O214" s="220">
        <f t="shared" si="24"/>
        <v>448200</v>
      </c>
      <c r="P214" s="301">
        <f t="shared" si="25"/>
        <v>161076</v>
      </c>
      <c r="Q214" s="301">
        <f t="shared" si="26"/>
        <v>255750</v>
      </c>
      <c r="R214" s="300">
        <f t="shared" si="27"/>
        <v>416826</v>
      </c>
    </row>
    <row r="215" spans="1:18" x14ac:dyDescent="0.25">
      <c r="A215" s="214">
        <v>199</v>
      </c>
      <c r="B215" s="158" t="s">
        <v>72</v>
      </c>
      <c r="C215" s="153" t="s">
        <v>153</v>
      </c>
      <c r="D215" s="173">
        <v>50000</v>
      </c>
      <c r="E215" s="173">
        <v>106000</v>
      </c>
      <c r="F215" s="225">
        <f t="shared" si="21"/>
        <v>156000</v>
      </c>
      <c r="G215" s="263">
        <v>53800</v>
      </c>
      <c r="H215" s="264">
        <v>269000</v>
      </c>
      <c r="I215" s="264">
        <v>322800</v>
      </c>
      <c r="J215" s="146">
        <v>264500</v>
      </c>
      <c r="K215" s="146">
        <v>96214.884814797348</v>
      </c>
      <c r="L215" s="146">
        <v>360714.88481479732</v>
      </c>
      <c r="M215" s="220">
        <f t="shared" si="22"/>
        <v>50000</v>
      </c>
      <c r="N215" s="220">
        <f t="shared" si="23"/>
        <v>96214.884814797348</v>
      </c>
      <c r="O215" s="220">
        <f t="shared" si="24"/>
        <v>146214.88481479735</v>
      </c>
      <c r="P215" s="301">
        <f t="shared" si="25"/>
        <v>46500</v>
      </c>
      <c r="Q215" s="301">
        <f t="shared" si="26"/>
        <v>89479.842877761534</v>
      </c>
      <c r="R215" s="300">
        <f t="shared" si="27"/>
        <v>135979.84287776152</v>
      </c>
    </row>
    <row r="216" spans="1:18" x14ac:dyDescent="0.25">
      <c r="A216" s="214">
        <v>200</v>
      </c>
      <c r="B216" s="158" t="s">
        <v>73</v>
      </c>
      <c r="C216" s="153" t="s">
        <v>153</v>
      </c>
      <c r="D216" s="173">
        <v>21000</v>
      </c>
      <c r="E216" s="173">
        <v>84000</v>
      </c>
      <c r="F216" s="225">
        <f t="shared" si="21"/>
        <v>105000</v>
      </c>
      <c r="G216" s="263">
        <v>39200</v>
      </c>
      <c r="H216" s="264">
        <v>196000</v>
      </c>
      <c r="I216" s="264">
        <v>235200</v>
      </c>
      <c r="J216" s="146">
        <v>67500</v>
      </c>
      <c r="K216" s="146">
        <v>77078.784610800009</v>
      </c>
      <c r="L216" s="146">
        <v>144578.78461080001</v>
      </c>
      <c r="M216" s="220">
        <f t="shared" si="22"/>
        <v>21000</v>
      </c>
      <c r="N216" s="220">
        <f t="shared" si="23"/>
        <v>77078.784610800009</v>
      </c>
      <c r="O216" s="220">
        <f t="shared" si="24"/>
        <v>98078.784610800009</v>
      </c>
      <c r="P216" s="301">
        <f t="shared" si="25"/>
        <v>19530</v>
      </c>
      <c r="Q216" s="301">
        <f t="shared" si="26"/>
        <v>71683.269688044005</v>
      </c>
      <c r="R216" s="300">
        <f t="shared" si="27"/>
        <v>91213.269688044005</v>
      </c>
    </row>
    <row r="217" spans="1:18" x14ac:dyDescent="0.25">
      <c r="A217" s="284" t="s">
        <v>491</v>
      </c>
      <c r="B217" s="284"/>
      <c r="C217" s="284"/>
      <c r="D217" s="202">
        <f t="shared" ref="D217:N217" si="28">SUM(D4:D216)</f>
        <v>27647000</v>
      </c>
      <c r="E217" s="202">
        <f t="shared" si="28"/>
        <v>77394000</v>
      </c>
      <c r="F217" s="225">
        <f t="shared" si="28"/>
        <v>105041000</v>
      </c>
      <c r="G217" s="242">
        <f t="shared" si="28"/>
        <v>37517000</v>
      </c>
      <c r="H217" s="241">
        <f t="shared" si="28"/>
        <v>187585000</v>
      </c>
      <c r="I217" s="243">
        <f t="shared" si="28"/>
        <v>225102000</v>
      </c>
      <c r="J217" s="177">
        <f t="shared" si="28"/>
        <v>50564114</v>
      </c>
      <c r="K217" s="177">
        <f t="shared" si="28"/>
        <v>83901152.441653863</v>
      </c>
      <c r="L217" s="177">
        <f t="shared" si="28"/>
        <v>134465266.44165394</v>
      </c>
      <c r="M217" s="220">
        <f t="shared" si="28"/>
        <v>26118000</v>
      </c>
      <c r="N217" s="220">
        <f t="shared" si="28"/>
        <v>74213800.124766901</v>
      </c>
      <c r="O217" s="221">
        <f t="shared" si="24"/>
        <v>100331800.1247669</v>
      </c>
      <c r="P217" s="301">
        <f t="shared" si="25"/>
        <v>24289740</v>
      </c>
      <c r="Q217" s="301">
        <f t="shared" si="26"/>
        <v>69018834.116033211</v>
      </c>
      <c r="R217" s="300">
        <f t="shared" si="27"/>
        <v>93308574.116033211</v>
      </c>
    </row>
  </sheetData>
  <mergeCells count="7">
    <mergeCell ref="P2:R2"/>
    <mergeCell ref="M2:O2"/>
    <mergeCell ref="A217:C217"/>
    <mergeCell ref="A1:C1"/>
    <mergeCell ref="D2:F2"/>
    <mergeCell ref="G2:I2"/>
    <mergeCell ref="J2:L2"/>
  </mergeCells>
  <pageMargins left="0.7" right="0.7" top="0.75" bottom="0.75" header="0.3" footer="0.3"/>
  <pageSetup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00B0F0"/>
  </sheetPr>
  <dimension ref="A1:R216"/>
  <sheetViews>
    <sheetView topLeftCell="H196" workbookViewId="0">
      <selection activeCell="T11" sqref="T11"/>
    </sheetView>
  </sheetViews>
  <sheetFormatPr baseColWidth="10" defaultRowHeight="15" x14ac:dyDescent="0.25"/>
  <cols>
    <col min="2" max="2" width="44.85546875" bestFit="1" customWidth="1"/>
    <col min="4" max="5" width="15.5703125" bestFit="1" customWidth="1"/>
    <col min="6" max="6" width="16.7109375" bestFit="1" customWidth="1"/>
    <col min="7" max="7" width="16.7109375" customWidth="1"/>
    <col min="8" max="8" width="17" customWidth="1"/>
    <col min="9" max="9" width="19" customWidth="1"/>
    <col min="10" max="10" width="13.5703125" customWidth="1"/>
    <col min="11" max="12" width="16.42578125" bestFit="1" customWidth="1"/>
    <col min="13" max="14" width="12.7109375" bestFit="1" customWidth="1"/>
    <col min="15" max="15" width="16.42578125" bestFit="1" customWidth="1"/>
    <col min="16" max="16" width="14" customWidth="1"/>
    <col min="17" max="17" width="16.7109375" customWidth="1"/>
    <col min="18" max="18" width="13.85546875" customWidth="1"/>
  </cols>
  <sheetData>
    <row r="1" spans="1:18" x14ac:dyDescent="0.25">
      <c r="A1" s="279" t="s">
        <v>564</v>
      </c>
      <c r="B1" s="279"/>
      <c r="C1" s="279"/>
      <c r="D1" s="44"/>
      <c r="E1" s="44"/>
      <c r="F1" s="44"/>
    </row>
    <row r="2" spans="1:18" x14ac:dyDescent="0.25">
      <c r="A2" s="28"/>
      <c r="B2" s="27"/>
      <c r="C2" s="27"/>
      <c r="D2" s="293" t="s">
        <v>473</v>
      </c>
      <c r="E2" s="293"/>
      <c r="F2" s="293"/>
      <c r="G2" s="291" t="s">
        <v>573</v>
      </c>
      <c r="H2" s="291"/>
      <c r="I2" s="292"/>
      <c r="J2" s="277" t="s">
        <v>490</v>
      </c>
      <c r="K2" s="277"/>
      <c r="L2" s="277"/>
      <c r="M2" s="266" t="s">
        <v>480</v>
      </c>
      <c r="N2" s="266"/>
      <c r="O2" s="266"/>
      <c r="P2" s="295" t="s">
        <v>576</v>
      </c>
      <c r="Q2" s="296"/>
      <c r="R2" s="297"/>
    </row>
    <row r="3" spans="1:18" ht="45" x14ac:dyDescent="0.25">
      <c r="A3" s="29" t="s">
        <v>0</v>
      </c>
      <c r="B3" s="30" t="s">
        <v>91</v>
      </c>
      <c r="C3" s="45" t="s">
        <v>152</v>
      </c>
      <c r="D3" s="89" t="s">
        <v>469</v>
      </c>
      <c r="E3" s="89" t="s">
        <v>470</v>
      </c>
      <c r="F3" s="90" t="s">
        <v>471</v>
      </c>
      <c r="G3" s="244" t="s">
        <v>469</v>
      </c>
      <c r="H3" s="244" t="s">
        <v>470</v>
      </c>
      <c r="I3" s="245" t="s">
        <v>471</v>
      </c>
      <c r="J3" s="115" t="s">
        <v>469</v>
      </c>
      <c r="K3" s="115" t="s">
        <v>470</v>
      </c>
      <c r="L3" s="116" t="s">
        <v>471</v>
      </c>
      <c r="M3" s="97" t="s">
        <v>469</v>
      </c>
      <c r="N3" s="97" t="s">
        <v>470</v>
      </c>
      <c r="O3" s="98" t="s">
        <v>471</v>
      </c>
      <c r="P3" s="298" t="s">
        <v>574</v>
      </c>
      <c r="Q3" s="298" t="s">
        <v>575</v>
      </c>
      <c r="R3" s="299" t="s">
        <v>471</v>
      </c>
    </row>
    <row r="4" spans="1:18" ht="33.75" x14ac:dyDescent="0.25">
      <c r="A4" s="151">
        <v>1</v>
      </c>
      <c r="B4" s="152" t="s">
        <v>154</v>
      </c>
      <c r="C4" s="153" t="s">
        <v>153</v>
      </c>
      <c r="D4" s="200">
        <v>2020000</v>
      </c>
      <c r="E4" s="173">
        <v>5596000</v>
      </c>
      <c r="F4" s="202">
        <f>(D4+E4)</f>
        <v>7616000</v>
      </c>
      <c r="G4" s="262">
        <f>+H4*20%</f>
        <v>1482800</v>
      </c>
      <c r="H4" s="265">
        <v>7414000</v>
      </c>
      <c r="I4" s="261">
        <f>+H4+G4</f>
        <v>8896800</v>
      </c>
      <c r="J4" s="146">
        <v>1799500</v>
      </c>
      <c r="K4" s="146">
        <v>4347607.4665263807</v>
      </c>
      <c r="L4" s="146">
        <v>6147107.4665263807</v>
      </c>
      <c r="M4" s="203">
        <f>MIN(D4,G4,J4)</f>
        <v>1482800</v>
      </c>
      <c r="N4" s="203">
        <f>MIN(E4,H4,K4)</f>
        <v>4347607.4665263807</v>
      </c>
      <c r="O4" s="203">
        <f>(M4+N4)</f>
        <v>5830407.4665263807</v>
      </c>
      <c r="P4" s="301">
        <f>M4-(M4*7%)</f>
        <v>1379004</v>
      </c>
      <c r="Q4" s="301">
        <f>N4-(N4*7%)</f>
        <v>4043274.9438695339</v>
      </c>
      <c r="R4" s="300">
        <f>Q4+P4</f>
        <v>5422278.9438695339</v>
      </c>
    </row>
    <row r="5" spans="1:18" x14ac:dyDescent="0.25">
      <c r="A5" s="151">
        <v>2</v>
      </c>
      <c r="B5" s="152" t="s">
        <v>155</v>
      </c>
      <c r="C5" s="153" t="s">
        <v>153</v>
      </c>
      <c r="D5" s="200">
        <v>169000</v>
      </c>
      <c r="E5" s="173">
        <v>482000</v>
      </c>
      <c r="F5" s="202">
        <f t="shared" ref="F5:F68" si="0">(D5+E5)</f>
        <v>651000</v>
      </c>
      <c r="G5" s="262">
        <f t="shared" ref="G5:G68" si="1">+H5*20%</f>
        <v>126600</v>
      </c>
      <c r="H5" s="242">
        <v>633000</v>
      </c>
      <c r="I5" s="261">
        <f t="shared" ref="I5:I68" si="2">+H5+G5</f>
        <v>759600</v>
      </c>
      <c r="J5" s="146">
        <v>149500</v>
      </c>
      <c r="K5" s="146">
        <v>356414.12839942053</v>
      </c>
      <c r="L5" s="146">
        <v>505914.12839942053</v>
      </c>
      <c r="M5" s="203">
        <f t="shared" ref="M5:N68" si="3">MIN(D5,G5,J5)</f>
        <v>126600</v>
      </c>
      <c r="N5" s="203">
        <f t="shared" si="3"/>
        <v>356414.12839942053</v>
      </c>
      <c r="O5" s="203">
        <f t="shared" ref="O5:O68" si="4">(M5+N5)</f>
        <v>483014.12839942053</v>
      </c>
      <c r="P5" s="301">
        <f t="shared" ref="P5:P68" si="5">M5-(M5*7%)</f>
        <v>117738</v>
      </c>
      <c r="Q5" s="301">
        <f t="shared" ref="Q5:Q68" si="6">N5-(N5*7%)</f>
        <v>331465.13941146107</v>
      </c>
      <c r="R5" s="300">
        <f t="shared" ref="R5:R68" si="7">Q5+P5</f>
        <v>449203.13941146107</v>
      </c>
    </row>
    <row r="6" spans="1:18" x14ac:dyDescent="0.25">
      <c r="A6" s="151">
        <v>3</v>
      </c>
      <c r="B6" s="152" t="s">
        <v>156</v>
      </c>
      <c r="C6" s="153" t="s">
        <v>153</v>
      </c>
      <c r="D6" s="200">
        <v>84000</v>
      </c>
      <c r="E6" s="173">
        <v>194000</v>
      </c>
      <c r="F6" s="202">
        <f t="shared" si="0"/>
        <v>278000</v>
      </c>
      <c r="G6" s="262">
        <f t="shared" si="1"/>
        <v>54200</v>
      </c>
      <c r="H6" s="242">
        <v>271000</v>
      </c>
      <c r="I6" s="261">
        <f t="shared" si="2"/>
        <v>325200</v>
      </c>
      <c r="J6" s="146">
        <v>649500</v>
      </c>
      <c r="K6" s="146">
        <v>143331.06666842321</v>
      </c>
      <c r="L6" s="146">
        <v>792831.06666842324</v>
      </c>
      <c r="M6" s="203">
        <f t="shared" si="3"/>
        <v>54200</v>
      </c>
      <c r="N6" s="203">
        <f t="shared" si="3"/>
        <v>143331.06666842321</v>
      </c>
      <c r="O6" s="203">
        <f t="shared" si="4"/>
        <v>197531.06666842321</v>
      </c>
      <c r="P6" s="301">
        <f t="shared" si="5"/>
        <v>50406</v>
      </c>
      <c r="Q6" s="301">
        <f t="shared" si="6"/>
        <v>133297.89200163359</v>
      </c>
      <c r="R6" s="300">
        <f t="shared" si="7"/>
        <v>183703.89200163359</v>
      </c>
    </row>
    <row r="7" spans="1:18" x14ac:dyDescent="0.25">
      <c r="A7" s="151">
        <v>4</v>
      </c>
      <c r="B7" s="152" t="s">
        <v>133</v>
      </c>
      <c r="C7" s="153" t="s">
        <v>153</v>
      </c>
      <c r="D7" s="200">
        <v>827000</v>
      </c>
      <c r="E7" s="173">
        <v>2093000</v>
      </c>
      <c r="F7" s="202">
        <f t="shared" si="0"/>
        <v>2920000</v>
      </c>
      <c r="G7" s="262">
        <f t="shared" si="1"/>
        <v>568400</v>
      </c>
      <c r="H7" s="242">
        <v>2842000</v>
      </c>
      <c r="I7" s="261">
        <f t="shared" si="2"/>
        <v>3410400</v>
      </c>
      <c r="J7" s="146">
        <v>899500</v>
      </c>
      <c r="K7" s="146">
        <v>1757435.2592807282</v>
      </c>
      <c r="L7" s="146">
        <v>2656935.2592807282</v>
      </c>
      <c r="M7" s="203">
        <f t="shared" si="3"/>
        <v>568400</v>
      </c>
      <c r="N7" s="203">
        <f t="shared" si="3"/>
        <v>1757435.2592807282</v>
      </c>
      <c r="O7" s="203">
        <f t="shared" si="4"/>
        <v>2325835.2592807282</v>
      </c>
      <c r="P7" s="301">
        <f t="shared" si="5"/>
        <v>528612</v>
      </c>
      <c r="Q7" s="301">
        <f t="shared" si="6"/>
        <v>1634414.7911310771</v>
      </c>
      <c r="R7" s="300">
        <f t="shared" si="7"/>
        <v>2163026.7911310773</v>
      </c>
    </row>
    <row r="8" spans="1:18" x14ac:dyDescent="0.25">
      <c r="A8" s="151">
        <v>5</v>
      </c>
      <c r="B8" s="152" t="s">
        <v>4</v>
      </c>
      <c r="C8" s="153" t="s">
        <v>153</v>
      </c>
      <c r="D8" s="200">
        <v>394000</v>
      </c>
      <c r="E8" s="173">
        <v>996000</v>
      </c>
      <c r="F8" s="202">
        <f t="shared" si="0"/>
        <v>1390000</v>
      </c>
      <c r="G8" s="262">
        <f t="shared" si="1"/>
        <v>270600</v>
      </c>
      <c r="H8" s="242">
        <v>1353000</v>
      </c>
      <c r="I8" s="261">
        <f t="shared" si="2"/>
        <v>1623600</v>
      </c>
      <c r="J8" s="146">
        <v>899500</v>
      </c>
      <c r="K8" s="146">
        <v>836543.53724479023</v>
      </c>
      <c r="L8" s="146">
        <v>1736043.5372447902</v>
      </c>
      <c r="M8" s="203">
        <f t="shared" si="3"/>
        <v>270600</v>
      </c>
      <c r="N8" s="203">
        <f t="shared" si="3"/>
        <v>836543.53724479023</v>
      </c>
      <c r="O8" s="203">
        <f t="shared" si="4"/>
        <v>1107143.5372447902</v>
      </c>
      <c r="P8" s="301">
        <f t="shared" si="5"/>
        <v>251658</v>
      </c>
      <c r="Q8" s="301">
        <f t="shared" si="6"/>
        <v>777985.48963765497</v>
      </c>
      <c r="R8" s="300">
        <f t="shared" si="7"/>
        <v>1029643.489637655</v>
      </c>
    </row>
    <row r="9" spans="1:18" x14ac:dyDescent="0.25">
      <c r="A9" s="151">
        <v>6</v>
      </c>
      <c r="B9" s="152" t="s">
        <v>96</v>
      </c>
      <c r="C9" s="153" t="s">
        <v>153</v>
      </c>
      <c r="D9" s="200">
        <v>258000</v>
      </c>
      <c r="E9" s="173">
        <v>652000</v>
      </c>
      <c r="F9" s="202">
        <f t="shared" si="0"/>
        <v>910000</v>
      </c>
      <c r="G9" s="262">
        <f t="shared" si="1"/>
        <v>177200</v>
      </c>
      <c r="H9" s="242">
        <v>886000</v>
      </c>
      <c r="I9" s="261">
        <f t="shared" si="2"/>
        <v>1063200</v>
      </c>
      <c r="J9" s="146">
        <v>899500</v>
      </c>
      <c r="K9" s="146">
        <v>547249.18765508465</v>
      </c>
      <c r="L9" s="146">
        <v>1446749.1876550848</v>
      </c>
      <c r="M9" s="203">
        <f t="shared" si="3"/>
        <v>177200</v>
      </c>
      <c r="N9" s="203">
        <f t="shared" si="3"/>
        <v>547249.18765508465</v>
      </c>
      <c r="O9" s="203">
        <f t="shared" si="4"/>
        <v>724449.18765508465</v>
      </c>
      <c r="P9" s="301">
        <f t="shared" si="5"/>
        <v>164796</v>
      </c>
      <c r="Q9" s="301">
        <f t="shared" si="6"/>
        <v>508941.7445192287</v>
      </c>
      <c r="R9" s="300">
        <f t="shared" si="7"/>
        <v>673737.7445192287</v>
      </c>
    </row>
    <row r="10" spans="1:18" x14ac:dyDescent="0.25">
      <c r="A10" s="151">
        <v>7</v>
      </c>
      <c r="B10" s="152" t="s">
        <v>8</v>
      </c>
      <c r="C10" s="153" t="s">
        <v>153</v>
      </c>
      <c r="D10" s="200">
        <v>47000</v>
      </c>
      <c r="E10" s="173">
        <v>107000</v>
      </c>
      <c r="F10" s="202">
        <f t="shared" si="0"/>
        <v>154000</v>
      </c>
      <c r="G10" s="262">
        <f t="shared" si="1"/>
        <v>30200</v>
      </c>
      <c r="H10" s="242">
        <v>151000</v>
      </c>
      <c r="I10" s="261">
        <f t="shared" si="2"/>
        <v>181200</v>
      </c>
      <c r="J10" s="146">
        <v>297500</v>
      </c>
      <c r="K10" s="146">
        <v>79406.148149123997</v>
      </c>
      <c r="L10" s="146">
        <v>376906.148149124</v>
      </c>
      <c r="M10" s="203">
        <f t="shared" si="3"/>
        <v>30200</v>
      </c>
      <c r="N10" s="203">
        <f t="shared" si="3"/>
        <v>79406.148149123997</v>
      </c>
      <c r="O10" s="203">
        <f t="shared" si="4"/>
        <v>109606.148149124</v>
      </c>
      <c r="P10" s="301">
        <f t="shared" si="5"/>
        <v>28086</v>
      </c>
      <c r="Q10" s="301">
        <f t="shared" si="6"/>
        <v>73847.717778685314</v>
      </c>
      <c r="R10" s="300">
        <f t="shared" si="7"/>
        <v>101933.71777868531</v>
      </c>
    </row>
    <row r="11" spans="1:18" x14ac:dyDescent="0.25">
      <c r="A11" s="151">
        <v>8</v>
      </c>
      <c r="B11" s="152" t="s">
        <v>157</v>
      </c>
      <c r="C11" s="153" t="s">
        <v>153</v>
      </c>
      <c r="D11" s="200">
        <v>75000</v>
      </c>
      <c r="E11" s="173">
        <v>172000</v>
      </c>
      <c r="F11" s="202">
        <f t="shared" si="0"/>
        <v>247000</v>
      </c>
      <c r="G11" s="262">
        <f t="shared" si="1"/>
        <v>48200</v>
      </c>
      <c r="H11" s="242">
        <v>241000</v>
      </c>
      <c r="I11" s="261">
        <f t="shared" si="2"/>
        <v>289200</v>
      </c>
      <c r="J11" s="146">
        <v>399500</v>
      </c>
      <c r="K11" s="146">
        <v>127349.83703859839</v>
      </c>
      <c r="L11" s="146">
        <v>526849.83703859837</v>
      </c>
      <c r="M11" s="203">
        <f t="shared" si="3"/>
        <v>48200</v>
      </c>
      <c r="N11" s="203">
        <f t="shared" si="3"/>
        <v>127349.83703859839</v>
      </c>
      <c r="O11" s="203">
        <f t="shared" si="4"/>
        <v>175549.83703859837</v>
      </c>
      <c r="P11" s="301">
        <f t="shared" si="5"/>
        <v>44826</v>
      </c>
      <c r="Q11" s="301">
        <f t="shared" si="6"/>
        <v>118435.3484458965</v>
      </c>
      <c r="R11" s="300">
        <f t="shared" si="7"/>
        <v>163261.3484458965</v>
      </c>
    </row>
    <row r="12" spans="1:18" x14ac:dyDescent="0.25">
      <c r="A12" s="151">
        <v>9</v>
      </c>
      <c r="B12" s="152" t="s">
        <v>10</v>
      </c>
      <c r="C12" s="153" t="s">
        <v>153</v>
      </c>
      <c r="D12" s="200">
        <v>65000</v>
      </c>
      <c r="E12" s="173">
        <v>149000</v>
      </c>
      <c r="F12" s="202">
        <f t="shared" si="0"/>
        <v>214000</v>
      </c>
      <c r="G12" s="262">
        <f t="shared" si="1"/>
        <v>41600</v>
      </c>
      <c r="H12" s="242">
        <v>208000</v>
      </c>
      <c r="I12" s="261">
        <f t="shared" si="2"/>
        <v>249600</v>
      </c>
      <c r="J12" s="146">
        <v>149500</v>
      </c>
      <c r="K12" s="146">
        <v>109808.83939690269</v>
      </c>
      <c r="L12" s="146">
        <v>259308.83939690271</v>
      </c>
      <c r="M12" s="203">
        <f t="shared" si="3"/>
        <v>41600</v>
      </c>
      <c r="N12" s="203">
        <f t="shared" si="3"/>
        <v>109808.83939690269</v>
      </c>
      <c r="O12" s="203">
        <f t="shared" si="4"/>
        <v>151408.83939690271</v>
      </c>
      <c r="P12" s="301">
        <f t="shared" si="5"/>
        <v>38688</v>
      </c>
      <c r="Q12" s="301">
        <f t="shared" si="6"/>
        <v>102122.22063911951</v>
      </c>
      <c r="R12" s="300">
        <f t="shared" si="7"/>
        <v>140810.22063911951</v>
      </c>
    </row>
    <row r="13" spans="1:18" x14ac:dyDescent="0.25">
      <c r="A13" s="151">
        <v>10</v>
      </c>
      <c r="B13" s="152" t="s">
        <v>65</v>
      </c>
      <c r="C13" s="153" t="s">
        <v>153</v>
      </c>
      <c r="D13" s="200">
        <v>223000</v>
      </c>
      <c r="E13" s="173">
        <v>514000</v>
      </c>
      <c r="F13" s="202">
        <f t="shared" si="0"/>
        <v>737000</v>
      </c>
      <c r="G13" s="262">
        <f t="shared" si="1"/>
        <v>143400</v>
      </c>
      <c r="H13" s="242">
        <v>717000</v>
      </c>
      <c r="I13" s="261">
        <f t="shared" si="2"/>
        <v>860400</v>
      </c>
      <c r="J13" s="146">
        <v>649500</v>
      </c>
      <c r="K13" s="146">
        <v>380356.69736230659</v>
      </c>
      <c r="L13" s="146">
        <v>1029856.6973623065</v>
      </c>
      <c r="M13" s="203">
        <f t="shared" si="3"/>
        <v>143400</v>
      </c>
      <c r="N13" s="203">
        <f t="shared" si="3"/>
        <v>380356.69736230659</v>
      </c>
      <c r="O13" s="203">
        <f t="shared" si="4"/>
        <v>523756.69736230659</v>
      </c>
      <c r="P13" s="301">
        <f t="shared" si="5"/>
        <v>133362</v>
      </c>
      <c r="Q13" s="301">
        <f t="shared" si="6"/>
        <v>353731.72854694515</v>
      </c>
      <c r="R13" s="300">
        <f t="shared" si="7"/>
        <v>487093.72854694515</v>
      </c>
    </row>
    <row r="14" spans="1:18" x14ac:dyDescent="0.25">
      <c r="A14" s="151">
        <v>11</v>
      </c>
      <c r="B14" s="152" t="s">
        <v>9</v>
      </c>
      <c r="C14" s="153" t="s">
        <v>153</v>
      </c>
      <c r="D14" s="200">
        <v>53000</v>
      </c>
      <c r="E14" s="173">
        <v>122000</v>
      </c>
      <c r="F14" s="202">
        <f t="shared" si="0"/>
        <v>175000</v>
      </c>
      <c r="G14" s="262">
        <f t="shared" si="1"/>
        <v>34200</v>
      </c>
      <c r="H14" s="242">
        <v>171000</v>
      </c>
      <c r="I14" s="261">
        <f t="shared" si="2"/>
        <v>205200</v>
      </c>
      <c r="J14" s="146">
        <v>249500</v>
      </c>
      <c r="K14" s="146">
        <v>90273.38429740486</v>
      </c>
      <c r="L14" s="146">
        <v>339773.38429740485</v>
      </c>
      <c r="M14" s="203">
        <f t="shared" si="3"/>
        <v>34200</v>
      </c>
      <c r="N14" s="203">
        <f t="shared" si="3"/>
        <v>90273.38429740486</v>
      </c>
      <c r="O14" s="203">
        <f t="shared" si="4"/>
        <v>124473.38429740486</v>
      </c>
      <c r="P14" s="301">
        <f t="shared" si="5"/>
        <v>31806</v>
      </c>
      <c r="Q14" s="301">
        <f t="shared" si="6"/>
        <v>83954.247396586521</v>
      </c>
      <c r="R14" s="300">
        <f t="shared" si="7"/>
        <v>115760.24739658652</v>
      </c>
    </row>
    <row r="15" spans="1:18" x14ac:dyDescent="0.25">
      <c r="A15" s="151">
        <v>12</v>
      </c>
      <c r="B15" s="152" t="s">
        <v>370</v>
      </c>
      <c r="C15" s="153" t="s">
        <v>153</v>
      </c>
      <c r="D15" s="200">
        <v>47000</v>
      </c>
      <c r="E15" s="173">
        <v>108000</v>
      </c>
      <c r="F15" s="202">
        <f t="shared" si="0"/>
        <v>155000</v>
      </c>
      <c r="G15" s="262">
        <f t="shared" si="1"/>
        <v>30200</v>
      </c>
      <c r="H15" s="242">
        <v>151000</v>
      </c>
      <c r="I15" s="261">
        <f t="shared" si="2"/>
        <v>181200</v>
      </c>
      <c r="J15" s="146">
        <v>249500</v>
      </c>
      <c r="K15" s="146">
        <v>80066.705640490094</v>
      </c>
      <c r="L15" s="146">
        <v>329566.70564049011</v>
      </c>
      <c r="M15" s="203">
        <f t="shared" si="3"/>
        <v>30200</v>
      </c>
      <c r="N15" s="203">
        <f t="shared" si="3"/>
        <v>80066.705640490094</v>
      </c>
      <c r="O15" s="203">
        <f t="shared" si="4"/>
        <v>110266.70564049009</v>
      </c>
      <c r="P15" s="301">
        <f t="shared" si="5"/>
        <v>28086</v>
      </c>
      <c r="Q15" s="301">
        <f t="shared" si="6"/>
        <v>74462.036245655792</v>
      </c>
      <c r="R15" s="300">
        <f t="shared" si="7"/>
        <v>102548.03624565579</v>
      </c>
    </row>
    <row r="16" spans="1:18" x14ac:dyDescent="0.25">
      <c r="A16" s="151">
        <v>13</v>
      </c>
      <c r="B16" s="158" t="s">
        <v>158</v>
      </c>
      <c r="C16" s="153" t="s">
        <v>153</v>
      </c>
      <c r="D16" s="200">
        <v>903000</v>
      </c>
      <c r="E16" s="173">
        <v>4426000</v>
      </c>
      <c r="F16" s="202">
        <f t="shared" si="0"/>
        <v>5329000</v>
      </c>
      <c r="G16" s="262">
        <f t="shared" si="1"/>
        <v>1037400</v>
      </c>
      <c r="H16" s="242">
        <v>5187000</v>
      </c>
      <c r="I16" s="261">
        <f t="shared" si="2"/>
        <v>6224400</v>
      </c>
      <c r="J16" s="146">
        <v>799500</v>
      </c>
      <c r="K16" s="146">
        <v>3717264.5887209591</v>
      </c>
      <c r="L16" s="146">
        <v>4516764.5887209587</v>
      </c>
      <c r="M16" s="203">
        <f t="shared" si="3"/>
        <v>799500</v>
      </c>
      <c r="N16" s="203">
        <f t="shared" si="3"/>
        <v>3717264.5887209591</v>
      </c>
      <c r="O16" s="203">
        <f t="shared" si="4"/>
        <v>4516764.5887209587</v>
      </c>
      <c r="P16" s="301">
        <f t="shared" si="5"/>
        <v>743535</v>
      </c>
      <c r="Q16" s="301">
        <f t="shared" si="6"/>
        <v>3457056.0675104922</v>
      </c>
      <c r="R16" s="300">
        <f t="shared" si="7"/>
        <v>4200591.0675104922</v>
      </c>
    </row>
    <row r="17" spans="1:18" x14ac:dyDescent="0.25">
      <c r="A17" s="151">
        <v>14</v>
      </c>
      <c r="B17" s="152" t="s">
        <v>2</v>
      </c>
      <c r="C17" s="153" t="s">
        <v>153</v>
      </c>
      <c r="D17" s="200">
        <v>179000</v>
      </c>
      <c r="E17" s="173">
        <v>413000</v>
      </c>
      <c r="F17" s="202">
        <f t="shared" si="0"/>
        <v>592000</v>
      </c>
      <c r="G17" s="262">
        <f t="shared" si="1"/>
        <v>115400</v>
      </c>
      <c r="H17" s="242">
        <v>577000</v>
      </c>
      <c r="I17" s="261">
        <f t="shared" si="2"/>
        <v>692400</v>
      </c>
      <c r="J17" s="146">
        <v>549500</v>
      </c>
      <c r="K17" s="146">
        <v>305526.69701213244</v>
      </c>
      <c r="L17" s="146">
        <v>855026.6970121325</v>
      </c>
      <c r="M17" s="203">
        <f t="shared" si="3"/>
        <v>115400</v>
      </c>
      <c r="N17" s="203">
        <f t="shared" si="3"/>
        <v>305526.69701213244</v>
      </c>
      <c r="O17" s="203">
        <f t="shared" si="4"/>
        <v>420926.69701213244</v>
      </c>
      <c r="P17" s="301">
        <f t="shared" si="5"/>
        <v>107322</v>
      </c>
      <c r="Q17" s="301">
        <f t="shared" si="6"/>
        <v>284139.82822128315</v>
      </c>
      <c r="R17" s="300">
        <f t="shared" si="7"/>
        <v>391461.82822128315</v>
      </c>
    </row>
    <row r="18" spans="1:18" x14ac:dyDescent="0.25">
      <c r="A18" s="151">
        <v>15</v>
      </c>
      <c r="B18" s="152" t="s">
        <v>3</v>
      </c>
      <c r="C18" s="153" t="s">
        <v>153</v>
      </c>
      <c r="D18" s="200">
        <v>178000</v>
      </c>
      <c r="E18" s="173">
        <v>411000</v>
      </c>
      <c r="F18" s="202">
        <f t="shared" si="0"/>
        <v>589000</v>
      </c>
      <c r="G18" s="262">
        <f t="shared" si="1"/>
        <v>114800</v>
      </c>
      <c r="H18" s="242">
        <v>574000</v>
      </c>
      <c r="I18" s="261">
        <f t="shared" si="2"/>
        <v>688800</v>
      </c>
      <c r="J18" s="146">
        <v>549500</v>
      </c>
      <c r="K18" s="146">
        <v>303695.24809655454</v>
      </c>
      <c r="L18" s="146">
        <v>853195.24809655454</v>
      </c>
      <c r="M18" s="203">
        <f t="shared" si="3"/>
        <v>114800</v>
      </c>
      <c r="N18" s="203">
        <f t="shared" si="3"/>
        <v>303695.24809655454</v>
      </c>
      <c r="O18" s="203">
        <f t="shared" si="4"/>
        <v>418495.24809655454</v>
      </c>
      <c r="P18" s="301">
        <f t="shared" si="5"/>
        <v>106764</v>
      </c>
      <c r="Q18" s="301">
        <f t="shared" si="6"/>
        <v>282436.58072979574</v>
      </c>
      <c r="R18" s="300">
        <f t="shared" si="7"/>
        <v>389200.58072979574</v>
      </c>
    </row>
    <row r="19" spans="1:18" x14ac:dyDescent="0.25">
      <c r="A19" s="151">
        <v>16</v>
      </c>
      <c r="B19" s="152" t="s">
        <v>15</v>
      </c>
      <c r="C19" s="153" t="s">
        <v>153</v>
      </c>
      <c r="D19" s="200">
        <v>427000</v>
      </c>
      <c r="E19" s="173">
        <v>985000</v>
      </c>
      <c r="F19" s="202">
        <f t="shared" si="0"/>
        <v>1412000</v>
      </c>
      <c r="G19" s="262">
        <f t="shared" si="1"/>
        <v>275000</v>
      </c>
      <c r="H19" s="242">
        <v>1375000</v>
      </c>
      <c r="I19" s="261">
        <f t="shared" si="2"/>
        <v>1650000</v>
      </c>
      <c r="J19" s="146">
        <v>649500</v>
      </c>
      <c r="K19" s="146">
        <v>728689.41471902875</v>
      </c>
      <c r="L19" s="146">
        <v>1378189.4147190289</v>
      </c>
      <c r="M19" s="203">
        <f t="shared" si="3"/>
        <v>275000</v>
      </c>
      <c r="N19" s="203">
        <f t="shared" si="3"/>
        <v>728689.41471902875</v>
      </c>
      <c r="O19" s="203">
        <f t="shared" si="4"/>
        <v>1003689.4147190287</v>
      </c>
      <c r="P19" s="301">
        <f t="shared" si="5"/>
        <v>255750</v>
      </c>
      <c r="Q19" s="301">
        <f t="shared" si="6"/>
        <v>677681.15568869677</v>
      </c>
      <c r="R19" s="300">
        <f t="shared" si="7"/>
        <v>933431.15568869677</v>
      </c>
    </row>
    <row r="20" spans="1:18" x14ac:dyDescent="0.25">
      <c r="A20" s="151">
        <v>17</v>
      </c>
      <c r="B20" s="152" t="s">
        <v>105</v>
      </c>
      <c r="C20" s="153" t="s">
        <v>153</v>
      </c>
      <c r="D20" s="200">
        <v>162000</v>
      </c>
      <c r="E20" s="173">
        <v>374000</v>
      </c>
      <c r="F20" s="202">
        <f t="shared" si="0"/>
        <v>536000</v>
      </c>
      <c r="G20" s="262">
        <f t="shared" si="1"/>
        <v>104400</v>
      </c>
      <c r="H20" s="242">
        <v>522000</v>
      </c>
      <c r="I20" s="261">
        <f t="shared" si="2"/>
        <v>626400</v>
      </c>
      <c r="J20" s="146">
        <v>549500</v>
      </c>
      <c r="K20" s="146">
        <v>276625.17593424849</v>
      </c>
      <c r="L20" s="146">
        <v>826125.17593424849</v>
      </c>
      <c r="M20" s="203">
        <f t="shared" si="3"/>
        <v>104400</v>
      </c>
      <c r="N20" s="203">
        <f t="shared" si="3"/>
        <v>276625.17593424849</v>
      </c>
      <c r="O20" s="203">
        <f t="shared" si="4"/>
        <v>381025.17593424849</v>
      </c>
      <c r="P20" s="301">
        <f t="shared" si="5"/>
        <v>97092</v>
      </c>
      <c r="Q20" s="301">
        <f t="shared" si="6"/>
        <v>257261.4136188511</v>
      </c>
      <c r="R20" s="300">
        <f t="shared" si="7"/>
        <v>354353.4136188511</v>
      </c>
    </row>
    <row r="21" spans="1:18" x14ac:dyDescent="0.25">
      <c r="A21" s="151">
        <v>18</v>
      </c>
      <c r="B21" s="152" t="s">
        <v>106</v>
      </c>
      <c r="C21" s="153" t="s">
        <v>153</v>
      </c>
      <c r="D21" s="200">
        <v>178000</v>
      </c>
      <c r="E21" s="173">
        <v>410000</v>
      </c>
      <c r="F21" s="202">
        <f t="shared" si="0"/>
        <v>588000</v>
      </c>
      <c r="G21" s="262">
        <f t="shared" si="1"/>
        <v>114400</v>
      </c>
      <c r="H21" s="242">
        <v>572000</v>
      </c>
      <c r="I21" s="261">
        <f t="shared" si="2"/>
        <v>686400</v>
      </c>
      <c r="J21" s="146">
        <v>474500</v>
      </c>
      <c r="K21" s="146">
        <v>303143.36296667124</v>
      </c>
      <c r="L21" s="146">
        <v>777643.36296667124</v>
      </c>
      <c r="M21" s="203">
        <f t="shared" si="3"/>
        <v>114400</v>
      </c>
      <c r="N21" s="203">
        <f t="shared" si="3"/>
        <v>303143.36296667124</v>
      </c>
      <c r="O21" s="203">
        <f t="shared" si="4"/>
        <v>417543.36296667124</v>
      </c>
      <c r="P21" s="301">
        <f t="shared" si="5"/>
        <v>106392</v>
      </c>
      <c r="Q21" s="301">
        <f t="shared" si="6"/>
        <v>281923.32755900425</v>
      </c>
      <c r="R21" s="300">
        <f t="shared" si="7"/>
        <v>388315.32755900425</v>
      </c>
    </row>
    <row r="22" spans="1:18" x14ac:dyDescent="0.25">
      <c r="A22" s="151">
        <v>19</v>
      </c>
      <c r="B22" s="152" t="s">
        <v>6</v>
      </c>
      <c r="C22" s="153" t="s">
        <v>153</v>
      </c>
      <c r="D22" s="200">
        <v>137000</v>
      </c>
      <c r="E22" s="173">
        <v>316000</v>
      </c>
      <c r="F22" s="202">
        <f t="shared" si="0"/>
        <v>453000</v>
      </c>
      <c r="G22" s="262">
        <f t="shared" si="1"/>
        <v>88400</v>
      </c>
      <c r="H22" s="242">
        <v>442000</v>
      </c>
      <c r="I22" s="261">
        <f t="shared" si="2"/>
        <v>530400</v>
      </c>
      <c r="J22" s="146">
        <v>374500</v>
      </c>
      <c r="K22" s="146">
        <v>233891.36790409707</v>
      </c>
      <c r="L22" s="146">
        <v>608391.36790409707</v>
      </c>
      <c r="M22" s="203">
        <f t="shared" si="3"/>
        <v>88400</v>
      </c>
      <c r="N22" s="203">
        <f t="shared" si="3"/>
        <v>233891.36790409707</v>
      </c>
      <c r="O22" s="203">
        <f t="shared" si="4"/>
        <v>322291.36790409707</v>
      </c>
      <c r="P22" s="301">
        <f t="shared" si="5"/>
        <v>82212</v>
      </c>
      <c r="Q22" s="301">
        <f t="shared" si="6"/>
        <v>217518.97215081027</v>
      </c>
      <c r="R22" s="300">
        <f t="shared" si="7"/>
        <v>299730.9721508103</v>
      </c>
    </row>
    <row r="23" spans="1:18" x14ac:dyDescent="0.25">
      <c r="A23" s="151">
        <v>20</v>
      </c>
      <c r="B23" s="152" t="s">
        <v>159</v>
      </c>
      <c r="C23" s="153" t="s">
        <v>153</v>
      </c>
      <c r="D23" s="200">
        <v>494000</v>
      </c>
      <c r="E23" s="173">
        <v>1250000</v>
      </c>
      <c r="F23" s="202">
        <f t="shared" si="0"/>
        <v>1744000</v>
      </c>
      <c r="G23" s="262">
        <f t="shared" si="1"/>
        <v>339600</v>
      </c>
      <c r="H23" s="242">
        <v>1698000</v>
      </c>
      <c r="I23" s="261">
        <f t="shared" si="2"/>
        <v>2037600</v>
      </c>
      <c r="J23" s="146">
        <v>474500</v>
      </c>
      <c r="K23" s="146">
        <v>1049663.8885115907</v>
      </c>
      <c r="L23" s="146">
        <v>1524163.8885115907</v>
      </c>
      <c r="M23" s="203">
        <f t="shared" si="3"/>
        <v>339600</v>
      </c>
      <c r="N23" s="203">
        <f t="shared" si="3"/>
        <v>1049663.8885115907</v>
      </c>
      <c r="O23" s="203">
        <f t="shared" si="4"/>
        <v>1389263.8885115907</v>
      </c>
      <c r="P23" s="301">
        <f t="shared" si="5"/>
        <v>315828</v>
      </c>
      <c r="Q23" s="301">
        <f t="shared" si="6"/>
        <v>976187.41631577932</v>
      </c>
      <c r="R23" s="300">
        <f t="shared" si="7"/>
        <v>1292015.4163157793</v>
      </c>
    </row>
    <row r="24" spans="1:18" ht="22.5" x14ac:dyDescent="0.25">
      <c r="A24" s="151">
        <v>21</v>
      </c>
      <c r="B24" s="152" t="s">
        <v>160</v>
      </c>
      <c r="C24" s="153" t="s">
        <v>153</v>
      </c>
      <c r="D24" s="200">
        <v>122000</v>
      </c>
      <c r="E24" s="173">
        <v>281000</v>
      </c>
      <c r="F24" s="202">
        <f t="shared" si="0"/>
        <v>403000</v>
      </c>
      <c r="G24" s="262">
        <f t="shared" si="1"/>
        <v>78600</v>
      </c>
      <c r="H24" s="242">
        <v>393000</v>
      </c>
      <c r="I24" s="261">
        <f t="shared" si="2"/>
        <v>471600</v>
      </c>
      <c r="J24" s="146">
        <v>184500</v>
      </c>
      <c r="K24" s="146">
        <v>239800</v>
      </c>
      <c r="L24" s="146">
        <v>424300</v>
      </c>
      <c r="M24" s="203">
        <f t="shared" si="3"/>
        <v>78600</v>
      </c>
      <c r="N24" s="203">
        <f t="shared" si="3"/>
        <v>239800</v>
      </c>
      <c r="O24" s="203">
        <f t="shared" si="4"/>
        <v>318400</v>
      </c>
      <c r="P24" s="301">
        <f t="shared" si="5"/>
        <v>73098</v>
      </c>
      <c r="Q24" s="301">
        <f t="shared" si="6"/>
        <v>223014</v>
      </c>
      <c r="R24" s="300">
        <f t="shared" si="7"/>
        <v>296112</v>
      </c>
    </row>
    <row r="25" spans="1:18" x14ac:dyDescent="0.25">
      <c r="A25" s="151">
        <v>22</v>
      </c>
      <c r="B25" s="152" t="s">
        <v>107</v>
      </c>
      <c r="C25" s="153" t="s">
        <v>153</v>
      </c>
      <c r="D25" s="200">
        <v>225000</v>
      </c>
      <c r="E25" s="173">
        <v>588000</v>
      </c>
      <c r="F25" s="202">
        <f t="shared" si="0"/>
        <v>813000</v>
      </c>
      <c r="G25" s="262">
        <f t="shared" si="1"/>
        <v>158400</v>
      </c>
      <c r="H25" s="242">
        <v>792000</v>
      </c>
      <c r="I25" s="261">
        <f t="shared" si="2"/>
        <v>950400</v>
      </c>
      <c r="J25" s="146">
        <v>199500</v>
      </c>
      <c r="K25" s="146">
        <v>523785.54631257564</v>
      </c>
      <c r="L25" s="146">
        <v>723285.54631257569</v>
      </c>
      <c r="M25" s="203">
        <f t="shared" si="3"/>
        <v>158400</v>
      </c>
      <c r="N25" s="203">
        <f t="shared" si="3"/>
        <v>523785.54631257564</v>
      </c>
      <c r="O25" s="203">
        <f t="shared" si="4"/>
        <v>682185.54631257569</v>
      </c>
      <c r="P25" s="301">
        <f t="shared" si="5"/>
        <v>147312</v>
      </c>
      <c r="Q25" s="301">
        <f t="shared" si="6"/>
        <v>487120.55807069532</v>
      </c>
      <c r="R25" s="300">
        <f t="shared" si="7"/>
        <v>634432.55807069526</v>
      </c>
    </row>
    <row r="26" spans="1:18" x14ac:dyDescent="0.25">
      <c r="A26" s="151">
        <v>23</v>
      </c>
      <c r="B26" s="158" t="s">
        <v>132</v>
      </c>
      <c r="C26" s="153" t="s">
        <v>153</v>
      </c>
      <c r="D26" s="200">
        <v>432000</v>
      </c>
      <c r="E26" s="173">
        <v>640000</v>
      </c>
      <c r="F26" s="202">
        <f t="shared" si="0"/>
        <v>1072000</v>
      </c>
      <c r="G26" s="262">
        <f t="shared" si="1"/>
        <v>208600</v>
      </c>
      <c r="H26" s="242">
        <v>1043000</v>
      </c>
      <c r="I26" s="261">
        <f t="shared" si="2"/>
        <v>1251600</v>
      </c>
      <c r="J26" s="146">
        <v>384500</v>
      </c>
      <c r="K26" s="146">
        <v>735708.3707724479</v>
      </c>
      <c r="L26" s="146">
        <v>1120208.3707724479</v>
      </c>
      <c r="M26" s="203">
        <f t="shared" si="3"/>
        <v>208600</v>
      </c>
      <c r="N26" s="203">
        <f t="shared" si="3"/>
        <v>640000</v>
      </c>
      <c r="O26" s="203">
        <f t="shared" si="4"/>
        <v>848600</v>
      </c>
      <c r="P26" s="301">
        <f t="shared" si="5"/>
        <v>193998</v>
      </c>
      <c r="Q26" s="301">
        <f t="shared" si="6"/>
        <v>595200</v>
      </c>
      <c r="R26" s="300">
        <f t="shared" si="7"/>
        <v>789198</v>
      </c>
    </row>
    <row r="27" spans="1:18" x14ac:dyDescent="0.25">
      <c r="A27" s="151">
        <v>24</v>
      </c>
      <c r="B27" s="158" t="s">
        <v>149</v>
      </c>
      <c r="C27" s="153" t="s">
        <v>153</v>
      </c>
      <c r="D27" s="200">
        <v>157000</v>
      </c>
      <c r="E27" s="173">
        <v>362000</v>
      </c>
      <c r="F27" s="202">
        <f t="shared" si="0"/>
        <v>519000</v>
      </c>
      <c r="G27" s="262">
        <f t="shared" si="1"/>
        <v>101200</v>
      </c>
      <c r="H27" s="242">
        <v>506000</v>
      </c>
      <c r="I27" s="261">
        <f t="shared" si="2"/>
        <v>607200</v>
      </c>
      <c r="J27" s="146">
        <v>384500</v>
      </c>
      <c r="K27" s="146">
        <v>267871.72375833918</v>
      </c>
      <c r="L27" s="146">
        <v>652371.72375833918</v>
      </c>
      <c r="M27" s="203">
        <f t="shared" si="3"/>
        <v>101200</v>
      </c>
      <c r="N27" s="203">
        <f t="shared" si="3"/>
        <v>267871.72375833918</v>
      </c>
      <c r="O27" s="203">
        <f t="shared" si="4"/>
        <v>369071.72375833918</v>
      </c>
      <c r="P27" s="301">
        <f t="shared" si="5"/>
        <v>94116</v>
      </c>
      <c r="Q27" s="301">
        <f t="shared" si="6"/>
        <v>249120.70309525545</v>
      </c>
      <c r="R27" s="300">
        <f t="shared" si="7"/>
        <v>343236.70309525542</v>
      </c>
    </row>
    <row r="28" spans="1:18" x14ac:dyDescent="0.25">
      <c r="A28" s="151">
        <v>25</v>
      </c>
      <c r="B28" s="152" t="s">
        <v>11</v>
      </c>
      <c r="C28" s="153" t="s">
        <v>153</v>
      </c>
      <c r="D28" s="200">
        <v>82000</v>
      </c>
      <c r="E28" s="173">
        <v>188000</v>
      </c>
      <c r="F28" s="202">
        <f t="shared" si="0"/>
        <v>270000</v>
      </c>
      <c r="G28" s="262">
        <f t="shared" si="1"/>
        <v>52600</v>
      </c>
      <c r="H28" s="242">
        <v>263000</v>
      </c>
      <c r="I28" s="261">
        <f t="shared" si="2"/>
        <v>315600</v>
      </c>
      <c r="J28" s="146">
        <v>109500</v>
      </c>
      <c r="K28" s="146">
        <v>139182.98083653656</v>
      </c>
      <c r="L28" s="146">
        <v>248682.98083653656</v>
      </c>
      <c r="M28" s="203">
        <f t="shared" si="3"/>
        <v>52600</v>
      </c>
      <c r="N28" s="203">
        <f t="shared" si="3"/>
        <v>139182.98083653656</v>
      </c>
      <c r="O28" s="203">
        <f t="shared" si="4"/>
        <v>191782.98083653656</v>
      </c>
      <c r="P28" s="301">
        <f t="shared" si="5"/>
        <v>48918</v>
      </c>
      <c r="Q28" s="301">
        <f t="shared" si="6"/>
        <v>129440.172177979</v>
      </c>
      <c r="R28" s="300">
        <f t="shared" si="7"/>
        <v>178358.172177979</v>
      </c>
    </row>
    <row r="29" spans="1:18" x14ac:dyDescent="0.25">
      <c r="A29" s="151">
        <v>26</v>
      </c>
      <c r="B29" s="158" t="s">
        <v>66</v>
      </c>
      <c r="C29" s="153" t="s">
        <v>153</v>
      </c>
      <c r="D29" s="200">
        <v>109000</v>
      </c>
      <c r="E29" s="173">
        <v>251000</v>
      </c>
      <c r="F29" s="202">
        <f t="shared" si="0"/>
        <v>360000</v>
      </c>
      <c r="G29" s="262">
        <f t="shared" si="1"/>
        <v>70200</v>
      </c>
      <c r="H29" s="242">
        <v>351000</v>
      </c>
      <c r="I29" s="261">
        <f t="shared" si="2"/>
        <v>421200</v>
      </c>
      <c r="J29" s="146">
        <v>109500</v>
      </c>
      <c r="K29" s="146">
        <v>185947.67901462273</v>
      </c>
      <c r="L29" s="146">
        <v>295447.6790146227</v>
      </c>
      <c r="M29" s="203">
        <f t="shared" si="3"/>
        <v>70200</v>
      </c>
      <c r="N29" s="203">
        <f t="shared" si="3"/>
        <v>185947.67901462273</v>
      </c>
      <c r="O29" s="203">
        <f t="shared" si="4"/>
        <v>256147.67901462273</v>
      </c>
      <c r="P29" s="301">
        <f t="shared" si="5"/>
        <v>65286</v>
      </c>
      <c r="Q29" s="301">
        <f t="shared" si="6"/>
        <v>172931.34148359913</v>
      </c>
      <c r="R29" s="300">
        <f t="shared" si="7"/>
        <v>238217.34148359913</v>
      </c>
    </row>
    <row r="30" spans="1:18" x14ac:dyDescent="0.25">
      <c r="A30" s="151">
        <v>27</v>
      </c>
      <c r="B30" s="152" t="s">
        <v>13</v>
      </c>
      <c r="C30" s="153" t="s">
        <v>153</v>
      </c>
      <c r="D30" s="200">
        <v>152000</v>
      </c>
      <c r="E30" s="173">
        <v>1137000</v>
      </c>
      <c r="F30" s="202">
        <f t="shared" si="0"/>
        <v>1289000</v>
      </c>
      <c r="G30" s="262">
        <f t="shared" si="1"/>
        <v>251000</v>
      </c>
      <c r="H30" s="242">
        <v>1255000</v>
      </c>
      <c r="I30" s="261">
        <f t="shared" si="2"/>
        <v>1506000</v>
      </c>
      <c r="J30" s="146">
        <v>134500</v>
      </c>
      <c r="K30" s="146">
        <v>841109.3958583374</v>
      </c>
      <c r="L30" s="146">
        <v>975609.3958583374</v>
      </c>
      <c r="M30" s="203">
        <f t="shared" si="3"/>
        <v>134500</v>
      </c>
      <c r="N30" s="203">
        <f t="shared" si="3"/>
        <v>841109.3958583374</v>
      </c>
      <c r="O30" s="203">
        <f t="shared" si="4"/>
        <v>975609.3958583374</v>
      </c>
      <c r="P30" s="301">
        <f t="shared" si="5"/>
        <v>125085</v>
      </c>
      <c r="Q30" s="301">
        <f t="shared" si="6"/>
        <v>782231.73814825376</v>
      </c>
      <c r="R30" s="300">
        <f t="shared" si="7"/>
        <v>907316.73814825376</v>
      </c>
    </row>
    <row r="31" spans="1:18" x14ac:dyDescent="0.25">
      <c r="A31" s="151">
        <v>28</v>
      </c>
      <c r="B31" s="152" t="s">
        <v>151</v>
      </c>
      <c r="C31" s="153" t="s">
        <v>153</v>
      </c>
      <c r="D31" s="200">
        <v>52000</v>
      </c>
      <c r="E31" s="173">
        <v>120000</v>
      </c>
      <c r="F31" s="202">
        <f t="shared" si="0"/>
        <v>172000</v>
      </c>
      <c r="G31" s="262">
        <f t="shared" si="1"/>
        <v>33600</v>
      </c>
      <c r="H31" s="242">
        <v>168000</v>
      </c>
      <c r="I31" s="261">
        <f t="shared" si="2"/>
        <v>201600</v>
      </c>
      <c r="J31" s="146">
        <v>65500</v>
      </c>
      <c r="K31" s="146">
        <v>88892.60605738801</v>
      </c>
      <c r="L31" s="146">
        <v>154392.60605738801</v>
      </c>
      <c r="M31" s="203">
        <f t="shared" si="3"/>
        <v>33600</v>
      </c>
      <c r="N31" s="203">
        <f t="shared" si="3"/>
        <v>88892.60605738801</v>
      </c>
      <c r="O31" s="203">
        <f t="shared" si="4"/>
        <v>122492.60605738801</v>
      </c>
      <c r="P31" s="301">
        <f t="shared" si="5"/>
        <v>31248</v>
      </c>
      <c r="Q31" s="301">
        <f t="shared" si="6"/>
        <v>82670.123633370851</v>
      </c>
      <c r="R31" s="300">
        <f t="shared" si="7"/>
        <v>113918.12363337085</v>
      </c>
    </row>
    <row r="32" spans="1:18" x14ac:dyDescent="0.25">
      <c r="A32" s="151">
        <v>29</v>
      </c>
      <c r="B32" s="152" t="s">
        <v>163</v>
      </c>
      <c r="C32" s="153" t="s">
        <v>153</v>
      </c>
      <c r="D32" s="200">
        <v>46000</v>
      </c>
      <c r="E32" s="173">
        <v>104000</v>
      </c>
      <c r="F32" s="202">
        <f t="shared" si="0"/>
        <v>150000</v>
      </c>
      <c r="G32" s="262">
        <f t="shared" si="1"/>
        <v>29200</v>
      </c>
      <c r="H32" s="242">
        <v>146000</v>
      </c>
      <c r="I32" s="261">
        <f t="shared" si="2"/>
        <v>175200</v>
      </c>
      <c r="J32" s="146">
        <v>99500</v>
      </c>
      <c r="K32" s="146">
        <v>77174.103077491818</v>
      </c>
      <c r="L32" s="146">
        <v>176674.1030774918</v>
      </c>
      <c r="M32" s="203">
        <f t="shared" si="3"/>
        <v>29200</v>
      </c>
      <c r="N32" s="203">
        <f t="shared" si="3"/>
        <v>77174.103077491818</v>
      </c>
      <c r="O32" s="203">
        <f t="shared" si="4"/>
        <v>106374.10307749182</v>
      </c>
      <c r="P32" s="301">
        <f t="shared" si="5"/>
        <v>27156</v>
      </c>
      <c r="Q32" s="301">
        <f t="shared" si="6"/>
        <v>71771.915862067384</v>
      </c>
      <c r="R32" s="300">
        <f t="shared" si="7"/>
        <v>98927.915862067384</v>
      </c>
    </row>
    <row r="33" spans="1:18" x14ac:dyDescent="0.25">
      <c r="A33" s="151">
        <v>30</v>
      </c>
      <c r="B33" s="152" t="s">
        <v>165</v>
      </c>
      <c r="C33" s="153" t="s">
        <v>153</v>
      </c>
      <c r="D33" s="200">
        <v>108000</v>
      </c>
      <c r="E33" s="173">
        <v>248000</v>
      </c>
      <c r="F33" s="202">
        <f t="shared" si="0"/>
        <v>356000</v>
      </c>
      <c r="G33" s="262">
        <f t="shared" si="1"/>
        <v>69400</v>
      </c>
      <c r="H33" s="242">
        <v>347000</v>
      </c>
      <c r="I33" s="261">
        <f t="shared" si="2"/>
        <v>416400</v>
      </c>
      <c r="J33" s="146">
        <v>99500</v>
      </c>
      <c r="K33" s="146">
        <v>183715.63394299051</v>
      </c>
      <c r="L33" s="146">
        <v>283215.63394299051</v>
      </c>
      <c r="M33" s="203">
        <f t="shared" si="3"/>
        <v>69400</v>
      </c>
      <c r="N33" s="203">
        <f t="shared" si="3"/>
        <v>183715.63394299051</v>
      </c>
      <c r="O33" s="203">
        <f t="shared" si="4"/>
        <v>253115.63394299051</v>
      </c>
      <c r="P33" s="301">
        <f t="shared" si="5"/>
        <v>64542</v>
      </c>
      <c r="Q33" s="301">
        <f t="shared" si="6"/>
        <v>170855.53956698117</v>
      </c>
      <c r="R33" s="300">
        <f t="shared" si="7"/>
        <v>235397.53956698117</v>
      </c>
    </row>
    <row r="34" spans="1:18" x14ac:dyDescent="0.25">
      <c r="A34" s="151">
        <v>31</v>
      </c>
      <c r="B34" s="152" t="s">
        <v>7</v>
      </c>
      <c r="C34" s="153" t="s">
        <v>153</v>
      </c>
      <c r="D34" s="200">
        <v>155000</v>
      </c>
      <c r="E34" s="173">
        <v>371000</v>
      </c>
      <c r="F34" s="202">
        <f t="shared" si="0"/>
        <v>526000</v>
      </c>
      <c r="G34" s="262">
        <f t="shared" si="1"/>
        <v>102400</v>
      </c>
      <c r="H34" s="242">
        <v>512000</v>
      </c>
      <c r="I34" s="261">
        <f t="shared" si="2"/>
        <v>614400</v>
      </c>
      <c r="J34" s="146">
        <v>184500</v>
      </c>
      <c r="K34" s="146">
        <v>274089.48749964975</v>
      </c>
      <c r="L34" s="146">
        <v>458589.48749964975</v>
      </c>
      <c r="M34" s="203">
        <f t="shared" si="3"/>
        <v>102400</v>
      </c>
      <c r="N34" s="203">
        <f t="shared" si="3"/>
        <v>274089.48749964975</v>
      </c>
      <c r="O34" s="203">
        <f t="shared" si="4"/>
        <v>376489.48749964975</v>
      </c>
      <c r="P34" s="301">
        <f t="shared" si="5"/>
        <v>95232</v>
      </c>
      <c r="Q34" s="301">
        <f t="shared" si="6"/>
        <v>254903.22337467427</v>
      </c>
      <c r="R34" s="300">
        <f t="shared" si="7"/>
        <v>350135.22337467427</v>
      </c>
    </row>
    <row r="35" spans="1:18" x14ac:dyDescent="0.25">
      <c r="A35" s="151">
        <v>32</v>
      </c>
      <c r="B35" s="158" t="s">
        <v>353</v>
      </c>
      <c r="C35" s="153" t="s">
        <v>153</v>
      </c>
      <c r="D35" s="200">
        <v>95000</v>
      </c>
      <c r="E35" s="173">
        <v>398000</v>
      </c>
      <c r="F35" s="202">
        <f t="shared" si="0"/>
        <v>493000</v>
      </c>
      <c r="G35" s="262">
        <f t="shared" si="1"/>
        <v>96200</v>
      </c>
      <c r="H35" s="242">
        <v>481000</v>
      </c>
      <c r="I35" s="261">
        <f t="shared" si="2"/>
        <v>577200</v>
      </c>
      <c r="J35" s="146">
        <v>84500</v>
      </c>
      <c r="K35" s="146">
        <v>294753.21741101315</v>
      </c>
      <c r="L35" s="146">
        <v>379253.21741101315</v>
      </c>
      <c r="M35" s="203">
        <f t="shared" si="3"/>
        <v>84500</v>
      </c>
      <c r="N35" s="203">
        <f t="shared" si="3"/>
        <v>294753.21741101315</v>
      </c>
      <c r="O35" s="203">
        <f t="shared" si="4"/>
        <v>379253.21741101315</v>
      </c>
      <c r="P35" s="301">
        <f t="shared" si="5"/>
        <v>78585</v>
      </c>
      <c r="Q35" s="301">
        <f t="shared" si="6"/>
        <v>274120.49219224224</v>
      </c>
      <c r="R35" s="300">
        <f t="shared" si="7"/>
        <v>352705.49219224224</v>
      </c>
    </row>
    <row r="36" spans="1:18" x14ac:dyDescent="0.25">
      <c r="A36" s="151">
        <v>33</v>
      </c>
      <c r="B36" s="158" t="s">
        <v>109</v>
      </c>
      <c r="C36" s="153" t="s">
        <v>153</v>
      </c>
      <c r="D36" s="200">
        <v>325000</v>
      </c>
      <c r="E36" s="173">
        <v>749000</v>
      </c>
      <c r="F36" s="202">
        <f t="shared" si="0"/>
        <v>1074000</v>
      </c>
      <c r="G36" s="262">
        <f t="shared" si="1"/>
        <v>209200</v>
      </c>
      <c r="H36" s="242">
        <v>1046000</v>
      </c>
      <c r="I36" s="261">
        <f t="shared" si="2"/>
        <v>1255200</v>
      </c>
      <c r="J36" s="146">
        <v>749500</v>
      </c>
      <c r="K36" s="146">
        <v>554383.20856183837</v>
      </c>
      <c r="L36" s="146">
        <v>1303883.2085618384</v>
      </c>
      <c r="M36" s="203">
        <f t="shared" si="3"/>
        <v>209200</v>
      </c>
      <c r="N36" s="203">
        <f t="shared" si="3"/>
        <v>554383.20856183837</v>
      </c>
      <c r="O36" s="203">
        <f t="shared" si="4"/>
        <v>763583.20856183837</v>
      </c>
      <c r="P36" s="301">
        <f t="shared" si="5"/>
        <v>194556</v>
      </c>
      <c r="Q36" s="301">
        <f t="shared" si="6"/>
        <v>515576.38396250969</v>
      </c>
      <c r="R36" s="300">
        <f t="shared" si="7"/>
        <v>710132.38396250969</v>
      </c>
    </row>
    <row r="37" spans="1:18" x14ac:dyDescent="0.25">
      <c r="A37" s="151">
        <v>34</v>
      </c>
      <c r="B37" s="152" t="s">
        <v>135</v>
      </c>
      <c r="C37" s="153" t="s">
        <v>153</v>
      </c>
      <c r="D37" s="200">
        <v>202000</v>
      </c>
      <c r="E37" s="173">
        <v>465000</v>
      </c>
      <c r="F37" s="202">
        <f t="shared" si="0"/>
        <v>667000</v>
      </c>
      <c r="G37" s="262">
        <f t="shared" si="1"/>
        <v>130000</v>
      </c>
      <c r="H37" s="242">
        <v>650000</v>
      </c>
      <c r="I37" s="261">
        <f t="shared" si="2"/>
        <v>780000</v>
      </c>
      <c r="J37" s="146">
        <v>299500</v>
      </c>
      <c r="K37" s="146">
        <v>344226.84268371615</v>
      </c>
      <c r="L37" s="146">
        <v>643726.84268371621</v>
      </c>
      <c r="M37" s="203">
        <f t="shared" si="3"/>
        <v>130000</v>
      </c>
      <c r="N37" s="203">
        <f t="shared" si="3"/>
        <v>344226.84268371615</v>
      </c>
      <c r="O37" s="203">
        <f t="shared" si="4"/>
        <v>474226.84268371615</v>
      </c>
      <c r="P37" s="301">
        <f t="shared" si="5"/>
        <v>120900</v>
      </c>
      <c r="Q37" s="301">
        <f t="shared" si="6"/>
        <v>320130.96369585604</v>
      </c>
      <c r="R37" s="300">
        <f t="shared" si="7"/>
        <v>441030.96369585604</v>
      </c>
    </row>
    <row r="38" spans="1:18" ht="33.75" x14ac:dyDescent="0.25">
      <c r="A38" s="151">
        <v>35</v>
      </c>
      <c r="B38" s="152" t="s">
        <v>333</v>
      </c>
      <c r="C38" s="153" t="s">
        <v>153</v>
      </c>
      <c r="D38" s="200">
        <v>145000</v>
      </c>
      <c r="E38" s="173">
        <v>366000</v>
      </c>
      <c r="F38" s="202">
        <f t="shared" si="0"/>
        <v>511000</v>
      </c>
      <c r="G38" s="262">
        <f t="shared" si="1"/>
        <v>99400</v>
      </c>
      <c r="H38" s="242">
        <v>497000</v>
      </c>
      <c r="I38" s="261">
        <f t="shared" si="2"/>
        <v>596400</v>
      </c>
      <c r="J38" s="146">
        <v>299500</v>
      </c>
      <c r="K38" s="146">
        <v>574881.79910036025</v>
      </c>
      <c r="L38" s="146">
        <v>874381.79910036025</v>
      </c>
      <c r="M38" s="203">
        <f t="shared" si="3"/>
        <v>99400</v>
      </c>
      <c r="N38" s="203">
        <f t="shared" si="3"/>
        <v>366000</v>
      </c>
      <c r="O38" s="203">
        <f t="shared" si="4"/>
        <v>465400</v>
      </c>
      <c r="P38" s="301">
        <f t="shared" si="5"/>
        <v>92442</v>
      </c>
      <c r="Q38" s="301">
        <f t="shared" si="6"/>
        <v>340380</v>
      </c>
      <c r="R38" s="300">
        <f t="shared" si="7"/>
        <v>432822</v>
      </c>
    </row>
    <row r="39" spans="1:18" ht="22.5" x14ac:dyDescent="0.25">
      <c r="A39" s="210"/>
      <c r="B39" s="156" t="s">
        <v>22</v>
      </c>
      <c r="C39" s="153" t="s">
        <v>153</v>
      </c>
      <c r="D39" s="200">
        <v>0</v>
      </c>
      <c r="E39" s="173">
        <v>0</v>
      </c>
      <c r="F39" s="202">
        <f t="shared" si="0"/>
        <v>0</v>
      </c>
      <c r="G39" s="262">
        <f t="shared" si="1"/>
        <v>0</v>
      </c>
      <c r="H39" s="242">
        <v>0</v>
      </c>
      <c r="I39" s="261">
        <f t="shared" si="2"/>
        <v>0</v>
      </c>
      <c r="J39" s="146"/>
      <c r="K39" s="146">
        <v>-500</v>
      </c>
      <c r="L39" s="146">
        <v>-500</v>
      </c>
      <c r="M39" s="203">
        <f t="shared" si="3"/>
        <v>0</v>
      </c>
      <c r="N39" s="203">
        <f t="shared" si="3"/>
        <v>-500</v>
      </c>
      <c r="O39" s="203">
        <f t="shared" si="4"/>
        <v>-500</v>
      </c>
      <c r="P39" s="301">
        <f t="shared" si="5"/>
        <v>0</v>
      </c>
      <c r="Q39" s="301">
        <f t="shared" si="6"/>
        <v>-465</v>
      </c>
      <c r="R39" s="300">
        <f t="shared" si="7"/>
        <v>-465</v>
      </c>
    </row>
    <row r="40" spans="1:18" x14ac:dyDescent="0.25">
      <c r="A40" s="210">
        <v>36</v>
      </c>
      <c r="B40" s="152" t="s">
        <v>23</v>
      </c>
      <c r="C40" s="153" t="s">
        <v>153</v>
      </c>
      <c r="D40" s="200">
        <v>254000</v>
      </c>
      <c r="E40" s="173">
        <v>915000</v>
      </c>
      <c r="F40" s="202">
        <f t="shared" si="0"/>
        <v>1169000</v>
      </c>
      <c r="G40" s="262">
        <f t="shared" si="1"/>
        <v>227600</v>
      </c>
      <c r="H40" s="242">
        <v>1138000</v>
      </c>
      <c r="I40" s="261">
        <f t="shared" si="2"/>
        <v>1365600</v>
      </c>
      <c r="J40" s="146">
        <v>224500</v>
      </c>
      <c r="K40" s="146">
        <v>677279.98154968955</v>
      </c>
      <c r="L40" s="146">
        <v>901779.98154968955</v>
      </c>
      <c r="M40" s="203">
        <f t="shared" si="3"/>
        <v>224500</v>
      </c>
      <c r="N40" s="203">
        <f t="shared" si="3"/>
        <v>677279.98154968955</v>
      </c>
      <c r="O40" s="203">
        <f t="shared" si="4"/>
        <v>901779.98154968955</v>
      </c>
      <c r="P40" s="301">
        <f t="shared" si="5"/>
        <v>208785</v>
      </c>
      <c r="Q40" s="301">
        <f t="shared" si="6"/>
        <v>629870.38284121128</v>
      </c>
      <c r="R40" s="300">
        <f t="shared" si="7"/>
        <v>838655.38284121128</v>
      </c>
    </row>
    <row r="41" spans="1:18" x14ac:dyDescent="0.25">
      <c r="A41" s="210">
        <v>37</v>
      </c>
      <c r="B41" s="152" t="s">
        <v>167</v>
      </c>
      <c r="C41" s="153" t="s">
        <v>153</v>
      </c>
      <c r="D41" s="200">
        <v>93000</v>
      </c>
      <c r="E41" s="173">
        <v>235000</v>
      </c>
      <c r="F41" s="202">
        <f t="shared" si="0"/>
        <v>328000</v>
      </c>
      <c r="G41" s="262">
        <f t="shared" si="1"/>
        <v>64000</v>
      </c>
      <c r="H41" s="242">
        <v>320000</v>
      </c>
      <c r="I41" s="261">
        <f t="shared" si="2"/>
        <v>384000</v>
      </c>
      <c r="J41" s="146">
        <v>224500</v>
      </c>
      <c r="K41" s="146">
        <v>248901.31115059461</v>
      </c>
      <c r="L41" s="146">
        <v>473401.31115059461</v>
      </c>
      <c r="M41" s="203">
        <f t="shared" si="3"/>
        <v>64000</v>
      </c>
      <c r="N41" s="203">
        <f t="shared" si="3"/>
        <v>235000</v>
      </c>
      <c r="O41" s="203">
        <f t="shared" si="4"/>
        <v>299000</v>
      </c>
      <c r="P41" s="301">
        <f t="shared" si="5"/>
        <v>59520</v>
      </c>
      <c r="Q41" s="301">
        <f t="shared" si="6"/>
        <v>218550</v>
      </c>
      <c r="R41" s="300">
        <f t="shared" si="7"/>
        <v>278070</v>
      </c>
    </row>
    <row r="42" spans="1:18" x14ac:dyDescent="0.25">
      <c r="A42" s="210">
        <v>38</v>
      </c>
      <c r="B42" s="152" t="s">
        <v>24</v>
      </c>
      <c r="C42" s="153" t="s">
        <v>153</v>
      </c>
      <c r="D42" s="200">
        <v>82000</v>
      </c>
      <c r="E42" s="173">
        <v>188000</v>
      </c>
      <c r="F42" s="202">
        <f t="shared" si="0"/>
        <v>270000</v>
      </c>
      <c r="G42" s="262">
        <f t="shared" si="1"/>
        <v>52600</v>
      </c>
      <c r="H42" s="242">
        <v>263000</v>
      </c>
      <c r="I42" s="261">
        <f t="shared" si="2"/>
        <v>315600</v>
      </c>
      <c r="J42" s="146">
        <v>84500</v>
      </c>
      <c r="K42" s="146">
        <v>139141.81229944</v>
      </c>
      <c r="L42" s="146">
        <v>223641.81229944</v>
      </c>
      <c r="M42" s="203">
        <f t="shared" si="3"/>
        <v>52600</v>
      </c>
      <c r="N42" s="203">
        <f t="shared" si="3"/>
        <v>139141.81229944</v>
      </c>
      <c r="O42" s="203">
        <f t="shared" si="4"/>
        <v>191741.81229944</v>
      </c>
      <c r="P42" s="301">
        <f t="shared" si="5"/>
        <v>48918</v>
      </c>
      <c r="Q42" s="301">
        <f t="shared" si="6"/>
        <v>129401.88543847921</v>
      </c>
      <c r="R42" s="300">
        <f t="shared" si="7"/>
        <v>178319.88543847919</v>
      </c>
    </row>
    <row r="43" spans="1:18" x14ac:dyDescent="0.25">
      <c r="A43" s="210">
        <v>39</v>
      </c>
      <c r="B43" s="152" t="s">
        <v>25</v>
      </c>
      <c r="C43" s="153" t="s">
        <v>153</v>
      </c>
      <c r="D43" s="200">
        <v>82000</v>
      </c>
      <c r="E43" s="173">
        <v>188000</v>
      </c>
      <c r="F43" s="202">
        <f t="shared" si="0"/>
        <v>270000</v>
      </c>
      <c r="G43" s="262">
        <f t="shared" si="1"/>
        <v>52600</v>
      </c>
      <c r="H43" s="242">
        <v>263000</v>
      </c>
      <c r="I43" s="261">
        <f t="shared" si="2"/>
        <v>315600</v>
      </c>
      <c r="J43" s="146">
        <v>124500</v>
      </c>
      <c r="K43" s="146">
        <v>190861.00203997333</v>
      </c>
      <c r="L43" s="146">
        <v>315361.00203997333</v>
      </c>
      <c r="M43" s="203">
        <f t="shared" si="3"/>
        <v>52600</v>
      </c>
      <c r="N43" s="203">
        <f t="shared" si="3"/>
        <v>188000</v>
      </c>
      <c r="O43" s="203">
        <f t="shared" si="4"/>
        <v>240600</v>
      </c>
      <c r="P43" s="301">
        <f t="shared" si="5"/>
        <v>48918</v>
      </c>
      <c r="Q43" s="301">
        <f t="shared" si="6"/>
        <v>174840</v>
      </c>
      <c r="R43" s="300">
        <f t="shared" si="7"/>
        <v>223758</v>
      </c>
    </row>
    <row r="44" spans="1:18" x14ac:dyDescent="0.25">
      <c r="A44" s="210">
        <v>40</v>
      </c>
      <c r="B44" s="152" t="s">
        <v>283</v>
      </c>
      <c r="C44" s="153" t="s">
        <v>153</v>
      </c>
      <c r="D44" s="200">
        <v>420000</v>
      </c>
      <c r="E44" s="173">
        <v>1062000</v>
      </c>
      <c r="F44" s="202">
        <f t="shared" si="0"/>
        <v>1482000</v>
      </c>
      <c r="G44" s="262">
        <f t="shared" si="1"/>
        <v>288600</v>
      </c>
      <c r="H44" s="242">
        <v>1443000</v>
      </c>
      <c r="I44" s="261">
        <f t="shared" si="2"/>
        <v>1731600</v>
      </c>
      <c r="J44" s="146">
        <v>619500</v>
      </c>
      <c r="K44" s="146">
        <v>1220485.4822723458</v>
      </c>
      <c r="L44" s="146">
        <v>1839985.4822723458</v>
      </c>
      <c r="M44" s="203">
        <f t="shared" si="3"/>
        <v>288600</v>
      </c>
      <c r="N44" s="203">
        <f t="shared" si="3"/>
        <v>1062000</v>
      </c>
      <c r="O44" s="203">
        <f t="shared" si="4"/>
        <v>1350600</v>
      </c>
      <c r="P44" s="301">
        <f t="shared" si="5"/>
        <v>268398</v>
      </c>
      <c r="Q44" s="301">
        <f t="shared" si="6"/>
        <v>987660</v>
      </c>
      <c r="R44" s="300">
        <f t="shared" si="7"/>
        <v>1256058</v>
      </c>
    </row>
    <row r="45" spans="1:18" x14ac:dyDescent="0.25">
      <c r="A45" s="210">
        <v>41</v>
      </c>
      <c r="B45" s="152" t="s">
        <v>332</v>
      </c>
      <c r="C45" s="153" t="s">
        <v>153</v>
      </c>
      <c r="D45" s="200">
        <v>93000</v>
      </c>
      <c r="E45" s="173">
        <v>235000</v>
      </c>
      <c r="F45" s="202">
        <f t="shared" si="0"/>
        <v>328000</v>
      </c>
      <c r="G45" s="262">
        <f t="shared" si="1"/>
        <v>64000</v>
      </c>
      <c r="H45" s="242">
        <v>320000</v>
      </c>
      <c r="I45" s="261">
        <f t="shared" si="2"/>
        <v>384000</v>
      </c>
      <c r="J45" s="146">
        <v>389500</v>
      </c>
      <c r="K45" s="146">
        <v>255824.44188926247</v>
      </c>
      <c r="L45" s="146">
        <v>645324.44188926253</v>
      </c>
      <c r="M45" s="203">
        <f t="shared" si="3"/>
        <v>64000</v>
      </c>
      <c r="N45" s="203">
        <f t="shared" si="3"/>
        <v>235000</v>
      </c>
      <c r="O45" s="203">
        <f t="shared" si="4"/>
        <v>299000</v>
      </c>
      <c r="P45" s="301">
        <f t="shared" si="5"/>
        <v>59520</v>
      </c>
      <c r="Q45" s="301">
        <f t="shared" si="6"/>
        <v>218550</v>
      </c>
      <c r="R45" s="300">
        <f t="shared" si="7"/>
        <v>278070</v>
      </c>
    </row>
    <row r="46" spans="1:18" x14ac:dyDescent="0.25">
      <c r="A46" s="210">
        <v>42</v>
      </c>
      <c r="B46" s="152" t="s">
        <v>92</v>
      </c>
      <c r="C46" s="153" t="s">
        <v>153</v>
      </c>
      <c r="D46" s="200">
        <v>129000</v>
      </c>
      <c r="E46" s="173">
        <v>327000</v>
      </c>
      <c r="F46" s="202">
        <f t="shared" si="0"/>
        <v>456000</v>
      </c>
      <c r="G46" s="262">
        <f t="shared" si="1"/>
        <v>88800</v>
      </c>
      <c r="H46" s="242">
        <v>444000</v>
      </c>
      <c r="I46" s="261">
        <f t="shared" si="2"/>
        <v>532800</v>
      </c>
      <c r="J46" s="146">
        <v>349500</v>
      </c>
      <c r="K46" s="146">
        <v>611676.25813141244</v>
      </c>
      <c r="L46" s="146">
        <v>961176.25813141244</v>
      </c>
      <c r="M46" s="203">
        <f t="shared" si="3"/>
        <v>88800</v>
      </c>
      <c r="N46" s="203">
        <f t="shared" si="3"/>
        <v>327000</v>
      </c>
      <c r="O46" s="203">
        <f t="shared" si="4"/>
        <v>415800</v>
      </c>
      <c r="P46" s="301">
        <f t="shared" si="5"/>
        <v>82584</v>
      </c>
      <c r="Q46" s="301">
        <f t="shared" si="6"/>
        <v>304110</v>
      </c>
      <c r="R46" s="300">
        <f t="shared" si="7"/>
        <v>386694</v>
      </c>
    </row>
    <row r="47" spans="1:18" ht="22.5" x14ac:dyDescent="0.25">
      <c r="A47" s="210"/>
      <c r="B47" s="156" t="s">
        <v>97</v>
      </c>
      <c r="C47" s="153" t="s">
        <v>153</v>
      </c>
      <c r="D47" s="200">
        <v>0</v>
      </c>
      <c r="E47" s="173">
        <v>0</v>
      </c>
      <c r="F47" s="202">
        <f t="shared" si="0"/>
        <v>0</v>
      </c>
      <c r="G47" s="262">
        <f t="shared" si="1"/>
        <v>0</v>
      </c>
      <c r="H47" s="242">
        <v>0</v>
      </c>
      <c r="I47" s="261">
        <f t="shared" si="2"/>
        <v>0</v>
      </c>
      <c r="J47" s="146"/>
      <c r="K47" s="146"/>
      <c r="L47" s="146">
        <v>0</v>
      </c>
      <c r="M47" s="203">
        <f t="shared" si="3"/>
        <v>0</v>
      </c>
      <c r="N47" s="203">
        <f t="shared" si="3"/>
        <v>0</v>
      </c>
      <c r="O47" s="203">
        <f t="shared" si="4"/>
        <v>0</v>
      </c>
      <c r="P47" s="301">
        <f t="shared" si="5"/>
        <v>0</v>
      </c>
      <c r="Q47" s="301">
        <f t="shared" si="6"/>
        <v>0</v>
      </c>
      <c r="R47" s="300">
        <f t="shared" si="7"/>
        <v>0</v>
      </c>
    </row>
    <row r="48" spans="1:18" x14ac:dyDescent="0.25">
      <c r="A48" s="210">
        <v>43</v>
      </c>
      <c r="B48" s="152" t="s">
        <v>169</v>
      </c>
      <c r="C48" s="153" t="s">
        <v>153</v>
      </c>
      <c r="D48" s="200">
        <v>413000</v>
      </c>
      <c r="E48" s="173">
        <v>1046000</v>
      </c>
      <c r="F48" s="202">
        <f t="shared" si="0"/>
        <v>1459000</v>
      </c>
      <c r="G48" s="262">
        <f t="shared" si="1"/>
        <v>284000</v>
      </c>
      <c r="H48" s="242">
        <v>1420000</v>
      </c>
      <c r="I48" s="261">
        <f t="shared" si="2"/>
        <v>1704000</v>
      </c>
      <c r="J48" s="146">
        <v>549500</v>
      </c>
      <c r="K48" s="146">
        <v>1071121.6114238505</v>
      </c>
      <c r="L48" s="146">
        <v>1620621.6114238505</v>
      </c>
      <c r="M48" s="203">
        <f t="shared" si="3"/>
        <v>284000</v>
      </c>
      <c r="N48" s="203">
        <f t="shared" si="3"/>
        <v>1046000</v>
      </c>
      <c r="O48" s="203">
        <f t="shared" si="4"/>
        <v>1330000</v>
      </c>
      <c r="P48" s="301">
        <f t="shared" si="5"/>
        <v>264120</v>
      </c>
      <c r="Q48" s="301">
        <f t="shared" si="6"/>
        <v>972780</v>
      </c>
      <c r="R48" s="300">
        <f t="shared" si="7"/>
        <v>1236900</v>
      </c>
    </row>
    <row r="49" spans="1:18" x14ac:dyDescent="0.25">
      <c r="A49" s="210">
        <v>44</v>
      </c>
      <c r="B49" s="152" t="s">
        <v>170</v>
      </c>
      <c r="C49" s="153" t="s">
        <v>153</v>
      </c>
      <c r="D49" s="200">
        <v>245000</v>
      </c>
      <c r="E49" s="173">
        <v>583000</v>
      </c>
      <c r="F49" s="202">
        <f t="shared" si="0"/>
        <v>828000</v>
      </c>
      <c r="G49" s="262">
        <f t="shared" si="1"/>
        <v>161200</v>
      </c>
      <c r="H49" s="242">
        <v>806000</v>
      </c>
      <c r="I49" s="261">
        <f t="shared" si="2"/>
        <v>967200</v>
      </c>
      <c r="J49" s="146">
        <v>579500</v>
      </c>
      <c r="K49" s="146">
        <v>578000</v>
      </c>
      <c r="L49" s="146">
        <v>1157500</v>
      </c>
      <c r="M49" s="203">
        <f t="shared" si="3"/>
        <v>161200</v>
      </c>
      <c r="N49" s="203">
        <f t="shared" si="3"/>
        <v>578000</v>
      </c>
      <c r="O49" s="203">
        <f t="shared" si="4"/>
        <v>739200</v>
      </c>
      <c r="P49" s="301">
        <f t="shared" si="5"/>
        <v>149916</v>
      </c>
      <c r="Q49" s="301">
        <f t="shared" si="6"/>
        <v>537540</v>
      </c>
      <c r="R49" s="300">
        <f t="shared" si="7"/>
        <v>687456</v>
      </c>
    </row>
    <row r="50" spans="1:18" x14ac:dyDescent="0.25">
      <c r="A50" s="210">
        <v>45</v>
      </c>
      <c r="B50" s="152" t="s">
        <v>211</v>
      </c>
      <c r="C50" s="153" t="s">
        <v>153</v>
      </c>
      <c r="D50" s="200">
        <v>166000</v>
      </c>
      <c r="E50" s="173">
        <v>382000</v>
      </c>
      <c r="F50" s="202">
        <f t="shared" si="0"/>
        <v>548000</v>
      </c>
      <c r="G50" s="262">
        <f t="shared" si="1"/>
        <v>106400</v>
      </c>
      <c r="H50" s="242">
        <v>532000</v>
      </c>
      <c r="I50" s="261">
        <f t="shared" si="2"/>
        <v>638400</v>
      </c>
      <c r="J50" s="146">
        <v>574500</v>
      </c>
      <c r="K50" s="146">
        <v>328800</v>
      </c>
      <c r="L50" s="146">
        <v>903300</v>
      </c>
      <c r="M50" s="203">
        <f t="shared" si="3"/>
        <v>106400</v>
      </c>
      <c r="N50" s="203">
        <f t="shared" si="3"/>
        <v>328800</v>
      </c>
      <c r="O50" s="203">
        <f t="shared" si="4"/>
        <v>435200</v>
      </c>
      <c r="P50" s="301">
        <f t="shared" si="5"/>
        <v>98952</v>
      </c>
      <c r="Q50" s="301">
        <f t="shared" si="6"/>
        <v>305784</v>
      </c>
      <c r="R50" s="300">
        <f t="shared" si="7"/>
        <v>404736</v>
      </c>
    </row>
    <row r="51" spans="1:18" x14ac:dyDescent="0.25">
      <c r="A51" s="210">
        <v>46</v>
      </c>
      <c r="B51" s="152" t="s">
        <v>291</v>
      </c>
      <c r="C51" s="153" t="s">
        <v>153</v>
      </c>
      <c r="D51" s="200">
        <v>153000</v>
      </c>
      <c r="E51" s="173">
        <v>351000</v>
      </c>
      <c r="F51" s="202">
        <f t="shared" si="0"/>
        <v>504000</v>
      </c>
      <c r="G51" s="262">
        <f t="shared" si="1"/>
        <v>98200</v>
      </c>
      <c r="H51" s="242">
        <v>491000</v>
      </c>
      <c r="I51" s="261">
        <f t="shared" si="2"/>
        <v>589200</v>
      </c>
      <c r="J51" s="146">
        <v>549500</v>
      </c>
      <c r="K51" s="146">
        <v>284300</v>
      </c>
      <c r="L51" s="146">
        <v>833800</v>
      </c>
      <c r="M51" s="203">
        <f t="shared" si="3"/>
        <v>98200</v>
      </c>
      <c r="N51" s="203">
        <f t="shared" si="3"/>
        <v>284300</v>
      </c>
      <c r="O51" s="203">
        <f t="shared" si="4"/>
        <v>382500</v>
      </c>
      <c r="P51" s="301">
        <f t="shared" si="5"/>
        <v>91326</v>
      </c>
      <c r="Q51" s="301">
        <f t="shared" si="6"/>
        <v>264399</v>
      </c>
      <c r="R51" s="300">
        <f t="shared" si="7"/>
        <v>355725</v>
      </c>
    </row>
    <row r="52" spans="1:18" x14ac:dyDescent="0.25">
      <c r="A52" s="210">
        <v>47</v>
      </c>
      <c r="B52" s="152" t="s">
        <v>17</v>
      </c>
      <c r="C52" s="153" t="s">
        <v>153</v>
      </c>
      <c r="D52" s="200">
        <v>141000</v>
      </c>
      <c r="E52" s="173">
        <v>609000</v>
      </c>
      <c r="F52" s="202">
        <f t="shared" si="0"/>
        <v>750000</v>
      </c>
      <c r="G52" s="262">
        <f t="shared" si="1"/>
        <v>146000</v>
      </c>
      <c r="H52" s="242">
        <v>730000</v>
      </c>
      <c r="I52" s="261">
        <f t="shared" si="2"/>
        <v>876000</v>
      </c>
      <c r="J52" s="146">
        <v>124500</v>
      </c>
      <c r="K52" s="146">
        <v>450501.02297591872</v>
      </c>
      <c r="L52" s="146">
        <v>575001.02297591872</v>
      </c>
      <c r="M52" s="203">
        <f t="shared" si="3"/>
        <v>124500</v>
      </c>
      <c r="N52" s="203">
        <f t="shared" si="3"/>
        <v>450501.02297591872</v>
      </c>
      <c r="O52" s="203">
        <f t="shared" si="4"/>
        <v>575001.02297591872</v>
      </c>
      <c r="P52" s="301">
        <f t="shared" si="5"/>
        <v>115785</v>
      </c>
      <c r="Q52" s="301">
        <f t="shared" si="6"/>
        <v>418965.95136760443</v>
      </c>
      <c r="R52" s="300">
        <f t="shared" si="7"/>
        <v>534750.95136760443</v>
      </c>
    </row>
    <row r="53" spans="1:18" x14ac:dyDescent="0.25">
      <c r="A53" s="210">
        <v>48</v>
      </c>
      <c r="B53" s="152" t="s">
        <v>16</v>
      </c>
      <c r="C53" s="153" t="s">
        <v>153</v>
      </c>
      <c r="D53" s="200">
        <v>141000</v>
      </c>
      <c r="E53" s="173">
        <v>454000</v>
      </c>
      <c r="F53" s="202">
        <f t="shared" si="0"/>
        <v>595000</v>
      </c>
      <c r="G53" s="262">
        <f t="shared" si="1"/>
        <v>115800</v>
      </c>
      <c r="H53" s="242">
        <v>579000</v>
      </c>
      <c r="I53" s="261">
        <f t="shared" si="2"/>
        <v>694800</v>
      </c>
      <c r="J53" s="146">
        <v>124500</v>
      </c>
      <c r="K53" s="146">
        <v>335674.73331346666</v>
      </c>
      <c r="L53" s="146">
        <v>460174.73331346666</v>
      </c>
      <c r="M53" s="203">
        <f t="shared" si="3"/>
        <v>115800</v>
      </c>
      <c r="N53" s="203">
        <f t="shared" si="3"/>
        <v>335674.73331346666</v>
      </c>
      <c r="O53" s="203">
        <f t="shared" si="4"/>
        <v>451474.73331346666</v>
      </c>
      <c r="P53" s="301">
        <f t="shared" si="5"/>
        <v>107694</v>
      </c>
      <c r="Q53" s="301">
        <f t="shared" si="6"/>
        <v>312177.50198152399</v>
      </c>
      <c r="R53" s="300">
        <f t="shared" si="7"/>
        <v>419871.50198152399</v>
      </c>
    </row>
    <row r="54" spans="1:18" x14ac:dyDescent="0.25">
      <c r="A54" s="210">
        <v>49</v>
      </c>
      <c r="B54" s="158" t="s">
        <v>74</v>
      </c>
      <c r="C54" s="153" t="s">
        <v>153</v>
      </c>
      <c r="D54" s="200">
        <v>122000</v>
      </c>
      <c r="E54" s="173">
        <v>281000</v>
      </c>
      <c r="F54" s="202">
        <f t="shared" si="0"/>
        <v>403000</v>
      </c>
      <c r="G54" s="262">
        <f t="shared" si="1"/>
        <v>78400</v>
      </c>
      <c r="H54" s="242">
        <v>392000</v>
      </c>
      <c r="I54" s="261">
        <f t="shared" si="2"/>
        <v>470400</v>
      </c>
      <c r="J54" s="146">
        <v>149500</v>
      </c>
      <c r="K54" s="146">
        <v>207787.65845825511</v>
      </c>
      <c r="L54" s="146">
        <v>357287.65845825511</v>
      </c>
      <c r="M54" s="203">
        <f t="shared" si="3"/>
        <v>78400</v>
      </c>
      <c r="N54" s="203">
        <f t="shared" si="3"/>
        <v>207787.65845825511</v>
      </c>
      <c r="O54" s="203">
        <f t="shared" si="4"/>
        <v>286187.65845825511</v>
      </c>
      <c r="P54" s="301">
        <f t="shared" si="5"/>
        <v>72912</v>
      </c>
      <c r="Q54" s="301">
        <f t="shared" si="6"/>
        <v>193242.52236617726</v>
      </c>
      <c r="R54" s="300">
        <f t="shared" si="7"/>
        <v>266154.52236617729</v>
      </c>
    </row>
    <row r="55" spans="1:18" x14ac:dyDescent="0.25">
      <c r="A55" s="210">
        <v>50</v>
      </c>
      <c r="B55" s="158" t="s">
        <v>75</v>
      </c>
      <c r="C55" s="153" t="s">
        <v>153</v>
      </c>
      <c r="D55" s="200">
        <v>142000</v>
      </c>
      <c r="E55" s="173">
        <v>328000</v>
      </c>
      <c r="F55" s="202">
        <f t="shared" si="0"/>
        <v>470000</v>
      </c>
      <c r="G55" s="262">
        <f t="shared" si="1"/>
        <v>91600</v>
      </c>
      <c r="H55" s="242">
        <v>458000</v>
      </c>
      <c r="I55" s="261">
        <f t="shared" si="2"/>
        <v>549600</v>
      </c>
      <c r="J55" s="146">
        <v>449500</v>
      </c>
      <c r="K55" s="146">
        <v>242580.19178050669</v>
      </c>
      <c r="L55" s="146">
        <v>692080.19178050663</v>
      </c>
      <c r="M55" s="203">
        <f t="shared" si="3"/>
        <v>91600</v>
      </c>
      <c r="N55" s="203">
        <f t="shared" si="3"/>
        <v>242580.19178050669</v>
      </c>
      <c r="O55" s="203">
        <f t="shared" si="4"/>
        <v>334180.19178050669</v>
      </c>
      <c r="P55" s="301">
        <f t="shared" si="5"/>
        <v>85188</v>
      </c>
      <c r="Q55" s="301">
        <f t="shared" si="6"/>
        <v>225599.57835587123</v>
      </c>
      <c r="R55" s="300">
        <f t="shared" si="7"/>
        <v>310787.57835587126</v>
      </c>
    </row>
    <row r="56" spans="1:18" x14ac:dyDescent="0.25">
      <c r="A56" s="210">
        <v>51</v>
      </c>
      <c r="B56" s="158" t="s">
        <v>76</v>
      </c>
      <c r="C56" s="153" t="s">
        <v>153</v>
      </c>
      <c r="D56" s="200">
        <v>210000</v>
      </c>
      <c r="E56" s="173">
        <v>483000</v>
      </c>
      <c r="F56" s="202">
        <f t="shared" si="0"/>
        <v>693000</v>
      </c>
      <c r="G56" s="262">
        <f t="shared" si="1"/>
        <v>134800</v>
      </c>
      <c r="H56" s="242">
        <v>674000</v>
      </c>
      <c r="I56" s="261">
        <f t="shared" si="2"/>
        <v>808800</v>
      </c>
      <c r="J56" s="146">
        <v>449500</v>
      </c>
      <c r="K56" s="146">
        <v>357189.91624552861</v>
      </c>
      <c r="L56" s="146">
        <v>806689.91624552861</v>
      </c>
      <c r="M56" s="203">
        <f t="shared" si="3"/>
        <v>134800</v>
      </c>
      <c r="N56" s="203">
        <f t="shared" si="3"/>
        <v>357189.91624552861</v>
      </c>
      <c r="O56" s="203">
        <f t="shared" si="4"/>
        <v>491989.91624552861</v>
      </c>
      <c r="P56" s="301">
        <f t="shared" si="5"/>
        <v>125364</v>
      </c>
      <c r="Q56" s="301">
        <f t="shared" si="6"/>
        <v>332186.6221083416</v>
      </c>
      <c r="R56" s="300">
        <f t="shared" si="7"/>
        <v>457550.6221083416</v>
      </c>
    </row>
    <row r="57" spans="1:18" x14ac:dyDescent="0.25">
      <c r="A57" s="210">
        <v>52</v>
      </c>
      <c r="B57" s="152" t="s">
        <v>18</v>
      </c>
      <c r="C57" s="153" t="s">
        <v>153</v>
      </c>
      <c r="D57" s="200">
        <v>159000</v>
      </c>
      <c r="E57" s="173">
        <v>366000</v>
      </c>
      <c r="F57" s="202">
        <f t="shared" si="0"/>
        <v>525000</v>
      </c>
      <c r="G57" s="262">
        <f t="shared" si="1"/>
        <v>102400</v>
      </c>
      <c r="H57" s="242">
        <v>512000</v>
      </c>
      <c r="I57" s="261">
        <f t="shared" si="2"/>
        <v>614400</v>
      </c>
      <c r="J57" s="146">
        <v>449500</v>
      </c>
      <c r="K57" s="146">
        <v>271055.7432678495</v>
      </c>
      <c r="L57" s="146">
        <v>720555.74326784955</v>
      </c>
      <c r="M57" s="203">
        <f t="shared" si="3"/>
        <v>102400</v>
      </c>
      <c r="N57" s="203">
        <f t="shared" si="3"/>
        <v>271055.7432678495</v>
      </c>
      <c r="O57" s="203">
        <f t="shared" si="4"/>
        <v>373455.7432678495</v>
      </c>
      <c r="P57" s="301">
        <f t="shared" si="5"/>
        <v>95232</v>
      </c>
      <c r="Q57" s="301">
        <f t="shared" si="6"/>
        <v>252081.84123910003</v>
      </c>
      <c r="R57" s="300">
        <f t="shared" si="7"/>
        <v>347313.84123910003</v>
      </c>
    </row>
    <row r="58" spans="1:18" x14ac:dyDescent="0.25">
      <c r="A58" s="210">
        <v>53</v>
      </c>
      <c r="B58" s="152" t="s">
        <v>21</v>
      </c>
      <c r="C58" s="153" t="s">
        <v>153</v>
      </c>
      <c r="D58" s="200">
        <v>173000</v>
      </c>
      <c r="E58" s="173">
        <v>398000</v>
      </c>
      <c r="F58" s="202">
        <f t="shared" si="0"/>
        <v>571000</v>
      </c>
      <c r="G58" s="262">
        <f t="shared" si="1"/>
        <v>111000</v>
      </c>
      <c r="H58" s="242">
        <v>555000</v>
      </c>
      <c r="I58" s="261">
        <f t="shared" si="2"/>
        <v>666000</v>
      </c>
      <c r="J58" s="146">
        <v>384500</v>
      </c>
      <c r="K58" s="146">
        <v>294299.38152103999</v>
      </c>
      <c r="L58" s="146">
        <v>678799.38152103999</v>
      </c>
      <c r="M58" s="203">
        <f t="shared" si="3"/>
        <v>111000</v>
      </c>
      <c r="N58" s="203">
        <f t="shared" si="3"/>
        <v>294299.38152103999</v>
      </c>
      <c r="O58" s="203">
        <f t="shared" si="4"/>
        <v>405299.38152103999</v>
      </c>
      <c r="P58" s="301">
        <f t="shared" si="5"/>
        <v>103230</v>
      </c>
      <c r="Q58" s="301">
        <f t="shared" si="6"/>
        <v>273698.4248145672</v>
      </c>
      <c r="R58" s="300">
        <f t="shared" si="7"/>
        <v>376928.4248145672</v>
      </c>
    </row>
    <row r="59" spans="1:18" x14ac:dyDescent="0.25">
      <c r="A59" s="210">
        <v>54</v>
      </c>
      <c r="B59" s="152" t="s">
        <v>20</v>
      </c>
      <c r="C59" s="153" t="s">
        <v>153</v>
      </c>
      <c r="D59" s="200">
        <v>118000</v>
      </c>
      <c r="E59" s="173">
        <v>272000</v>
      </c>
      <c r="F59" s="202">
        <f t="shared" si="0"/>
        <v>390000</v>
      </c>
      <c r="G59" s="262">
        <f t="shared" si="1"/>
        <v>76000</v>
      </c>
      <c r="H59" s="242">
        <v>380000</v>
      </c>
      <c r="I59" s="261">
        <f t="shared" si="2"/>
        <v>456000</v>
      </c>
      <c r="J59" s="146">
        <v>384500</v>
      </c>
      <c r="K59" s="146">
        <v>201204.83998808003</v>
      </c>
      <c r="L59" s="146">
        <v>585704.83998808009</v>
      </c>
      <c r="M59" s="203">
        <f t="shared" si="3"/>
        <v>76000</v>
      </c>
      <c r="N59" s="203">
        <f t="shared" si="3"/>
        <v>201204.83998808003</v>
      </c>
      <c r="O59" s="203">
        <f t="shared" si="4"/>
        <v>277204.83998808003</v>
      </c>
      <c r="P59" s="301">
        <f t="shared" si="5"/>
        <v>70680</v>
      </c>
      <c r="Q59" s="301">
        <f t="shared" si="6"/>
        <v>187120.50118891444</v>
      </c>
      <c r="R59" s="300">
        <f t="shared" si="7"/>
        <v>257800.50118891444</v>
      </c>
    </row>
    <row r="60" spans="1:18" ht="22.5" x14ac:dyDescent="0.25">
      <c r="A60" s="210">
        <v>55</v>
      </c>
      <c r="B60" s="152" t="s">
        <v>172</v>
      </c>
      <c r="C60" s="153" t="s">
        <v>153</v>
      </c>
      <c r="D60" s="200">
        <v>621000</v>
      </c>
      <c r="E60" s="173">
        <v>1508000</v>
      </c>
      <c r="F60" s="202">
        <f t="shared" si="0"/>
        <v>2129000</v>
      </c>
      <c r="G60" s="262">
        <f t="shared" si="1"/>
        <v>414400</v>
      </c>
      <c r="H60" s="242">
        <v>2072000</v>
      </c>
      <c r="I60" s="261">
        <f t="shared" si="2"/>
        <v>2486400</v>
      </c>
      <c r="J60" s="146">
        <v>549500</v>
      </c>
      <c r="K60" s="146">
        <v>1116088.2516134717</v>
      </c>
      <c r="L60" s="146">
        <v>1665588.2516134717</v>
      </c>
      <c r="M60" s="203">
        <f t="shared" si="3"/>
        <v>414400</v>
      </c>
      <c r="N60" s="203">
        <f t="shared" si="3"/>
        <v>1116088.2516134717</v>
      </c>
      <c r="O60" s="203">
        <f t="shared" si="4"/>
        <v>1530488.2516134717</v>
      </c>
      <c r="P60" s="301">
        <f t="shared" si="5"/>
        <v>385392</v>
      </c>
      <c r="Q60" s="301">
        <f t="shared" si="6"/>
        <v>1037962.0740005287</v>
      </c>
      <c r="R60" s="300">
        <f t="shared" si="7"/>
        <v>1423354.0740005285</v>
      </c>
    </row>
    <row r="61" spans="1:18" x14ac:dyDescent="0.25">
      <c r="A61" s="210">
        <v>56</v>
      </c>
      <c r="B61" s="152" t="s">
        <v>294</v>
      </c>
      <c r="C61" s="153" t="s">
        <v>153</v>
      </c>
      <c r="D61" s="200">
        <v>284000</v>
      </c>
      <c r="E61" s="173">
        <v>653000</v>
      </c>
      <c r="F61" s="202">
        <f t="shared" si="0"/>
        <v>937000</v>
      </c>
      <c r="G61" s="262">
        <f t="shared" si="1"/>
        <v>182400</v>
      </c>
      <c r="H61" s="242">
        <v>912000</v>
      </c>
      <c r="I61" s="261">
        <f t="shared" si="2"/>
        <v>1094400</v>
      </c>
      <c r="J61" s="146">
        <v>549500</v>
      </c>
      <c r="K61" s="146">
        <v>578000</v>
      </c>
      <c r="L61" s="146">
        <v>1127500</v>
      </c>
      <c r="M61" s="203">
        <f t="shared" si="3"/>
        <v>182400</v>
      </c>
      <c r="N61" s="203">
        <f t="shared" si="3"/>
        <v>578000</v>
      </c>
      <c r="O61" s="203">
        <f t="shared" si="4"/>
        <v>760400</v>
      </c>
      <c r="P61" s="301">
        <f t="shared" si="5"/>
        <v>169632</v>
      </c>
      <c r="Q61" s="301">
        <f t="shared" si="6"/>
        <v>537540</v>
      </c>
      <c r="R61" s="300">
        <f t="shared" si="7"/>
        <v>707172</v>
      </c>
    </row>
    <row r="62" spans="1:18" x14ac:dyDescent="0.25">
      <c r="A62" s="210">
        <v>57</v>
      </c>
      <c r="B62" s="158" t="s">
        <v>292</v>
      </c>
      <c r="C62" s="153" t="s">
        <v>153</v>
      </c>
      <c r="D62" s="200">
        <v>136000</v>
      </c>
      <c r="E62" s="173">
        <v>314000</v>
      </c>
      <c r="F62" s="202">
        <f t="shared" si="0"/>
        <v>450000</v>
      </c>
      <c r="G62" s="262">
        <f t="shared" si="1"/>
        <v>87800</v>
      </c>
      <c r="H62" s="242">
        <v>439000</v>
      </c>
      <c r="I62" s="261">
        <f t="shared" si="2"/>
        <v>526800</v>
      </c>
      <c r="J62" s="146">
        <v>549500</v>
      </c>
      <c r="K62" s="146">
        <v>232236.35383240003</v>
      </c>
      <c r="L62" s="146">
        <v>781736.35383240005</v>
      </c>
      <c r="M62" s="203">
        <f t="shared" si="3"/>
        <v>87800</v>
      </c>
      <c r="N62" s="203">
        <f t="shared" si="3"/>
        <v>232236.35383240003</v>
      </c>
      <c r="O62" s="203">
        <f t="shared" si="4"/>
        <v>320036.35383240005</v>
      </c>
      <c r="P62" s="301">
        <f t="shared" si="5"/>
        <v>81654</v>
      </c>
      <c r="Q62" s="301">
        <f t="shared" si="6"/>
        <v>215979.80906413202</v>
      </c>
      <c r="R62" s="300">
        <f t="shared" si="7"/>
        <v>297633.80906413205</v>
      </c>
    </row>
    <row r="63" spans="1:18" x14ac:dyDescent="0.25">
      <c r="A63" s="210">
        <v>58</v>
      </c>
      <c r="B63" s="158" t="s">
        <v>150</v>
      </c>
      <c r="C63" s="153" t="s">
        <v>153</v>
      </c>
      <c r="D63" s="200">
        <v>233000</v>
      </c>
      <c r="E63" s="173">
        <v>538000</v>
      </c>
      <c r="F63" s="202">
        <f t="shared" si="0"/>
        <v>771000</v>
      </c>
      <c r="G63" s="262">
        <f t="shared" si="1"/>
        <v>150000</v>
      </c>
      <c r="H63" s="242">
        <v>750000</v>
      </c>
      <c r="I63" s="261">
        <f t="shared" si="2"/>
        <v>900000</v>
      </c>
      <c r="J63" s="146">
        <v>549500</v>
      </c>
      <c r="K63" s="146">
        <v>397737.76100210671</v>
      </c>
      <c r="L63" s="146">
        <v>947237.76100210671</v>
      </c>
      <c r="M63" s="203">
        <f t="shared" si="3"/>
        <v>150000</v>
      </c>
      <c r="N63" s="203">
        <f t="shared" si="3"/>
        <v>397737.76100210671</v>
      </c>
      <c r="O63" s="203">
        <f t="shared" si="4"/>
        <v>547737.76100210671</v>
      </c>
      <c r="P63" s="301">
        <f t="shared" si="5"/>
        <v>139500</v>
      </c>
      <c r="Q63" s="301">
        <f t="shared" si="6"/>
        <v>369896.11773195921</v>
      </c>
      <c r="R63" s="300">
        <f t="shared" si="7"/>
        <v>509396.11773195921</v>
      </c>
    </row>
    <row r="64" spans="1:18" ht="22.5" x14ac:dyDescent="0.25">
      <c r="A64" s="210"/>
      <c r="B64" s="156" t="s">
        <v>124</v>
      </c>
      <c r="C64" s="153" t="s">
        <v>153</v>
      </c>
      <c r="D64" s="200">
        <v>0</v>
      </c>
      <c r="E64" s="173">
        <v>0</v>
      </c>
      <c r="F64" s="202">
        <f t="shared" si="0"/>
        <v>0</v>
      </c>
      <c r="G64" s="262">
        <f t="shared" si="1"/>
        <v>0</v>
      </c>
      <c r="H64" s="242">
        <v>0</v>
      </c>
      <c r="I64" s="261">
        <f t="shared" si="2"/>
        <v>0</v>
      </c>
      <c r="J64" s="146"/>
      <c r="K64" s="146"/>
      <c r="L64" s="146">
        <v>0</v>
      </c>
      <c r="M64" s="203">
        <f t="shared" si="3"/>
        <v>0</v>
      </c>
      <c r="N64" s="203">
        <f t="shared" si="3"/>
        <v>0</v>
      </c>
      <c r="O64" s="203">
        <f t="shared" si="4"/>
        <v>0</v>
      </c>
      <c r="P64" s="301">
        <f t="shared" si="5"/>
        <v>0</v>
      </c>
      <c r="Q64" s="301">
        <f t="shared" si="6"/>
        <v>0</v>
      </c>
      <c r="R64" s="300">
        <f t="shared" si="7"/>
        <v>0</v>
      </c>
    </row>
    <row r="65" spans="1:18" ht="22.5" x14ac:dyDescent="0.25">
      <c r="A65" s="210">
        <v>59</v>
      </c>
      <c r="B65" s="152" t="s">
        <v>371</v>
      </c>
      <c r="C65" s="153" t="s">
        <v>153</v>
      </c>
      <c r="D65" s="200">
        <v>202000</v>
      </c>
      <c r="E65" s="173">
        <v>654000</v>
      </c>
      <c r="F65" s="202">
        <f t="shared" si="0"/>
        <v>856000</v>
      </c>
      <c r="G65" s="262">
        <f t="shared" si="1"/>
        <v>166600</v>
      </c>
      <c r="H65" s="242">
        <v>833000</v>
      </c>
      <c r="I65" s="261">
        <f t="shared" si="2"/>
        <v>999600</v>
      </c>
      <c r="J65" s="146">
        <v>33000</v>
      </c>
      <c r="K65" s="146">
        <v>134000</v>
      </c>
      <c r="L65" s="146">
        <v>167000</v>
      </c>
      <c r="M65" s="203">
        <f t="shared" si="3"/>
        <v>33000</v>
      </c>
      <c r="N65" s="203">
        <f t="shared" si="3"/>
        <v>134000</v>
      </c>
      <c r="O65" s="203">
        <f t="shared" si="4"/>
        <v>167000</v>
      </c>
      <c r="P65" s="301">
        <f t="shared" si="5"/>
        <v>30690</v>
      </c>
      <c r="Q65" s="301">
        <f t="shared" si="6"/>
        <v>124620</v>
      </c>
      <c r="R65" s="300">
        <f t="shared" si="7"/>
        <v>155310</v>
      </c>
    </row>
    <row r="66" spans="1:18" x14ac:dyDescent="0.25">
      <c r="A66" s="210">
        <v>60</v>
      </c>
      <c r="B66" s="152" t="s">
        <v>372</v>
      </c>
      <c r="C66" s="153" t="s">
        <v>153</v>
      </c>
      <c r="D66" s="200">
        <v>306000</v>
      </c>
      <c r="E66" s="173">
        <v>860000</v>
      </c>
      <c r="F66" s="202">
        <f t="shared" si="0"/>
        <v>1166000</v>
      </c>
      <c r="G66" s="262">
        <f t="shared" si="1"/>
        <v>227000</v>
      </c>
      <c r="H66" s="242">
        <v>1135000</v>
      </c>
      <c r="I66" s="261">
        <f t="shared" si="2"/>
        <v>1362000</v>
      </c>
      <c r="J66" s="146">
        <v>114000</v>
      </c>
      <c r="K66" s="146">
        <v>457500</v>
      </c>
      <c r="L66" s="146">
        <v>571500</v>
      </c>
      <c r="M66" s="203">
        <f t="shared" si="3"/>
        <v>114000</v>
      </c>
      <c r="N66" s="203">
        <f t="shared" si="3"/>
        <v>457500</v>
      </c>
      <c r="O66" s="203">
        <f t="shared" si="4"/>
        <v>571500</v>
      </c>
      <c r="P66" s="301">
        <f t="shared" si="5"/>
        <v>106020</v>
      </c>
      <c r="Q66" s="301">
        <f t="shared" si="6"/>
        <v>425475</v>
      </c>
      <c r="R66" s="300">
        <f t="shared" si="7"/>
        <v>531495</v>
      </c>
    </row>
    <row r="67" spans="1:18" x14ac:dyDescent="0.25">
      <c r="A67" s="210">
        <v>61</v>
      </c>
      <c r="B67" s="158" t="s">
        <v>368</v>
      </c>
      <c r="C67" s="153" t="s">
        <v>153</v>
      </c>
      <c r="D67" s="200">
        <v>269000</v>
      </c>
      <c r="E67" s="173">
        <v>680000</v>
      </c>
      <c r="F67" s="202">
        <f t="shared" si="0"/>
        <v>949000</v>
      </c>
      <c r="G67" s="262">
        <f t="shared" si="1"/>
        <v>184800</v>
      </c>
      <c r="H67" s="242">
        <v>924000</v>
      </c>
      <c r="I67" s="261">
        <f t="shared" si="2"/>
        <v>1108800</v>
      </c>
      <c r="J67" s="146">
        <v>149500</v>
      </c>
      <c r="K67" s="146">
        <v>601500</v>
      </c>
      <c r="L67" s="146">
        <v>751000</v>
      </c>
      <c r="M67" s="203">
        <f t="shared" si="3"/>
        <v>149500</v>
      </c>
      <c r="N67" s="203">
        <f t="shared" si="3"/>
        <v>601500</v>
      </c>
      <c r="O67" s="203">
        <f t="shared" si="4"/>
        <v>751000</v>
      </c>
      <c r="P67" s="301">
        <f t="shared" si="5"/>
        <v>139035</v>
      </c>
      <c r="Q67" s="301">
        <f t="shared" si="6"/>
        <v>559395</v>
      </c>
      <c r="R67" s="300">
        <f t="shared" si="7"/>
        <v>698430</v>
      </c>
    </row>
    <row r="68" spans="1:18" ht="22.5" x14ac:dyDescent="0.25">
      <c r="A68" s="210"/>
      <c r="B68" s="156" t="s">
        <v>31</v>
      </c>
      <c r="C68" s="153" t="s">
        <v>153</v>
      </c>
      <c r="D68" s="200">
        <v>0</v>
      </c>
      <c r="E68" s="173">
        <v>0</v>
      </c>
      <c r="F68" s="202">
        <f t="shared" si="0"/>
        <v>0</v>
      </c>
      <c r="G68" s="262">
        <f t="shared" si="1"/>
        <v>0</v>
      </c>
      <c r="H68" s="242">
        <v>0</v>
      </c>
      <c r="I68" s="261">
        <f t="shared" si="2"/>
        <v>0</v>
      </c>
      <c r="J68" s="146"/>
      <c r="K68" s="146"/>
      <c r="L68" s="146">
        <v>0</v>
      </c>
      <c r="M68" s="203">
        <f t="shared" si="3"/>
        <v>0</v>
      </c>
      <c r="N68" s="203">
        <f t="shared" si="3"/>
        <v>0</v>
      </c>
      <c r="O68" s="203">
        <f t="shared" si="4"/>
        <v>0</v>
      </c>
      <c r="P68" s="301">
        <f t="shared" si="5"/>
        <v>0</v>
      </c>
      <c r="Q68" s="301">
        <f t="shared" si="6"/>
        <v>0</v>
      </c>
      <c r="R68" s="300">
        <f t="shared" si="7"/>
        <v>0</v>
      </c>
    </row>
    <row r="69" spans="1:18" x14ac:dyDescent="0.25">
      <c r="A69" s="210">
        <v>62</v>
      </c>
      <c r="B69" s="152" t="s">
        <v>323</v>
      </c>
      <c r="C69" s="153" t="s">
        <v>153</v>
      </c>
      <c r="D69" s="200">
        <v>395000</v>
      </c>
      <c r="E69" s="173">
        <v>1569000</v>
      </c>
      <c r="F69" s="202">
        <f t="shared" ref="F69:F132" si="8">(D69+E69)</f>
        <v>1964000</v>
      </c>
      <c r="G69" s="262">
        <f t="shared" ref="G69:G132" si="9">+H69*20%</f>
        <v>382200</v>
      </c>
      <c r="H69" s="242">
        <v>1911000</v>
      </c>
      <c r="I69" s="261">
        <f t="shared" ref="I69:I132" si="10">+H69+G69</f>
        <v>2293200</v>
      </c>
      <c r="J69" s="146">
        <v>349500</v>
      </c>
      <c r="K69" s="146">
        <v>2053372.4629760599</v>
      </c>
      <c r="L69" s="146">
        <v>2402872.4629760599</v>
      </c>
      <c r="M69" s="203">
        <f t="shared" ref="M69:N132" si="11">MIN(D69,G69,J69)</f>
        <v>349500</v>
      </c>
      <c r="N69" s="203">
        <f t="shared" si="11"/>
        <v>1569000</v>
      </c>
      <c r="O69" s="203">
        <f t="shared" ref="O69:O132" si="12">(M69+N69)</f>
        <v>1918500</v>
      </c>
      <c r="P69" s="301">
        <f t="shared" ref="P69:P132" si="13">M69-(M69*7%)</f>
        <v>325035</v>
      </c>
      <c r="Q69" s="301">
        <f t="shared" ref="Q69:Q132" si="14">N69-(N69*7%)</f>
        <v>1459170</v>
      </c>
      <c r="R69" s="300">
        <f t="shared" ref="R69:R132" si="15">Q69+P69</f>
        <v>1784205</v>
      </c>
    </row>
    <row r="70" spans="1:18" x14ac:dyDescent="0.25">
      <c r="A70" s="210">
        <v>63</v>
      </c>
      <c r="B70" s="152" t="s">
        <v>178</v>
      </c>
      <c r="C70" s="153" t="s">
        <v>153</v>
      </c>
      <c r="D70" s="200">
        <v>310000</v>
      </c>
      <c r="E70" s="173">
        <v>784000</v>
      </c>
      <c r="F70" s="202">
        <f t="shared" si="8"/>
        <v>1094000</v>
      </c>
      <c r="G70" s="262">
        <f t="shared" si="9"/>
        <v>213200</v>
      </c>
      <c r="H70" s="242">
        <v>1066000</v>
      </c>
      <c r="I70" s="261">
        <f t="shared" si="10"/>
        <v>1279200</v>
      </c>
      <c r="J70" s="146">
        <v>334500</v>
      </c>
      <c r="K70" s="146">
        <v>1015872.0697916285</v>
      </c>
      <c r="L70" s="146">
        <v>1350372.0697916285</v>
      </c>
      <c r="M70" s="203">
        <f t="shared" si="11"/>
        <v>213200</v>
      </c>
      <c r="N70" s="203">
        <f t="shared" si="11"/>
        <v>784000</v>
      </c>
      <c r="O70" s="203">
        <f t="shared" si="12"/>
        <v>997200</v>
      </c>
      <c r="P70" s="301">
        <f t="shared" si="13"/>
        <v>198276</v>
      </c>
      <c r="Q70" s="301">
        <f t="shared" si="14"/>
        <v>729120</v>
      </c>
      <c r="R70" s="300">
        <f t="shared" si="15"/>
        <v>927396</v>
      </c>
    </row>
    <row r="71" spans="1:18" x14ac:dyDescent="0.25">
      <c r="A71" s="210">
        <v>64</v>
      </c>
      <c r="B71" s="152" t="s">
        <v>301</v>
      </c>
      <c r="C71" s="153" t="s">
        <v>153</v>
      </c>
      <c r="D71" s="200">
        <v>310000</v>
      </c>
      <c r="E71" s="173">
        <v>725000</v>
      </c>
      <c r="F71" s="202">
        <f t="shared" si="8"/>
        <v>1035000</v>
      </c>
      <c r="G71" s="262">
        <f t="shared" si="9"/>
        <v>201400</v>
      </c>
      <c r="H71" s="242">
        <v>1007000</v>
      </c>
      <c r="I71" s="261">
        <f t="shared" si="10"/>
        <v>1208400</v>
      </c>
      <c r="J71" s="146">
        <v>274500</v>
      </c>
      <c r="K71" s="146">
        <v>840351.62118538585</v>
      </c>
      <c r="L71" s="146">
        <v>1114851.6211853859</v>
      </c>
      <c r="M71" s="203">
        <f t="shared" si="11"/>
        <v>201400</v>
      </c>
      <c r="N71" s="203">
        <f t="shared" si="11"/>
        <v>725000</v>
      </c>
      <c r="O71" s="203">
        <f t="shared" si="12"/>
        <v>926400</v>
      </c>
      <c r="P71" s="301">
        <f t="shared" si="13"/>
        <v>187302</v>
      </c>
      <c r="Q71" s="301">
        <f t="shared" si="14"/>
        <v>674250</v>
      </c>
      <c r="R71" s="300">
        <f t="shared" si="15"/>
        <v>861552</v>
      </c>
    </row>
    <row r="72" spans="1:18" x14ac:dyDescent="0.25">
      <c r="A72" s="210">
        <v>65</v>
      </c>
      <c r="B72" s="158" t="s">
        <v>79</v>
      </c>
      <c r="C72" s="153" t="s">
        <v>153</v>
      </c>
      <c r="D72" s="200">
        <v>58000</v>
      </c>
      <c r="E72" s="173">
        <v>132000</v>
      </c>
      <c r="F72" s="202">
        <f t="shared" si="8"/>
        <v>190000</v>
      </c>
      <c r="G72" s="262">
        <f t="shared" si="9"/>
        <v>37000</v>
      </c>
      <c r="H72" s="242">
        <v>185000</v>
      </c>
      <c r="I72" s="261">
        <f t="shared" si="10"/>
        <v>222000</v>
      </c>
      <c r="J72" s="146">
        <v>257500</v>
      </c>
      <c r="K72" s="146">
        <v>97766.460507013355</v>
      </c>
      <c r="L72" s="146">
        <v>355266.46050701337</v>
      </c>
      <c r="M72" s="203">
        <f t="shared" si="11"/>
        <v>37000</v>
      </c>
      <c r="N72" s="203">
        <f t="shared" si="11"/>
        <v>97766.460507013355</v>
      </c>
      <c r="O72" s="203">
        <f t="shared" si="12"/>
        <v>134766.46050701337</v>
      </c>
      <c r="P72" s="301">
        <f t="shared" si="13"/>
        <v>34410</v>
      </c>
      <c r="Q72" s="301">
        <f t="shared" si="14"/>
        <v>90922.808271522415</v>
      </c>
      <c r="R72" s="300">
        <f t="shared" si="15"/>
        <v>125332.80827152242</v>
      </c>
    </row>
    <row r="73" spans="1:18" x14ac:dyDescent="0.25">
      <c r="A73" s="210">
        <v>66</v>
      </c>
      <c r="B73" s="152" t="s">
        <v>32</v>
      </c>
      <c r="C73" s="153" t="s">
        <v>153</v>
      </c>
      <c r="D73" s="200">
        <v>88000</v>
      </c>
      <c r="E73" s="173">
        <v>202000</v>
      </c>
      <c r="F73" s="202">
        <f t="shared" si="8"/>
        <v>290000</v>
      </c>
      <c r="G73" s="262">
        <f t="shared" si="9"/>
        <v>56600</v>
      </c>
      <c r="H73" s="242">
        <v>283000</v>
      </c>
      <c r="I73" s="261">
        <f t="shared" si="10"/>
        <v>339600</v>
      </c>
      <c r="J73" s="146">
        <v>324500</v>
      </c>
      <c r="K73" s="146">
        <v>149485.6502475467</v>
      </c>
      <c r="L73" s="146">
        <v>473985.65024754673</v>
      </c>
      <c r="M73" s="203">
        <f t="shared" si="11"/>
        <v>56600</v>
      </c>
      <c r="N73" s="203">
        <f t="shared" si="11"/>
        <v>149485.6502475467</v>
      </c>
      <c r="O73" s="203">
        <f t="shared" si="12"/>
        <v>206085.6502475467</v>
      </c>
      <c r="P73" s="301">
        <f t="shared" si="13"/>
        <v>52638</v>
      </c>
      <c r="Q73" s="301">
        <f t="shared" si="14"/>
        <v>139021.65473021843</v>
      </c>
      <c r="R73" s="300">
        <f t="shared" si="15"/>
        <v>191659.65473021843</v>
      </c>
    </row>
    <row r="74" spans="1:18" x14ac:dyDescent="0.25">
      <c r="A74" s="210">
        <v>67</v>
      </c>
      <c r="B74" s="158" t="s">
        <v>77</v>
      </c>
      <c r="C74" s="153" t="s">
        <v>153</v>
      </c>
      <c r="D74" s="200">
        <v>95000</v>
      </c>
      <c r="E74" s="173">
        <v>398000</v>
      </c>
      <c r="F74" s="202">
        <f t="shared" si="8"/>
        <v>493000</v>
      </c>
      <c r="G74" s="262">
        <f t="shared" si="9"/>
        <v>96000</v>
      </c>
      <c r="H74" s="242">
        <v>480000</v>
      </c>
      <c r="I74" s="261">
        <f t="shared" si="10"/>
        <v>576000</v>
      </c>
      <c r="J74" s="146">
        <v>84500</v>
      </c>
      <c r="K74" s="146">
        <v>294299.38152103999</v>
      </c>
      <c r="L74" s="146">
        <v>378799.38152103999</v>
      </c>
      <c r="M74" s="203">
        <f t="shared" si="11"/>
        <v>84500</v>
      </c>
      <c r="N74" s="203">
        <f t="shared" si="11"/>
        <v>294299.38152103999</v>
      </c>
      <c r="O74" s="203">
        <f t="shared" si="12"/>
        <v>378799.38152103999</v>
      </c>
      <c r="P74" s="301">
        <f t="shared" si="13"/>
        <v>78585</v>
      </c>
      <c r="Q74" s="301">
        <f t="shared" si="14"/>
        <v>273698.4248145672</v>
      </c>
      <c r="R74" s="300">
        <f t="shared" si="15"/>
        <v>352283.4248145672</v>
      </c>
    </row>
    <row r="75" spans="1:18" ht="22.5" x14ac:dyDescent="0.25">
      <c r="A75" s="210"/>
      <c r="B75" s="156" t="s">
        <v>90</v>
      </c>
      <c r="C75" s="153" t="s">
        <v>153</v>
      </c>
      <c r="D75" s="200">
        <v>0</v>
      </c>
      <c r="E75" s="173">
        <v>0</v>
      </c>
      <c r="F75" s="202">
        <f t="shared" si="8"/>
        <v>0</v>
      </c>
      <c r="G75" s="262">
        <f t="shared" si="9"/>
        <v>0</v>
      </c>
      <c r="H75" s="242">
        <v>0</v>
      </c>
      <c r="I75" s="261">
        <f t="shared" si="10"/>
        <v>0</v>
      </c>
      <c r="J75" s="146"/>
      <c r="K75" s="146"/>
      <c r="L75" s="146">
        <v>0</v>
      </c>
      <c r="M75" s="203">
        <f t="shared" si="11"/>
        <v>0</v>
      </c>
      <c r="N75" s="203">
        <f t="shared" si="11"/>
        <v>0</v>
      </c>
      <c r="O75" s="203">
        <f t="shared" si="12"/>
        <v>0</v>
      </c>
      <c r="P75" s="301">
        <f t="shared" si="13"/>
        <v>0</v>
      </c>
      <c r="Q75" s="301">
        <f t="shared" si="14"/>
        <v>0</v>
      </c>
      <c r="R75" s="300">
        <f t="shared" si="15"/>
        <v>0</v>
      </c>
    </row>
    <row r="76" spans="1:18" x14ac:dyDescent="0.25">
      <c r="A76" s="210">
        <v>68</v>
      </c>
      <c r="B76" s="152" t="s">
        <v>561</v>
      </c>
      <c r="C76" s="153" t="s">
        <v>153</v>
      </c>
      <c r="D76" s="200">
        <v>41000</v>
      </c>
      <c r="E76" s="173">
        <v>93000</v>
      </c>
      <c r="F76" s="202">
        <f t="shared" si="8"/>
        <v>134000</v>
      </c>
      <c r="G76" s="262">
        <f t="shared" si="9"/>
        <v>26200</v>
      </c>
      <c r="H76" s="242">
        <v>131000</v>
      </c>
      <c r="I76" s="261">
        <f t="shared" si="10"/>
        <v>157200</v>
      </c>
      <c r="J76" s="146">
        <v>124500</v>
      </c>
      <c r="K76" s="146">
        <v>82597.042173334616</v>
      </c>
      <c r="L76" s="146">
        <v>207097.04217333463</v>
      </c>
      <c r="M76" s="203">
        <f t="shared" si="11"/>
        <v>26200</v>
      </c>
      <c r="N76" s="203">
        <f t="shared" si="11"/>
        <v>82597.042173334616</v>
      </c>
      <c r="O76" s="203">
        <f t="shared" si="12"/>
        <v>108797.04217333462</v>
      </c>
      <c r="P76" s="301">
        <f t="shared" si="13"/>
        <v>24366</v>
      </c>
      <c r="Q76" s="301">
        <f t="shared" si="14"/>
        <v>76815.249221201186</v>
      </c>
      <c r="R76" s="300">
        <f t="shared" si="15"/>
        <v>101181.24922120119</v>
      </c>
    </row>
    <row r="77" spans="1:18" x14ac:dyDescent="0.25">
      <c r="A77" s="210">
        <v>69</v>
      </c>
      <c r="B77" s="152" t="s">
        <v>181</v>
      </c>
      <c r="C77" s="153" t="s">
        <v>153</v>
      </c>
      <c r="D77" s="200">
        <v>135000</v>
      </c>
      <c r="E77" s="173">
        <v>562000</v>
      </c>
      <c r="F77" s="202">
        <f t="shared" si="8"/>
        <v>697000</v>
      </c>
      <c r="G77" s="262">
        <f t="shared" si="9"/>
        <v>135800</v>
      </c>
      <c r="H77" s="242">
        <v>679000</v>
      </c>
      <c r="I77" s="261">
        <f t="shared" si="10"/>
        <v>814800</v>
      </c>
      <c r="J77" s="146">
        <v>119500</v>
      </c>
      <c r="K77" s="146">
        <v>559477.11431008705</v>
      </c>
      <c r="L77" s="146">
        <v>678977.11431008705</v>
      </c>
      <c r="M77" s="203">
        <f t="shared" si="11"/>
        <v>119500</v>
      </c>
      <c r="N77" s="203">
        <f t="shared" si="11"/>
        <v>559477.11431008705</v>
      </c>
      <c r="O77" s="203">
        <f t="shared" si="12"/>
        <v>678977.11431008705</v>
      </c>
      <c r="P77" s="301">
        <f t="shared" si="13"/>
        <v>111135</v>
      </c>
      <c r="Q77" s="301">
        <f t="shared" si="14"/>
        <v>520313.71630838094</v>
      </c>
      <c r="R77" s="300">
        <f t="shared" si="15"/>
        <v>631448.71630838094</v>
      </c>
    </row>
    <row r="78" spans="1:18" x14ac:dyDescent="0.25">
      <c r="A78" s="210">
        <v>70</v>
      </c>
      <c r="B78" s="158" t="s">
        <v>374</v>
      </c>
      <c r="C78" s="153" t="s">
        <v>153</v>
      </c>
      <c r="D78" s="200">
        <v>135000</v>
      </c>
      <c r="E78" s="173">
        <v>549000</v>
      </c>
      <c r="F78" s="202">
        <f t="shared" si="8"/>
        <v>684000</v>
      </c>
      <c r="G78" s="262">
        <f t="shared" si="9"/>
        <v>133200</v>
      </c>
      <c r="H78" s="242">
        <v>666000</v>
      </c>
      <c r="I78" s="261">
        <f t="shared" si="10"/>
        <v>799200</v>
      </c>
      <c r="J78" s="146">
        <v>119500</v>
      </c>
      <c r="K78" s="146">
        <v>685688.8090328346</v>
      </c>
      <c r="L78" s="146">
        <v>805188.8090328346</v>
      </c>
      <c r="M78" s="203">
        <f t="shared" si="11"/>
        <v>119500</v>
      </c>
      <c r="N78" s="203">
        <f t="shared" si="11"/>
        <v>549000</v>
      </c>
      <c r="O78" s="203">
        <f t="shared" si="12"/>
        <v>668500</v>
      </c>
      <c r="P78" s="301">
        <f t="shared" si="13"/>
        <v>111135</v>
      </c>
      <c r="Q78" s="301">
        <f t="shared" si="14"/>
        <v>510570</v>
      </c>
      <c r="R78" s="300">
        <f t="shared" si="15"/>
        <v>621705</v>
      </c>
    </row>
    <row r="79" spans="1:18" x14ac:dyDescent="0.25">
      <c r="A79" s="210">
        <v>71</v>
      </c>
      <c r="B79" s="158" t="s">
        <v>80</v>
      </c>
      <c r="C79" s="153" t="s">
        <v>153</v>
      </c>
      <c r="D79" s="200">
        <v>183000</v>
      </c>
      <c r="E79" s="173">
        <v>422000</v>
      </c>
      <c r="F79" s="202">
        <f t="shared" si="8"/>
        <v>605000</v>
      </c>
      <c r="G79" s="262">
        <f t="shared" si="9"/>
        <v>117600</v>
      </c>
      <c r="H79" s="242">
        <v>588000</v>
      </c>
      <c r="I79" s="261">
        <f t="shared" si="10"/>
        <v>705600</v>
      </c>
      <c r="J79" s="146">
        <v>119500</v>
      </c>
      <c r="K79" s="146">
        <v>394477.04949651292</v>
      </c>
      <c r="L79" s="146">
        <v>513977.04949651292</v>
      </c>
      <c r="M79" s="203">
        <f t="shared" si="11"/>
        <v>117600</v>
      </c>
      <c r="N79" s="203">
        <f t="shared" si="11"/>
        <v>394477.04949651292</v>
      </c>
      <c r="O79" s="203">
        <f t="shared" si="12"/>
        <v>512077.04949651292</v>
      </c>
      <c r="P79" s="301">
        <f t="shared" si="13"/>
        <v>109368</v>
      </c>
      <c r="Q79" s="301">
        <f t="shared" si="14"/>
        <v>366863.65603175701</v>
      </c>
      <c r="R79" s="300">
        <f t="shared" si="15"/>
        <v>476231.65603175701</v>
      </c>
    </row>
    <row r="80" spans="1:18" x14ac:dyDescent="0.25">
      <c r="A80" s="210">
        <v>72</v>
      </c>
      <c r="B80" s="158" t="s">
        <v>99</v>
      </c>
      <c r="C80" s="153" t="s">
        <v>153</v>
      </c>
      <c r="D80" s="200">
        <v>93000</v>
      </c>
      <c r="E80" s="173">
        <v>235000</v>
      </c>
      <c r="F80" s="202">
        <f t="shared" si="8"/>
        <v>328000</v>
      </c>
      <c r="G80" s="262">
        <f t="shared" si="9"/>
        <v>64000</v>
      </c>
      <c r="H80" s="242">
        <v>320000</v>
      </c>
      <c r="I80" s="261">
        <f t="shared" si="10"/>
        <v>384000</v>
      </c>
      <c r="J80" s="146">
        <v>119500</v>
      </c>
      <c r="K80" s="146">
        <v>394477.04949651292</v>
      </c>
      <c r="L80" s="146">
        <v>513977.04949651292</v>
      </c>
      <c r="M80" s="203">
        <f t="shared" si="11"/>
        <v>64000</v>
      </c>
      <c r="N80" s="203">
        <f t="shared" si="11"/>
        <v>235000</v>
      </c>
      <c r="O80" s="203">
        <f t="shared" si="12"/>
        <v>299000</v>
      </c>
      <c r="P80" s="301">
        <f t="shared" si="13"/>
        <v>59520</v>
      </c>
      <c r="Q80" s="301">
        <f t="shared" si="14"/>
        <v>218550</v>
      </c>
      <c r="R80" s="300">
        <f t="shared" si="15"/>
        <v>278070</v>
      </c>
    </row>
    <row r="81" spans="1:18" x14ac:dyDescent="0.25">
      <c r="A81" s="210">
        <v>73</v>
      </c>
      <c r="B81" s="152" t="s">
        <v>27</v>
      </c>
      <c r="C81" s="153" t="s">
        <v>153</v>
      </c>
      <c r="D81" s="200">
        <v>112000</v>
      </c>
      <c r="E81" s="173">
        <v>327000</v>
      </c>
      <c r="F81" s="202">
        <f t="shared" si="8"/>
        <v>439000</v>
      </c>
      <c r="G81" s="262">
        <f t="shared" si="9"/>
        <v>85400</v>
      </c>
      <c r="H81" s="242">
        <v>427000</v>
      </c>
      <c r="I81" s="261">
        <f t="shared" si="10"/>
        <v>512400</v>
      </c>
      <c r="J81" s="146">
        <v>219500</v>
      </c>
      <c r="K81" s="146">
        <v>311857.01205415628</v>
      </c>
      <c r="L81" s="146">
        <v>531357.01205415628</v>
      </c>
      <c r="M81" s="203">
        <f t="shared" si="11"/>
        <v>85400</v>
      </c>
      <c r="N81" s="203">
        <f t="shared" si="11"/>
        <v>311857.01205415628</v>
      </c>
      <c r="O81" s="203">
        <f t="shared" si="12"/>
        <v>397257.01205415628</v>
      </c>
      <c r="P81" s="301">
        <f t="shared" si="13"/>
        <v>79422</v>
      </c>
      <c r="Q81" s="301">
        <f t="shared" si="14"/>
        <v>290027.02121036535</v>
      </c>
      <c r="R81" s="300">
        <f t="shared" si="15"/>
        <v>369449.02121036535</v>
      </c>
    </row>
    <row r="82" spans="1:18" x14ac:dyDescent="0.25">
      <c r="A82" s="210">
        <v>74</v>
      </c>
      <c r="B82" s="152" t="s">
        <v>144</v>
      </c>
      <c r="C82" s="153" t="s">
        <v>153</v>
      </c>
      <c r="D82" s="200">
        <v>98000</v>
      </c>
      <c r="E82" s="173">
        <v>248000</v>
      </c>
      <c r="F82" s="202">
        <f t="shared" si="8"/>
        <v>346000</v>
      </c>
      <c r="G82" s="262">
        <f t="shared" si="9"/>
        <v>67600</v>
      </c>
      <c r="H82" s="242">
        <v>338000</v>
      </c>
      <c r="I82" s="261">
        <f t="shared" si="10"/>
        <v>405600</v>
      </c>
      <c r="J82" s="146">
        <v>199500</v>
      </c>
      <c r="K82" s="146">
        <v>195603.90033898302</v>
      </c>
      <c r="L82" s="146">
        <v>395103.90033898305</v>
      </c>
      <c r="M82" s="203">
        <f t="shared" si="11"/>
        <v>67600</v>
      </c>
      <c r="N82" s="203">
        <f t="shared" si="11"/>
        <v>195603.90033898302</v>
      </c>
      <c r="O82" s="203">
        <f t="shared" si="12"/>
        <v>263203.90033898305</v>
      </c>
      <c r="P82" s="301">
        <f t="shared" si="13"/>
        <v>62868</v>
      </c>
      <c r="Q82" s="301">
        <f t="shared" si="14"/>
        <v>181911.62731525421</v>
      </c>
      <c r="R82" s="300">
        <f t="shared" si="15"/>
        <v>244779.62731525421</v>
      </c>
    </row>
    <row r="83" spans="1:18" x14ac:dyDescent="0.25">
      <c r="A83" s="210">
        <v>75</v>
      </c>
      <c r="B83" s="152" t="s">
        <v>380</v>
      </c>
      <c r="C83" s="153" t="s">
        <v>153</v>
      </c>
      <c r="D83" s="200">
        <v>180000</v>
      </c>
      <c r="E83" s="173">
        <v>612000</v>
      </c>
      <c r="F83" s="202">
        <f t="shared" si="8"/>
        <v>792000</v>
      </c>
      <c r="G83" s="262">
        <f t="shared" si="9"/>
        <v>154200</v>
      </c>
      <c r="H83" s="242">
        <v>771000</v>
      </c>
      <c r="I83" s="261">
        <f t="shared" si="10"/>
        <v>925200</v>
      </c>
      <c r="J83" s="146">
        <v>99500</v>
      </c>
      <c r="K83" s="146">
        <v>259214.76097157743</v>
      </c>
      <c r="L83" s="146">
        <v>358714.76097157743</v>
      </c>
      <c r="M83" s="203">
        <f t="shared" si="11"/>
        <v>99500</v>
      </c>
      <c r="N83" s="203">
        <f t="shared" si="11"/>
        <v>259214.76097157743</v>
      </c>
      <c r="O83" s="203">
        <f t="shared" si="12"/>
        <v>358714.76097157743</v>
      </c>
      <c r="P83" s="301">
        <f t="shared" si="13"/>
        <v>92535</v>
      </c>
      <c r="Q83" s="301">
        <f t="shared" si="14"/>
        <v>241069.72770356701</v>
      </c>
      <c r="R83" s="300">
        <f t="shared" si="15"/>
        <v>333604.72770356701</v>
      </c>
    </row>
    <row r="84" spans="1:18" x14ac:dyDescent="0.25">
      <c r="A84" s="210">
        <v>76</v>
      </c>
      <c r="B84" s="152" t="s">
        <v>381</v>
      </c>
      <c r="C84" s="153" t="s">
        <v>153</v>
      </c>
      <c r="D84" s="200">
        <v>82000</v>
      </c>
      <c r="E84" s="173">
        <v>188000</v>
      </c>
      <c r="F84" s="202">
        <f t="shared" si="8"/>
        <v>270000</v>
      </c>
      <c r="G84" s="262">
        <f t="shared" si="9"/>
        <v>52600</v>
      </c>
      <c r="H84" s="242">
        <v>263000</v>
      </c>
      <c r="I84" s="261">
        <f t="shared" si="10"/>
        <v>315600</v>
      </c>
      <c r="J84" s="146">
        <v>124500</v>
      </c>
      <c r="K84" s="146">
        <v>232863.64140338986</v>
      </c>
      <c r="L84" s="146">
        <v>357363.64140338986</v>
      </c>
      <c r="M84" s="203">
        <f t="shared" si="11"/>
        <v>52600</v>
      </c>
      <c r="N84" s="203">
        <f t="shared" si="11"/>
        <v>188000</v>
      </c>
      <c r="O84" s="203">
        <f t="shared" si="12"/>
        <v>240600</v>
      </c>
      <c r="P84" s="301">
        <f t="shared" si="13"/>
        <v>48918</v>
      </c>
      <c r="Q84" s="301">
        <f t="shared" si="14"/>
        <v>174840</v>
      </c>
      <c r="R84" s="300">
        <f t="shared" si="15"/>
        <v>223758</v>
      </c>
    </row>
    <row r="85" spans="1:18" x14ac:dyDescent="0.25">
      <c r="A85" s="210">
        <v>77</v>
      </c>
      <c r="B85" s="158" t="s">
        <v>306</v>
      </c>
      <c r="C85" s="153" t="s">
        <v>153</v>
      </c>
      <c r="D85" s="200">
        <v>161000</v>
      </c>
      <c r="E85" s="173">
        <v>370000</v>
      </c>
      <c r="F85" s="202">
        <f t="shared" si="8"/>
        <v>531000</v>
      </c>
      <c r="G85" s="262">
        <f t="shared" si="9"/>
        <v>103200</v>
      </c>
      <c r="H85" s="242">
        <v>516000</v>
      </c>
      <c r="I85" s="261">
        <f t="shared" si="10"/>
        <v>619200</v>
      </c>
      <c r="J85" s="146">
        <v>159500</v>
      </c>
      <c r="K85" s="146">
        <v>756000</v>
      </c>
      <c r="L85" s="146">
        <v>915500</v>
      </c>
      <c r="M85" s="203">
        <f t="shared" si="11"/>
        <v>103200</v>
      </c>
      <c r="N85" s="203">
        <f t="shared" si="11"/>
        <v>370000</v>
      </c>
      <c r="O85" s="203">
        <f t="shared" si="12"/>
        <v>473200</v>
      </c>
      <c r="P85" s="301">
        <f t="shared" si="13"/>
        <v>95976</v>
      </c>
      <c r="Q85" s="301">
        <f t="shared" si="14"/>
        <v>344100</v>
      </c>
      <c r="R85" s="300">
        <f t="shared" si="15"/>
        <v>440076</v>
      </c>
    </row>
    <row r="86" spans="1:18" x14ac:dyDescent="0.25">
      <c r="A86" s="210">
        <v>78</v>
      </c>
      <c r="B86" s="158" t="s">
        <v>103</v>
      </c>
      <c r="C86" s="153" t="s">
        <v>153</v>
      </c>
      <c r="D86" s="200">
        <v>62000</v>
      </c>
      <c r="E86" s="173">
        <v>141000</v>
      </c>
      <c r="F86" s="202">
        <f t="shared" si="8"/>
        <v>203000</v>
      </c>
      <c r="G86" s="262">
        <f t="shared" si="9"/>
        <v>39600</v>
      </c>
      <c r="H86" s="242">
        <v>198000</v>
      </c>
      <c r="I86" s="261">
        <f t="shared" si="10"/>
        <v>237600</v>
      </c>
      <c r="J86" s="146">
        <v>169500</v>
      </c>
      <c r="K86" s="146">
        <v>139141.81229944</v>
      </c>
      <c r="L86" s="146">
        <v>308641.81229944003</v>
      </c>
      <c r="M86" s="203">
        <f t="shared" si="11"/>
        <v>39600</v>
      </c>
      <c r="N86" s="203">
        <f t="shared" si="11"/>
        <v>139141.81229944</v>
      </c>
      <c r="O86" s="203">
        <f t="shared" si="12"/>
        <v>178741.81229944</v>
      </c>
      <c r="P86" s="301">
        <f t="shared" si="13"/>
        <v>36828</v>
      </c>
      <c r="Q86" s="301">
        <f t="shared" si="14"/>
        <v>129401.88543847921</v>
      </c>
      <c r="R86" s="300">
        <f t="shared" si="15"/>
        <v>166229.88543847919</v>
      </c>
    </row>
    <row r="87" spans="1:18" x14ac:dyDescent="0.25">
      <c r="A87" s="210">
        <v>79</v>
      </c>
      <c r="B87" s="152" t="s">
        <v>373</v>
      </c>
      <c r="C87" s="153" t="s">
        <v>153</v>
      </c>
      <c r="D87" s="200">
        <v>129000</v>
      </c>
      <c r="E87" s="173">
        <v>327000</v>
      </c>
      <c r="F87" s="202">
        <f t="shared" si="8"/>
        <v>456000</v>
      </c>
      <c r="G87" s="262">
        <f t="shared" si="9"/>
        <v>88800</v>
      </c>
      <c r="H87" s="242">
        <v>444000</v>
      </c>
      <c r="I87" s="261">
        <f t="shared" si="10"/>
        <v>532800</v>
      </c>
      <c r="J87" s="146">
        <v>157500</v>
      </c>
      <c r="K87" s="146">
        <v>273611.70562482672</v>
      </c>
      <c r="L87" s="146">
        <v>431111.70562482672</v>
      </c>
      <c r="M87" s="203">
        <f t="shared" si="11"/>
        <v>88800</v>
      </c>
      <c r="N87" s="203">
        <f t="shared" si="11"/>
        <v>273611.70562482672</v>
      </c>
      <c r="O87" s="203">
        <f t="shared" si="12"/>
        <v>362411.70562482672</v>
      </c>
      <c r="P87" s="301">
        <f t="shared" si="13"/>
        <v>82584</v>
      </c>
      <c r="Q87" s="301">
        <f t="shared" si="14"/>
        <v>254458.88623108884</v>
      </c>
      <c r="R87" s="300">
        <f t="shared" si="15"/>
        <v>337042.88623108884</v>
      </c>
    </row>
    <row r="88" spans="1:18" x14ac:dyDescent="0.25">
      <c r="A88" s="210">
        <v>80</v>
      </c>
      <c r="B88" s="152" t="s">
        <v>375</v>
      </c>
      <c r="C88" s="153" t="s">
        <v>153</v>
      </c>
      <c r="D88" s="200">
        <v>46000</v>
      </c>
      <c r="E88" s="173">
        <v>116000</v>
      </c>
      <c r="F88" s="202">
        <f t="shared" si="8"/>
        <v>162000</v>
      </c>
      <c r="G88" s="262">
        <f t="shared" si="9"/>
        <v>31600</v>
      </c>
      <c r="H88" s="242">
        <v>158000</v>
      </c>
      <c r="I88" s="261">
        <f t="shared" si="10"/>
        <v>189600</v>
      </c>
      <c r="J88" s="146">
        <v>119500</v>
      </c>
      <c r="K88" s="146">
        <v>104504.2151882779</v>
      </c>
      <c r="L88" s="146">
        <v>224004.21518827789</v>
      </c>
      <c r="M88" s="203">
        <f t="shared" si="11"/>
        <v>31600</v>
      </c>
      <c r="N88" s="203">
        <f t="shared" si="11"/>
        <v>104504.2151882779</v>
      </c>
      <c r="O88" s="203">
        <f t="shared" si="12"/>
        <v>136104.21518827789</v>
      </c>
      <c r="P88" s="301">
        <f t="shared" si="13"/>
        <v>29388</v>
      </c>
      <c r="Q88" s="301">
        <f t="shared" si="14"/>
        <v>97188.920125098448</v>
      </c>
      <c r="R88" s="300">
        <f t="shared" si="15"/>
        <v>126576.92012509845</v>
      </c>
    </row>
    <row r="89" spans="1:18" x14ac:dyDescent="0.25">
      <c r="A89" s="210">
        <v>81</v>
      </c>
      <c r="B89" s="152" t="s">
        <v>376</v>
      </c>
      <c r="C89" s="153" t="s">
        <v>153</v>
      </c>
      <c r="D89" s="200">
        <v>50000</v>
      </c>
      <c r="E89" s="173">
        <v>125000</v>
      </c>
      <c r="F89" s="202">
        <f t="shared" si="8"/>
        <v>175000</v>
      </c>
      <c r="G89" s="262">
        <f t="shared" si="9"/>
        <v>34000</v>
      </c>
      <c r="H89" s="242">
        <v>170000</v>
      </c>
      <c r="I89" s="261">
        <f t="shared" si="10"/>
        <v>204000</v>
      </c>
      <c r="J89" s="146">
        <v>199500</v>
      </c>
      <c r="K89" s="146">
        <v>361181.77194033831</v>
      </c>
      <c r="L89" s="146">
        <v>560681.77194033831</v>
      </c>
      <c r="M89" s="203">
        <f t="shared" si="11"/>
        <v>34000</v>
      </c>
      <c r="N89" s="203">
        <f t="shared" si="11"/>
        <v>125000</v>
      </c>
      <c r="O89" s="203">
        <f t="shared" si="12"/>
        <v>159000</v>
      </c>
      <c r="P89" s="301">
        <f t="shared" si="13"/>
        <v>31620</v>
      </c>
      <c r="Q89" s="301">
        <f t="shared" si="14"/>
        <v>116250</v>
      </c>
      <c r="R89" s="300">
        <f t="shared" si="15"/>
        <v>147870</v>
      </c>
    </row>
    <row r="90" spans="1:18" x14ac:dyDescent="0.25">
      <c r="A90" s="210">
        <v>82</v>
      </c>
      <c r="B90" s="152" t="s">
        <v>377</v>
      </c>
      <c r="C90" s="153" t="s">
        <v>153</v>
      </c>
      <c r="D90" s="200">
        <v>38000</v>
      </c>
      <c r="E90" s="173">
        <v>90000</v>
      </c>
      <c r="F90" s="202">
        <f t="shared" si="8"/>
        <v>128000</v>
      </c>
      <c r="G90" s="262">
        <f t="shared" si="9"/>
        <v>25000</v>
      </c>
      <c r="H90" s="242">
        <v>125000</v>
      </c>
      <c r="I90" s="261">
        <f t="shared" si="10"/>
        <v>150000</v>
      </c>
      <c r="J90" s="146">
        <v>224500</v>
      </c>
      <c r="K90" s="146">
        <v>106300</v>
      </c>
      <c r="L90" s="146">
        <v>330800</v>
      </c>
      <c r="M90" s="203">
        <f t="shared" si="11"/>
        <v>25000</v>
      </c>
      <c r="N90" s="203">
        <f t="shared" si="11"/>
        <v>90000</v>
      </c>
      <c r="O90" s="203">
        <f t="shared" si="12"/>
        <v>115000</v>
      </c>
      <c r="P90" s="301">
        <f t="shared" si="13"/>
        <v>23250</v>
      </c>
      <c r="Q90" s="301">
        <f t="shared" si="14"/>
        <v>83700</v>
      </c>
      <c r="R90" s="300">
        <f t="shared" si="15"/>
        <v>106950</v>
      </c>
    </row>
    <row r="91" spans="1:18" ht="22.5" x14ac:dyDescent="0.25">
      <c r="A91" s="210"/>
      <c r="B91" s="156" t="s">
        <v>28</v>
      </c>
      <c r="C91" s="153" t="s">
        <v>153</v>
      </c>
      <c r="D91" s="200">
        <v>0</v>
      </c>
      <c r="E91" s="173">
        <v>0</v>
      </c>
      <c r="F91" s="202">
        <f t="shared" si="8"/>
        <v>0</v>
      </c>
      <c r="G91" s="262">
        <f t="shared" si="9"/>
        <v>0</v>
      </c>
      <c r="H91" s="242">
        <v>0</v>
      </c>
      <c r="I91" s="261">
        <f t="shared" si="10"/>
        <v>0</v>
      </c>
      <c r="J91" s="146">
        <v>224500</v>
      </c>
      <c r="K91" s="146">
        <v>115200</v>
      </c>
      <c r="L91" s="146">
        <v>339700</v>
      </c>
      <c r="M91" s="203">
        <f t="shared" si="11"/>
        <v>0</v>
      </c>
      <c r="N91" s="203">
        <f t="shared" si="11"/>
        <v>0</v>
      </c>
      <c r="O91" s="203">
        <f t="shared" si="12"/>
        <v>0</v>
      </c>
      <c r="P91" s="301">
        <f t="shared" si="13"/>
        <v>0</v>
      </c>
      <c r="Q91" s="301">
        <f t="shared" si="14"/>
        <v>0</v>
      </c>
      <c r="R91" s="300">
        <f t="shared" si="15"/>
        <v>0</v>
      </c>
    </row>
    <row r="92" spans="1:18" x14ac:dyDescent="0.25">
      <c r="A92" s="210">
        <v>83</v>
      </c>
      <c r="B92" s="152" t="s">
        <v>114</v>
      </c>
      <c r="C92" s="153" t="s">
        <v>153</v>
      </c>
      <c r="D92" s="200">
        <v>163000</v>
      </c>
      <c r="E92" s="173">
        <v>412000</v>
      </c>
      <c r="F92" s="202">
        <f t="shared" si="8"/>
        <v>575000</v>
      </c>
      <c r="G92" s="262">
        <f t="shared" si="9"/>
        <v>112000</v>
      </c>
      <c r="H92" s="242">
        <v>560000</v>
      </c>
      <c r="I92" s="261">
        <f t="shared" si="10"/>
        <v>672000</v>
      </c>
      <c r="J92" s="146">
        <v>224500</v>
      </c>
      <c r="K92" s="146">
        <v>75150</v>
      </c>
      <c r="L92" s="146">
        <v>299650</v>
      </c>
      <c r="M92" s="203">
        <f t="shared" si="11"/>
        <v>112000</v>
      </c>
      <c r="N92" s="203">
        <f t="shared" si="11"/>
        <v>75150</v>
      </c>
      <c r="O92" s="203">
        <f t="shared" si="12"/>
        <v>187150</v>
      </c>
      <c r="P92" s="301">
        <f t="shared" si="13"/>
        <v>104160</v>
      </c>
      <c r="Q92" s="301">
        <f t="shared" si="14"/>
        <v>69889.5</v>
      </c>
      <c r="R92" s="300">
        <f t="shared" si="15"/>
        <v>174049.5</v>
      </c>
    </row>
    <row r="93" spans="1:18" x14ac:dyDescent="0.25">
      <c r="A93" s="210">
        <v>84</v>
      </c>
      <c r="B93" s="158" t="s">
        <v>378</v>
      </c>
      <c r="C93" s="153" t="s">
        <v>153</v>
      </c>
      <c r="D93" s="200">
        <v>129000</v>
      </c>
      <c r="E93" s="173">
        <v>327000</v>
      </c>
      <c r="F93" s="202">
        <f t="shared" si="8"/>
        <v>456000</v>
      </c>
      <c r="G93" s="262">
        <f t="shared" si="9"/>
        <v>88800</v>
      </c>
      <c r="H93" s="242">
        <v>444000</v>
      </c>
      <c r="I93" s="261">
        <f t="shared" si="10"/>
        <v>532800</v>
      </c>
      <c r="J93" s="146"/>
      <c r="K93" s="146"/>
      <c r="L93" s="146">
        <v>0</v>
      </c>
      <c r="M93" s="203">
        <f t="shared" si="11"/>
        <v>88800</v>
      </c>
      <c r="N93" s="203">
        <f t="shared" si="11"/>
        <v>327000</v>
      </c>
      <c r="O93" s="203">
        <f t="shared" si="12"/>
        <v>415800</v>
      </c>
      <c r="P93" s="301">
        <f t="shared" si="13"/>
        <v>82584</v>
      </c>
      <c r="Q93" s="301">
        <f t="shared" si="14"/>
        <v>304110</v>
      </c>
      <c r="R93" s="300">
        <f t="shared" si="15"/>
        <v>386694</v>
      </c>
    </row>
    <row r="94" spans="1:18" x14ac:dyDescent="0.25">
      <c r="A94" s="210">
        <v>85</v>
      </c>
      <c r="B94" s="152" t="s">
        <v>119</v>
      </c>
      <c r="C94" s="153" t="s">
        <v>153</v>
      </c>
      <c r="D94" s="200">
        <v>178000</v>
      </c>
      <c r="E94" s="173">
        <v>412000</v>
      </c>
      <c r="F94" s="202">
        <f t="shared" si="8"/>
        <v>590000</v>
      </c>
      <c r="G94" s="262">
        <f t="shared" si="9"/>
        <v>114800</v>
      </c>
      <c r="H94" s="242">
        <v>574000</v>
      </c>
      <c r="I94" s="261">
        <f t="shared" si="10"/>
        <v>688800</v>
      </c>
      <c r="J94" s="146">
        <v>199500</v>
      </c>
      <c r="K94" s="146">
        <v>454260.62908574077</v>
      </c>
      <c r="L94" s="146">
        <v>653760.62908574077</v>
      </c>
      <c r="M94" s="203">
        <f t="shared" si="11"/>
        <v>114800</v>
      </c>
      <c r="N94" s="203">
        <f t="shared" si="11"/>
        <v>412000</v>
      </c>
      <c r="O94" s="203">
        <f t="shared" si="12"/>
        <v>526800</v>
      </c>
      <c r="P94" s="301">
        <f t="shared" si="13"/>
        <v>106764</v>
      </c>
      <c r="Q94" s="301">
        <f t="shared" si="14"/>
        <v>383160</v>
      </c>
      <c r="R94" s="300">
        <f t="shared" si="15"/>
        <v>489924</v>
      </c>
    </row>
    <row r="95" spans="1:18" x14ac:dyDescent="0.25">
      <c r="A95" s="210">
        <v>86</v>
      </c>
      <c r="B95" s="152" t="s">
        <v>117</v>
      </c>
      <c r="C95" s="153" t="s">
        <v>153</v>
      </c>
      <c r="D95" s="200">
        <v>129000</v>
      </c>
      <c r="E95" s="173">
        <v>327000</v>
      </c>
      <c r="F95" s="202">
        <f t="shared" si="8"/>
        <v>456000</v>
      </c>
      <c r="G95" s="262">
        <f t="shared" si="9"/>
        <v>88800</v>
      </c>
      <c r="H95" s="242">
        <v>444000</v>
      </c>
      <c r="I95" s="261">
        <f t="shared" si="10"/>
        <v>532800</v>
      </c>
      <c r="J95" s="146">
        <v>199500</v>
      </c>
      <c r="K95" s="146">
        <v>264807.03076339833</v>
      </c>
      <c r="L95" s="146">
        <v>464307.03076339833</v>
      </c>
      <c r="M95" s="203">
        <f t="shared" si="11"/>
        <v>88800</v>
      </c>
      <c r="N95" s="203">
        <f t="shared" si="11"/>
        <v>264807.03076339833</v>
      </c>
      <c r="O95" s="203">
        <f t="shared" si="12"/>
        <v>353607.03076339833</v>
      </c>
      <c r="P95" s="301">
        <f t="shared" si="13"/>
        <v>82584</v>
      </c>
      <c r="Q95" s="301">
        <f t="shared" si="14"/>
        <v>246270.53860996044</v>
      </c>
      <c r="R95" s="300">
        <f t="shared" si="15"/>
        <v>328854.53860996047</v>
      </c>
    </row>
    <row r="96" spans="1:18" x14ac:dyDescent="0.25">
      <c r="A96" s="210">
        <v>87</v>
      </c>
      <c r="B96" s="152" t="s">
        <v>377</v>
      </c>
      <c r="C96" s="153" t="s">
        <v>153</v>
      </c>
      <c r="D96" s="200">
        <v>34000</v>
      </c>
      <c r="E96" s="173">
        <v>85000</v>
      </c>
      <c r="F96" s="202">
        <f t="shared" si="8"/>
        <v>119000</v>
      </c>
      <c r="G96" s="262">
        <f t="shared" si="9"/>
        <v>23200</v>
      </c>
      <c r="H96" s="242">
        <v>116000</v>
      </c>
      <c r="I96" s="261">
        <f t="shared" si="10"/>
        <v>139200</v>
      </c>
      <c r="J96" s="146">
        <v>157500</v>
      </c>
      <c r="K96" s="146">
        <v>304643.21946914663</v>
      </c>
      <c r="L96" s="146">
        <v>462143.21946914663</v>
      </c>
      <c r="M96" s="203">
        <f t="shared" si="11"/>
        <v>23200</v>
      </c>
      <c r="N96" s="203">
        <f t="shared" si="11"/>
        <v>85000</v>
      </c>
      <c r="O96" s="203">
        <f t="shared" si="12"/>
        <v>108200</v>
      </c>
      <c r="P96" s="301">
        <f t="shared" si="13"/>
        <v>21576</v>
      </c>
      <c r="Q96" s="301">
        <f t="shared" si="14"/>
        <v>79050</v>
      </c>
      <c r="R96" s="300">
        <f t="shared" si="15"/>
        <v>100626</v>
      </c>
    </row>
    <row r="97" spans="1:18" ht="22.5" x14ac:dyDescent="0.25">
      <c r="A97" s="210"/>
      <c r="B97" s="156" t="s">
        <v>35</v>
      </c>
      <c r="C97" s="153" t="s">
        <v>153</v>
      </c>
      <c r="D97" s="200">
        <v>0</v>
      </c>
      <c r="E97" s="173">
        <v>0</v>
      </c>
      <c r="F97" s="202">
        <f t="shared" si="8"/>
        <v>0</v>
      </c>
      <c r="G97" s="262">
        <f t="shared" si="9"/>
        <v>0</v>
      </c>
      <c r="H97" s="242">
        <v>0</v>
      </c>
      <c r="I97" s="261">
        <f t="shared" si="10"/>
        <v>0</v>
      </c>
      <c r="J97" s="146">
        <v>157500</v>
      </c>
      <c r="K97" s="146">
        <v>405526.60317708482</v>
      </c>
      <c r="L97" s="146">
        <v>563026.60317708482</v>
      </c>
      <c r="M97" s="203">
        <f t="shared" si="11"/>
        <v>0</v>
      </c>
      <c r="N97" s="203">
        <f t="shared" si="11"/>
        <v>0</v>
      </c>
      <c r="O97" s="203">
        <f t="shared" si="12"/>
        <v>0</v>
      </c>
      <c r="P97" s="301">
        <f t="shared" si="13"/>
        <v>0</v>
      </c>
      <c r="Q97" s="301">
        <f t="shared" si="14"/>
        <v>0</v>
      </c>
      <c r="R97" s="300">
        <f t="shared" si="15"/>
        <v>0</v>
      </c>
    </row>
    <row r="98" spans="1:18" x14ac:dyDescent="0.25">
      <c r="A98" s="210">
        <v>88</v>
      </c>
      <c r="B98" s="152" t="s">
        <v>30</v>
      </c>
      <c r="C98" s="153" t="s">
        <v>153</v>
      </c>
      <c r="D98" s="200">
        <v>20000</v>
      </c>
      <c r="E98" s="173">
        <v>45000</v>
      </c>
      <c r="F98" s="202">
        <f t="shared" si="8"/>
        <v>65000</v>
      </c>
      <c r="G98" s="262">
        <f t="shared" si="9"/>
        <v>12600</v>
      </c>
      <c r="H98" s="242">
        <v>63000</v>
      </c>
      <c r="I98" s="261">
        <f t="shared" si="10"/>
        <v>75600</v>
      </c>
      <c r="J98" s="146">
        <v>224500</v>
      </c>
      <c r="K98" s="146">
        <v>75150</v>
      </c>
      <c r="L98" s="146">
        <v>299650</v>
      </c>
      <c r="M98" s="203">
        <f t="shared" si="11"/>
        <v>12600</v>
      </c>
      <c r="N98" s="203">
        <f t="shared" si="11"/>
        <v>45000</v>
      </c>
      <c r="O98" s="203">
        <f t="shared" si="12"/>
        <v>57600</v>
      </c>
      <c r="P98" s="301">
        <f t="shared" si="13"/>
        <v>11718</v>
      </c>
      <c r="Q98" s="301">
        <f t="shared" si="14"/>
        <v>41850</v>
      </c>
      <c r="R98" s="300">
        <f t="shared" si="15"/>
        <v>53568</v>
      </c>
    </row>
    <row r="99" spans="1:18" x14ac:dyDescent="0.25">
      <c r="A99" s="210">
        <v>89</v>
      </c>
      <c r="B99" s="158" t="s">
        <v>81</v>
      </c>
      <c r="C99" s="153" t="s">
        <v>153</v>
      </c>
      <c r="D99" s="200">
        <v>139000</v>
      </c>
      <c r="E99" s="173">
        <v>238000</v>
      </c>
      <c r="F99" s="202">
        <f t="shared" si="8"/>
        <v>377000</v>
      </c>
      <c r="G99" s="262">
        <f t="shared" si="9"/>
        <v>73400</v>
      </c>
      <c r="H99" s="242">
        <v>367000</v>
      </c>
      <c r="I99" s="261">
        <f t="shared" si="10"/>
        <v>440400</v>
      </c>
      <c r="J99" s="146"/>
      <c r="K99" s="146"/>
      <c r="L99" s="146">
        <v>0</v>
      </c>
      <c r="M99" s="203">
        <f t="shared" si="11"/>
        <v>73400</v>
      </c>
      <c r="N99" s="203">
        <f t="shared" si="11"/>
        <v>238000</v>
      </c>
      <c r="O99" s="203">
        <f t="shared" si="12"/>
        <v>311400</v>
      </c>
      <c r="P99" s="301">
        <f t="shared" si="13"/>
        <v>68262</v>
      </c>
      <c r="Q99" s="301">
        <f t="shared" si="14"/>
        <v>221340</v>
      </c>
      <c r="R99" s="300">
        <f t="shared" si="15"/>
        <v>289602</v>
      </c>
    </row>
    <row r="100" spans="1:18" x14ac:dyDescent="0.25">
      <c r="A100" s="210">
        <v>90</v>
      </c>
      <c r="B100" s="158" t="s">
        <v>82</v>
      </c>
      <c r="C100" s="153" t="s">
        <v>153</v>
      </c>
      <c r="D100" s="200">
        <v>98000</v>
      </c>
      <c r="E100" s="173">
        <v>248000</v>
      </c>
      <c r="F100" s="202">
        <f t="shared" si="8"/>
        <v>346000</v>
      </c>
      <c r="G100" s="262">
        <f t="shared" si="9"/>
        <v>67600</v>
      </c>
      <c r="H100" s="242">
        <v>338000</v>
      </c>
      <c r="I100" s="261">
        <f t="shared" si="10"/>
        <v>405600</v>
      </c>
      <c r="J100" s="146">
        <v>64500</v>
      </c>
      <c r="K100" s="146">
        <v>33347.169489681968</v>
      </c>
      <c r="L100" s="146">
        <v>97847.169489681968</v>
      </c>
      <c r="M100" s="203">
        <f t="shared" si="11"/>
        <v>64500</v>
      </c>
      <c r="N100" s="203">
        <f t="shared" si="11"/>
        <v>33347.169489681968</v>
      </c>
      <c r="O100" s="203">
        <f t="shared" si="12"/>
        <v>97847.169489681968</v>
      </c>
      <c r="P100" s="301">
        <f t="shared" si="13"/>
        <v>59985</v>
      </c>
      <c r="Q100" s="301">
        <f t="shared" si="14"/>
        <v>31012.867625404229</v>
      </c>
      <c r="R100" s="300">
        <f t="shared" si="15"/>
        <v>90997.867625404237</v>
      </c>
    </row>
    <row r="101" spans="1:18" x14ac:dyDescent="0.25">
      <c r="A101" s="210">
        <v>91</v>
      </c>
      <c r="B101" s="158" t="s">
        <v>328</v>
      </c>
      <c r="C101" s="153" t="s">
        <v>153</v>
      </c>
      <c r="D101" s="200">
        <v>124000</v>
      </c>
      <c r="E101" s="173">
        <v>285000</v>
      </c>
      <c r="F101" s="202">
        <f t="shared" si="8"/>
        <v>409000</v>
      </c>
      <c r="G101" s="262">
        <f t="shared" si="9"/>
        <v>79600</v>
      </c>
      <c r="H101" s="242">
        <v>398000</v>
      </c>
      <c r="I101" s="261">
        <f t="shared" si="10"/>
        <v>477600</v>
      </c>
      <c r="J101" s="146">
        <v>134500</v>
      </c>
      <c r="K101" s="146">
        <v>236261.36543936888</v>
      </c>
      <c r="L101" s="146">
        <v>370761.36543936888</v>
      </c>
      <c r="M101" s="203">
        <f t="shared" si="11"/>
        <v>79600</v>
      </c>
      <c r="N101" s="203">
        <f t="shared" si="11"/>
        <v>236261.36543936888</v>
      </c>
      <c r="O101" s="203">
        <f t="shared" si="12"/>
        <v>315861.36543936888</v>
      </c>
      <c r="P101" s="301">
        <f t="shared" si="13"/>
        <v>74028</v>
      </c>
      <c r="Q101" s="301">
        <f t="shared" si="14"/>
        <v>219723.06985861305</v>
      </c>
      <c r="R101" s="300">
        <f t="shared" si="15"/>
        <v>293751.06985861307</v>
      </c>
    </row>
    <row r="102" spans="1:18" x14ac:dyDescent="0.25">
      <c r="A102" s="210">
        <v>92</v>
      </c>
      <c r="B102" s="160" t="s">
        <v>199</v>
      </c>
      <c r="C102" s="153" t="s">
        <v>153</v>
      </c>
      <c r="D102" s="200">
        <v>41000</v>
      </c>
      <c r="E102" s="173">
        <v>105000</v>
      </c>
      <c r="F102" s="202">
        <f t="shared" si="8"/>
        <v>146000</v>
      </c>
      <c r="G102" s="262">
        <f t="shared" si="9"/>
        <v>28400</v>
      </c>
      <c r="H102" s="242">
        <v>142000</v>
      </c>
      <c r="I102" s="261">
        <f t="shared" si="10"/>
        <v>170400</v>
      </c>
      <c r="J102" s="146">
        <v>94500</v>
      </c>
      <c r="K102" s="146">
        <v>202379.26900487009</v>
      </c>
      <c r="L102" s="146">
        <v>296879.26900487009</v>
      </c>
      <c r="M102" s="203">
        <f t="shared" si="11"/>
        <v>28400</v>
      </c>
      <c r="N102" s="203">
        <f t="shared" si="11"/>
        <v>105000</v>
      </c>
      <c r="O102" s="203">
        <f t="shared" si="12"/>
        <v>133400</v>
      </c>
      <c r="P102" s="301">
        <f t="shared" si="13"/>
        <v>26412</v>
      </c>
      <c r="Q102" s="301">
        <f t="shared" si="14"/>
        <v>97650</v>
      </c>
      <c r="R102" s="300">
        <f t="shared" si="15"/>
        <v>124062</v>
      </c>
    </row>
    <row r="103" spans="1:18" x14ac:dyDescent="0.25">
      <c r="A103" s="210">
        <v>93</v>
      </c>
      <c r="B103" s="152" t="s">
        <v>327</v>
      </c>
      <c r="C103" s="153" t="s">
        <v>153</v>
      </c>
      <c r="D103" s="200">
        <v>95000</v>
      </c>
      <c r="E103" s="173">
        <v>345000</v>
      </c>
      <c r="F103" s="202">
        <f t="shared" si="8"/>
        <v>440000</v>
      </c>
      <c r="G103" s="262">
        <f t="shared" si="9"/>
        <v>85600</v>
      </c>
      <c r="H103" s="242">
        <v>428000</v>
      </c>
      <c r="I103" s="261">
        <f t="shared" si="10"/>
        <v>513600</v>
      </c>
      <c r="J103" s="146">
        <v>149500</v>
      </c>
      <c r="K103" s="146">
        <v>210821.18133192317</v>
      </c>
      <c r="L103" s="146">
        <v>360321.18133192317</v>
      </c>
      <c r="M103" s="203">
        <f t="shared" si="11"/>
        <v>85600</v>
      </c>
      <c r="N103" s="203">
        <f t="shared" si="11"/>
        <v>210821.18133192317</v>
      </c>
      <c r="O103" s="203">
        <f t="shared" si="12"/>
        <v>296421.18133192317</v>
      </c>
      <c r="P103" s="301">
        <f t="shared" si="13"/>
        <v>79608</v>
      </c>
      <c r="Q103" s="301">
        <f t="shared" si="14"/>
        <v>196063.69863868854</v>
      </c>
      <c r="R103" s="300">
        <f t="shared" si="15"/>
        <v>275671.69863868854</v>
      </c>
    </row>
    <row r="104" spans="1:18" x14ac:dyDescent="0.25">
      <c r="A104" s="210">
        <v>94</v>
      </c>
      <c r="B104" s="160" t="s">
        <v>200</v>
      </c>
      <c r="C104" s="153" t="s">
        <v>153</v>
      </c>
      <c r="D104" s="200">
        <v>41000</v>
      </c>
      <c r="E104" s="173">
        <v>105000</v>
      </c>
      <c r="F104" s="202">
        <f t="shared" si="8"/>
        <v>146000</v>
      </c>
      <c r="G104" s="262">
        <f t="shared" si="9"/>
        <v>28400</v>
      </c>
      <c r="H104" s="242">
        <v>142000</v>
      </c>
      <c r="I104" s="261">
        <f t="shared" si="10"/>
        <v>170400</v>
      </c>
      <c r="J104" s="146">
        <v>77500</v>
      </c>
      <c r="K104" s="146">
        <v>87949.123910465292</v>
      </c>
      <c r="L104" s="146">
        <v>165449.12391046528</v>
      </c>
      <c r="M104" s="203">
        <f t="shared" si="11"/>
        <v>28400</v>
      </c>
      <c r="N104" s="203">
        <f t="shared" si="11"/>
        <v>87949.123910465292</v>
      </c>
      <c r="O104" s="203">
        <f t="shared" si="12"/>
        <v>116349.12391046529</v>
      </c>
      <c r="P104" s="301">
        <f t="shared" si="13"/>
        <v>26412</v>
      </c>
      <c r="Q104" s="301">
        <f t="shared" si="14"/>
        <v>81792.685236732723</v>
      </c>
      <c r="R104" s="300">
        <f t="shared" si="15"/>
        <v>108204.68523673272</v>
      </c>
    </row>
    <row r="105" spans="1:18" x14ac:dyDescent="0.25">
      <c r="A105" s="210">
        <v>95</v>
      </c>
      <c r="B105" s="152" t="s">
        <v>36</v>
      </c>
      <c r="C105" s="153" t="s">
        <v>153</v>
      </c>
      <c r="D105" s="200">
        <v>203000</v>
      </c>
      <c r="E105" s="173">
        <v>762000</v>
      </c>
      <c r="F105" s="202">
        <f t="shared" si="8"/>
        <v>965000</v>
      </c>
      <c r="G105" s="262">
        <f t="shared" si="9"/>
        <v>187800</v>
      </c>
      <c r="H105" s="242">
        <v>939000</v>
      </c>
      <c r="I105" s="261">
        <f t="shared" si="10"/>
        <v>1126800</v>
      </c>
      <c r="J105" s="146">
        <v>84500</v>
      </c>
      <c r="K105" s="146">
        <v>254839.7085166027</v>
      </c>
      <c r="L105" s="146">
        <v>339339.7085166027</v>
      </c>
      <c r="M105" s="203">
        <f t="shared" si="11"/>
        <v>84500</v>
      </c>
      <c r="N105" s="203">
        <f t="shared" si="11"/>
        <v>254839.7085166027</v>
      </c>
      <c r="O105" s="203">
        <f t="shared" si="12"/>
        <v>339339.7085166027</v>
      </c>
      <c r="P105" s="301">
        <f t="shared" si="13"/>
        <v>78585</v>
      </c>
      <c r="Q105" s="301">
        <f t="shared" si="14"/>
        <v>237000.92892044049</v>
      </c>
      <c r="R105" s="300">
        <f t="shared" si="15"/>
        <v>315585.92892044049</v>
      </c>
    </row>
    <row r="106" spans="1:18" x14ac:dyDescent="0.25">
      <c r="A106" s="210">
        <v>96</v>
      </c>
      <c r="B106" s="158" t="s">
        <v>201</v>
      </c>
      <c r="C106" s="153" t="s">
        <v>153</v>
      </c>
      <c r="D106" s="200">
        <v>139000</v>
      </c>
      <c r="E106" s="173">
        <v>319000</v>
      </c>
      <c r="F106" s="202">
        <f t="shared" si="8"/>
        <v>458000</v>
      </c>
      <c r="G106" s="262">
        <f t="shared" si="9"/>
        <v>89200</v>
      </c>
      <c r="H106" s="242">
        <v>446000</v>
      </c>
      <c r="I106" s="261">
        <f t="shared" si="10"/>
        <v>535200</v>
      </c>
      <c r="J106" s="146">
        <v>77500</v>
      </c>
      <c r="K106" s="146">
        <v>98558.798493838302</v>
      </c>
      <c r="L106" s="146">
        <v>176058.79849383829</v>
      </c>
      <c r="M106" s="203">
        <f t="shared" si="11"/>
        <v>77500</v>
      </c>
      <c r="N106" s="203">
        <f t="shared" si="11"/>
        <v>98558.798493838302</v>
      </c>
      <c r="O106" s="203">
        <f t="shared" si="12"/>
        <v>176058.79849383829</v>
      </c>
      <c r="P106" s="301">
        <f t="shared" si="13"/>
        <v>72075</v>
      </c>
      <c r="Q106" s="301">
        <f t="shared" si="14"/>
        <v>91659.682599269625</v>
      </c>
      <c r="R106" s="300">
        <f t="shared" si="15"/>
        <v>163734.68259926961</v>
      </c>
    </row>
    <row r="107" spans="1:18" x14ac:dyDescent="0.25">
      <c r="A107" s="210">
        <v>97</v>
      </c>
      <c r="B107" s="152" t="s">
        <v>316</v>
      </c>
      <c r="C107" s="153" t="s">
        <v>153</v>
      </c>
      <c r="D107" s="200">
        <v>91000</v>
      </c>
      <c r="E107" s="173">
        <v>208000</v>
      </c>
      <c r="F107" s="202">
        <f t="shared" si="8"/>
        <v>299000</v>
      </c>
      <c r="G107" s="262">
        <f t="shared" si="9"/>
        <v>58200</v>
      </c>
      <c r="H107" s="242">
        <v>291000</v>
      </c>
      <c r="I107" s="261">
        <f t="shared" si="10"/>
        <v>349200</v>
      </c>
      <c r="J107" s="146">
        <v>179500</v>
      </c>
      <c r="K107" s="146">
        <v>564081.15658078925</v>
      </c>
      <c r="L107" s="146">
        <v>743581.15658078925</v>
      </c>
      <c r="M107" s="203">
        <f t="shared" si="11"/>
        <v>58200</v>
      </c>
      <c r="N107" s="203">
        <f t="shared" si="11"/>
        <v>208000</v>
      </c>
      <c r="O107" s="203">
        <f t="shared" si="12"/>
        <v>266200</v>
      </c>
      <c r="P107" s="301">
        <f t="shared" si="13"/>
        <v>54126</v>
      </c>
      <c r="Q107" s="301">
        <f t="shared" si="14"/>
        <v>193440</v>
      </c>
      <c r="R107" s="300">
        <f t="shared" si="15"/>
        <v>247566</v>
      </c>
    </row>
    <row r="108" spans="1:18" x14ac:dyDescent="0.25">
      <c r="A108" s="210">
        <v>98</v>
      </c>
      <c r="B108" s="160" t="s">
        <v>202</v>
      </c>
      <c r="C108" s="153" t="s">
        <v>153</v>
      </c>
      <c r="D108" s="200">
        <v>47000</v>
      </c>
      <c r="E108" s="173">
        <v>118000</v>
      </c>
      <c r="F108" s="202">
        <f t="shared" si="8"/>
        <v>165000</v>
      </c>
      <c r="G108" s="262">
        <f t="shared" si="9"/>
        <v>32000</v>
      </c>
      <c r="H108" s="242">
        <v>160000</v>
      </c>
      <c r="I108" s="261">
        <f t="shared" si="10"/>
        <v>192000</v>
      </c>
      <c r="J108" s="146">
        <v>279500</v>
      </c>
      <c r="K108" s="146">
        <v>236160.80594991165</v>
      </c>
      <c r="L108" s="146">
        <v>515660.80594991165</v>
      </c>
      <c r="M108" s="203">
        <f t="shared" si="11"/>
        <v>32000</v>
      </c>
      <c r="N108" s="203">
        <f t="shared" si="11"/>
        <v>118000</v>
      </c>
      <c r="O108" s="203">
        <f t="shared" si="12"/>
        <v>150000</v>
      </c>
      <c r="P108" s="301">
        <f t="shared" si="13"/>
        <v>29760</v>
      </c>
      <c r="Q108" s="301">
        <f t="shared" si="14"/>
        <v>109740</v>
      </c>
      <c r="R108" s="300">
        <f t="shared" si="15"/>
        <v>139500</v>
      </c>
    </row>
    <row r="109" spans="1:18" x14ac:dyDescent="0.25">
      <c r="A109" s="210">
        <v>99</v>
      </c>
      <c r="B109" s="160" t="s">
        <v>271</v>
      </c>
      <c r="C109" s="153" t="s">
        <v>153</v>
      </c>
      <c r="D109" s="200">
        <v>93000</v>
      </c>
      <c r="E109" s="173">
        <v>221000</v>
      </c>
      <c r="F109" s="202">
        <f t="shared" si="8"/>
        <v>314000</v>
      </c>
      <c r="G109" s="262">
        <f t="shared" si="9"/>
        <v>61200</v>
      </c>
      <c r="H109" s="242">
        <v>306000</v>
      </c>
      <c r="I109" s="261">
        <f t="shared" si="10"/>
        <v>367200</v>
      </c>
      <c r="J109" s="146">
        <v>124500</v>
      </c>
      <c r="K109" s="146">
        <v>153983.8233368501</v>
      </c>
      <c r="L109" s="146">
        <v>278483.8233368501</v>
      </c>
      <c r="M109" s="203">
        <f t="shared" si="11"/>
        <v>61200</v>
      </c>
      <c r="N109" s="203">
        <f t="shared" si="11"/>
        <v>153983.8233368501</v>
      </c>
      <c r="O109" s="203">
        <f t="shared" si="12"/>
        <v>215183.8233368501</v>
      </c>
      <c r="P109" s="301">
        <f t="shared" si="13"/>
        <v>56916</v>
      </c>
      <c r="Q109" s="301">
        <f t="shared" si="14"/>
        <v>143204.95570327059</v>
      </c>
      <c r="R109" s="300">
        <f t="shared" si="15"/>
        <v>200120.95570327059</v>
      </c>
    </row>
    <row r="110" spans="1:18" x14ac:dyDescent="0.25">
      <c r="A110" s="210">
        <v>100</v>
      </c>
      <c r="B110" s="160" t="s">
        <v>203</v>
      </c>
      <c r="C110" s="153" t="s">
        <v>153</v>
      </c>
      <c r="D110" s="200">
        <v>67000</v>
      </c>
      <c r="E110" s="173">
        <v>170000</v>
      </c>
      <c r="F110" s="202">
        <f t="shared" si="8"/>
        <v>237000</v>
      </c>
      <c r="G110" s="262">
        <f t="shared" si="9"/>
        <v>46000</v>
      </c>
      <c r="H110" s="242">
        <v>230000</v>
      </c>
      <c r="I110" s="261">
        <f t="shared" si="10"/>
        <v>276000</v>
      </c>
      <c r="J110" s="146">
        <v>104500</v>
      </c>
      <c r="K110" s="146">
        <v>96944.125390138855</v>
      </c>
      <c r="L110" s="146">
        <v>201444.12539013886</v>
      </c>
      <c r="M110" s="203">
        <f t="shared" si="11"/>
        <v>46000</v>
      </c>
      <c r="N110" s="203">
        <f t="shared" si="11"/>
        <v>96944.125390138855</v>
      </c>
      <c r="O110" s="203">
        <f t="shared" si="12"/>
        <v>142944.12539013886</v>
      </c>
      <c r="P110" s="301">
        <f t="shared" si="13"/>
        <v>42780</v>
      </c>
      <c r="Q110" s="301">
        <f t="shared" si="14"/>
        <v>90158.036612829135</v>
      </c>
      <c r="R110" s="300">
        <f t="shared" si="15"/>
        <v>132938.03661282914</v>
      </c>
    </row>
    <row r="111" spans="1:18" x14ac:dyDescent="0.25">
      <c r="A111" s="210">
        <v>101</v>
      </c>
      <c r="B111" s="158" t="s">
        <v>204</v>
      </c>
      <c r="C111" s="153" t="s">
        <v>153</v>
      </c>
      <c r="D111" s="200">
        <v>62000</v>
      </c>
      <c r="E111" s="173">
        <v>157000</v>
      </c>
      <c r="F111" s="202">
        <f t="shared" si="8"/>
        <v>219000</v>
      </c>
      <c r="G111" s="262">
        <f t="shared" si="9"/>
        <v>42600</v>
      </c>
      <c r="H111" s="242">
        <v>213000</v>
      </c>
      <c r="I111" s="261">
        <f t="shared" si="10"/>
        <v>255600</v>
      </c>
      <c r="J111" s="146">
        <v>104500</v>
      </c>
      <c r="K111" s="146">
        <v>150800</v>
      </c>
      <c r="L111" s="146">
        <v>255300</v>
      </c>
      <c r="M111" s="203">
        <f t="shared" si="11"/>
        <v>42600</v>
      </c>
      <c r="N111" s="203">
        <f t="shared" si="11"/>
        <v>150800</v>
      </c>
      <c r="O111" s="203">
        <f t="shared" si="12"/>
        <v>193400</v>
      </c>
      <c r="P111" s="301">
        <f t="shared" si="13"/>
        <v>39618</v>
      </c>
      <c r="Q111" s="301">
        <f t="shared" si="14"/>
        <v>140244</v>
      </c>
      <c r="R111" s="300">
        <f t="shared" si="15"/>
        <v>179862</v>
      </c>
    </row>
    <row r="112" spans="1:18" x14ac:dyDescent="0.25">
      <c r="A112" s="210">
        <v>102</v>
      </c>
      <c r="B112" s="158" t="s">
        <v>206</v>
      </c>
      <c r="C112" s="153" t="s">
        <v>153</v>
      </c>
      <c r="D112" s="200">
        <v>67000</v>
      </c>
      <c r="E112" s="173">
        <v>157000</v>
      </c>
      <c r="F112" s="202">
        <f t="shared" si="8"/>
        <v>224000</v>
      </c>
      <c r="G112" s="262">
        <f t="shared" si="9"/>
        <v>43600</v>
      </c>
      <c r="H112" s="242">
        <v>218000</v>
      </c>
      <c r="I112" s="261">
        <f t="shared" si="10"/>
        <v>261600</v>
      </c>
      <c r="J112" s="146">
        <v>144500</v>
      </c>
      <c r="K112" s="146">
        <v>153850.7498616477</v>
      </c>
      <c r="L112" s="146">
        <v>298350.74986164772</v>
      </c>
      <c r="M112" s="203">
        <f t="shared" si="11"/>
        <v>43600</v>
      </c>
      <c r="N112" s="203">
        <f t="shared" si="11"/>
        <v>153850.7498616477</v>
      </c>
      <c r="O112" s="203">
        <f t="shared" si="12"/>
        <v>197450.7498616477</v>
      </c>
      <c r="P112" s="301">
        <f t="shared" si="13"/>
        <v>40548</v>
      </c>
      <c r="Q112" s="301">
        <f t="shared" si="14"/>
        <v>143081.19737133235</v>
      </c>
      <c r="R112" s="300">
        <f t="shared" si="15"/>
        <v>183629.19737133235</v>
      </c>
    </row>
    <row r="113" spans="1:18" x14ac:dyDescent="0.25">
      <c r="A113" s="210">
        <v>103</v>
      </c>
      <c r="B113" s="158" t="s">
        <v>205</v>
      </c>
      <c r="C113" s="153" t="s">
        <v>153</v>
      </c>
      <c r="D113" s="200">
        <v>52000</v>
      </c>
      <c r="E113" s="173">
        <v>120000</v>
      </c>
      <c r="F113" s="202">
        <f t="shared" si="8"/>
        <v>172000</v>
      </c>
      <c r="G113" s="262">
        <f t="shared" si="9"/>
        <v>33600</v>
      </c>
      <c r="H113" s="242">
        <v>168000</v>
      </c>
      <c r="I113" s="261">
        <f t="shared" si="10"/>
        <v>201600</v>
      </c>
      <c r="J113" s="146">
        <v>144500</v>
      </c>
      <c r="K113" s="146">
        <v>133000</v>
      </c>
      <c r="L113" s="146">
        <v>277500</v>
      </c>
      <c r="M113" s="203">
        <f t="shared" si="11"/>
        <v>33600</v>
      </c>
      <c r="N113" s="203">
        <f t="shared" si="11"/>
        <v>120000</v>
      </c>
      <c r="O113" s="203">
        <f t="shared" si="12"/>
        <v>153600</v>
      </c>
      <c r="P113" s="301">
        <f t="shared" si="13"/>
        <v>31248</v>
      </c>
      <c r="Q113" s="301">
        <f t="shared" si="14"/>
        <v>111600</v>
      </c>
      <c r="R113" s="300">
        <f t="shared" si="15"/>
        <v>142848</v>
      </c>
    </row>
    <row r="114" spans="1:18" x14ac:dyDescent="0.25">
      <c r="A114" s="210">
        <v>104</v>
      </c>
      <c r="B114" s="152" t="s">
        <v>37</v>
      </c>
      <c r="C114" s="153" t="s">
        <v>153</v>
      </c>
      <c r="D114" s="200">
        <v>152000</v>
      </c>
      <c r="E114" s="173">
        <v>398000</v>
      </c>
      <c r="F114" s="202">
        <f t="shared" si="8"/>
        <v>550000</v>
      </c>
      <c r="G114" s="262">
        <f t="shared" si="9"/>
        <v>107000</v>
      </c>
      <c r="H114" s="242">
        <v>535000</v>
      </c>
      <c r="I114" s="261">
        <f t="shared" si="10"/>
        <v>642000</v>
      </c>
      <c r="J114" s="146">
        <v>104500</v>
      </c>
      <c r="K114" s="146">
        <v>116441.22553852513</v>
      </c>
      <c r="L114" s="146">
        <v>220941.22553852515</v>
      </c>
      <c r="M114" s="203">
        <f t="shared" si="11"/>
        <v>104500</v>
      </c>
      <c r="N114" s="203">
        <f t="shared" si="11"/>
        <v>116441.22553852513</v>
      </c>
      <c r="O114" s="203">
        <f t="shared" si="12"/>
        <v>220941.22553852515</v>
      </c>
      <c r="P114" s="301">
        <f t="shared" si="13"/>
        <v>97185</v>
      </c>
      <c r="Q114" s="301">
        <f t="shared" si="14"/>
        <v>108290.33975082837</v>
      </c>
      <c r="R114" s="300">
        <f t="shared" si="15"/>
        <v>205475.33975082837</v>
      </c>
    </row>
    <row r="115" spans="1:18" x14ac:dyDescent="0.25">
      <c r="A115" s="210">
        <v>105</v>
      </c>
      <c r="B115" s="152" t="s">
        <v>337</v>
      </c>
      <c r="C115" s="153" t="s">
        <v>153</v>
      </c>
      <c r="D115" s="200">
        <v>110000</v>
      </c>
      <c r="E115" s="173">
        <v>253000</v>
      </c>
      <c r="F115" s="202">
        <f t="shared" si="8"/>
        <v>363000</v>
      </c>
      <c r="G115" s="262">
        <f t="shared" si="9"/>
        <v>70800</v>
      </c>
      <c r="H115" s="242">
        <v>354000</v>
      </c>
      <c r="I115" s="261">
        <f t="shared" si="10"/>
        <v>424800</v>
      </c>
      <c r="J115" s="146">
        <v>164500</v>
      </c>
      <c r="K115" s="146">
        <v>70700</v>
      </c>
      <c r="L115" s="146">
        <v>235200</v>
      </c>
      <c r="M115" s="203">
        <f t="shared" si="11"/>
        <v>70800</v>
      </c>
      <c r="N115" s="203">
        <f t="shared" si="11"/>
        <v>70700</v>
      </c>
      <c r="O115" s="203">
        <f t="shared" si="12"/>
        <v>141500</v>
      </c>
      <c r="P115" s="301">
        <f t="shared" si="13"/>
        <v>65844</v>
      </c>
      <c r="Q115" s="301">
        <f t="shared" si="14"/>
        <v>65751</v>
      </c>
      <c r="R115" s="300">
        <f t="shared" si="15"/>
        <v>131595</v>
      </c>
    </row>
    <row r="116" spans="1:18" x14ac:dyDescent="0.25">
      <c r="A116" s="210">
        <v>106</v>
      </c>
      <c r="B116" s="161" t="s">
        <v>207</v>
      </c>
      <c r="C116" s="153" t="s">
        <v>153</v>
      </c>
      <c r="D116" s="200">
        <v>32000</v>
      </c>
      <c r="E116" s="173">
        <v>73000</v>
      </c>
      <c r="F116" s="202">
        <f t="shared" si="8"/>
        <v>105000</v>
      </c>
      <c r="G116" s="262">
        <f t="shared" si="9"/>
        <v>20400</v>
      </c>
      <c r="H116" s="242">
        <v>102000</v>
      </c>
      <c r="I116" s="261">
        <f t="shared" si="10"/>
        <v>122400</v>
      </c>
      <c r="J116" s="146">
        <v>134500</v>
      </c>
      <c r="K116" s="146">
        <v>294299.38152103999</v>
      </c>
      <c r="L116" s="146">
        <v>428799.38152103999</v>
      </c>
      <c r="M116" s="203">
        <f t="shared" si="11"/>
        <v>20400</v>
      </c>
      <c r="N116" s="203">
        <f t="shared" si="11"/>
        <v>73000</v>
      </c>
      <c r="O116" s="203">
        <f t="shared" si="12"/>
        <v>93400</v>
      </c>
      <c r="P116" s="301">
        <f t="shared" si="13"/>
        <v>18972</v>
      </c>
      <c r="Q116" s="301">
        <f t="shared" si="14"/>
        <v>67890</v>
      </c>
      <c r="R116" s="300">
        <f t="shared" si="15"/>
        <v>86862</v>
      </c>
    </row>
    <row r="117" spans="1:18" x14ac:dyDescent="0.25">
      <c r="A117" s="210">
        <v>107</v>
      </c>
      <c r="B117" s="161" t="s">
        <v>317</v>
      </c>
      <c r="C117" s="153" t="s">
        <v>153</v>
      </c>
      <c r="D117" s="200">
        <v>118000</v>
      </c>
      <c r="E117" s="173">
        <v>556000</v>
      </c>
      <c r="F117" s="202">
        <f t="shared" si="8"/>
        <v>674000</v>
      </c>
      <c r="G117" s="262">
        <f t="shared" si="9"/>
        <v>131200</v>
      </c>
      <c r="H117" s="242">
        <v>656000</v>
      </c>
      <c r="I117" s="261">
        <f t="shared" si="10"/>
        <v>787200</v>
      </c>
      <c r="J117" s="146">
        <v>144500</v>
      </c>
      <c r="K117" s="146">
        <v>187375.46792934611</v>
      </c>
      <c r="L117" s="146">
        <v>331875.46792934614</v>
      </c>
      <c r="M117" s="203">
        <f t="shared" si="11"/>
        <v>118000</v>
      </c>
      <c r="N117" s="203">
        <f t="shared" si="11"/>
        <v>187375.46792934611</v>
      </c>
      <c r="O117" s="203">
        <f t="shared" si="12"/>
        <v>305375.46792934614</v>
      </c>
      <c r="P117" s="301">
        <f t="shared" si="13"/>
        <v>109740</v>
      </c>
      <c r="Q117" s="301">
        <f t="shared" si="14"/>
        <v>174259.18517429187</v>
      </c>
      <c r="R117" s="300">
        <f t="shared" si="15"/>
        <v>283999.18517429184</v>
      </c>
    </row>
    <row r="118" spans="1:18" x14ac:dyDescent="0.25">
      <c r="A118" s="210">
        <v>108</v>
      </c>
      <c r="B118" s="161" t="s">
        <v>318</v>
      </c>
      <c r="C118" s="153" t="s">
        <v>153</v>
      </c>
      <c r="D118" s="200">
        <v>93000</v>
      </c>
      <c r="E118" s="173">
        <v>235000</v>
      </c>
      <c r="F118" s="202">
        <f t="shared" si="8"/>
        <v>328000</v>
      </c>
      <c r="G118" s="262">
        <f t="shared" si="9"/>
        <v>64000</v>
      </c>
      <c r="H118" s="242">
        <v>320000</v>
      </c>
      <c r="I118" s="261">
        <f t="shared" si="10"/>
        <v>384000</v>
      </c>
      <c r="J118" s="146">
        <v>84500</v>
      </c>
      <c r="K118" s="146">
        <v>53657.161068035559</v>
      </c>
      <c r="L118" s="146">
        <v>138157.16106803555</v>
      </c>
      <c r="M118" s="203">
        <f t="shared" si="11"/>
        <v>64000</v>
      </c>
      <c r="N118" s="203">
        <f t="shared" si="11"/>
        <v>53657.161068035559</v>
      </c>
      <c r="O118" s="203">
        <f t="shared" si="12"/>
        <v>117657.16106803555</v>
      </c>
      <c r="P118" s="301">
        <f t="shared" si="13"/>
        <v>59520</v>
      </c>
      <c r="Q118" s="301">
        <f t="shared" si="14"/>
        <v>49901.159793273066</v>
      </c>
      <c r="R118" s="300">
        <f t="shared" si="15"/>
        <v>109421.15979327307</v>
      </c>
    </row>
    <row r="119" spans="1:18" x14ac:dyDescent="0.25">
      <c r="A119" s="210">
        <v>109</v>
      </c>
      <c r="B119" s="161" t="s">
        <v>329</v>
      </c>
      <c r="C119" s="153" t="s">
        <v>153</v>
      </c>
      <c r="D119" s="200">
        <v>297000</v>
      </c>
      <c r="E119" s="173">
        <v>750000</v>
      </c>
      <c r="F119" s="202">
        <f t="shared" si="8"/>
        <v>1047000</v>
      </c>
      <c r="G119" s="262">
        <f t="shared" si="9"/>
        <v>204000</v>
      </c>
      <c r="H119" s="242">
        <v>1020000</v>
      </c>
      <c r="I119" s="261">
        <f t="shared" si="10"/>
        <v>1224000</v>
      </c>
      <c r="J119" s="146">
        <v>104500</v>
      </c>
      <c r="K119" s="146">
        <v>693700</v>
      </c>
      <c r="L119" s="146">
        <v>798200</v>
      </c>
      <c r="M119" s="203">
        <f t="shared" si="11"/>
        <v>104500</v>
      </c>
      <c r="N119" s="203">
        <f t="shared" si="11"/>
        <v>693700</v>
      </c>
      <c r="O119" s="203">
        <f t="shared" si="12"/>
        <v>798200</v>
      </c>
      <c r="P119" s="301">
        <f t="shared" si="13"/>
        <v>97185</v>
      </c>
      <c r="Q119" s="301">
        <f t="shared" si="14"/>
        <v>645141</v>
      </c>
      <c r="R119" s="300">
        <f t="shared" si="15"/>
        <v>742326</v>
      </c>
    </row>
    <row r="120" spans="1:18" ht="22.5" x14ac:dyDescent="0.25">
      <c r="A120" s="210"/>
      <c r="B120" s="156" t="s">
        <v>39</v>
      </c>
      <c r="C120" s="153" t="s">
        <v>153</v>
      </c>
      <c r="D120" s="200">
        <v>0</v>
      </c>
      <c r="E120" s="173">
        <v>0</v>
      </c>
      <c r="F120" s="202">
        <f t="shared" si="8"/>
        <v>0</v>
      </c>
      <c r="G120" s="262">
        <f t="shared" si="9"/>
        <v>0</v>
      </c>
      <c r="H120" s="242">
        <v>0</v>
      </c>
      <c r="I120" s="261">
        <f t="shared" si="10"/>
        <v>0</v>
      </c>
      <c r="J120" s="146">
        <v>104500</v>
      </c>
      <c r="K120" s="146">
        <v>373300</v>
      </c>
      <c r="L120" s="146">
        <v>477800</v>
      </c>
      <c r="M120" s="203">
        <f t="shared" si="11"/>
        <v>0</v>
      </c>
      <c r="N120" s="203">
        <f t="shared" si="11"/>
        <v>0</v>
      </c>
      <c r="O120" s="203">
        <f t="shared" si="12"/>
        <v>0</v>
      </c>
      <c r="P120" s="301">
        <f t="shared" si="13"/>
        <v>0</v>
      </c>
      <c r="Q120" s="301">
        <f t="shared" si="14"/>
        <v>0</v>
      </c>
      <c r="R120" s="300">
        <f t="shared" si="15"/>
        <v>0</v>
      </c>
    </row>
    <row r="121" spans="1:18" x14ac:dyDescent="0.25">
      <c r="A121" s="210">
        <v>110</v>
      </c>
      <c r="B121" s="152" t="s">
        <v>40</v>
      </c>
      <c r="C121" s="153" t="s">
        <v>153</v>
      </c>
      <c r="D121" s="200">
        <v>225000</v>
      </c>
      <c r="E121" s="173">
        <v>850000</v>
      </c>
      <c r="F121" s="202">
        <f t="shared" si="8"/>
        <v>1075000</v>
      </c>
      <c r="G121" s="262">
        <f t="shared" si="9"/>
        <v>209200</v>
      </c>
      <c r="H121" s="242">
        <v>1046000</v>
      </c>
      <c r="I121" s="261">
        <f t="shared" si="10"/>
        <v>1255200</v>
      </c>
      <c r="J121" s="146">
        <v>379500</v>
      </c>
      <c r="K121" s="146">
        <v>756000</v>
      </c>
      <c r="L121" s="146">
        <v>1135500</v>
      </c>
      <c r="M121" s="203">
        <f t="shared" si="11"/>
        <v>209200</v>
      </c>
      <c r="N121" s="203">
        <f t="shared" si="11"/>
        <v>756000</v>
      </c>
      <c r="O121" s="203">
        <f t="shared" si="12"/>
        <v>965200</v>
      </c>
      <c r="P121" s="301">
        <f t="shared" si="13"/>
        <v>194556</v>
      </c>
      <c r="Q121" s="301">
        <f t="shared" si="14"/>
        <v>703080</v>
      </c>
      <c r="R121" s="300">
        <f t="shared" si="15"/>
        <v>897636</v>
      </c>
    </row>
    <row r="122" spans="1:18" ht="22.5" x14ac:dyDescent="0.25">
      <c r="A122" s="210">
        <v>111</v>
      </c>
      <c r="B122" s="152" t="s">
        <v>209</v>
      </c>
      <c r="C122" s="153" t="s">
        <v>153</v>
      </c>
      <c r="D122" s="200">
        <v>61000</v>
      </c>
      <c r="E122" s="173">
        <v>140000</v>
      </c>
      <c r="F122" s="202">
        <f t="shared" si="8"/>
        <v>201000</v>
      </c>
      <c r="G122" s="262">
        <f t="shared" si="9"/>
        <v>39000</v>
      </c>
      <c r="H122" s="242">
        <v>195000</v>
      </c>
      <c r="I122" s="261">
        <f t="shared" si="10"/>
        <v>234000</v>
      </c>
      <c r="J122" s="146"/>
      <c r="K122" s="146"/>
      <c r="L122" s="146">
        <v>0</v>
      </c>
      <c r="M122" s="203">
        <f t="shared" si="11"/>
        <v>39000</v>
      </c>
      <c r="N122" s="203">
        <f t="shared" si="11"/>
        <v>140000</v>
      </c>
      <c r="O122" s="203">
        <f t="shared" si="12"/>
        <v>179000</v>
      </c>
      <c r="P122" s="301">
        <f t="shared" si="13"/>
        <v>36270</v>
      </c>
      <c r="Q122" s="301">
        <f t="shared" si="14"/>
        <v>130200</v>
      </c>
      <c r="R122" s="300">
        <f t="shared" si="15"/>
        <v>166470</v>
      </c>
    </row>
    <row r="123" spans="1:18" x14ac:dyDescent="0.25">
      <c r="A123" s="210">
        <v>112</v>
      </c>
      <c r="B123" s="152" t="s">
        <v>208</v>
      </c>
      <c r="C123" s="153" t="s">
        <v>153</v>
      </c>
      <c r="D123" s="200">
        <v>89000</v>
      </c>
      <c r="E123" s="173">
        <v>225000</v>
      </c>
      <c r="F123" s="202">
        <f t="shared" si="8"/>
        <v>314000</v>
      </c>
      <c r="G123" s="262">
        <f t="shared" si="9"/>
        <v>61200</v>
      </c>
      <c r="H123" s="242">
        <v>306000</v>
      </c>
      <c r="I123" s="261">
        <f t="shared" si="10"/>
        <v>367200</v>
      </c>
      <c r="J123" s="146">
        <v>199500</v>
      </c>
      <c r="K123" s="146">
        <v>1092330.6167526487</v>
      </c>
      <c r="L123" s="146">
        <v>1291830.6167526487</v>
      </c>
      <c r="M123" s="203">
        <f t="shared" si="11"/>
        <v>61200</v>
      </c>
      <c r="N123" s="203">
        <f t="shared" si="11"/>
        <v>225000</v>
      </c>
      <c r="O123" s="203">
        <f t="shared" si="12"/>
        <v>286200</v>
      </c>
      <c r="P123" s="301">
        <f t="shared" si="13"/>
        <v>56916</v>
      </c>
      <c r="Q123" s="301">
        <f t="shared" si="14"/>
        <v>209250</v>
      </c>
      <c r="R123" s="300">
        <f t="shared" si="15"/>
        <v>266166</v>
      </c>
    </row>
    <row r="124" spans="1:18" x14ac:dyDescent="0.25">
      <c r="A124" s="210">
        <v>113</v>
      </c>
      <c r="B124" s="152" t="s">
        <v>41</v>
      </c>
      <c r="C124" s="153" t="s">
        <v>153</v>
      </c>
      <c r="D124" s="200">
        <v>225000</v>
      </c>
      <c r="E124" s="173">
        <v>850000</v>
      </c>
      <c r="F124" s="202">
        <f t="shared" si="8"/>
        <v>1075000</v>
      </c>
      <c r="G124" s="262">
        <f t="shared" si="9"/>
        <v>209200</v>
      </c>
      <c r="H124" s="242">
        <v>1046000</v>
      </c>
      <c r="I124" s="261">
        <f t="shared" si="10"/>
        <v>1255200</v>
      </c>
      <c r="J124" s="146">
        <v>199500</v>
      </c>
      <c r="K124" s="146">
        <v>103519.70317375028</v>
      </c>
      <c r="L124" s="146">
        <v>303019.70317375031</v>
      </c>
      <c r="M124" s="203">
        <f t="shared" si="11"/>
        <v>199500</v>
      </c>
      <c r="N124" s="203">
        <f t="shared" si="11"/>
        <v>103519.70317375028</v>
      </c>
      <c r="O124" s="203">
        <f t="shared" si="12"/>
        <v>303019.70317375031</v>
      </c>
      <c r="P124" s="301">
        <f t="shared" si="13"/>
        <v>185535</v>
      </c>
      <c r="Q124" s="301">
        <f t="shared" si="14"/>
        <v>96273.323951587765</v>
      </c>
      <c r="R124" s="300">
        <f t="shared" si="15"/>
        <v>281808.32395158778</v>
      </c>
    </row>
    <row r="125" spans="1:18" ht="22.5" x14ac:dyDescent="0.25">
      <c r="A125" s="210">
        <v>114</v>
      </c>
      <c r="B125" s="152" t="s">
        <v>210</v>
      </c>
      <c r="C125" s="153" t="s">
        <v>153</v>
      </c>
      <c r="D125" s="200">
        <v>225000</v>
      </c>
      <c r="E125" s="173">
        <v>664000</v>
      </c>
      <c r="F125" s="202">
        <f t="shared" si="8"/>
        <v>889000</v>
      </c>
      <c r="G125" s="262">
        <f t="shared" si="9"/>
        <v>173200</v>
      </c>
      <c r="H125" s="242">
        <v>866000</v>
      </c>
      <c r="I125" s="261">
        <f t="shared" si="10"/>
        <v>1039200</v>
      </c>
      <c r="J125" s="146">
        <v>199500</v>
      </c>
      <c r="K125" s="146">
        <v>222000</v>
      </c>
      <c r="L125" s="146">
        <v>421500</v>
      </c>
      <c r="M125" s="203">
        <f t="shared" si="11"/>
        <v>173200</v>
      </c>
      <c r="N125" s="203">
        <f t="shared" si="11"/>
        <v>222000</v>
      </c>
      <c r="O125" s="203">
        <f t="shared" si="12"/>
        <v>395200</v>
      </c>
      <c r="P125" s="301">
        <f t="shared" si="13"/>
        <v>161076</v>
      </c>
      <c r="Q125" s="301">
        <f t="shared" si="14"/>
        <v>206460</v>
      </c>
      <c r="R125" s="300">
        <f t="shared" si="15"/>
        <v>367536</v>
      </c>
    </row>
    <row r="126" spans="1:18" ht="22.5" x14ac:dyDescent="0.25">
      <c r="A126" s="210">
        <v>115</v>
      </c>
      <c r="B126" s="152" t="s">
        <v>212</v>
      </c>
      <c r="C126" s="153" t="s">
        <v>153</v>
      </c>
      <c r="D126" s="200">
        <v>121000</v>
      </c>
      <c r="E126" s="173">
        <v>278000</v>
      </c>
      <c r="F126" s="202">
        <f t="shared" si="8"/>
        <v>399000</v>
      </c>
      <c r="G126" s="262">
        <f t="shared" si="9"/>
        <v>77800</v>
      </c>
      <c r="H126" s="242">
        <v>389000</v>
      </c>
      <c r="I126" s="261">
        <f t="shared" si="10"/>
        <v>466800</v>
      </c>
      <c r="J126" s="146">
        <v>199500</v>
      </c>
      <c r="K126" s="146">
        <v>1107773.9668091717</v>
      </c>
      <c r="L126" s="146">
        <v>1307273.9668091717</v>
      </c>
      <c r="M126" s="203">
        <f t="shared" si="11"/>
        <v>77800</v>
      </c>
      <c r="N126" s="203">
        <f t="shared" si="11"/>
        <v>278000</v>
      </c>
      <c r="O126" s="203">
        <f t="shared" si="12"/>
        <v>355800</v>
      </c>
      <c r="P126" s="301">
        <f t="shared" si="13"/>
        <v>72354</v>
      </c>
      <c r="Q126" s="301">
        <f t="shared" si="14"/>
        <v>258540</v>
      </c>
      <c r="R126" s="300">
        <f t="shared" si="15"/>
        <v>330894</v>
      </c>
    </row>
    <row r="127" spans="1:18" ht="22.5" x14ac:dyDescent="0.25">
      <c r="A127" s="210">
        <v>116</v>
      </c>
      <c r="B127" s="152" t="s">
        <v>213</v>
      </c>
      <c r="C127" s="153" t="s">
        <v>153</v>
      </c>
      <c r="D127" s="200">
        <v>294000</v>
      </c>
      <c r="E127" s="173">
        <v>678000</v>
      </c>
      <c r="F127" s="202">
        <f t="shared" si="8"/>
        <v>972000</v>
      </c>
      <c r="G127" s="262">
        <f t="shared" si="9"/>
        <v>189200</v>
      </c>
      <c r="H127" s="242">
        <v>946000</v>
      </c>
      <c r="I127" s="261">
        <f t="shared" si="10"/>
        <v>1135200</v>
      </c>
      <c r="J127" s="146">
        <v>199500</v>
      </c>
      <c r="K127" s="146">
        <v>491413.62622775021</v>
      </c>
      <c r="L127" s="146">
        <v>690913.62622775021</v>
      </c>
      <c r="M127" s="203">
        <f t="shared" si="11"/>
        <v>189200</v>
      </c>
      <c r="N127" s="203">
        <f t="shared" si="11"/>
        <v>491413.62622775021</v>
      </c>
      <c r="O127" s="203">
        <f t="shared" si="12"/>
        <v>680613.62622775021</v>
      </c>
      <c r="P127" s="301">
        <f t="shared" si="13"/>
        <v>175956</v>
      </c>
      <c r="Q127" s="301">
        <f t="shared" si="14"/>
        <v>457014.67239180766</v>
      </c>
      <c r="R127" s="300">
        <f t="shared" si="15"/>
        <v>632970.67239180766</v>
      </c>
    </row>
    <row r="128" spans="1:18" x14ac:dyDescent="0.25">
      <c r="A128" s="210">
        <v>117</v>
      </c>
      <c r="B128" s="152" t="s">
        <v>214</v>
      </c>
      <c r="C128" s="153" t="s">
        <v>153</v>
      </c>
      <c r="D128" s="200">
        <v>107000</v>
      </c>
      <c r="E128" s="173">
        <v>606000</v>
      </c>
      <c r="F128" s="202">
        <f t="shared" si="8"/>
        <v>713000</v>
      </c>
      <c r="G128" s="262">
        <f t="shared" si="9"/>
        <v>138800</v>
      </c>
      <c r="H128" s="242">
        <v>694000</v>
      </c>
      <c r="I128" s="261">
        <f t="shared" si="10"/>
        <v>832800</v>
      </c>
      <c r="J128" s="146">
        <v>264500</v>
      </c>
      <c r="K128" s="146">
        <v>210153.29419698709</v>
      </c>
      <c r="L128" s="146">
        <v>474653.29419698706</v>
      </c>
      <c r="M128" s="203">
        <f t="shared" si="11"/>
        <v>107000</v>
      </c>
      <c r="N128" s="203">
        <f t="shared" si="11"/>
        <v>210153.29419698709</v>
      </c>
      <c r="O128" s="203">
        <f t="shared" si="12"/>
        <v>317153.29419698706</v>
      </c>
      <c r="P128" s="301">
        <f t="shared" si="13"/>
        <v>99510</v>
      </c>
      <c r="Q128" s="301">
        <f t="shared" si="14"/>
        <v>195442.56360319798</v>
      </c>
      <c r="R128" s="300">
        <f t="shared" si="15"/>
        <v>294952.56360319798</v>
      </c>
    </row>
    <row r="129" spans="1:18" x14ac:dyDescent="0.25">
      <c r="A129" s="210">
        <v>118</v>
      </c>
      <c r="B129" s="152" t="s">
        <v>355</v>
      </c>
      <c r="C129" s="153" t="s">
        <v>153</v>
      </c>
      <c r="D129" s="200">
        <v>152000</v>
      </c>
      <c r="E129" s="173">
        <v>459000</v>
      </c>
      <c r="F129" s="202">
        <f t="shared" si="8"/>
        <v>611000</v>
      </c>
      <c r="G129" s="262">
        <f t="shared" si="9"/>
        <v>119000</v>
      </c>
      <c r="H129" s="242">
        <v>595000</v>
      </c>
      <c r="I129" s="261">
        <f t="shared" si="10"/>
        <v>714000</v>
      </c>
      <c r="J129" s="146">
        <v>449500</v>
      </c>
      <c r="K129" s="146">
        <v>501554.72495207412</v>
      </c>
      <c r="L129" s="146">
        <v>951054.72495207412</v>
      </c>
      <c r="M129" s="203">
        <f t="shared" si="11"/>
        <v>119000</v>
      </c>
      <c r="N129" s="203">
        <f t="shared" si="11"/>
        <v>459000</v>
      </c>
      <c r="O129" s="203">
        <f t="shared" si="12"/>
        <v>578000</v>
      </c>
      <c r="P129" s="301">
        <f t="shared" si="13"/>
        <v>110670</v>
      </c>
      <c r="Q129" s="301">
        <f t="shared" si="14"/>
        <v>426870</v>
      </c>
      <c r="R129" s="300">
        <f t="shared" si="15"/>
        <v>537540</v>
      </c>
    </row>
    <row r="130" spans="1:18" x14ac:dyDescent="0.25">
      <c r="A130" s="210">
        <v>119</v>
      </c>
      <c r="B130" s="152" t="s">
        <v>215</v>
      </c>
      <c r="C130" s="153" t="s">
        <v>153</v>
      </c>
      <c r="D130" s="200">
        <v>14000</v>
      </c>
      <c r="E130" s="173">
        <v>35000</v>
      </c>
      <c r="F130" s="202">
        <f t="shared" si="8"/>
        <v>49000</v>
      </c>
      <c r="G130" s="262">
        <f t="shared" si="9"/>
        <v>9600</v>
      </c>
      <c r="H130" s="242">
        <v>48000</v>
      </c>
      <c r="I130" s="261">
        <f t="shared" si="10"/>
        <v>57600</v>
      </c>
      <c r="J130" s="146">
        <v>94500</v>
      </c>
      <c r="K130" s="146">
        <v>448575.65574946138</v>
      </c>
      <c r="L130" s="146">
        <v>543075.65574946138</v>
      </c>
      <c r="M130" s="203">
        <f t="shared" si="11"/>
        <v>9600</v>
      </c>
      <c r="N130" s="203">
        <f t="shared" si="11"/>
        <v>35000</v>
      </c>
      <c r="O130" s="203">
        <f t="shared" si="12"/>
        <v>44600</v>
      </c>
      <c r="P130" s="301">
        <f t="shared" si="13"/>
        <v>8928</v>
      </c>
      <c r="Q130" s="301">
        <f t="shared" si="14"/>
        <v>32550</v>
      </c>
      <c r="R130" s="300">
        <f t="shared" si="15"/>
        <v>41478</v>
      </c>
    </row>
    <row r="131" spans="1:18" x14ac:dyDescent="0.25">
      <c r="A131" s="210">
        <v>120</v>
      </c>
      <c r="B131" s="152" t="s">
        <v>216</v>
      </c>
      <c r="C131" s="153" t="s">
        <v>153</v>
      </c>
      <c r="D131" s="200">
        <v>2000</v>
      </c>
      <c r="E131" s="173">
        <v>6000</v>
      </c>
      <c r="F131" s="202">
        <f t="shared" si="8"/>
        <v>8000</v>
      </c>
      <c r="G131" s="262">
        <f t="shared" si="9"/>
        <v>1600</v>
      </c>
      <c r="H131" s="242">
        <v>8000</v>
      </c>
      <c r="I131" s="261">
        <f t="shared" si="10"/>
        <v>9600</v>
      </c>
      <c r="J131" s="146">
        <v>94500</v>
      </c>
      <c r="K131" s="146">
        <v>151986.79026339884</v>
      </c>
      <c r="L131" s="146">
        <v>246486.79026339884</v>
      </c>
      <c r="M131" s="203">
        <f t="shared" si="11"/>
        <v>1600</v>
      </c>
      <c r="N131" s="203">
        <f t="shared" si="11"/>
        <v>6000</v>
      </c>
      <c r="O131" s="203">
        <f t="shared" si="12"/>
        <v>7600</v>
      </c>
      <c r="P131" s="301">
        <f t="shared" si="13"/>
        <v>1488</v>
      </c>
      <c r="Q131" s="301">
        <f t="shared" si="14"/>
        <v>5580</v>
      </c>
      <c r="R131" s="300">
        <f t="shared" si="15"/>
        <v>7068</v>
      </c>
    </row>
    <row r="132" spans="1:18" x14ac:dyDescent="0.25">
      <c r="A132" s="210">
        <v>121</v>
      </c>
      <c r="B132" s="152" t="s">
        <v>217</v>
      </c>
      <c r="C132" s="153" t="s">
        <v>153</v>
      </c>
      <c r="D132" s="200">
        <v>2000</v>
      </c>
      <c r="E132" s="173">
        <v>6000</v>
      </c>
      <c r="F132" s="202">
        <f t="shared" si="8"/>
        <v>8000</v>
      </c>
      <c r="G132" s="262">
        <f t="shared" si="9"/>
        <v>1600</v>
      </c>
      <c r="H132" s="242">
        <v>8000</v>
      </c>
      <c r="I132" s="261">
        <f t="shared" si="10"/>
        <v>9600</v>
      </c>
      <c r="J132" s="146">
        <v>134500</v>
      </c>
      <c r="K132" s="146">
        <v>339421.271418271</v>
      </c>
      <c r="L132" s="146">
        <v>473921.271418271</v>
      </c>
      <c r="M132" s="203">
        <f t="shared" si="11"/>
        <v>1600</v>
      </c>
      <c r="N132" s="203">
        <f t="shared" si="11"/>
        <v>6000</v>
      </c>
      <c r="O132" s="203">
        <f t="shared" si="12"/>
        <v>7600</v>
      </c>
      <c r="P132" s="301">
        <f t="shared" si="13"/>
        <v>1488</v>
      </c>
      <c r="Q132" s="301">
        <f t="shared" si="14"/>
        <v>5580</v>
      </c>
      <c r="R132" s="300">
        <f t="shared" si="15"/>
        <v>7068</v>
      </c>
    </row>
    <row r="133" spans="1:18" x14ac:dyDescent="0.25">
      <c r="A133" s="210">
        <v>122</v>
      </c>
      <c r="B133" s="152" t="s">
        <v>218</v>
      </c>
      <c r="C133" s="153" t="s">
        <v>153</v>
      </c>
      <c r="D133" s="200">
        <v>2000</v>
      </c>
      <c r="E133" s="173">
        <v>4000</v>
      </c>
      <c r="F133" s="202">
        <f t="shared" ref="F133:F196" si="16">(D133+E133)</f>
        <v>6000</v>
      </c>
      <c r="G133" s="262">
        <f t="shared" ref="G133:G196" si="17">+H133*20%</f>
        <v>1000</v>
      </c>
      <c r="H133" s="242">
        <v>5000</v>
      </c>
      <c r="I133" s="261">
        <f t="shared" ref="I133:I196" si="18">+H133+G133</f>
        <v>6000</v>
      </c>
      <c r="J133" s="146">
        <v>64500</v>
      </c>
      <c r="K133" s="146">
        <v>64918.323309193023</v>
      </c>
      <c r="L133" s="146">
        <v>129418.32330919302</v>
      </c>
      <c r="M133" s="203">
        <f t="shared" ref="M133:N196" si="19">MIN(D133,G133,J133)</f>
        <v>1000</v>
      </c>
      <c r="N133" s="203">
        <f t="shared" si="19"/>
        <v>4000</v>
      </c>
      <c r="O133" s="203">
        <f t="shared" ref="O133:O196" si="20">(M133+N133)</f>
        <v>5000</v>
      </c>
      <c r="P133" s="301">
        <f t="shared" ref="P133:P196" si="21">M133-(M133*7%)</f>
        <v>930</v>
      </c>
      <c r="Q133" s="301">
        <f t="shared" ref="Q133:Q196" si="22">N133-(N133*7%)</f>
        <v>3720</v>
      </c>
      <c r="R133" s="300">
        <f t="shared" ref="R133:R196" si="23">Q133+P133</f>
        <v>4650</v>
      </c>
    </row>
    <row r="134" spans="1:18" ht="22.5" x14ac:dyDescent="0.25">
      <c r="A134" s="210">
        <v>123</v>
      </c>
      <c r="B134" s="161" t="s">
        <v>224</v>
      </c>
      <c r="C134" s="153" t="s">
        <v>153</v>
      </c>
      <c r="D134" s="200">
        <v>265000</v>
      </c>
      <c r="E134" s="173">
        <v>671000</v>
      </c>
      <c r="F134" s="202">
        <f t="shared" si="16"/>
        <v>936000</v>
      </c>
      <c r="G134" s="262">
        <f t="shared" si="17"/>
        <v>182200</v>
      </c>
      <c r="H134" s="242">
        <v>911000</v>
      </c>
      <c r="I134" s="261">
        <f t="shared" si="18"/>
        <v>1093200</v>
      </c>
      <c r="J134" s="146">
        <v>64500</v>
      </c>
      <c r="K134" s="146">
        <v>8595.6893788869857</v>
      </c>
      <c r="L134" s="146">
        <v>73095.689378886978</v>
      </c>
      <c r="M134" s="203">
        <f t="shared" si="19"/>
        <v>64500</v>
      </c>
      <c r="N134" s="203">
        <f t="shared" si="19"/>
        <v>8595.6893788869857</v>
      </c>
      <c r="O134" s="203">
        <f t="shared" si="20"/>
        <v>73095.689378886978</v>
      </c>
      <c r="P134" s="301">
        <f t="shared" si="21"/>
        <v>59985</v>
      </c>
      <c r="Q134" s="301">
        <f t="shared" si="22"/>
        <v>7993.9911223648969</v>
      </c>
      <c r="R134" s="300">
        <f t="shared" si="23"/>
        <v>67978.991122364896</v>
      </c>
    </row>
    <row r="135" spans="1:18" ht="22.5" x14ac:dyDescent="0.25">
      <c r="A135" s="210">
        <v>124</v>
      </c>
      <c r="B135" s="152" t="s">
        <v>226</v>
      </c>
      <c r="C135" s="153" t="s">
        <v>153</v>
      </c>
      <c r="D135" s="200">
        <v>233000</v>
      </c>
      <c r="E135" s="173">
        <v>537000</v>
      </c>
      <c r="F135" s="202">
        <f t="shared" si="16"/>
        <v>770000</v>
      </c>
      <c r="G135" s="262">
        <f t="shared" si="17"/>
        <v>150000</v>
      </c>
      <c r="H135" s="242">
        <v>750000</v>
      </c>
      <c r="I135" s="261">
        <f t="shared" si="18"/>
        <v>900000</v>
      </c>
      <c r="J135" s="146">
        <v>64500</v>
      </c>
      <c r="K135" s="146">
        <v>7082.1336415733349</v>
      </c>
      <c r="L135" s="146">
        <v>71582.133641573339</v>
      </c>
      <c r="M135" s="203">
        <f t="shared" si="19"/>
        <v>64500</v>
      </c>
      <c r="N135" s="203">
        <f t="shared" si="19"/>
        <v>7082.1336415733349</v>
      </c>
      <c r="O135" s="203">
        <f t="shared" si="20"/>
        <v>71582.133641573339</v>
      </c>
      <c r="P135" s="301">
        <f t="shared" si="21"/>
        <v>59985</v>
      </c>
      <c r="Q135" s="301">
        <f t="shared" si="22"/>
        <v>6586.3842866632012</v>
      </c>
      <c r="R135" s="300">
        <f t="shared" si="23"/>
        <v>66571.384286663204</v>
      </c>
    </row>
    <row r="136" spans="1:18" x14ac:dyDescent="0.25">
      <c r="A136" s="210">
        <v>125</v>
      </c>
      <c r="B136" s="152" t="s">
        <v>42</v>
      </c>
      <c r="C136" s="153" t="s">
        <v>153</v>
      </c>
      <c r="D136" s="200">
        <v>52000</v>
      </c>
      <c r="E136" s="173">
        <v>130000</v>
      </c>
      <c r="F136" s="202">
        <f t="shared" si="16"/>
        <v>182000</v>
      </c>
      <c r="G136" s="262">
        <f t="shared" si="17"/>
        <v>35400</v>
      </c>
      <c r="H136" s="242">
        <v>177000</v>
      </c>
      <c r="I136" s="261">
        <f t="shared" si="18"/>
        <v>212400</v>
      </c>
      <c r="J136" s="146">
        <v>64500</v>
      </c>
      <c r="K136" s="146">
        <v>6113.0264940080015</v>
      </c>
      <c r="L136" s="146">
        <v>70613.026494007994</v>
      </c>
      <c r="M136" s="203">
        <f t="shared" si="19"/>
        <v>35400</v>
      </c>
      <c r="N136" s="203">
        <f t="shared" si="19"/>
        <v>6113.0264940080015</v>
      </c>
      <c r="O136" s="203">
        <f t="shared" si="20"/>
        <v>41513.026494008001</v>
      </c>
      <c r="P136" s="301">
        <f t="shared" si="21"/>
        <v>32922</v>
      </c>
      <c r="Q136" s="301">
        <f t="shared" si="22"/>
        <v>5685.114639427441</v>
      </c>
      <c r="R136" s="300">
        <f t="shared" si="23"/>
        <v>38607.11463942744</v>
      </c>
    </row>
    <row r="137" spans="1:18" x14ac:dyDescent="0.25">
      <c r="A137" s="210">
        <v>126</v>
      </c>
      <c r="B137" s="152" t="s">
        <v>93</v>
      </c>
      <c r="C137" s="153" t="s">
        <v>153</v>
      </c>
      <c r="D137" s="200">
        <v>186000</v>
      </c>
      <c r="E137" s="173">
        <v>466000</v>
      </c>
      <c r="F137" s="202">
        <f t="shared" si="16"/>
        <v>652000</v>
      </c>
      <c r="G137" s="262">
        <f t="shared" si="17"/>
        <v>127000</v>
      </c>
      <c r="H137" s="242">
        <v>635000</v>
      </c>
      <c r="I137" s="261">
        <f t="shared" si="18"/>
        <v>762000</v>
      </c>
      <c r="J137" s="146">
        <v>474500</v>
      </c>
      <c r="K137" s="146">
        <v>558526.51560265594</v>
      </c>
      <c r="L137" s="146">
        <v>1033026.5156026559</v>
      </c>
      <c r="M137" s="203">
        <f t="shared" si="19"/>
        <v>127000</v>
      </c>
      <c r="N137" s="203">
        <f t="shared" si="19"/>
        <v>466000</v>
      </c>
      <c r="O137" s="203">
        <f t="shared" si="20"/>
        <v>593000</v>
      </c>
      <c r="P137" s="301">
        <f t="shared" si="21"/>
        <v>118110</v>
      </c>
      <c r="Q137" s="301">
        <f t="shared" si="22"/>
        <v>433380</v>
      </c>
      <c r="R137" s="300">
        <f t="shared" si="23"/>
        <v>551490</v>
      </c>
    </row>
    <row r="138" spans="1:18" x14ac:dyDescent="0.25">
      <c r="A138" s="210">
        <v>127</v>
      </c>
      <c r="B138" s="211" t="s">
        <v>95</v>
      </c>
      <c r="C138" s="153" t="s">
        <v>153</v>
      </c>
      <c r="D138" s="200">
        <v>242000</v>
      </c>
      <c r="E138" s="173">
        <v>784000</v>
      </c>
      <c r="F138" s="202">
        <f t="shared" si="16"/>
        <v>1026000</v>
      </c>
      <c r="G138" s="262">
        <f t="shared" si="17"/>
        <v>200000</v>
      </c>
      <c r="H138" s="242">
        <v>1000000</v>
      </c>
      <c r="I138" s="261">
        <f t="shared" si="18"/>
        <v>1200000</v>
      </c>
      <c r="J138" s="146">
        <v>374500</v>
      </c>
      <c r="K138" s="146">
        <v>397587.77535185916</v>
      </c>
      <c r="L138" s="146">
        <v>772087.77535185916</v>
      </c>
      <c r="M138" s="203">
        <f t="shared" si="19"/>
        <v>200000</v>
      </c>
      <c r="N138" s="203">
        <f t="shared" si="19"/>
        <v>397587.77535185916</v>
      </c>
      <c r="O138" s="203">
        <f t="shared" si="20"/>
        <v>597587.77535185916</v>
      </c>
      <c r="P138" s="301">
        <f t="shared" si="21"/>
        <v>186000</v>
      </c>
      <c r="Q138" s="301">
        <f t="shared" si="22"/>
        <v>369756.63107722905</v>
      </c>
      <c r="R138" s="300">
        <f t="shared" si="23"/>
        <v>555756.63107722905</v>
      </c>
    </row>
    <row r="139" spans="1:18" x14ac:dyDescent="0.25">
      <c r="A139" s="210">
        <v>128</v>
      </c>
      <c r="B139" s="211" t="s">
        <v>228</v>
      </c>
      <c r="C139" s="153" t="s">
        <v>153</v>
      </c>
      <c r="D139" s="200">
        <v>1000</v>
      </c>
      <c r="E139" s="173">
        <v>2000</v>
      </c>
      <c r="F139" s="202">
        <f t="shared" si="16"/>
        <v>3000</v>
      </c>
      <c r="G139" s="262">
        <f t="shared" si="17"/>
        <v>600</v>
      </c>
      <c r="H139" s="242">
        <v>3000</v>
      </c>
      <c r="I139" s="261">
        <f t="shared" si="18"/>
        <v>3600</v>
      </c>
      <c r="J139" s="146">
        <v>84500</v>
      </c>
      <c r="K139" s="146">
        <v>139141.81229944</v>
      </c>
      <c r="L139" s="146">
        <v>223641.81229944</v>
      </c>
      <c r="M139" s="203">
        <f t="shared" si="19"/>
        <v>600</v>
      </c>
      <c r="N139" s="203">
        <f t="shared" si="19"/>
        <v>2000</v>
      </c>
      <c r="O139" s="203">
        <f t="shared" si="20"/>
        <v>2600</v>
      </c>
      <c r="P139" s="301">
        <f t="shared" si="21"/>
        <v>558</v>
      </c>
      <c r="Q139" s="301">
        <f t="shared" si="22"/>
        <v>1860</v>
      </c>
      <c r="R139" s="300">
        <f t="shared" si="23"/>
        <v>2418</v>
      </c>
    </row>
    <row r="140" spans="1:18" x14ac:dyDescent="0.25">
      <c r="A140" s="210">
        <v>129</v>
      </c>
      <c r="B140" s="211" t="s">
        <v>229</v>
      </c>
      <c r="C140" s="153" t="s">
        <v>153</v>
      </c>
      <c r="D140" s="200">
        <v>46000</v>
      </c>
      <c r="E140" s="173">
        <v>106000</v>
      </c>
      <c r="F140" s="202">
        <f t="shared" si="16"/>
        <v>152000</v>
      </c>
      <c r="G140" s="262">
        <f t="shared" si="17"/>
        <v>29600</v>
      </c>
      <c r="H140" s="242">
        <v>148000</v>
      </c>
      <c r="I140" s="261">
        <f t="shared" si="18"/>
        <v>177600</v>
      </c>
      <c r="J140" s="146">
        <v>214500</v>
      </c>
      <c r="K140" s="146">
        <v>783873.23160492862</v>
      </c>
      <c r="L140" s="146">
        <v>998373.23160492862</v>
      </c>
      <c r="M140" s="203">
        <f t="shared" si="19"/>
        <v>29600</v>
      </c>
      <c r="N140" s="203">
        <f t="shared" si="19"/>
        <v>106000</v>
      </c>
      <c r="O140" s="203">
        <f t="shared" si="20"/>
        <v>135600</v>
      </c>
      <c r="P140" s="301">
        <f t="shared" si="21"/>
        <v>27528</v>
      </c>
      <c r="Q140" s="301">
        <f t="shared" si="22"/>
        <v>98580</v>
      </c>
      <c r="R140" s="300">
        <f t="shared" si="23"/>
        <v>126108</v>
      </c>
    </row>
    <row r="141" spans="1:18" x14ac:dyDescent="0.25">
      <c r="A141" s="210">
        <v>130</v>
      </c>
      <c r="B141" s="211" t="s">
        <v>241</v>
      </c>
      <c r="C141" s="153" t="s">
        <v>153</v>
      </c>
      <c r="D141" s="200">
        <v>93000</v>
      </c>
      <c r="E141" s="173">
        <v>221000</v>
      </c>
      <c r="F141" s="202">
        <f t="shared" si="16"/>
        <v>314000</v>
      </c>
      <c r="G141" s="262">
        <f t="shared" si="17"/>
        <v>61200</v>
      </c>
      <c r="H141" s="242">
        <v>306000</v>
      </c>
      <c r="I141" s="261">
        <f t="shared" si="18"/>
        <v>367200</v>
      </c>
      <c r="J141" s="146">
        <v>64500</v>
      </c>
      <c r="K141" s="146">
        <v>2010.6402786666672</v>
      </c>
      <c r="L141" s="146">
        <v>66510.640278666673</v>
      </c>
      <c r="M141" s="203">
        <f t="shared" si="19"/>
        <v>61200</v>
      </c>
      <c r="N141" s="203">
        <f t="shared" si="19"/>
        <v>2010.6402786666672</v>
      </c>
      <c r="O141" s="203">
        <f t="shared" si="20"/>
        <v>63210.640278666666</v>
      </c>
      <c r="P141" s="301">
        <f t="shared" si="21"/>
        <v>56916</v>
      </c>
      <c r="Q141" s="301">
        <f t="shared" si="22"/>
        <v>1869.8954591600004</v>
      </c>
      <c r="R141" s="300">
        <f t="shared" si="23"/>
        <v>58785.895459159998</v>
      </c>
    </row>
    <row r="142" spans="1:18" x14ac:dyDescent="0.25">
      <c r="A142" s="210">
        <v>131</v>
      </c>
      <c r="B142" s="158" t="s">
        <v>85</v>
      </c>
      <c r="C142" s="153" t="s">
        <v>153</v>
      </c>
      <c r="D142" s="200">
        <v>47000</v>
      </c>
      <c r="E142" s="173">
        <v>118000</v>
      </c>
      <c r="F142" s="202">
        <f t="shared" si="16"/>
        <v>165000</v>
      </c>
      <c r="G142" s="262">
        <f t="shared" si="17"/>
        <v>32000</v>
      </c>
      <c r="H142" s="242">
        <v>160000</v>
      </c>
      <c r="I142" s="261">
        <f t="shared" si="18"/>
        <v>192000</v>
      </c>
      <c r="J142" s="146">
        <v>64500</v>
      </c>
      <c r="K142" s="146">
        <v>99925.611146666677</v>
      </c>
      <c r="L142" s="146">
        <v>164425.61114666669</v>
      </c>
      <c r="M142" s="203">
        <f t="shared" si="19"/>
        <v>32000</v>
      </c>
      <c r="N142" s="203">
        <f t="shared" si="19"/>
        <v>99925.611146666677</v>
      </c>
      <c r="O142" s="203">
        <f t="shared" si="20"/>
        <v>131925.61114666669</v>
      </c>
      <c r="P142" s="301">
        <f t="shared" si="21"/>
        <v>29760</v>
      </c>
      <c r="Q142" s="301">
        <f t="shared" si="22"/>
        <v>92930.81836640001</v>
      </c>
      <c r="R142" s="300">
        <f t="shared" si="23"/>
        <v>122690.81836640001</v>
      </c>
    </row>
    <row r="143" spans="1:18" x14ac:dyDescent="0.25">
      <c r="A143" s="210">
        <v>132</v>
      </c>
      <c r="B143" s="158" t="s">
        <v>232</v>
      </c>
      <c r="C143" s="153" t="s">
        <v>153</v>
      </c>
      <c r="D143" s="200">
        <v>248000</v>
      </c>
      <c r="E143" s="173">
        <v>873000</v>
      </c>
      <c r="F143" s="202">
        <f t="shared" si="16"/>
        <v>1121000</v>
      </c>
      <c r="G143" s="262">
        <f t="shared" si="17"/>
        <v>218200</v>
      </c>
      <c r="H143" s="242">
        <v>1091000</v>
      </c>
      <c r="I143" s="261">
        <f t="shared" si="18"/>
        <v>1309200</v>
      </c>
      <c r="J143" s="146">
        <v>84500</v>
      </c>
      <c r="K143" s="146">
        <v>133000</v>
      </c>
      <c r="L143" s="146">
        <v>217500</v>
      </c>
      <c r="M143" s="203">
        <f t="shared" si="19"/>
        <v>84500</v>
      </c>
      <c r="N143" s="203">
        <f t="shared" si="19"/>
        <v>133000</v>
      </c>
      <c r="O143" s="203">
        <f t="shared" si="20"/>
        <v>217500</v>
      </c>
      <c r="P143" s="301">
        <f t="shared" si="21"/>
        <v>78585</v>
      </c>
      <c r="Q143" s="301">
        <f t="shared" si="22"/>
        <v>123690</v>
      </c>
      <c r="R143" s="300">
        <f t="shared" si="23"/>
        <v>202275</v>
      </c>
    </row>
    <row r="144" spans="1:18" x14ac:dyDescent="0.25">
      <c r="A144" s="210">
        <v>133</v>
      </c>
      <c r="B144" s="158" t="s">
        <v>67</v>
      </c>
      <c r="C144" s="153" t="s">
        <v>153</v>
      </c>
      <c r="D144" s="200">
        <v>95000</v>
      </c>
      <c r="E144" s="173">
        <v>744000</v>
      </c>
      <c r="F144" s="202">
        <f t="shared" si="16"/>
        <v>839000</v>
      </c>
      <c r="G144" s="262">
        <f t="shared" si="17"/>
        <v>163400</v>
      </c>
      <c r="H144" s="242">
        <v>817000</v>
      </c>
      <c r="I144" s="261">
        <f t="shared" si="18"/>
        <v>980400</v>
      </c>
      <c r="J144" s="146">
        <v>84500</v>
      </c>
      <c r="K144" s="146">
        <v>101266.81526865264</v>
      </c>
      <c r="L144" s="146">
        <v>185766.81526865263</v>
      </c>
      <c r="M144" s="203">
        <f t="shared" si="19"/>
        <v>84500</v>
      </c>
      <c r="N144" s="203">
        <f t="shared" si="19"/>
        <v>101266.81526865264</v>
      </c>
      <c r="O144" s="203">
        <f t="shared" si="20"/>
        <v>185766.81526865263</v>
      </c>
      <c r="P144" s="301">
        <f t="shared" si="21"/>
        <v>78585</v>
      </c>
      <c r="Q144" s="301">
        <f t="shared" si="22"/>
        <v>94178.138199846959</v>
      </c>
      <c r="R144" s="300">
        <f t="shared" si="23"/>
        <v>172763.13819984696</v>
      </c>
    </row>
    <row r="145" spans="1:18" x14ac:dyDescent="0.25">
      <c r="A145" s="210">
        <v>134</v>
      </c>
      <c r="B145" s="161" t="s">
        <v>237</v>
      </c>
      <c r="C145" s="153" t="s">
        <v>153</v>
      </c>
      <c r="D145" s="200">
        <v>197000</v>
      </c>
      <c r="E145" s="173">
        <v>508000</v>
      </c>
      <c r="F145" s="202">
        <f t="shared" si="16"/>
        <v>705000</v>
      </c>
      <c r="G145" s="262">
        <f t="shared" si="17"/>
        <v>137200</v>
      </c>
      <c r="H145" s="242">
        <v>686000</v>
      </c>
      <c r="I145" s="261">
        <f t="shared" si="18"/>
        <v>823200</v>
      </c>
      <c r="J145" s="146">
        <v>219500</v>
      </c>
      <c r="K145" s="146">
        <v>645989.87175666681</v>
      </c>
      <c r="L145" s="146">
        <v>865489.87175666681</v>
      </c>
      <c r="M145" s="203">
        <f t="shared" si="19"/>
        <v>137200</v>
      </c>
      <c r="N145" s="203">
        <f t="shared" si="19"/>
        <v>508000</v>
      </c>
      <c r="O145" s="203">
        <f t="shared" si="20"/>
        <v>645200</v>
      </c>
      <c r="P145" s="301">
        <f t="shared" si="21"/>
        <v>127596</v>
      </c>
      <c r="Q145" s="301">
        <f t="shared" si="22"/>
        <v>472440</v>
      </c>
      <c r="R145" s="300">
        <f t="shared" si="23"/>
        <v>600036</v>
      </c>
    </row>
    <row r="146" spans="1:18" x14ac:dyDescent="0.25">
      <c r="A146" s="210">
        <v>135</v>
      </c>
      <c r="B146" s="161" t="s">
        <v>238</v>
      </c>
      <c r="C146" s="153" t="s">
        <v>153</v>
      </c>
      <c r="D146" s="200">
        <v>95000</v>
      </c>
      <c r="E146" s="173">
        <v>532000</v>
      </c>
      <c r="F146" s="202">
        <f t="shared" si="16"/>
        <v>627000</v>
      </c>
      <c r="G146" s="262">
        <f t="shared" si="17"/>
        <v>122200</v>
      </c>
      <c r="H146" s="242">
        <v>611000</v>
      </c>
      <c r="I146" s="261">
        <f t="shared" si="18"/>
        <v>733200</v>
      </c>
      <c r="J146" s="146">
        <v>84500</v>
      </c>
      <c r="K146" s="146">
        <v>550539.00393912802</v>
      </c>
      <c r="L146" s="146">
        <v>635039.00393912802</v>
      </c>
      <c r="M146" s="203">
        <f t="shared" si="19"/>
        <v>84500</v>
      </c>
      <c r="N146" s="203">
        <f t="shared" si="19"/>
        <v>532000</v>
      </c>
      <c r="O146" s="203">
        <f t="shared" si="20"/>
        <v>616500</v>
      </c>
      <c r="P146" s="301">
        <f t="shared" si="21"/>
        <v>78585</v>
      </c>
      <c r="Q146" s="301">
        <f t="shared" si="22"/>
        <v>494760</v>
      </c>
      <c r="R146" s="300">
        <f t="shared" si="23"/>
        <v>573345</v>
      </c>
    </row>
    <row r="147" spans="1:18" x14ac:dyDescent="0.25">
      <c r="A147" s="210">
        <v>136</v>
      </c>
      <c r="B147" s="158" t="s">
        <v>83</v>
      </c>
      <c r="C147" s="153" t="s">
        <v>153</v>
      </c>
      <c r="D147" s="200">
        <v>208000</v>
      </c>
      <c r="E147" s="173">
        <v>596000</v>
      </c>
      <c r="F147" s="202">
        <f t="shared" si="16"/>
        <v>804000</v>
      </c>
      <c r="G147" s="262">
        <f t="shared" si="17"/>
        <v>156600</v>
      </c>
      <c r="H147" s="242">
        <v>783000</v>
      </c>
      <c r="I147" s="261">
        <f t="shared" si="18"/>
        <v>939600</v>
      </c>
      <c r="J147" s="146">
        <v>174500</v>
      </c>
      <c r="K147" s="146">
        <v>375777.79303827626</v>
      </c>
      <c r="L147" s="146">
        <v>550277.79303827626</v>
      </c>
      <c r="M147" s="203">
        <f t="shared" si="19"/>
        <v>156600</v>
      </c>
      <c r="N147" s="203">
        <f t="shared" si="19"/>
        <v>375777.79303827626</v>
      </c>
      <c r="O147" s="203">
        <f t="shared" si="20"/>
        <v>532377.79303827626</v>
      </c>
      <c r="P147" s="301">
        <f t="shared" si="21"/>
        <v>145638</v>
      </c>
      <c r="Q147" s="301">
        <f t="shared" si="22"/>
        <v>349473.34752559691</v>
      </c>
      <c r="R147" s="300">
        <f t="shared" si="23"/>
        <v>495111.34752559691</v>
      </c>
    </row>
    <row r="148" spans="1:18" x14ac:dyDescent="0.25">
      <c r="A148" s="210">
        <v>137</v>
      </c>
      <c r="B148" s="161" t="s">
        <v>235</v>
      </c>
      <c r="C148" s="153" t="s">
        <v>153</v>
      </c>
      <c r="D148" s="200">
        <v>141000</v>
      </c>
      <c r="E148" s="173">
        <v>927000</v>
      </c>
      <c r="F148" s="202">
        <f t="shared" si="16"/>
        <v>1068000</v>
      </c>
      <c r="G148" s="262">
        <f t="shared" si="17"/>
        <v>208000</v>
      </c>
      <c r="H148" s="242">
        <v>1040000</v>
      </c>
      <c r="I148" s="261">
        <f t="shared" si="18"/>
        <v>1248000</v>
      </c>
      <c r="J148" s="146">
        <v>84500</v>
      </c>
      <c r="K148" s="146">
        <v>393411.96797220851</v>
      </c>
      <c r="L148" s="146">
        <v>477911.96797220851</v>
      </c>
      <c r="M148" s="203">
        <f t="shared" si="19"/>
        <v>84500</v>
      </c>
      <c r="N148" s="203">
        <f t="shared" si="19"/>
        <v>393411.96797220851</v>
      </c>
      <c r="O148" s="203">
        <f t="shared" si="20"/>
        <v>477911.96797220851</v>
      </c>
      <c r="P148" s="301">
        <f t="shared" si="21"/>
        <v>78585</v>
      </c>
      <c r="Q148" s="301">
        <f t="shared" si="22"/>
        <v>365873.13021415391</v>
      </c>
      <c r="R148" s="300">
        <f t="shared" si="23"/>
        <v>444458.13021415391</v>
      </c>
    </row>
    <row r="149" spans="1:18" x14ac:dyDescent="0.25">
      <c r="A149" s="210">
        <v>138</v>
      </c>
      <c r="B149" s="158" t="s">
        <v>84</v>
      </c>
      <c r="C149" s="153" t="s">
        <v>153</v>
      </c>
      <c r="D149" s="200">
        <v>254000</v>
      </c>
      <c r="E149" s="173">
        <v>1056000</v>
      </c>
      <c r="F149" s="202">
        <f t="shared" si="16"/>
        <v>1310000</v>
      </c>
      <c r="G149" s="262">
        <f t="shared" si="17"/>
        <v>255000</v>
      </c>
      <c r="H149" s="242">
        <v>1275000</v>
      </c>
      <c r="I149" s="261">
        <f t="shared" si="18"/>
        <v>1530000</v>
      </c>
      <c r="J149" s="146">
        <v>184500</v>
      </c>
      <c r="K149" s="146">
        <v>440989.48499831988</v>
      </c>
      <c r="L149" s="146">
        <v>625489.48499831988</v>
      </c>
      <c r="M149" s="203">
        <f t="shared" si="19"/>
        <v>184500</v>
      </c>
      <c r="N149" s="203">
        <f t="shared" si="19"/>
        <v>440989.48499831988</v>
      </c>
      <c r="O149" s="203">
        <f t="shared" si="20"/>
        <v>625489.48499831988</v>
      </c>
      <c r="P149" s="301">
        <f t="shared" si="21"/>
        <v>171585</v>
      </c>
      <c r="Q149" s="301">
        <f t="shared" si="22"/>
        <v>410120.22104843747</v>
      </c>
      <c r="R149" s="300">
        <f t="shared" si="23"/>
        <v>581705.22104843752</v>
      </c>
    </row>
    <row r="150" spans="1:18" x14ac:dyDescent="0.25">
      <c r="A150" s="210">
        <v>139</v>
      </c>
      <c r="B150" s="158" t="s">
        <v>236</v>
      </c>
      <c r="C150" s="153" t="s">
        <v>153</v>
      </c>
      <c r="D150" s="200">
        <v>100000</v>
      </c>
      <c r="E150" s="173">
        <v>230000</v>
      </c>
      <c r="F150" s="202">
        <f t="shared" si="16"/>
        <v>330000</v>
      </c>
      <c r="G150" s="262">
        <f t="shared" si="17"/>
        <v>64200</v>
      </c>
      <c r="H150" s="242">
        <v>321000</v>
      </c>
      <c r="I150" s="261">
        <f t="shared" si="18"/>
        <v>385200</v>
      </c>
      <c r="J150" s="146">
        <v>124500</v>
      </c>
      <c r="K150" s="146">
        <v>686007.07762650691</v>
      </c>
      <c r="L150" s="146">
        <v>810507.07762650691</v>
      </c>
      <c r="M150" s="203">
        <f t="shared" si="19"/>
        <v>64200</v>
      </c>
      <c r="N150" s="203">
        <f t="shared" si="19"/>
        <v>230000</v>
      </c>
      <c r="O150" s="203">
        <f t="shared" si="20"/>
        <v>294200</v>
      </c>
      <c r="P150" s="301">
        <f t="shared" si="21"/>
        <v>59706</v>
      </c>
      <c r="Q150" s="301">
        <f t="shared" si="22"/>
        <v>213900</v>
      </c>
      <c r="R150" s="300">
        <f t="shared" si="23"/>
        <v>273606</v>
      </c>
    </row>
    <row r="151" spans="1:18" x14ac:dyDescent="0.25">
      <c r="A151" s="210">
        <v>140</v>
      </c>
      <c r="B151" s="211" t="s">
        <v>239</v>
      </c>
      <c r="C151" s="153" t="s">
        <v>153</v>
      </c>
      <c r="D151" s="200">
        <v>82000</v>
      </c>
      <c r="E151" s="173">
        <v>188000</v>
      </c>
      <c r="F151" s="202">
        <f t="shared" si="16"/>
        <v>270000</v>
      </c>
      <c r="G151" s="262">
        <f t="shared" si="17"/>
        <v>52600</v>
      </c>
      <c r="H151" s="242">
        <v>263000</v>
      </c>
      <c r="I151" s="261">
        <f t="shared" si="18"/>
        <v>315600</v>
      </c>
      <c r="J151" s="146">
        <v>224500</v>
      </c>
      <c r="K151" s="146">
        <v>781348.15801683208</v>
      </c>
      <c r="L151" s="146">
        <v>1005848.1580168321</v>
      </c>
      <c r="M151" s="203">
        <f t="shared" si="19"/>
        <v>52600</v>
      </c>
      <c r="N151" s="203">
        <f t="shared" si="19"/>
        <v>188000</v>
      </c>
      <c r="O151" s="203">
        <f t="shared" si="20"/>
        <v>240600</v>
      </c>
      <c r="P151" s="301">
        <f t="shared" si="21"/>
        <v>48918</v>
      </c>
      <c r="Q151" s="301">
        <f t="shared" si="22"/>
        <v>174840</v>
      </c>
      <c r="R151" s="300">
        <f t="shared" si="23"/>
        <v>223758</v>
      </c>
    </row>
    <row r="152" spans="1:18" x14ac:dyDescent="0.25">
      <c r="A152" s="210">
        <v>141</v>
      </c>
      <c r="B152" s="211" t="s">
        <v>338</v>
      </c>
      <c r="C152" s="153" t="s">
        <v>153</v>
      </c>
      <c r="D152" s="200">
        <v>122000</v>
      </c>
      <c r="E152" s="173">
        <v>281000</v>
      </c>
      <c r="F152" s="202">
        <f t="shared" si="16"/>
        <v>403000</v>
      </c>
      <c r="G152" s="262">
        <f t="shared" si="17"/>
        <v>78600</v>
      </c>
      <c r="H152" s="242">
        <v>393000</v>
      </c>
      <c r="I152" s="261">
        <f t="shared" si="18"/>
        <v>471600</v>
      </c>
      <c r="J152" s="146">
        <v>224500</v>
      </c>
      <c r="K152" s="146">
        <v>170173.32614376003</v>
      </c>
      <c r="L152" s="146">
        <v>394673.32614376</v>
      </c>
      <c r="M152" s="203">
        <f t="shared" si="19"/>
        <v>78600</v>
      </c>
      <c r="N152" s="203">
        <f t="shared" si="19"/>
        <v>170173.32614376003</v>
      </c>
      <c r="O152" s="203">
        <f t="shared" si="20"/>
        <v>248773.32614376003</v>
      </c>
      <c r="P152" s="301">
        <f t="shared" si="21"/>
        <v>73098</v>
      </c>
      <c r="Q152" s="301">
        <f t="shared" si="22"/>
        <v>158261.19331369683</v>
      </c>
      <c r="R152" s="300">
        <f t="shared" si="23"/>
        <v>231359.19331369683</v>
      </c>
    </row>
    <row r="153" spans="1:18" x14ac:dyDescent="0.25">
      <c r="A153" s="210">
        <v>142</v>
      </c>
      <c r="B153" s="158" t="s">
        <v>68</v>
      </c>
      <c r="C153" s="153" t="s">
        <v>153</v>
      </c>
      <c r="D153" s="200">
        <v>208000</v>
      </c>
      <c r="E153" s="173">
        <v>482000</v>
      </c>
      <c r="F153" s="202">
        <f t="shared" si="16"/>
        <v>690000</v>
      </c>
      <c r="G153" s="262">
        <f t="shared" si="17"/>
        <v>134400</v>
      </c>
      <c r="H153" s="242">
        <v>672000</v>
      </c>
      <c r="I153" s="261">
        <f t="shared" si="18"/>
        <v>806400</v>
      </c>
      <c r="J153" s="146">
        <v>184500</v>
      </c>
      <c r="K153" s="146">
        <v>139141.81229944</v>
      </c>
      <c r="L153" s="146">
        <v>323641.81229944003</v>
      </c>
      <c r="M153" s="203">
        <f t="shared" si="19"/>
        <v>134400</v>
      </c>
      <c r="N153" s="203">
        <f t="shared" si="19"/>
        <v>139141.81229944</v>
      </c>
      <c r="O153" s="203">
        <f t="shared" si="20"/>
        <v>273541.81229944003</v>
      </c>
      <c r="P153" s="301">
        <f t="shared" si="21"/>
        <v>124992</v>
      </c>
      <c r="Q153" s="301">
        <f t="shared" si="22"/>
        <v>129401.88543847921</v>
      </c>
      <c r="R153" s="300">
        <f t="shared" si="23"/>
        <v>254393.88543847919</v>
      </c>
    </row>
    <row r="154" spans="1:18" x14ac:dyDescent="0.25">
      <c r="A154" s="210">
        <v>143</v>
      </c>
      <c r="B154" s="211" t="s">
        <v>94</v>
      </c>
      <c r="C154" s="153" t="s">
        <v>153</v>
      </c>
      <c r="D154" s="200">
        <v>118000</v>
      </c>
      <c r="E154" s="173">
        <v>328000</v>
      </c>
      <c r="F154" s="202">
        <f t="shared" si="16"/>
        <v>446000</v>
      </c>
      <c r="G154" s="262">
        <f t="shared" si="17"/>
        <v>86800</v>
      </c>
      <c r="H154" s="242">
        <v>434000</v>
      </c>
      <c r="I154" s="261">
        <f t="shared" si="18"/>
        <v>520800</v>
      </c>
      <c r="J154" s="146">
        <v>184500</v>
      </c>
      <c r="K154" s="146">
        <v>207928.3346543494</v>
      </c>
      <c r="L154" s="146">
        <v>392428.33465434937</v>
      </c>
      <c r="M154" s="203">
        <f t="shared" si="19"/>
        <v>86800</v>
      </c>
      <c r="N154" s="203">
        <f t="shared" si="19"/>
        <v>207928.3346543494</v>
      </c>
      <c r="O154" s="203">
        <f t="shared" si="20"/>
        <v>294728.33465434937</v>
      </c>
      <c r="P154" s="301">
        <f t="shared" si="21"/>
        <v>80724</v>
      </c>
      <c r="Q154" s="301">
        <f t="shared" si="22"/>
        <v>193373.35122854493</v>
      </c>
      <c r="R154" s="300">
        <f t="shared" si="23"/>
        <v>274097.35122854495</v>
      </c>
    </row>
    <row r="155" spans="1:18" x14ac:dyDescent="0.25">
      <c r="A155" s="210">
        <v>144</v>
      </c>
      <c r="B155" s="211" t="s">
        <v>250</v>
      </c>
      <c r="C155" s="153" t="s">
        <v>153</v>
      </c>
      <c r="D155" s="200">
        <v>44000</v>
      </c>
      <c r="E155" s="173">
        <v>100000</v>
      </c>
      <c r="F155" s="202">
        <f t="shared" si="16"/>
        <v>144000</v>
      </c>
      <c r="G155" s="262">
        <f t="shared" si="17"/>
        <v>27800</v>
      </c>
      <c r="H155" s="242">
        <v>139000</v>
      </c>
      <c r="I155" s="261">
        <f t="shared" si="18"/>
        <v>166800</v>
      </c>
      <c r="J155" s="146">
        <v>184500</v>
      </c>
      <c r="K155" s="146">
        <v>356362.40920967999</v>
      </c>
      <c r="L155" s="146">
        <v>540862.40920968005</v>
      </c>
      <c r="M155" s="203">
        <f t="shared" si="19"/>
        <v>27800</v>
      </c>
      <c r="N155" s="203">
        <f t="shared" si="19"/>
        <v>100000</v>
      </c>
      <c r="O155" s="203">
        <f t="shared" si="20"/>
        <v>127800</v>
      </c>
      <c r="P155" s="301">
        <f t="shared" si="21"/>
        <v>25854</v>
      </c>
      <c r="Q155" s="301">
        <f t="shared" si="22"/>
        <v>93000</v>
      </c>
      <c r="R155" s="300">
        <f t="shared" si="23"/>
        <v>118854</v>
      </c>
    </row>
    <row r="156" spans="1:18" x14ac:dyDescent="0.25">
      <c r="A156" s="210">
        <v>145</v>
      </c>
      <c r="B156" s="158" t="s">
        <v>120</v>
      </c>
      <c r="C156" s="153" t="s">
        <v>153</v>
      </c>
      <c r="D156" s="200">
        <v>412000</v>
      </c>
      <c r="E156" s="173">
        <v>3030000</v>
      </c>
      <c r="F156" s="202">
        <f t="shared" si="16"/>
        <v>3442000</v>
      </c>
      <c r="G156" s="262">
        <f t="shared" si="17"/>
        <v>670000</v>
      </c>
      <c r="H156" s="242">
        <v>3350000</v>
      </c>
      <c r="I156" s="261">
        <f t="shared" si="18"/>
        <v>4020000</v>
      </c>
      <c r="J156" s="146">
        <v>104500</v>
      </c>
      <c r="K156" s="146">
        <v>242580.19178050669</v>
      </c>
      <c r="L156" s="146">
        <v>347080.19178050669</v>
      </c>
      <c r="M156" s="203">
        <f t="shared" si="19"/>
        <v>104500</v>
      </c>
      <c r="N156" s="203">
        <f t="shared" si="19"/>
        <v>242580.19178050669</v>
      </c>
      <c r="O156" s="203">
        <f t="shared" si="20"/>
        <v>347080.19178050669</v>
      </c>
      <c r="P156" s="301">
        <f t="shared" si="21"/>
        <v>97185</v>
      </c>
      <c r="Q156" s="301">
        <f t="shared" si="22"/>
        <v>225599.57835587123</v>
      </c>
      <c r="R156" s="300">
        <f t="shared" si="23"/>
        <v>322784.57835587126</v>
      </c>
    </row>
    <row r="157" spans="1:18" x14ac:dyDescent="0.25">
      <c r="A157" s="210">
        <v>146</v>
      </c>
      <c r="B157" s="158" t="s">
        <v>242</v>
      </c>
      <c r="C157" s="153" t="s">
        <v>153</v>
      </c>
      <c r="D157" s="200">
        <v>89000</v>
      </c>
      <c r="E157" s="173">
        <v>206000</v>
      </c>
      <c r="F157" s="202">
        <f t="shared" si="16"/>
        <v>295000</v>
      </c>
      <c r="G157" s="262">
        <f t="shared" si="17"/>
        <v>57400</v>
      </c>
      <c r="H157" s="242">
        <v>287000</v>
      </c>
      <c r="I157" s="261">
        <f t="shared" si="18"/>
        <v>344400</v>
      </c>
      <c r="J157" s="146">
        <v>84500</v>
      </c>
      <c r="K157" s="146">
        <v>88500</v>
      </c>
      <c r="L157" s="146">
        <v>173000</v>
      </c>
      <c r="M157" s="203">
        <f t="shared" si="19"/>
        <v>57400</v>
      </c>
      <c r="N157" s="203">
        <f t="shared" si="19"/>
        <v>88500</v>
      </c>
      <c r="O157" s="203">
        <f t="shared" si="20"/>
        <v>145900</v>
      </c>
      <c r="P157" s="301">
        <f t="shared" si="21"/>
        <v>53382</v>
      </c>
      <c r="Q157" s="301">
        <f t="shared" si="22"/>
        <v>82305</v>
      </c>
      <c r="R157" s="300">
        <f t="shared" si="23"/>
        <v>135687</v>
      </c>
    </row>
    <row r="158" spans="1:18" x14ac:dyDescent="0.25">
      <c r="A158" s="210">
        <v>147</v>
      </c>
      <c r="B158" s="166" t="s">
        <v>230</v>
      </c>
      <c r="C158" s="153" t="s">
        <v>153</v>
      </c>
      <c r="D158" s="200">
        <v>84000</v>
      </c>
      <c r="E158" s="173">
        <v>552000</v>
      </c>
      <c r="F158" s="202">
        <f t="shared" si="16"/>
        <v>636000</v>
      </c>
      <c r="G158" s="262">
        <f t="shared" si="17"/>
        <v>123800</v>
      </c>
      <c r="H158" s="242">
        <v>619000</v>
      </c>
      <c r="I158" s="261">
        <f t="shared" si="18"/>
        <v>742800</v>
      </c>
      <c r="J158" s="146">
        <v>364500</v>
      </c>
      <c r="K158" s="146">
        <v>4085315.9895021338</v>
      </c>
      <c r="L158" s="146">
        <v>4449815.9895021338</v>
      </c>
      <c r="M158" s="203">
        <f t="shared" si="19"/>
        <v>84000</v>
      </c>
      <c r="N158" s="203">
        <f t="shared" si="19"/>
        <v>552000</v>
      </c>
      <c r="O158" s="203">
        <f t="shared" si="20"/>
        <v>636000</v>
      </c>
      <c r="P158" s="301">
        <f t="shared" si="21"/>
        <v>78120</v>
      </c>
      <c r="Q158" s="301">
        <f t="shared" si="22"/>
        <v>513360</v>
      </c>
      <c r="R158" s="300">
        <f t="shared" si="23"/>
        <v>591480</v>
      </c>
    </row>
    <row r="159" spans="1:18" x14ac:dyDescent="0.25">
      <c r="A159" s="210">
        <v>148</v>
      </c>
      <c r="B159" s="166" t="s">
        <v>231</v>
      </c>
      <c r="C159" s="153" t="s">
        <v>153</v>
      </c>
      <c r="D159" s="200">
        <v>9000</v>
      </c>
      <c r="E159" s="173">
        <v>22000</v>
      </c>
      <c r="F159" s="202">
        <f t="shared" si="16"/>
        <v>31000</v>
      </c>
      <c r="G159" s="262">
        <f t="shared" si="17"/>
        <v>5800</v>
      </c>
      <c r="H159" s="242">
        <v>29000</v>
      </c>
      <c r="I159" s="261">
        <f t="shared" si="18"/>
        <v>34800</v>
      </c>
      <c r="J159" s="146">
        <v>74500</v>
      </c>
      <c r="K159" s="146">
        <v>519704.66573973332</v>
      </c>
      <c r="L159" s="146">
        <v>594204.66573973326</v>
      </c>
      <c r="M159" s="203">
        <f t="shared" si="19"/>
        <v>5800</v>
      </c>
      <c r="N159" s="203">
        <f t="shared" si="19"/>
        <v>22000</v>
      </c>
      <c r="O159" s="203">
        <f t="shared" si="20"/>
        <v>27800</v>
      </c>
      <c r="P159" s="301">
        <f t="shared" si="21"/>
        <v>5394</v>
      </c>
      <c r="Q159" s="301">
        <f t="shared" si="22"/>
        <v>20460</v>
      </c>
      <c r="R159" s="300">
        <f t="shared" si="23"/>
        <v>25854</v>
      </c>
    </row>
    <row r="160" spans="1:18" x14ac:dyDescent="0.25">
      <c r="A160" s="210">
        <v>149</v>
      </c>
      <c r="B160" s="152" t="s">
        <v>339</v>
      </c>
      <c r="C160" s="153" t="s">
        <v>153</v>
      </c>
      <c r="D160" s="200">
        <v>35000</v>
      </c>
      <c r="E160" s="173">
        <v>81000</v>
      </c>
      <c r="F160" s="202">
        <f t="shared" si="16"/>
        <v>116000</v>
      </c>
      <c r="G160" s="262">
        <f t="shared" si="17"/>
        <v>22400</v>
      </c>
      <c r="H160" s="242">
        <v>112000</v>
      </c>
      <c r="I160" s="261">
        <f t="shared" si="18"/>
        <v>134400</v>
      </c>
      <c r="J160" s="146">
        <v>34500</v>
      </c>
      <c r="K160" s="146">
        <v>17601.716409186673</v>
      </c>
      <c r="L160" s="146">
        <v>52101.716409186673</v>
      </c>
      <c r="M160" s="203">
        <f t="shared" si="19"/>
        <v>22400</v>
      </c>
      <c r="N160" s="203">
        <f t="shared" si="19"/>
        <v>17601.716409186673</v>
      </c>
      <c r="O160" s="203">
        <f t="shared" si="20"/>
        <v>40001.716409186673</v>
      </c>
      <c r="P160" s="301">
        <f t="shared" si="21"/>
        <v>20832</v>
      </c>
      <c r="Q160" s="301">
        <f t="shared" si="22"/>
        <v>16369.596260543605</v>
      </c>
      <c r="R160" s="300">
        <f t="shared" si="23"/>
        <v>37201.596260543607</v>
      </c>
    </row>
    <row r="161" spans="1:18" x14ac:dyDescent="0.25">
      <c r="A161" s="210">
        <v>150</v>
      </c>
      <c r="B161" s="152" t="s">
        <v>340</v>
      </c>
      <c r="C161" s="153" t="s">
        <v>153</v>
      </c>
      <c r="D161" s="200">
        <v>81000</v>
      </c>
      <c r="E161" s="173">
        <v>204000</v>
      </c>
      <c r="F161" s="202">
        <f t="shared" si="16"/>
        <v>285000</v>
      </c>
      <c r="G161" s="262">
        <f t="shared" si="17"/>
        <v>55200</v>
      </c>
      <c r="H161" s="242">
        <v>276000</v>
      </c>
      <c r="I161" s="261">
        <f t="shared" si="18"/>
        <v>331200</v>
      </c>
      <c r="J161" s="146">
        <v>134500</v>
      </c>
      <c r="K161" s="146">
        <v>59494.260099018662</v>
      </c>
      <c r="L161" s="146">
        <v>193994.26009901866</v>
      </c>
      <c r="M161" s="203">
        <f t="shared" si="19"/>
        <v>55200</v>
      </c>
      <c r="N161" s="203">
        <f t="shared" si="19"/>
        <v>59494.260099018662</v>
      </c>
      <c r="O161" s="203">
        <f t="shared" si="20"/>
        <v>114694.26009901866</v>
      </c>
      <c r="P161" s="301">
        <f t="shared" si="21"/>
        <v>51336</v>
      </c>
      <c r="Q161" s="301">
        <f t="shared" si="22"/>
        <v>55329.661892087359</v>
      </c>
      <c r="R161" s="300">
        <f t="shared" si="23"/>
        <v>106665.66189208736</v>
      </c>
    </row>
    <row r="162" spans="1:18" x14ac:dyDescent="0.25">
      <c r="A162" s="210">
        <v>151</v>
      </c>
      <c r="B162" s="152" t="s">
        <v>341</v>
      </c>
      <c r="C162" s="153" t="s">
        <v>153</v>
      </c>
      <c r="D162" s="200">
        <v>152000</v>
      </c>
      <c r="E162" s="173">
        <v>458000</v>
      </c>
      <c r="F162" s="202">
        <f t="shared" si="16"/>
        <v>610000</v>
      </c>
      <c r="G162" s="262">
        <f t="shared" si="17"/>
        <v>118600</v>
      </c>
      <c r="H162" s="242">
        <v>593000</v>
      </c>
      <c r="I162" s="261">
        <f t="shared" si="18"/>
        <v>711600</v>
      </c>
      <c r="J162" s="146">
        <v>104500</v>
      </c>
      <c r="K162" s="146">
        <v>317054.79062307981</v>
      </c>
      <c r="L162" s="146">
        <v>421554.79062307981</v>
      </c>
      <c r="M162" s="203">
        <f t="shared" si="19"/>
        <v>104500</v>
      </c>
      <c r="N162" s="203">
        <f t="shared" si="19"/>
        <v>317054.79062307981</v>
      </c>
      <c r="O162" s="203">
        <f t="shared" si="20"/>
        <v>421554.79062307981</v>
      </c>
      <c r="P162" s="301">
        <f t="shared" si="21"/>
        <v>97185</v>
      </c>
      <c r="Q162" s="301">
        <f t="shared" si="22"/>
        <v>294860.95527946425</v>
      </c>
      <c r="R162" s="300">
        <f t="shared" si="23"/>
        <v>392045.95527946425</v>
      </c>
    </row>
    <row r="163" spans="1:18" ht="22.5" x14ac:dyDescent="0.25">
      <c r="A163" s="210"/>
      <c r="B163" s="163" t="s">
        <v>44</v>
      </c>
      <c r="C163" s="153" t="s">
        <v>153</v>
      </c>
      <c r="D163" s="200">
        <v>0</v>
      </c>
      <c r="E163" s="173">
        <v>0</v>
      </c>
      <c r="F163" s="202">
        <f t="shared" si="16"/>
        <v>0</v>
      </c>
      <c r="G163" s="262">
        <f t="shared" si="17"/>
        <v>0</v>
      </c>
      <c r="H163" s="242">
        <v>0</v>
      </c>
      <c r="I163" s="261">
        <f t="shared" si="18"/>
        <v>0</v>
      </c>
      <c r="J163" s="146">
        <v>134500</v>
      </c>
      <c r="K163" s="146">
        <v>436322.34531613428</v>
      </c>
      <c r="L163" s="146">
        <v>570822.34531613428</v>
      </c>
      <c r="M163" s="203">
        <f t="shared" si="19"/>
        <v>0</v>
      </c>
      <c r="N163" s="203">
        <f t="shared" si="19"/>
        <v>0</v>
      </c>
      <c r="O163" s="203">
        <f t="shared" si="20"/>
        <v>0</v>
      </c>
      <c r="P163" s="301">
        <f t="shared" si="21"/>
        <v>0</v>
      </c>
      <c r="Q163" s="301">
        <f t="shared" si="22"/>
        <v>0</v>
      </c>
      <c r="R163" s="300">
        <f t="shared" si="23"/>
        <v>0</v>
      </c>
    </row>
    <row r="164" spans="1:18" x14ac:dyDescent="0.25">
      <c r="A164" s="210">
        <v>152</v>
      </c>
      <c r="B164" s="158" t="s">
        <v>86</v>
      </c>
      <c r="C164" s="153" t="s">
        <v>153</v>
      </c>
      <c r="D164" s="200">
        <v>27000</v>
      </c>
      <c r="E164" s="173">
        <v>62000</v>
      </c>
      <c r="F164" s="202">
        <f t="shared" si="16"/>
        <v>89000</v>
      </c>
      <c r="G164" s="262">
        <f t="shared" si="17"/>
        <v>17600</v>
      </c>
      <c r="H164" s="242">
        <v>88000</v>
      </c>
      <c r="I164" s="261">
        <f t="shared" si="18"/>
        <v>105600</v>
      </c>
      <c r="J164" s="146"/>
      <c r="K164" s="146"/>
      <c r="L164" s="146">
        <v>0</v>
      </c>
      <c r="M164" s="203">
        <f t="shared" si="19"/>
        <v>17600</v>
      </c>
      <c r="N164" s="203">
        <f t="shared" si="19"/>
        <v>62000</v>
      </c>
      <c r="O164" s="203">
        <f t="shared" si="20"/>
        <v>79600</v>
      </c>
      <c r="P164" s="301">
        <f t="shared" si="21"/>
        <v>16368</v>
      </c>
      <c r="Q164" s="301">
        <f t="shared" si="22"/>
        <v>57660</v>
      </c>
      <c r="R164" s="300">
        <f t="shared" si="23"/>
        <v>74028</v>
      </c>
    </row>
    <row r="165" spans="1:18" x14ac:dyDescent="0.25">
      <c r="A165" s="210">
        <v>153</v>
      </c>
      <c r="B165" s="166" t="s">
        <v>45</v>
      </c>
      <c r="C165" s="153" t="s">
        <v>153</v>
      </c>
      <c r="D165" s="200">
        <v>254000</v>
      </c>
      <c r="E165" s="173">
        <v>751000</v>
      </c>
      <c r="F165" s="202">
        <f t="shared" si="16"/>
        <v>1005000</v>
      </c>
      <c r="G165" s="262">
        <f t="shared" si="17"/>
        <v>195600</v>
      </c>
      <c r="H165" s="242">
        <v>978000</v>
      </c>
      <c r="I165" s="261">
        <f t="shared" si="18"/>
        <v>1173600</v>
      </c>
      <c r="J165" s="146">
        <v>164500</v>
      </c>
      <c r="K165" s="146">
        <v>46047.270766480004</v>
      </c>
      <c r="L165" s="146">
        <v>210547.27076648001</v>
      </c>
      <c r="M165" s="203">
        <f t="shared" si="19"/>
        <v>164500</v>
      </c>
      <c r="N165" s="203">
        <f t="shared" si="19"/>
        <v>46047.270766480004</v>
      </c>
      <c r="O165" s="203">
        <f t="shared" si="20"/>
        <v>210547.27076648001</v>
      </c>
      <c r="P165" s="301">
        <f t="shared" si="21"/>
        <v>152985</v>
      </c>
      <c r="Q165" s="301">
        <f t="shared" si="22"/>
        <v>42823.961812826405</v>
      </c>
      <c r="R165" s="300">
        <f t="shared" si="23"/>
        <v>195808.9618128264</v>
      </c>
    </row>
    <row r="166" spans="1:18" x14ac:dyDescent="0.25">
      <c r="A166" s="210">
        <v>154</v>
      </c>
      <c r="B166" s="164" t="s">
        <v>243</v>
      </c>
      <c r="C166" s="153" t="s">
        <v>153</v>
      </c>
      <c r="D166" s="200">
        <v>47000</v>
      </c>
      <c r="E166" s="173">
        <v>118000</v>
      </c>
      <c r="F166" s="202">
        <f t="shared" si="16"/>
        <v>165000</v>
      </c>
      <c r="G166" s="262">
        <f t="shared" si="17"/>
        <v>32000</v>
      </c>
      <c r="H166" s="242">
        <v>160000</v>
      </c>
      <c r="I166" s="261">
        <f t="shared" si="18"/>
        <v>192000</v>
      </c>
      <c r="J166" s="146">
        <v>224500</v>
      </c>
      <c r="K166" s="146">
        <v>555543.35273842211</v>
      </c>
      <c r="L166" s="146">
        <v>780043.35273842211</v>
      </c>
      <c r="M166" s="203">
        <f t="shared" si="19"/>
        <v>32000</v>
      </c>
      <c r="N166" s="203">
        <f t="shared" si="19"/>
        <v>118000</v>
      </c>
      <c r="O166" s="203">
        <f t="shared" si="20"/>
        <v>150000</v>
      </c>
      <c r="P166" s="301">
        <f t="shared" si="21"/>
        <v>29760</v>
      </c>
      <c r="Q166" s="301">
        <f t="shared" si="22"/>
        <v>109740</v>
      </c>
      <c r="R166" s="300">
        <f t="shared" si="23"/>
        <v>139500</v>
      </c>
    </row>
    <row r="167" spans="1:18" x14ac:dyDescent="0.25">
      <c r="A167" s="210">
        <v>155</v>
      </c>
      <c r="B167" s="166" t="s">
        <v>46</v>
      </c>
      <c r="C167" s="153" t="s">
        <v>153</v>
      </c>
      <c r="D167" s="200">
        <v>45000</v>
      </c>
      <c r="E167" s="173">
        <v>104000</v>
      </c>
      <c r="F167" s="202">
        <f t="shared" si="16"/>
        <v>149000</v>
      </c>
      <c r="G167" s="262">
        <f t="shared" si="17"/>
        <v>29200</v>
      </c>
      <c r="H167" s="242">
        <v>146000</v>
      </c>
      <c r="I167" s="261">
        <f t="shared" si="18"/>
        <v>175200</v>
      </c>
      <c r="J167" s="146">
        <v>297500</v>
      </c>
      <c r="K167" s="146">
        <v>388142.81692144298</v>
      </c>
      <c r="L167" s="146">
        <v>685642.81692144298</v>
      </c>
      <c r="M167" s="203">
        <f t="shared" si="19"/>
        <v>29200</v>
      </c>
      <c r="N167" s="203">
        <f t="shared" si="19"/>
        <v>104000</v>
      </c>
      <c r="O167" s="203">
        <f t="shared" si="20"/>
        <v>133200</v>
      </c>
      <c r="P167" s="301">
        <f t="shared" si="21"/>
        <v>27156</v>
      </c>
      <c r="Q167" s="301">
        <f t="shared" si="22"/>
        <v>96720</v>
      </c>
      <c r="R167" s="300">
        <f t="shared" si="23"/>
        <v>123876</v>
      </c>
    </row>
    <row r="168" spans="1:18" x14ac:dyDescent="0.25">
      <c r="A168" s="210">
        <v>156</v>
      </c>
      <c r="B168" s="158" t="s">
        <v>87</v>
      </c>
      <c r="C168" s="153" t="s">
        <v>153</v>
      </c>
      <c r="D168" s="200">
        <v>58000</v>
      </c>
      <c r="E168" s="173">
        <v>132000</v>
      </c>
      <c r="F168" s="202">
        <f t="shared" si="16"/>
        <v>190000</v>
      </c>
      <c r="G168" s="262">
        <f t="shared" si="17"/>
        <v>37000</v>
      </c>
      <c r="H168" s="242">
        <v>185000</v>
      </c>
      <c r="I168" s="261">
        <f t="shared" si="18"/>
        <v>222000</v>
      </c>
      <c r="J168" s="146">
        <v>199500</v>
      </c>
      <c r="K168" s="146">
        <v>77078.784610800009</v>
      </c>
      <c r="L168" s="146">
        <v>276578.78461079998</v>
      </c>
      <c r="M168" s="203">
        <f t="shared" si="19"/>
        <v>37000</v>
      </c>
      <c r="N168" s="203">
        <f t="shared" si="19"/>
        <v>77078.784610800009</v>
      </c>
      <c r="O168" s="203">
        <f t="shared" si="20"/>
        <v>114078.78461080001</v>
      </c>
      <c r="P168" s="301">
        <f t="shared" si="21"/>
        <v>34410</v>
      </c>
      <c r="Q168" s="301">
        <f t="shared" si="22"/>
        <v>71683.269688044005</v>
      </c>
      <c r="R168" s="300">
        <f t="shared" si="23"/>
        <v>106093.26968804401</v>
      </c>
    </row>
    <row r="169" spans="1:18" x14ac:dyDescent="0.25">
      <c r="A169" s="210">
        <v>157</v>
      </c>
      <c r="B169" s="152" t="s">
        <v>129</v>
      </c>
      <c r="C169" s="153" t="s">
        <v>153</v>
      </c>
      <c r="D169" s="200">
        <v>59000</v>
      </c>
      <c r="E169" s="173">
        <v>137000</v>
      </c>
      <c r="F169" s="202">
        <f t="shared" si="16"/>
        <v>196000</v>
      </c>
      <c r="G169" s="262">
        <f t="shared" si="17"/>
        <v>38200</v>
      </c>
      <c r="H169" s="242">
        <v>191000</v>
      </c>
      <c r="I169" s="261">
        <f t="shared" si="18"/>
        <v>229200</v>
      </c>
      <c r="J169" s="146">
        <v>124500</v>
      </c>
      <c r="K169" s="146">
        <v>97766.460507013355</v>
      </c>
      <c r="L169" s="146">
        <v>222266.46050701337</v>
      </c>
      <c r="M169" s="203">
        <f t="shared" si="19"/>
        <v>38200</v>
      </c>
      <c r="N169" s="203">
        <f t="shared" si="19"/>
        <v>97766.460507013355</v>
      </c>
      <c r="O169" s="203">
        <f t="shared" si="20"/>
        <v>135966.46050701337</v>
      </c>
      <c r="P169" s="301">
        <f t="shared" si="21"/>
        <v>35526</v>
      </c>
      <c r="Q169" s="301">
        <f t="shared" si="22"/>
        <v>90922.808271522415</v>
      </c>
      <c r="R169" s="300">
        <f t="shared" si="23"/>
        <v>126448.80827152242</v>
      </c>
    </row>
    <row r="170" spans="1:18" ht="22.5" x14ac:dyDescent="0.25">
      <c r="A170" s="210"/>
      <c r="B170" s="163" t="s">
        <v>59</v>
      </c>
      <c r="C170" s="153" t="s">
        <v>153</v>
      </c>
      <c r="D170" s="200">
        <v>0</v>
      </c>
      <c r="E170" s="173">
        <v>0</v>
      </c>
      <c r="F170" s="202">
        <f t="shared" si="16"/>
        <v>0</v>
      </c>
      <c r="G170" s="262">
        <f t="shared" si="17"/>
        <v>0</v>
      </c>
      <c r="H170" s="242">
        <v>0</v>
      </c>
      <c r="I170" s="261">
        <f t="shared" si="18"/>
        <v>0</v>
      </c>
      <c r="J170" s="146">
        <v>219500</v>
      </c>
      <c r="K170" s="146">
        <v>100929.66821457206</v>
      </c>
      <c r="L170" s="146">
        <v>320429.66821457207</v>
      </c>
      <c r="M170" s="203">
        <f t="shared" si="19"/>
        <v>0</v>
      </c>
      <c r="N170" s="203">
        <f t="shared" si="19"/>
        <v>0</v>
      </c>
      <c r="O170" s="203">
        <f t="shared" si="20"/>
        <v>0</v>
      </c>
      <c r="P170" s="301">
        <f t="shared" si="21"/>
        <v>0</v>
      </c>
      <c r="Q170" s="301">
        <f t="shared" si="22"/>
        <v>0</v>
      </c>
      <c r="R170" s="300">
        <f t="shared" si="23"/>
        <v>0</v>
      </c>
    </row>
    <row r="171" spans="1:18" x14ac:dyDescent="0.25">
      <c r="A171" s="210">
        <v>158</v>
      </c>
      <c r="B171" s="166" t="s">
        <v>60</v>
      </c>
      <c r="C171" s="153" t="s">
        <v>153</v>
      </c>
      <c r="D171" s="200">
        <v>61000</v>
      </c>
      <c r="E171" s="173">
        <v>131000</v>
      </c>
      <c r="F171" s="202">
        <f t="shared" si="16"/>
        <v>192000</v>
      </c>
      <c r="G171" s="262">
        <f t="shared" si="17"/>
        <v>50000</v>
      </c>
      <c r="H171" s="242">
        <v>250000</v>
      </c>
      <c r="I171" s="261">
        <f t="shared" si="18"/>
        <v>300000</v>
      </c>
      <c r="J171" s="146">
        <v>-500</v>
      </c>
      <c r="K171" s="146">
        <v>-500</v>
      </c>
      <c r="L171" s="146">
        <v>-1000</v>
      </c>
      <c r="M171" s="203">
        <f t="shared" si="19"/>
        <v>-500</v>
      </c>
      <c r="N171" s="203">
        <f t="shared" si="19"/>
        <v>-500</v>
      </c>
      <c r="O171" s="203">
        <f t="shared" si="20"/>
        <v>-1000</v>
      </c>
      <c r="P171" s="301">
        <f t="shared" si="21"/>
        <v>-465</v>
      </c>
      <c r="Q171" s="301">
        <f t="shared" si="22"/>
        <v>-465</v>
      </c>
      <c r="R171" s="300">
        <f t="shared" si="23"/>
        <v>-930</v>
      </c>
    </row>
    <row r="172" spans="1:18" x14ac:dyDescent="0.25">
      <c r="A172" s="210">
        <v>159</v>
      </c>
      <c r="B172" s="166" t="s">
        <v>131</v>
      </c>
      <c r="C172" s="153" t="s">
        <v>153</v>
      </c>
      <c r="D172" s="200">
        <v>17000</v>
      </c>
      <c r="E172" s="173">
        <v>38000</v>
      </c>
      <c r="F172" s="202">
        <f t="shared" si="16"/>
        <v>55000</v>
      </c>
      <c r="G172" s="262">
        <f t="shared" si="17"/>
        <v>10600</v>
      </c>
      <c r="H172" s="242">
        <v>53000</v>
      </c>
      <c r="I172" s="261">
        <f t="shared" si="18"/>
        <v>63600</v>
      </c>
      <c r="J172" s="146">
        <v>64500</v>
      </c>
      <c r="K172" s="146">
        <v>115993.70893013335</v>
      </c>
      <c r="L172" s="146">
        <v>180493.70893013335</v>
      </c>
      <c r="M172" s="203">
        <f t="shared" si="19"/>
        <v>10600</v>
      </c>
      <c r="N172" s="203">
        <f t="shared" si="19"/>
        <v>38000</v>
      </c>
      <c r="O172" s="203">
        <f t="shared" si="20"/>
        <v>48600</v>
      </c>
      <c r="P172" s="301">
        <f t="shared" si="21"/>
        <v>9858</v>
      </c>
      <c r="Q172" s="301">
        <f t="shared" si="22"/>
        <v>35340</v>
      </c>
      <c r="R172" s="300">
        <f t="shared" si="23"/>
        <v>45198</v>
      </c>
    </row>
    <row r="173" spans="1:18" x14ac:dyDescent="0.25">
      <c r="A173" s="210">
        <v>160</v>
      </c>
      <c r="B173" s="166" t="s">
        <v>244</v>
      </c>
      <c r="C173" s="153" t="s">
        <v>153</v>
      </c>
      <c r="D173" s="200">
        <v>18000</v>
      </c>
      <c r="E173" s="173">
        <v>58000</v>
      </c>
      <c r="F173" s="202">
        <f t="shared" si="16"/>
        <v>76000</v>
      </c>
      <c r="G173" s="262">
        <f t="shared" si="17"/>
        <v>14800</v>
      </c>
      <c r="H173" s="242">
        <v>74000</v>
      </c>
      <c r="I173" s="261">
        <f t="shared" si="18"/>
        <v>88800</v>
      </c>
      <c r="J173" s="146">
        <v>64500</v>
      </c>
      <c r="K173" s="146">
        <v>28111.055764463043</v>
      </c>
      <c r="L173" s="146">
        <v>92611.055764463046</v>
      </c>
      <c r="M173" s="203">
        <f t="shared" si="19"/>
        <v>14800</v>
      </c>
      <c r="N173" s="203">
        <f t="shared" si="19"/>
        <v>28111.055764463043</v>
      </c>
      <c r="O173" s="203">
        <f t="shared" si="20"/>
        <v>42911.055764463046</v>
      </c>
      <c r="P173" s="301">
        <f t="shared" si="21"/>
        <v>13764</v>
      </c>
      <c r="Q173" s="301">
        <f t="shared" si="22"/>
        <v>26143.281860950628</v>
      </c>
      <c r="R173" s="300">
        <f t="shared" si="23"/>
        <v>39907.281860950628</v>
      </c>
    </row>
    <row r="174" spans="1:18" x14ac:dyDescent="0.25">
      <c r="A174" s="210">
        <v>161</v>
      </c>
      <c r="B174" s="166" t="s">
        <v>61</v>
      </c>
      <c r="C174" s="153" t="s">
        <v>153</v>
      </c>
      <c r="D174" s="200">
        <v>18000</v>
      </c>
      <c r="E174" s="173">
        <v>46000</v>
      </c>
      <c r="F174" s="202">
        <f t="shared" si="16"/>
        <v>64000</v>
      </c>
      <c r="G174" s="262">
        <f t="shared" si="17"/>
        <v>12600</v>
      </c>
      <c r="H174" s="242">
        <v>63000</v>
      </c>
      <c r="I174" s="261">
        <f t="shared" si="18"/>
        <v>75600</v>
      </c>
      <c r="J174" s="146">
        <v>64500</v>
      </c>
      <c r="K174" s="146">
        <v>77211.185736535757</v>
      </c>
      <c r="L174" s="146">
        <v>141711.18573653576</v>
      </c>
      <c r="M174" s="203">
        <f t="shared" si="19"/>
        <v>12600</v>
      </c>
      <c r="N174" s="203">
        <f t="shared" si="19"/>
        <v>46000</v>
      </c>
      <c r="O174" s="203">
        <f t="shared" si="20"/>
        <v>58600</v>
      </c>
      <c r="P174" s="301">
        <f t="shared" si="21"/>
        <v>11718</v>
      </c>
      <c r="Q174" s="301">
        <f t="shared" si="22"/>
        <v>42780</v>
      </c>
      <c r="R174" s="300">
        <f t="shared" si="23"/>
        <v>54498</v>
      </c>
    </row>
    <row r="175" spans="1:18" x14ac:dyDescent="0.25">
      <c r="A175" s="210">
        <v>162</v>
      </c>
      <c r="B175" s="166" t="s">
        <v>118</v>
      </c>
      <c r="C175" s="153" t="s">
        <v>153</v>
      </c>
      <c r="D175" s="200">
        <v>62000</v>
      </c>
      <c r="E175" s="173">
        <v>157000</v>
      </c>
      <c r="F175" s="202">
        <f t="shared" si="16"/>
        <v>219000</v>
      </c>
      <c r="G175" s="262">
        <f t="shared" si="17"/>
        <v>42600</v>
      </c>
      <c r="H175" s="242">
        <v>213000</v>
      </c>
      <c r="I175" s="261">
        <f t="shared" si="18"/>
        <v>255600</v>
      </c>
      <c r="J175" s="146">
        <v>64500</v>
      </c>
      <c r="K175" s="146">
        <v>78893.093786897909</v>
      </c>
      <c r="L175" s="146">
        <v>143393.09378689789</v>
      </c>
      <c r="M175" s="203">
        <f t="shared" si="19"/>
        <v>42600</v>
      </c>
      <c r="N175" s="203">
        <f t="shared" si="19"/>
        <v>78893.093786897909</v>
      </c>
      <c r="O175" s="203">
        <f t="shared" si="20"/>
        <v>121493.09378689791</v>
      </c>
      <c r="P175" s="301">
        <f t="shared" si="21"/>
        <v>39618</v>
      </c>
      <c r="Q175" s="301">
        <f t="shared" si="22"/>
        <v>73370.577221815052</v>
      </c>
      <c r="R175" s="300">
        <f t="shared" si="23"/>
        <v>112988.57722181505</v>
      </c>
    </row>
    <row r="176" spans="1:18" x14ac:dyDescent="0.25">
      <c r="A176" s="210">
        <v>163</v>
      </c>
      <c r="B176" s="166" t="s">
        <v>247</v>
      </c>
      <c r="C176" s="153" t="s">
        <v>153</v>
      </c>
      <c r="D176" s="200">
        <v>7000</v>
      </c>
      <c r="E176" s="173">
        <v>15000</v>
      </c>
      <c r="F176" s="202">
        <f t="shared" si="16"/>
        <v>22000</v>
      </c>
      <c r="G176" s="262">
        <f t="shared" si="17"/>
        <v>10000</v>
      </c>
      <c r="H176" s="242">
        <v>50000</v>
      </c>
      <c r="I176" s="261">
        <f t="shared" si="18"/>
        <v>60000</v>
      </c>
      <c r="J176" s="146">
        <v>64500</v>
      </c>
      <c r="K176" s="146">
        <v>143420.02367477689</v>
      </c>
      <c r="L176" s="146">
        <v>207920.02367477689</v>
      </c>
      <c r="M176" s="203">
        <f t="shared" si="19"/>
        <v>7000</v>
      </c>
      <c r="N176" s="203">
        <f t="shared" si="19"/>
        <v>15000</v>
      </c>
      <c r="O176" s="203">
        <f t="shared" si="20"/>
        <v>22000</v>
      </c>
      <c r="P176" s="301">
        <f t="shared" si="21"/>
        <v>6510</v>
      </c>
      <c r="Q176" s="301">
        <f t="shared" si="22"/>
        <v>13950</v>
      </c>
      <c r="R176" s="300">
        <f t="shared" si="23"/>
        <v>20460</v>
      </c>
    </row>
    <row r="177" spans="1:18" x14ac:dyDescent="0.25">
      <c r="A177" s="210">
        <v>164</v>
      </c>
      <c r="B177" s="166" t="s">
        <v>248</v>
      </c>
      <c r="C177" s="153" t="s">
        <v>153</v>
      </c>
      <c r="D177" s="200">
        <v>13000</v>
      </c>
      <c r="E177" s="173">
        <v>29000</v>
      </c>
      <c r="F177" s="202">
        <f t="shared" si="16"/>
        <v>42000</v>
      </c>
      <c r="G177" s="262">
        <f t="shared" si="17"/>
        <v>16000</v>
      </c>
      <c r="H177" s="242">
        <v>80000</v>
      </c>
      <c r="I177" s="261">
        <f t="shared" si="18"/>
        <v>96000</v>
      </c>
      <c r="J177" s="146">
        <v>64500</v>
      </c>
      <c r="K177" s="146">
        <v>12850</v>
      </c>
      <c r="L177" s="146">
        <v>77350</v>
      </c>
      <c r="M177" s="203">
        <f t="shared" si="19"/>
        <v>13000</v>
      </c>
      <c r="N177" s="203">
        <f t="shared" si="19"/>
        <v>12850</v>
      </c>
      <c r="O177" s="203">
        <f t="shared" si="20"/>
        <v>25850</v>
      </c>
      <c r="P177" s="301">
        <f t="shared" si="21"/>
        <v>12090</v>
      </c>
      <c r="Q177" s="301">
        <f t="shared" si="22"/>
        <v>11950.5</v>
      </c>
      <c r="R177" s="300">
        <f t="shared" si="23"/>
        <v>24040.5</v>
      </c>
    </row>
    <row r="178" spans="1:18" x14ac:dyDescent="0.25">
      <c r="A178" s="210">
        <v>165</v>
      </c>
      <c r="B178" s="166" t="s">
        <v>249</v>
      </c>
      <c r="C178" s="153" t="s">
        <v>153</v>
      </c>
      <c r="D178" s="200">
        <v>11000</v>
      </c>
      <c r="E178" s="173">
        <v>26000</v>
      </c>
      <c r="F178" s="202">
        <f t="shared" si="16"/>
        <v>37000</v>
      </c>
      <c r="G178" s="262">
        <f t="shared" si="17"/>
        <v>7200</v>
      </c>
      <c r="H178" s="242">
        <v>36000</v>
      </c>
      <c r="I178" s="261">
        <f t="shared" si="18"/>
        <v>43200</v>
      </c>
      <c r="J178" s="146">
        <v>64500</v>
      </c>
      <c r="K178" s="146">
        <v>25750.362835213498</v>
      </c>
      <c r="L178" s="146">
        <v>90250.362835213498</v>
      </c>
      <c r="M178" s="203">
        <f t="shared" si="19"/>
        <v>7200</v>
      </c>
      <c r="N178" s="203">
        <f t="shared" si="19"/>
        <v>25750.362835213498</v>
      </c>
      <c r="O178" s="203">
        <f t="shared" si="20"/>
        <v>32950.362835213498</v>
      </c>
      <c r="P178" s="301">
        <f t="shared" si="21"/>
        <v>6696</v>
      </c>
      <c r="Q178" s="301">
        <f t="shared" si="22"/>
        <v>23947.837436748552</v>
      </c>
      <c r="R178" s="300">
        <f t="shared" si="23"/>
        <v>30643.837436748552</v>
      </c>
    </row>
    <row r="179" spans="1:18" ht="22.5" x14ac:dyDescent="0.25">
      <c r="A179" s="210"/>
      <c r="B179" s="165" t="s">
        <v>47</v>
      </c>
      <c r="C179" s="153" t="s">
        <v>153</v>
      </c>
      <c r="D179" s="200">
        <v>0</v>
      </c>
      <c r="E179" s="173">
        <v>0</v>
      </c>
      <c r="F179" s="202">
        <f t="shared" si="16"/>
        <v>0</v>
      </c>
      <c r="G179" s="262">
        <f t="shared" si="17"/>
        <v>0</v>
      </c>
      <c r="H179" s="242">
        <v>0</v>
      </c>
      <c r="I179" s="261">
        <f t="shared" si="18"/>
        <v>0</v>
      </c>
      <c r="J179" s="146">
        <v>64500</v>
      </c>
      <c r="K179" s="146">
        <v>23371.611791096668</v>
      </c>
      <c r="L179" s="146">
        <v>87871.611791096671</v>
      </c>
      <c r="M179" s="203">
        <f t="shared" si="19"/>
        <v>0</v>
      </c>
      <c r="N179" s="203">
        <f t="shared" si="19"/>
        <v>0</v>
      </c>
      <c r="O179" s="203">
        <f t="shared" si="20"/>
        <v>0</v>
      </c>
      <c r="P179" s="301">
        <f t="shared" si="21"/>
        <v>0</v>
      </c>
      <c r="Q179" s="301">
        <f t="shared" si="22"/>
        <v>0</v>
      </c>
      <c r="R179" s="300">
        <f t="shared" si="23"/>
        <v>0</v>
      </c>
    </row>
    <row r="180" spans="1:18" x14ac:dyDescent="0.25">
      <c r="A180" s="210">
        <v>166</v>
      </c>
      <c r="B180" s="166" t="s">
        <v>48</v>
      </c>
      <c r="C180" s="153" t="s">
        <v>153</v>
      </c>
      <c r="D180" s="200">
        <v>248000</v>
      </c>
      <c r="E180" s="173">
        <v>993000</v>
      </c>
      <c r="F180" s="202">
        <f t="shared" si="16"/>
        <v>1241000</v>
      </c>
      <c r="G180" s="262">
        <f t="shared" si="17"/>
        <v>241400</v>
      </c>
      <c r="H180" s="242">
        <v>1207000</v>
      </c>
      <c r="I180" s="261">
        <f t="shared" si="18"/>
        <v>1448400</v>
      </c>
      <c r="J180" s="146"/>
      <c r="K180" s="146"/>
      <c r="L180" s="146">
        <v>0</v>
      </c>
      <c r="M180" s="203">
        <f t="shared" si="19"/>
        <v>241400</v>
      </c>
      <c r="N180" s="203">
        <f t="shared" si="19"/>
        <v>993000</v>
      </c>
      <c r="O180" s="203">
        <f t="shared" si="20"/>
        <v>1234400</v>
      </c>
      <c r="P180" s="301">
        <f t="shared" si="21"/>
        <v>224502</v>
      </c>
      <c r="Q180" s="301">
        <f t="shared" si="22"/>
        <v>923490</v>
      </c>
      <c r="R180" s="300">
        <f t="shared" si="23"/>
        <v>1147992</v>
      </c>
    </row>
    <row r="181" spans="1:18" x14ac:dyDescent="0.25">
      <c r="A181" s="210">
        <v>167</v>
      </c>
      <c r="B181" s="166" t="s">
        <v>49</v>
      </c>
      <c r="C181" s="153" t="s">
        <v>153</v>
      </c>
      <c r="D181" s="200">
        <v>248000</v>
      </c>
      <c r="E181" s="173">
        <v>678000</v>
      </c>
      <c r="F181" s="202">
        <f t="shared" si="16"/>
        <v>926000</v>
      </c>
      <c r="G181" s="262">
        <f t="shared" si="17"/>
        <v>180200</v>
      </c>
      <c r="H181" s="242">
        <v>901000</v>
      </c>
      <c r="I181" s="261">
        <f t="shared" si="18"/>
        <v>1081200</v>
      </c>
      <c r="J181" s="146">
        <v>219500</v>
      </c>
      <c r="K181" s="146">
        <v>734530.02144107537</v>
      </c>
      <c r="L181" s="146">
        <v>954030.02144107537</v>
      </c>
      <c r="M181" s="203">
        <f t="shared" si="19"/>
        <v>180200</v>
      </c>
      <c r="N181" s="203">
        <f t="shared" si="19"/>
        <v>678000</v>
      </c>
      <c r="O181" s="203">
        <f t="shared" si="20"/>
        <v>858200</v>
      </c>
      <c r="P181" s="301">
        <f t="shared" si="21"/>
        <v>167586</v>
      </c>
      <c r="Q181" s="301">
        <f t="shared" si="22"/>
        <v>630540</v>
      </c>
      <c r="R181" s="300">
        <f t="shared" si="23"/>
        <v>798126</v>
      </c>
    </row>
    <row r="182" spans="1:18" x14ac:dyDescent="0.25">
      <c r="A182" s="210">
        <v>168</v>
      </c>
      <c r="B182" s="213" t="s">
        <v>379</v>
      </c>
      <c r="C182" s="153" t="s">
        <v>153</v>
      </c>
      <c r="D182" s="200">
        <v>144000</v>
      </c>
      <c r="E182" s="173">
        <v>331000</v>
      </c>
      <c r="F182" s="202">
        <f t="shared" si="16"/>
        <v>475000</v>
      </c>
      <c r="G182" s="262">
        <f t="shared" si="17"/>
        <v>92400</v>
      </c>
      <c r="H182" s="242">
        <v>462000</v>
      </c>
      <c r="I182" s="261">
        <f t="shared" si="18"/>
        <v>554400</v>
      </c>
      <c r="J182" s="146">
        <v>219500</v>
      </c>
      <c r="K182" s="146">
        <v>501796.77076005971</v>
      </c>
      <c r="L182" s="146">
        <v>721296.77076005971</v>
      </c>
      <c r="M182" s="203">
        <f t="shared" si="19"/>
        <v>92400</v>
      </c>
      <c r="N182" s="203">
        <f t="shared" si="19"/>
        <v>331000</v>
      </c>
      <c r="O182" s="203">
        <f t="shared" si="20"/>
        <v>423400</v>
      </c>
      <c r="P182" s="301">
        <f t="shared" si="21"/>
        <v>85932</v>
      </c>
      <c r="Q182" s="301">
        <f t="shared" si="22"/>
        <v>307830</v>
      </c>
      <c r="R182" s="300">
        <f t="shared" si="23"/>
        <v>393762</v>
      </c>
    </row>
    <row r="183" spans="1:18" x14ac:dyDescent="0.25">
      <c r="A183" s="210">
        <v>169</v>
      </c>
      <c r="B183" s="213" t="s">
        <v>148</v>
      </c>
      <c r="C183" s="153" t="s">
        <v>153</v>
      </c>
      <c r="D183" s="200">
        <v>136000</v>
      </c>
      <c r="E183" s="173">
        <v>314000</v>
      </c>
      <c r="F183" s="202">
        <f t="shared" si="16"/>
        <v>450000</v>
      </c>
      <c r="G183" s="262">
        <f t="shared" si="17"/>
        <v>87800</v>
      </c>
      <c r="H183" s="242">
        <v>439000</v>
      </c>
      <c r="I183" s="261">
        <f t="shared" si="18"/>
        <v>526800</v>
      </c>
      <c r="J183" s="146">
        <v>184500</v>
      </c>
      <c r="K183" s="146">
        <v>244672.75019740869</v>
      </c>
      <c r="L183" s="146">
        <v>429172.75019740872</v>
      </c>
      <c r="M183" s="203">
        <f t="shared" si="19"/>
        <v>87800</v>
      </c>
      <c r="N183" s="203">
        <f t="shared" si="19"/>
        <v>244672.75019740869</v>
      </c>
      <c r="O183" s="203">
        <f t="shared" si="20"/>
        <v>332472.75019740872</v>
      </c>
      <c r="P183" s="301">
        <f t="shared" si="21"/>
        <v>81654</v>
      </c>
      <c r="Q183" s="301">
        <f t="shared" si="22"/>
        <v>227545.65768359008</v>
      </c>
      <c r="R183" s="300">
        <f t="shared" si="23"/>
        <v>309199.65768359008</v>
      </c>
    </row>
    <row r="184" spans="1:18" x14ac:dyDescent="0.25">
      <c r="A184" s="210">
        <v>170</v>
      </c>
      <c r="B184" s="166" t="s">
        <v>322</v>
      </c>
      <c r="C184" s="153" t="s">
        <v>153</v>
      </c>
      <c r="D184" s="200">
        <v>21000</v>
      </c>
      <c r="E184" s="173">
        <v>48000</v>
      </c>
      <c r="F184" s="202">
        <f t="shared" si="16"/>
        <v>69000</v>
      </c>
      <c r="G184" s="262">
        <f t="shared" si="17"/>
        <v>13600</v>
      </c>
      <c r="H184" s="242">
        <v>68000</v>
      </c>
      <c r="I184" s="261">
        <f t="shared" si="18"/>
        <v>81600</v>
      </c>
      <c r="J184" s="146">
        <v>184500</v>
      </c>
      <c r="K184" s="146">
        <v>232257.04150829627</v>
      </c>
      <c r="L184" s="146">
        <v>416757.04150829627</v>
      </c>
      <c r="M184" s="203">
        <f t="shared" si="19"/>
        <v>13600</v>
      </c>
      <c r="N184" s="203">
        <f t="shared" si="19"/>
        <v>48000</v>
      </c>
      <c r="O184" s="203">
        <f t="shared" si="20"/>
        <v>61600</v>
      </c>
      <c r="P184" s="301">
        <f t="shared" si="21"/>
        <v>12648</v>
      </c>
      <c r="Q184" s="301">
        <f t="shared" si="22"/>
        <v>44640</v>
      </c>
      <c r="R184" s="300">
        <f t="shared" si="23"/>
        <v>57288</v>
      </c>
    </row>
    <row r="185" spans="1:18" x14ac:dyDescent="0.25">
      <c r="A185" s="210">
        <v>171</v>
      </c>
      <c r="B185" s="166" t="s">
        <v>50</v>
      </c>
      <c r="C185" s="153" t="s">
        <v>153</v>
      </c>
      <c r="D185" s="200">
        <v>31000</v>
      </c>
      <c r="E185" s="173">
        <v>78000</v>
      </c>
      <c r="F185" s="202">
        <f t="shared" si="16"/>
        <v>109000</v>
      </c>
      <c r="G185" s="262">
        <f t="shared" si="17"/>
        <v>21600</v>
      </c>
      <c r="H185" s="242">
        <v>108000</v>
      </c>
      <c r="I185" s="261">
        <f t="shared" si="18"/>
        <v>129600</v>
      </c>
      <c r="J185" s="146">
        <v>94500</v>
      </c>
      <c r="K185" s="146">
        <v>35703.432818373345</v>
      </c>
      <c r="L185" s="146">
        <v>130203.43281837335</v>
      </c>
      <c r="M185" s="203">
        <f t="shared" si="19"/>
        <v>21600</v>
      </c>
      <c r="N185" s="203">
        <f t="shared" si="19"/>
        <v>35703.432818373345</v>
      </c>
      <c r="O185" s="203">
        <f t="shared" si="20"/>
        <v>57303.432818373345</v>
      </c>
      <c r="P185" s="301">
        <f t="shared" si="21"/>
        <v>20088</v>
      </c>
      <c r="Q185" s="301">
        <f t="shared" si="22"/>
        <v>33204.192521087214</v>
      </c>
      <c r="R185" s="300">
        <f t="shared" si="23"/>
        <v>53292.192521087214</v>
      </c>
    </row>
    <row r="186" spans="1:18" x14ac:dyDescent="0.25">
      <c r="A186" s="210">
        <v>172</v>
      </c>
      <c r="B186" s="166" t="s">
        <v>51</v>
      </c>
      <c r="C186" s="153" t="s">
        <v>153</v>
      </c>
      <c r="D186" s="200">
        <v>39000</v>
      </c>
      <c r="E186" s="173">
        <v>98000</v>
      </c>
      <c r="F186" s="202">
        <f t="shared" si="16"/>
        <v>137000</v>
      </c>
      <c r="G186" s="262">
        <f t="shared" si="17"/>
        <v>18200</v>
      </c>
      <c r="H186" s="242">
        <v>91000</v>
      </c>
      <c r="I186" s="261">
        <f t="shared" si="18"/>
        <v>109200</v>
      </c>
      <c r="J186" s="146">
        <v>94500</v>
      </c>
      <c r="K186" s="146">
        <v>156726.33681122135</v>
      </c>
      <c r="L186" s="146">
        <v>251226.33681122135</v>
      </c>
      <c r="M186" s="203">
        <f t="shared" si="19"/>
        <v>18200</v>
      </c>
      <c r="N186" s="203">
        <f t="shared" si="19"/>
        <v>91000</v>
      </c>
      <c r="O186" s="203">
        <f t="shared" si="20"/>
        <v>109200</v>
      </c>
      <c r="P186" s="301">
        <f t="shared" si="21"/>
        <v>16926</v>
      </c>
      <c r="Q186" s="301">
        <f t="shared" si="22"/>
        <v>84630</v>
      </c>
      <c r="R186" s="300">
        <f t="shared" si="23"/>
        <v>101556</v>
      </c>
    </row>
    <row r="187" spans="1:18" x14ac:dyDescent="0.25">
      <c r="A187" s="210">
        <v>173</v>
      </c>
      <c r="B187" s="166" t="s">
        <v>52</v>
      </c>
      <c r="C187" s="153" t="s">
        <v>153</v>
      </c>
      <c r="D187" s="200">
        <v>114000</v>
      </c>
      <c r="E187" s="173">
        <v>288000</v>
      </c>
      <c r="F187" s="202">
        <f t="shared" si="16"/>
        <v>402000</v>
      </c>
      <c r="G187" s="262">
        <f t="shared" si="17"/>
        <v>78200</v>
      </c>
      <c r="H187" s="242">
        <v>391000</v>
      </c>
      <c r="I187" s="261">
        <f t="shared" si="18"/>
        <v>469200</v>
      </c>
      <c r="J187" s="146">
        <v>94500</v>
      </c>
      <c r="K187" s="146">
        <v>232236.35383240003</v>
      </c>
      <c r="L187" s="146">
        <v>326736.35383240005</v>
      </c>
      <c r="M187" s="203">
        <f t="shared" si="19"/>
        <v>78200</v>
      </c>
      <c r="N187" s="203">
        <f t="shared" si="19"/>
        <v>232236.35383240003</v>
      </c>
      <c r="O187" s="203">
        <f t="shared" si="20"/>
        <v>310436.35383240005</v>
      </c>
      <c r="P187" s="301">
        <f t="shared" si="21"/>
        <v>72726</v>
      </c>
      <c r="Q187" s="301">
        <f t="shared" si="22"/>
        <v>215979.80906413202</v>
      </c>
      <c r="R187" s="300">
        <f t="shared" si="23"/>
        <v>288705.80906413205</v>
      </c>
    </row>
    <row r="188" spans="1:18" x14ac:dyDescent="0.25">
      <c r="A188" s="210">
        <v>174</v>
      </c>
      <c r="B188" s="166" t="s">
        <v>53</v>
      </c>
      <c r="C188" s="153" t="s">
        <v>153</v>
      </c>
      <c r="D188" s="200">
        <v>118000</v>
      </c>
      <c r="E188" s="173">
        <v>327000</v>
      </c>
      <c r="F188" s="202">
        <f t="shared" si="16"/>
        <v>445000</v>
      </c>
      <c r="G188" s="262">
        <f t="shared" si="17"/>
        <v>48600</v>
      </c>
      <c r="H188" s="242">
        <v>243000</v>
      </c>
      <c r="I188" s="261">
        <f t="shared" si="18"/>
        <v>291600</v>
      </c>
      <c r="J188" s="146">
        <v>134500</v>
      </c>
      <c r="K188" s="146">
        <v>273611.70562482672</v>
      </c>
      <c r="L188" s="146">
        <v>408111.70562482672</v>
      </c>
      <c r="M188" s="203">
        <f t="shared" si="19"/>
        <v>48600</v>
      </c>
      <c r="N188" s="203">
        <f t="shared" si="19"/>
        <v>243000</v>
      </c>
      <c r="O188" s="203">
        <f t="shared" si="20"/>
        <v>291600</v>
      </c>
      <c r="P188" s="301">
        <f t="shared" si="21"/>
        <v>45198</v>
      </c>
      <c r="Q188" s="301">
        <f t="shared" si="22"/>
        <v>225990</v>
      </c>
      <c r="R188" s="300">
        <f t="shared" si="23"/>
        <v>271188</v>
      </c>
    </row>
    <row r="189" spans="1:18" x14ac:dyDescent="0.25">
      <c r="A189" s="210">
        <v>175</v>
      </c>
      <c r="B189" s="166" t="s">
        <v>54</v>
      </c>
      <c r="C189" s="153" t="s">
        <v>153</v>
      </c>
      <c r="D189" s="200">
        <v>150000</v>
      </c>
      <c r="E189" s="173">
        <v>379000</v>
      </c>
      <c r="F189" s="202">
        <f t="shared" si="16"/>
        <v>529000</v>
      </c>
      <c r="G189" s="262">
        <f t="shared" si="17"/>
        <v>103000</v>
      </c>
      <c r="H189" s="242">
        <v>515000</v>
      </c>
      <c r="I189" s="261">
        <f t="shared" si="18"/>
        <v>618000</v>
      </c>
      <c r="J189" s="146">
        <v>104500</v>
      </c>
      <c r="K189" s="146">
        <v>294299.38152103999</v>
      </c>
      <c r="L189" s="146">
        <v>398799.38152103999</v>
      </c>
      <c r="M189" s="203">
        <f t="shared" si="19"/>
        <v>103000</v>
      </c>
      <c r="N189" s="203">
        <f t="shared" si="19"/>
        <v>294299.38152103999</v>
      </c>
      <c r="O189" s="203">
        <f t="shared" si="20"/>
        <v>397299.38152103999</v>
      </c>
      <c r="P189" s="301">
        <f t="shared" si="21"/>
        <v>95790</v>
      </c>
      <c r="Q189" s="301">
        <f t="shared" si="22"/>
        <v>273698.4248145672</v>
      </c>
      <c r="R189" s="300">
        <f t="shared" si="23"/>
        <v>369488.4248145672</v>
      </c>
    </row>
    <row r="190" spans="1:18" x14ac:dyDescent="0.25">
      <c r="A190" s="210">
        <v>176</v>
      </c>
      <c r="B190" s="166" t="s">
        <v>251</v>
      </c>
      <c r="C190" s="153" t="s">
        <v>153</v>
      </c>
      <c r="D190" s="200">
        <v>225000</v>
      </c>
      <c r="E190" s="173">
        <v>834000</v>
      </c>
      <c r="F190" s="202">
        <f t="shared" si="16"/>
        <v>1059000</v>
      </c>
      <c r="G190" s="262">
        <f t="shared" si="17"/>
        <v>206200</v>
      </c>
      <c r="H190" s="242">
        <v>1031000</v>
      </c>
      <c r="I190" s="261">
        <f t="shared" si="18"/>
        <v>1237200</v>
      </c>
      <c r="J190" s="146">
        <v>224500</v>
      </c>
      <c r="K190" s="146">
        <v>377050.08510589332</v>
      </c>
      <c r="L190" s="146">
        <v>601550.08510589332</v>
      </c>
      <c r="M190" s="203">
        <f t="shared" si="19"/>
        <v>206200</v>
      </c>
      <c r="N190" s="203">
        <f t="shared" si="19"/>
        <v>377050.08510589332</v>
      </c>
      <c r="O190" s="203">
        <f t="shared" si="20"/>
        <v>583250.08510589332</v>
      </c>
      <c r="P190" s="301">
        <f t="shared" si="21"/>
        <v>191766</v>
      </c>
      <c r="Q190" s="301">
        <f t="shared" si="22"/>
        <v>350656.57914848079</v>
      </c>
      <c r="R190" s="300">
        <f t="shared" si="23"/>
        <v>542422.57914848079</v>
      </c>
    </row>
    <row r="191" spans="1:18" x14ac:dyDescent="0.25">
      <c r="A191" s="210">
        <v>177</v>
      </c>
      <c r="B191" s="166" t="s">
        <v>252</v>
      </c>
      <c r="C191" s="153" t="s">
        <v>153</v>
      </c>
      <c r="D191" s="200">
        <v>225000</v>
      </c>
      <c r="E191" s="173">
        <v>693000</v>
      </c>
      <c r="F191" s="202">
        <f t="shared" si="16"/>
        <v>918000</v>
      </c>
      <c r="G191" s="262">
        <f t="shared" si="17"/>
        <v>178800</v>
      </c>
      <c r="H191" s="242">
        <v>894000</v>
      </c>
      <c r="I191" s="261">
        <f t="shared" si="18"/>
        <v>1072800</v>
      </c>
      <c r="J191" s="146">
        <v>199500</v>
      </c>
      <c r="K191" s="146">
        <v>616820.24874300591</v>
      </c>
      <c r="L191" s="146">
        <v>816320.24874300591</v>
      </c>
      <c r="M191" s="203">
        <f t="shared" si="19"/>
        <v>178800</v>
      </c>
      <c r="N191" s="203">
        <f t="shared" si="19"/>
        <v>616820.24874300591</v>
      </c>
      <c r="O191" s="203">
        <f t="shared" si="20"/>
        <v>795620.24874300591</v>
      </c>
      <c r="P191" s="301">
        <f t="shared" si="21"/>
        <v>166284</v>
      </c>
      <c r="Q191" s="301">
        <f t="shared" si="22"/>
        <v>573642.83133099554</v>
      </c>
      <c r="R191" s="300">
        <f t="shared" si="23"/>
        <v>739926.83133099554</v>
      </c>
    </row>
    <row r="192" spans="1:18" x14ac:dyDescent="0.25">
      <c r="A192" s="210">
        <v>178</v>
      </c>
      <c r="B192" s="213" t="s">
        <v>58</v>
      </c>
      <c r="C192" s="153" t="s">
        <v>153</v>
      </c>
      <c r="D192" s="200">
        <v>126000</v>
      </c>
      <c r="E192" s="173">
        <v>291000</v>
      </c>
      <c r="F192" s="202">
        <f t="shared" si="16"/>
        <v>417000</v>
      </c>
      <c r="G192" s="262">
        <f t="shared" si="17"/>
        <v>81200</v>
      </c>
      <c r="H192" s="242">
        <v>406000</v>
      </c>
      <c r="I192" s="261">
        <f t="shared" si="18"/>
        <v>487200</v>
      </c>
      <c r="J192" s="146">
        <v>199500</v>
      </c>
      <c r="K192" s="146">
        <v>622500</v>
      </c>
      <c r="L192" s="146">
        <v>822000</v>
      </c>
      <c r="M192" s="203">
        <f t="shared" si="19"/>
        <v>81200</v>
      </c>
      <c r="N192" s="203">
        <f t="shared" si="19"/>
        <v>291000</v>
      </c>
      <c r="O192" s="203">
        <f t="shared" si="20"/>
        <v>372200</v>
      </c>
      <c r="P192" s="301">
        <f t="shared" si="21"/>
        <v>75516</v>
      </c>
      <c r="Q192" s="301">
        <f t="shared" si="22"/>
        <v>270630</v>
      </c>
      <c r="R192" s="300">
        <f t="shared" si="23"/>
        <v>346146</v>
      </c>
    </row>
    <row r="193" spans="1:18" x14ac:dyDescent="0.25">
      <c r="A193" s="210">
        <v>179</v>
      </c>
      <c r="B193" s="213" t="s">
        <v>136</v>
      </c>
      <c r="C193" s="153" t="s">
        <v>153</v>
      </c>
      <c r="D193" s="200">
        <v>1610000</v>
      </c>
      <c r="E193" s="173">
        <v>2944000</v>
      </c>
      <c r="F193" s="202">
        <f t="shared" si="16"/>
        <v>4554000</v>
      </c>
      <c r="G193" s="262">
        <f t="shared" si="17"/>
        <v>886800</v>
      </c>
      <c r="H193" s="242">
        <v>4434000</v>
      </c>
      <c r="I193" s="261">
        <f t="shared" si="18"/>
        <v>5320800</v>
      </c>
      <c r="J193" s="146">
        <v>422325</v>
      </c>
      <c r="K193" s="146">
        <v>258095.94870266668</v>
      </c>
      <c r="L193" s="146">
        <v>680420.94870266668</v>
      </c>
      <c r="M193" s="203">
        <f t="shared" si="19"/>
        <v>422325</v>
      </c>
      <c r="N193" s="203">
        <f t="shared" si="19"/>
        <v>258095.94870266668</v>
      </c>
      <c r="O193" s="203">
        <f t="shared" si="20"/>
        <v>680420.94870266668</v>
      </c>
      <c r="P193" s="301">
        <f t="shared" si="21"/>
        <v>392762.25</v>
      </c>
      <c r="Q193" s="301">
        <f t="shared" si="22"/>
        <v>240029.23229348002</v>
      </c>
      <c r="R193" s="300">
        <f t="shared" si="23"/>
        <v>632791.48229348008</v>
      </c>
    </row>
    <row r="194" spans="1:18" ht="22.5" x14ac:dyDescent="0.25">
      <c r="A194" s="210"/>
      <c r="B194" s="163" t="s">
        <v>98</v>
      </c>
      <c r="C194" s="153" t="s">
        <v>153</v>
      </c>
      <c r="D194" s="200">
        <v>0</v>
      </c>
      <c r="E194" s="173">
        <v>0</v>
      </c>
      <c r="F194" s="202">
        <f t="shared" si="16"/>
        <v>0</v>
      </c>
      <c r="G194" s="262">
        <f t="shared" si="17"/>
        <v>0</v>
      </c>
      <c r="H194" s="242">
        <v>0</v>
      </c>
      <c r="I194" s="261">
        <f t="shared" si="18"/>
        <v>0</v>
      </c>
      <c r="J194" s="146">
        <v>2907565</v>
      </c>
      <c r="K194" s="146">
        <v>4489166.3169748839</v>
      </c>
      <c r="L194" s="146">
        <v>7396731.3169748839</v>
      </c>
      <c r="M194" s="203">
        <f t="shared" si="19"/>
        <v>0</v>
      </c>
      <c r="N194" s="203">
        <f t="shared" si="19"/>
        <v>0</v>
      </c>
      <c r="O194" s="203">
        <f t="shared" si="20"/>
        <v>0</v>
      </c>
      <c r="P194" s="301">
        <f t="shared" si="21"/>
        <v>0</v>
      </c>
      <c r="Q194" s="301">
        <f t="shared" si="22"/>
        <v>0</v>
      </c>
      <c r="R194" s="300">
        <f t="shared" si="23"/>
        <v>0</v>
      </c>
    </row>
    <row r="195" spans="1:18" x14ac:dyDescent="0.25">
      <c r="A195" s="210">
        <v>180</v>
      </c>
      <c r="B195" s="166" t="s">
        <v>254</v>
      </c>
      <c r="C195" s="153" t="s">
        <v>153</v>
      </c>
      <c r="D195" s="200">
        <v>31000</v>
      </c>
      <c r="E195" s="173">
        <v>78000</v>
      </c>
      <c r="F195" s="202">
        <f t="shared" si="16"/>
        <v>109000</v>
      </c>
      <c r="G195" s="262">
        <f t="shared" si="17"/>
        <v>21200</v>
      </c>
      <c r="H195" s="242">
        <v>106000</v>
      </c>
      <c r="I195" s="261">
        <f t="shared" si="18"/>
        <v>127200</v>
      </c>
      <c r="J195" s="146"/>
      <c r="K195" s="146"/>
      <c r="L195" s="146">
        <v>0</v>
      </c>
      <c r="M195" s="203">
        <f t="shared" si="19"/>
        <v>21200</v>
      </c>
      <c r="N195" s="203">
        <f t="shared" si="19"/>
        <v>78000</v>
      </c>
      <c r="O195" s="203">
        <f t="shared" si="20"/>
        <v>99200</v>
      </c>
      <c r="P195" s="301">
        <f t="shared" si="21"/>
        <v>19716</v>
      </c>
      <c r="Q195" s="301">
        <f t="shared" si="22"/>
        <v>72540</v>
      </c>
      <c r="R195" s="300">
        <f t="shared" si="23"/>
        <v>92256</v>
      </c>
    </row>
    <row r="196" spans="1:18" x14ac:dyDescent="0.25">
      <c r="A196" s="210">
        <v>181</v>
      </c>
      <c r="B196" s="166" t="s">
        <v>255</v>
      </c>
      <c r="C196" s="153" t="s">
        <v>153</v>
      </c>
      <c r="D196" s="200">
        <v>138000</v>
      </c>
      <c r="E196" s="173">
        <v>737000</v>
      </c>
      <c r="F196" s="202">
        <f t="shared" si="16"/>
        <v>875000</v>
      </c>
      <c r="G196" s="262">
        <f t="shared" si="17"/>
        <v>170400</v>
      </c>
      <c r="H196" s="242">
        <v>852000</v>
      </c>
      <c r="I196" s="261">
        <f t="shared" si="18"/>
        <v>1022400</v>
      </c>
      <c r="J196" s="146">
        <v>44500</v>
      </c>
      <c r="K196" s="146">
        <v>66753.857632306695</v>
      </c>
      <c r="L196" s="146">
        <v>111253.8576323067</v>
      </c>
      <c r="M196" s="203">
        <f t="shared" si="19"/>
        <v>44500</v>
      </c>
      <c r="N196" s="203">
        <f t="shared" si="19"/>
        <v>66753.857632306695</v>
      </c>
      <c r="O196" s="203">
        <f t="shared" si="20"/>
        <v>111253.8576323067</v>
      </c>
      <c r="P196" s="301">
        <f t="shared" si="21"/>
        <v>41385</v>
      </c>
      <c r="Q196" s="301">
        <f t="shared" si="22"/>
        <v>62081.087598045226</v>
      </c>
      <c r="R196" s="300">
        <f t="shared" si="23"/>
        <v>103466.08759804523</v>
      </c>
    </row>
    <row r="197" spans="1:18" x14ac:dyDescent="0.25">
      <c r="A197" s="210">
        <v>182</v>
      </c>
      <c r="B197" s="166" t="s">
        <v>256</v>
      </c>
      <c r="C197" s="153" t="s">
        <v>153</v>
      </c>
      <c r="D197" s="200">
        <v>59000</v>
      </c>
      <c r="E197" s="173">
        <v>149000</v>
      </c>
      <c r="F197" s="202">
        <f t="shared" ref="F197:F215" si="24">(D197+E197)</f>
        <v>208000</v>
      </c>
      <c r="G197" s="262">
        <f t="shared" ref="G197:G215" si="25">+H197*20%</f>
        <v>40400</v>
      </c>
      <c r="H197" s="242">
        <v>202000</v>
      </c>
      <c r="I197" s="261">
        <f t="shared" ref="I197:I215" si="26">+H197+G197</f>
        <v>242400</v>
      </c>
      <c r="J197" s="146">
        <v>749500</v>
      </c>
      <c r="K197" s="146">
        <v>1334500</v>
      </c>
      <c r="L197" s="146">
        <v>2084000</v>
      </c>
      <c r="M197" s="203">
        <f t="shared" ref="M197:N215" si="27">MIN(D197,G197,J197)</f>
        <v>40400</v>
      </c>
      <c r="N197" s="203">
        <f t="shared" si="27"/>
        <v>149000</v>
      </c>
      <c r="O197" s="203">
        <f t="shared" ref="O197:O215" si="28">(M197+N197)</f>
        <v>189400</v>
      </c>
      <c r="P197" s="301">
        <f t="shared" ref="P197:P216" si="29">M197-(M197*7%)</f>
        <v>37572</v>
      </c>
      <c r="Q197" s="301">
        <f t="shared" ref="Q197:Q216" si="30">N197-(N197*7%)</f>
        <v>138570</v>
      </c>
      <c r="R197" s="300">
        <f t="shared" ref="R197:R216" si="31">Q197+P197</f>
        <v>176142</v>
      </c>
    </row>
    <row r="198" spans="1:18" x14ac:dyDescent="0.25">
      <c r="A198" s="210">
        <v>183</v>
      </c>
      <c r="B198" s="158" t="s">
        <v>69</v>
      </c>
      <c r="C198" s="153" t="s">
        <v>153</v>
      </c>
      <c r="D198" s="200">
        <v>58000</v>
      </c>
      <c r="E198" s="173">
        <v>132000</v>
      </c>
      <c r="F198" s="202">
        <f t="shared" si="24"/>
        <v>190000</v>
      </c>
      <c r="G198" s="262">
        <f t="shared" si="25"/>
        <v>37000</v>
      </c>
      <c r="H198" s="242">
        <v>185000</v>
      </c>
      <c r="I198" s="261">
        <f t="shared" si="26"/>
        <v>222000</v>
      </c>
      <c r="J198" s="146">
        <v>649500</v>
      </c>
      <c r="K198" s="146">
        <v>311000</v>
      </c>
      <c r="L198" s="146">
        <v>960500</v>
      </c>
      <c r="M198" s="203">
        <f t="shared" si="27"/>
        <v>37000</v>
      </c>
      <c r="N198" s="203">
        <f t="shared" si="27"/>
        <v>132000</v>
      </c>
      <c r="O198" s="203">
        <f t="shared" si="28"/>
        <v>169000</v>
      </c>
      <c r="P198" s="301">
        <f t="shared" si="29"/>
        <v>34410</v>
      </c>
      <c r="Q198" s="301">
        <f t="shared" si="30"/>
        <v>122760</v>
      </c>
      <c r="R198" s="300">
        <f t="shared" si="31"/>
        <v>157170</v>
      </c>
    </row>
    <row r="199" spans="1:18" x14ac:dyDescent="0.25">
      <c r="A199" s="210">
        <v>184</v>
      </c>
      <c r="B199" s="158" t="s">
        <v>70</v>
      </c>
      <c r="C199" s="153" t="s">
        <v>153</v>
      </c>
      <c r="D199" s="200">
        <v>181000</v>
      </c>
      <c r="E199" s="173">
        <v>458000</v>
      </c>
      <c r="F199" s="202">
        <f t="shared" si="24"/>
        <v>639000</v>
      </c>
      <c r="G199" s="262">
        <f t="shared" si="25"/>
        <v>124200</v>
      </c>
      <c r="H199" s="242">
        <v>621000</v>
      </c>
      <c r="I199" s="261">
        <f t="shared" si="26"/>
        <v>745200</v>
      </c>
      <c r="J199" s="146">
        <v>119500</v>
      </c>
      <c r="K199" s="146">
        <v>97766.460507013355</v>
      </c>
      <c r="L199" s="146">
        <v>217266.46050701337</v>
      </c>
      <c r="M199" s="203">
        <f t="shared" si="27"/>
        <v>119500</v>
      </c>
      <c r="N199" s="203">
        <f t="shared" si="27"/>
        <v>97766.460507013355</v>
      </c>
      <c r="O199" s="203">
        <f t="shared" si="28"/>
        <v>217266.46050701337</v>
      </c>
      <c r="P199" s="301">
        <f t="shared" si="29"/>
        <v>111135</v>
      </c>
      <c r="Q199" s="301">
        <f t="shared" si="30"/>
        <v>90922.808271522415</v>
      </c>
      <c r="R199" s="300">
        <f t="shared" si="31"/>
        <v>202057.8082715224</v>
      </c>
    </row>
    <row r="200" spans="1:18" x14ac:dyDescent="0.25">
      <c r="A200" s="210">
        <v>185</v>
      </c>
      <c r="B200" s="158" t="s">
        <v>1</v>
      </c>
      <c r="C200" s="153" t="s">
        <v>153</v>
      </c>
      <c r="D200" s="200">
        <v>93000</v>
      </c>
      <c r="E200" s="173">
        <v>235000</v>
      </c>
      <c r="F200" s="202">
        <f t="shared" si="24"/>
        <v>328000</v>
      </c>
      <c r="G200" s="262">
        <f t="shared" si="25"/>
        <v>64000</v>
      </c>
      <c r="H200" s="242">
        <v>320000</v>
      </c>
      <c r="I200" s="261">
        <f t="shared" si="26"/>
        <v>384000</v>
      </c>
      <c r="J200" s="146">
        <v>249500</v>
      </c>
      <c r="K200" s="146">
        <v>671849.46662693331</v>
      </c>
      <c r="L200" s="146">
        <v>921349.46662693331</v>
      </c>
      <c r="M200" s="203">
        <f t="shared" si="27"/>
        <v>64000</v>
      </c>
      <c r="N200" s="203">
        <f t="shared" si="27"/>
        <v>235000</v>
      </c>
      <c r="O200" s="203">
        <f t="shared" si="28"/>
        <v>299000</v>
      </c>
      <c r="P200" s="301">
        <f t="shared" si="29"/>
        <v>59520</v>
      </c>
      <c r="Q200" s="301">
        <f t="shared" si="30"/>
        <v>218550</v>
      </c>
      <c r="R200" s="300">
        <f t="shared" si="31"/>
        <v>278070</v>
      </c>
    </row>
    <row r="201" spans="1:18" x14ac:dyDescent="0.25">
      <c r="A201" s="210">
        <v>186</v>
      </c>
      <c r="B201" s="166" t="s">
        <v>56</v>
      </c>
      <c r="C201" s="153" t="s">
        <v>153</v>
      </c>
      <c r="D201" s="200">
        <v>33000</v>
      </c>
      <c r="E201" s="173">
        <v>83000</v>
      </c>
      <c r="F201" s="202">
        <f t="shared" si="24"/>
        <v>116000</v>
      </c>
      <c r="G201" s="262">
        <f t="shared" si="25"/>
        <v>22400</v>
      </c>
      <c r="H201" s="242">
        <v>112000</v>
      </c>
      <c r="I201" s="261">
        <f t="shared" si="26"/>
        <v>134400</v>
      </c>
      <c r="J201" s="146">
        <v>134500</v>
      </c>
      <c r="K201" s="146">
        <v>185689.08306592001</v>
      </c>
      <c r="L201" s="146">
        <v>320189.08306592004</v>
      </c>
      <c r="M201" s="203">
        <f t="shared" si="27"/>
        <v>22400</v>
      </c>
      <c r="N201" s="203">
        <f t="shared" si="27"/>
        <v>83000</v>
      </c>
      <c r="O201" s="203">
        <f t="shared" si="28"/>
        <v>105400</v>
      </c>
      <c r="P201" s="301">
        <f t="shared" si="29"/>
        <v>20832</v>
      </c>
      <c r="Q201" s="301">
        <f t="shared" si="30"/>
        <v>77190</v>
      </c>
      <c r="R201" s="300">
        <f t="shared" si="31"/>
        <v>98022</v>
      </c>
    </row>
    <row r="202" spans="1:18" x14ac:dyDescent="0.25">
      <c r="A202" s="210">
        <v>187</v>
      </c>
      <c r="B202" s="166" t="s">
        <v>57</v>
      </c>
      <c r="C202" s="153" t="s">
        <v>153</v>
      </c>
      <c r="D202" s="200">
        <v>13000</v>
      </c>
      <c r="E202" s="173">
        <v>32000</v>
      </c>
      <c r="F202" s="202">
        <f t="shared" si="24"/>
        <v>45000</v>
      </c>
      <c r="G202" s="262">
        <f t="shared" si="25"/>
        <v>8600</v>
      </c>
      <c r="H202" s="242">
        <v>43000</v>
      </c>
      <c r="I202" s="261">
        <f t="shared" si="26"/>
        <v>51600</v>
      </c>
      <c r="J202" s="146">
        <v>59500</v>
      </c>
      <c r="K202" s="146">
        <v>125032.01393333334</v>
      </c>
      <c r="L202" s="146">
        <v>184532.01393333334</v>
      </c>
      <c r="M202" s="203">
        <f t="shared" si="27"/>
        <v>8600</v>
      </c>
      <c r="N202" s="203">
        <f t="shared" si="27"/>
        <v>32000</v>
      </c>
      <c r="O202" s="203">
        <f t="shared" si="28"/>
        <v>40600</v>
      </c>
      <c r="P202" s="301">
        <f t="shared" si="29"/>
        <v>7998</v>
      </c>
      <c r="Q202" s="301">
        <f t="shared" si="30"/>
        <v>29760</v>
      </c>
      <c r="R202" s="300">
        <f t="shared" si="31"/>
        <v>37758</v>
      </c>
    </row>
    <row r="203" spans="1:18" x14ac:dyDescent="0.25">
      <c r="A203" s="210">
        <v>188</v>
      </c>
      <c r="B203" s="166" t="s">
        <v>257</v>
      </c>
      <c r="C203" s="153" t="s">
        <v>153</v>
      </c>
      <c r="D203" s="200">
        <v>52000</v>
      </c>
      <c r="E203" s="173">
        <v>131000</v>
      </c>
      <c r="F203" s="202">
        <f t="shared" si="24"/>
        <v>183000</v>
      </c>
      <c r="G203" s="262">
        <f t="shared" si="25"/>
        <v>35400</v>
      </c>
      <c r="H203" s="242">
        <v>177000</v>
      </c>
      <c r="I203" s="261">
        <f t="shared" si="26"/>
        <v>212400</v>
      </c>
      <c r="J203" s="146">
        <v>34500</v>
      </c>
      <c r="K203" s="146">
        <v>64776.647245333341</v>
      </c>
      <c r="L203" s="146">
        <v>99276.647245333341</v>
      </c>
      <c r="M203" s="203">
        <f t="shared" si="27"/>
        <v>34500</v>
      </c>
      <c r="N203" s="203">
        <f t="shared" si="27"/>
        <v>64776.647245333341</v>
      </c>
      <c r="O203" s="203">
        <f t="shared" si="28"/>
        <v>99276.647245333341</v>
      </c>
      <c r="P203" s="301">
        <f t="shared" si="29"/>
        <v>32085</v>
      </c>
      <c r="Q203" s="301">
        <f t="shared" si="30"/>
        <v>60242.281938160006</v>
      </c>
      <c r="R203" s="300">
        <f t="shared" si="31"/>
        <v>92327.281938160013</v>
      </c>
    </row>
    <row r="204" spans="1:18" x14ac:dyDescent="0.25">
      <c r="A204" s="210">
        <v>189</v>
      </c>
      <c r="B204" s="166" t="s">
        <v>258</v>
      </c>
      <c r="C204" s="153" t="s">
        <v>153</v>
      </c>
      <c r="D204" s="200">
        <v>31000</v>
      </c>
      <c r="E204" s="173">
        <v>78000</v>
      </c>
      <c r="F204" s="202">
        <f t="shared" si="24"/>
        <v>109000</v>
      </c>
      <c r="G204" s="262">
        <f t="shared" si="25"/>
        <v>21200</v>
      </c>
      <c r="H204" s="242">
        <v>106000</v>
      </c>
      <c r="I204" s="261">
        <f t="shared" si="26"/>
        <v>127200</v>
      </c>
      <c r="J204" s="146">
        <v>119500</v>
      </c>
      <c r="K204" s="146">
        <v>185287.38062133332</v>
      </c>
      <c r="L204" s="146">
        <v>304787.38062133332</v>
      </c>
      <c r="M204" s="203">
        <f t="shared" si="27"/>
        <v>21200</v>
      </c>
      <c r="N204" s="203">
        <f t="shared" si="27"/>
        <v>78000</v>
      </c>
      <c r="O204" s="203">
        <f t="shared" si="28"/>
        <v>99200</v>
      </c>
      <c r="P204" s="301">
        <f t="shared" si="29"/>
        <v>19716</v>
      </c>
      <c r="Q204" s="301">
        <f t="shared" si="30"/>
        <v>72540</v>
      </c>
      <c r="R204" s="300">
        <f t="shared" si="31"/>
        <v>92256</v>
      </c>
    </row>
    <row r="205" spans="1:18" x14ac:dyDescent="0.25">
      <c r="A205" s="210">
        <v>190</v>
      </c>
      <c r="B205" s="166" t="s">
        <v>259</v>
      </c>
      <c r="C205" s="153" t="s">
        <v>153</v>
      </c>
      <c r="D205" s="200">
        <v>8000</v>
      </c>
      <c r="E205" s="173">
        <v>20000</v>
      </c>
      <c r="F205" s="202">
        <f t="shared" si="24"/>
        <v>28000</v>
      </c>
      <c r="G205" s="262">
        <f t="shared" si="25"/>
        <v>5400</v>
      </c>
      <c r="H205" s="242">
        <v>27000</v>
      </c>
      <c r="I205" s="261">
        <f t="shared" si="26"/>
        <v>32400</v>
      </c>
      <c r="J205" s="146">
        <v>75500</v>
      </c>
      <c r="K205" s="146">
        <v>123626.05537728002</v>
      </c>
      <c r="L205" s="146">
        <v>199126.05537728002</v>
      </c>
      <c r="M205" s="203">
        <f t="shared" si="27"/>
        <v>5400</v>
      </c>
      <c r="N205" s="203">
        <f t="shared" si="27"/>
        <v>20000</v>
      </c>
      <c r="O205" s="203">
        <f t="shared" si="28"/>
        <v>25400</v>
      </c>
      <c r="P205" s="301">
        <f t="shared" si="29"/>
        <v>5022</v>
      </c>
      <c r="Q205" s="301">
        <f t="shared" si="30"/>
        <v>18600</v>
      </c>
      <c r="R205" s="300">
        <f t="shared" si="31"/>
        <v>23622</v>
      </c>
    </row>
    <row r="206" spans="1:18" x14ac:dyDescent="0.25">
      <c r="A206" s="210">
        <v>191</v>
      </c>
      <c r="B206" s="152" t="s">
        <v>260</v>
      </c>
      <c r="C206" s="153" t="s">
        <v>153</v>
      </c>
      <c r="D206" s="200">
        <v>13000</v>
      </c>
      <c r="E206" s="173">
        <v>32000</v>
      </c>
      <c r="F206" s="202">
        <f t="shared" si="24"/>
        <v>45000</v>
      </c>
      <c r="G206" s="262">
        <f t="shared" si="25"/>
        <v>8800</v>
      </c>
      <c r="H206" s="242">
        <v>44000</v>
      </c>
      <c r="I206" s="261">
        <f t="shared" si="26"/>
        <v>52800</v>
      </c>
      <c r="J206" s="146">
        <v>67500</v>
      </c>
      <c r="K206" s="146">
        <v>61800</v>
      </c>
      <c r="L206" s="146">
        <v>129300</v>
      </c>
      <c r="M206" s="203">
        <f t="shared" si="27"/>
        <v>8800</v>
      </c>
      <c r="N206" s="203">
        <f t="shared" si="27"/>
        <v>32000</v>
      </c>
      <c r="O206" s="203">
        <f t="shared" si="28"/>
        <v>40800</v>
      </c>
      <c r="P206" s="301">
        <f t="shared" si="29"/>
        <v>8184</v>
      </c>
      <c r="Q206" s="301">
        <f t="shared" si="30"/>
        <v>29760</v>
      </c>
      <c r="R206" s="300">
        <f t="shared" si="31"/>
        <v>37944</v>
      </c>
    </row>
    <row r="207" spans="1:18" x14ac:dyDescent="0.25">
      <c r="A207" s="210">
        <v>192</v>
      </c>
      <c r="B207" s="167" t="s">
        <v>261</v>
      </c>
      <c r="C207" s="153" t="s">
        <v>153</v>
      </c>
      <c r="D207" s="200">
        <v>117000</v>
      </c>
      <c r="E207" s="173">
        <v>293000</v>
      </c>
      <c r="F207" s="202">
        <f t="shared" si="24"/>
        <v>410000</v>
      </c>
      <c r="G207" s="262">
        <f t="shared" si="25"/>
        <v>79800</v>
      </c>
      <c r="H207" s="242">
        <v>399000</v>
      </c>
      <c r="I207" s="261">
        <f t="shared" si="26"/>
        <v>478800</v>
      </c>
      <c r="J207" s="146">
        <v>64500</v>
      </c>
      <c r="K207" s="146">
        <v>66738.46662693363</v>
      </c>
      <c r="L207" s="146">
        <v>131238.46662693363</v>
      </c>
      <c r="M207" s="203">
        <f t="shared" si="27"/>
        <v>64500</v>
      </c>
      <c r="N207" s="203">
        <f t="shared" si="27"/>
        <v>66738.46662693363</v>
      </c>
      <c r="O207" s="203">
        <f t="shared" si="28"/>
        <v>131238.46662693363</v>
      </c>
      <c r="P207" s="301">
        <f t="shared" si="29"/>
        <v>59985</v>
      </c>
      <c r="Q207" s="301">
        <f t="shared" si="30"/>
        <v>62066.773963048276</v>
      </c>
      <c r="R207" s="300">
        <f t="shared" si="31"/>
        <v>122051.77396304827</v>
      </c>
    </row>
    <row r="208" spans="1:18" x14ac:dyDescent="0.25">
      <c r="A208" s="210">
        <v>193</v>
      </c>
      <c r="B208" s="152" t="s">
        <v>562</v>
      </c>
      <c r="C208" s="153" t="s">
        <v>153</v>
      </c>
      <c r="D208" s="200">
        <v>37000</v>
      </c>
      <c r="E208" s="173">
        <v>238000</v>
      </c>
      <c r="F208" s="202">
        <f t="shared" si="24"/>
        <v>275000</v>
      </c>
      <c r="G208" s="262">
        <f t="shared" si="25"/>
        <v>53600</v>
      </c>
      <c r="H208" s="242">
        <v>268000</v>
      </c>
      <c r="I208" s="261">
        <f t="shared" si="26"/>
        <v>321600</v>
      </c>
      <c r="J208" s="146">
        <v>247224</v>
      </c>
      <c r="K208" s="146">
        <v>275670.43065333337</v>
      </c>
      <c r="L208" s="146">
        <v>522894.43065333337</v>
      </c>
      <c r="M208" s="203">
        <f t="shared" si="27"/>
        <v>37000</v>
      </c>
      <c r="N208" s="203">
        <f t="shared" si="27"/>
        <v>238000</v>
      </c>
      <c r="O208" s="203">
        <f t="shared" si="28"/>
        <v>275000</v>
      </c>
      <c r="P208" s="301">
        <f t="shared" si="29"/>
        <v>34410</v>
      </c>
      <c r="Q208" s="301">
        <f t="shared" si="30"/>
        <v>221340</v>
      </c>
      <c r="R208" s="300">
        <f t="shared" si="31"/>
        <v>255750</v>
      </c>
    </row>
    <row r="209" spans="1:18" x14ac:dyDescent="0.25">
      <c r="A209" s="210">
        <v>194</v>
      </c>
      <c r="B209" s="152" t="s">
        <v>565</v>
      </c>
      <c r="C209" s="153" t="s">
        <v>153</v>
      </c>
      <c r="D209" s="200">
        <v>54000</v>
      </c>
      <c r="E209" s="173">
        <v>299000</v>
      </c>
      <c r="F209" s="202">
        <f t="shared" si="24"/>
        <v>353000</v>
      </c>
      <c r="G209" s="262">
        <f t="shared" si="25"/>
        <v>68600</v>
      </c>
      <c r="H209" s="242">
        <v>343000</v>
      </c>
      <c r="I209" s="261">
        <f t="shared" si="26"/>
        <v>411600</v>
      </c>
      <c r="J209" s="146">
        <v>47500</v>
      </c>
      <c r="K209" s="146">
        <v>393150</v>
      </c>
      <c r="L209" s="146">
        <v>440650</v>
      </c>
      <c r="M209" s="203">
        <f t="shared" si="27"/>
        <v>47500</v>
      </c>
      <c r="N209" s="203">
        <f t="shared" si="27"/>
        <v>299000</v>
      </c>
      <c r="O209" s="203">
        <f t="shared" si="28"/>
        <v>346500</v>
      </c>
      <c r="P209" s="301">
        <f t="shared" si="29"/>
        <v>44175</v>
      </c>
      <c r="Q209" s="301">
        <f t="shared" si="30"/>
        <v>278070</v>
      </c>
      <c r="R209" s="300">
        <f t="shared" si="31"/>
        <v>322245</v>
      </c>
    </row>
    <row r="210" spans="1:18" ht="22.5" x14ac:dyDescent="0.25">
      <c r="A210" s="214"/>
      <c r="B210" s="163" t="s">
        <v>62</v>
      </c>
      <c r="C210" s="153" t="s">
        <v>153</v>
      </c>
      <c r="D210" s="200">
        <v>0</v>
      </c>
      <c r="E210" s="173">
        <v>0</v>
      </c>
      <c r="F210" s="202">
        <f t="shared" si="24"/>
        <v>0</v>
      </c>
      <c r="G210" s="262">
        <f t="shared" si="25"/>
        <v>0</v>
      </c>
      <c r="H210" s="242">
        <v>0</v>
      </c>
      <c r="I210" s="261">
        <f t="shared" si="26"/>
        <v>0</v>
      </c>
      <c r="J210" s="146"/>
      <c r="K210" s="146"/>
      <c r="L210" s="146">
        <v>0</v>
      </c>
      <c r="M210" s="203">
        <f t="shared" si="27"/>
        <v>0</v>
      </c>
      <c r="N210" s="203">
        <f t="shared" si="27"/>
        <v>0</v>
      </c>
      <c r="O210" s="203">
        <f t="shared" si="28"/>
        <v>0</v>
      </c>
      <c r="P210" s="301">
        <f t="shared" si="29"/>
        <v>0</v>
      </c>
      <c r="Q210" s="301">
        <f t="shared" si="30"/>
        <v>0</v>
      </c>
      <c r="R210" s="300">
        <f t="shared" si="31"/>
        <v>0</v>
      </c>
    </row>
    <row r="211" spans="1:18" ht="22.5" x14ac:dyDescent="0.25">
      <c r="A211" s="214">
        <v>195</v>
      </c>
      <c r="B211" s="166" t="s">
        <v>384</v>
      </c>
      <c r="C211" s="153" t="s">
        <v>153</v>
      </c>
      <c r="D211" s="200">
        <v>406000</v>
      </c>
      <c r="E211" s="173">
        <v>516000</v>
      </c>
      <c r="F211" s="202">
        <f t="shared" si="24"/>
        <v>922000</v>
      </c>
      <c r="G211" s="262">
        <f t="shared" si="25"/>
        <v>179400</v>
      </c>
      <c r="H211" s="265">
        <v>897000</v>
      </c>
      <c r="I211" s="261">
        <f t="shared" si="26"/>
        <v>1076400</v>
      </c>
      <c r="J211" s="146">
        <v>424500</v>
      </c>
      <c r="K211" s="146">
        <v>818345.10595078894</v>
      </c>
      <c r="L211" s="146">
        <v>1242845.1059507891</v>
      </c>
      <c r="M211" s="203">
        <f t="shared" si="27"/>
        <v>179400</v>
      </c>
      <c r="N211" s="203">
        <f t="shared" si="27"/>
        <v>516000</v>
      </c>
      <c r="O211" s="203">
        <f t="shared" si="28"/>
        <v>695400</v>
      </c>
      <c r="P211" s="301">
        <f t="shared" si="29"/>
        <v>166842</v>
      </c>
      <c r="Q211" s="301">
        <f t="shared" si="30"/>
        <v>479880</v>
      </c>
      <c r="R211" s="300">
        <f t="shared" si="31"/>
        <v>646722</v>
      </c>
    </row>
    <row r="212" spans="1:18" x14ac:dyDescent="0.25">
      <c r="A212" s="214">
        <v>196</v>
      </c>
      <c r="B212" s="166" t="s">
        <v>63</v>
      </c>
      <c r="C212" s="153" t="s">
        <v>153</v>
      </c>
      <c r="D212" s="200">
        <v>367000</v>
      </c>
      <c r="E212" s="173">
        <v>996000</v>
      </c>
      <c r="F212" s="202">
        <f t="shared" si="24"/>
        <v>1363000</v>
      </c>
      <c r="G212" s="262">
        <f t="shared" si="25"/>
        <v>265200</v>
      </c>
      <c r="H212" s="242">
        <v>1326000</v>
      </c>
      <c r="I212" s="261">
        <f t="shared" si="26"/>
        <v>1591200</v>
      </c>
      <c r="J212" s="146">
        <v>324500</v>
      </c>
      <c r="K212" s="146">
        <v>771631.29939334444</v>
      </c>
      <c r="L212" s="146">
        <v>1096131.2993933444</v>
      </c>
      <c r="M212" s="203">
        <f t="shared" si="27"/>
        <v>265200</v>
      </c>
      <c r="N212" s="203">
        <f t="shared" si="27"/>
        <v>771631.29939334444</v>
      </c>
      <c r="O212" s="203">
        <f t="shared" si="28"/>
        <v>1036831.2993933444</v>
      </c>
      <c r="P212" s="301">
        <f t="shared" si="29"/>
        <v>246636</v>
      </c>
      <c r="Q212" s="301">
        <f t="shared" si="30"/>
        <v>717617.10843581031</v>
      </c>
      <c r="R212" s="300">
        <f t="shared" si="31"/>
        <v>964253.10843581031</v>
      </c>
    </row>
    <row r="213" spans="1:18" x14ac:dyDescent="0.25">
      <c r="A213" s="214">
        <v>197</v>
      </c>
      <c r="B213" s="166" t="s">
        <v>134</v>
      </c>
      <c r="C213" s="153" t="s">
        <v>153</v>
      </c>
      <c r="D213" s="200">
        <v>61000</v>
      </c>
      <c r="E213" s="173">
        <v>221000</v>
      </c>
      <c r="F213" s="202">
        <f t="shared" si="24"/>
        <v>282000</v>
      </c>
      <c r="G213" s="262">
        <f t="shared" si="25"/>
        <v>55000</v>
      </c>
      <c r="H213" s="242">
        <v>275000</v>
      </c>
      <c r="I213" s="261">
        <f t="shared" si="26"/>
        <v>330000</v>
      </c>
      <c r="J213" s="146">
        <v>219500</v>
      </c>
      <c r="K213" s="146">
        <v>377430.45698999142</v>
      </c>
      <c r="L213" s="146">
        <v>596930.45698999148</v>
      </c>
      <c r="M213" s="203">
        <f t="shared" si="27"/>
        <v>55000</v>
      </c>
      <c r="N213" s="203">
        <f t="shared" si="27"/>
        <v>221000</v>
      </c>
      <c r="O213" s="203">
        <f t="shared" si="28"/>
        <v>276000</v>
      </c>
      <c r="P213" s="301">
        <f t="shared" si="29"/>
        <v>51150</v>
      </c>
      <c r="Q213" s="301">
        <f t="shared" si="30"/>
        <v>205530</v>
      </c>
      <c r="R213" s="300">
        <f t="shared" si="31"/>
        <v>256680</v>
      </c>
    </row>
    <row r="214" spans="1:18" x14ac:dyDescent="0.25">
      <c r="A214" s="214">
        <v>198</v>
      </c>
      <c r="B214" s="215" t="s">
        <v>264</v>
      </c>
      <c r="C214" s="153" t="s">
        <v>153</v>
      </c>
      <c r="D214" s="200">
        <v>302000</v>
      </c>
      <c r="E214" s="173">
        <v>282000</v>
      </c>
      <c r="F214" s="202">
        <f t="shared" si="24"/>
        <v>584000</v>
      </c>
      <c r="G214" s="262">
        <f t="shared" si="25"/>
        <v>113800</v>
      </c>
      <c r="H214" s="242">
        <v>569000</v>
      </c>
      <c r="I214" s="261">
        <f t="shared" si="26"/>
        <v>682800</v>
      </c>
      <c r="J214" s="146">
        <v>267500</v>
      </c>
      <c r="K214" s="146">
        <v>727277.95665565773</v>
      </c>
      <c r="L214" s="146">
        <v>994777.95665565773</v>
      </c>
      <c r="M214" s="203">
        <f t="shared" si="27"/>
        <v>113800</v>
      </c>
      <c r="N214" s="203">
        <f t="shared" si="27"/>
        <v>282000</v>
      </c>
      <c r="O214" s="203">
        <f t="shared" si="28"/>
        <v>395800</v>
      </c>
      <c r="P214" s="301">
        <f t="shared" si="29"/>
        <v>105834</v>
      </c>
      <c r="Q214" s="301">
        <f t="shared" si="30"/>
        <v>262260</v>
      </c>
      <c r="R214" s="300">
        <f t="shared" si="31"/>
        <v>368094</v>
      </c>
    </row>
    <row r="215" spans="1:18" x14ac:dyDescent="0.25">
      <c r="A215" s="214">
        <v>199</v>
      </c>
      <c r="B215" s="158" t="s">
        <v>72</v>
      </c>
      <c r="C215" s="153" t="s">
        <v>153</v>
      </c>
      <c r="D215" s="200">
        <v>61000</v>
      </c>
      <c r="E215" s="173">
        <v>130000</v>
      </c>
      <c r="F215" s="202">
        <f t="shared" si="24"/>
        <v>191000</v>
      </c>
      <c r="G215" s="262">
        <f t="shared" si="25"/>
        <v>37400</v>
      </c>
      <c r="H215" s="242">
        <v>187000</v>
      </c>
      <c r="I215" s="261">
        <f t="shared" si="26"/>
        <v>224400</v>
      </c>
      <c r="J215" s="146">
        <v>264500</v>
      </c>
      <c r="K215" s="146">
        <v>96214.884814797348</v>
      </c>
      <c r="L215" s="146">
        <v>360714.88481479732</v>
      </c>
      <c r="M215" s="203">
        <f t="shared" si="27"/>
        <v>37400</v>
      </c>
      <c r="N215" s="203">
        <f t="shared" si="27"/>
        <v>96214.884814797348</v>
      </c>
      <c r="O215" s="203">
        <f t="shared" si="28"/>
        <v>133614.88481479735</v>
      </c>
      <c r="P215" s="301">
        <f t="shared" si="29"/>
        <v>34782</v>
      </c>
      <c r="Q215" s="301">
        <f t="shared" si="30"/>
        <v>89479.842877761534</v>
      </c>
      <c r="R215" s="300">
        <f t="shared" si="31"/>
        <v>124261.84287776153</v>
      </c>
    </row>
    <row r="216" spans="1:18" x14ac:dyDescent="0.25">
      <c r="A216" s="284" t="s">
        <v>491</v>
      </c>
      <c r="B216" s="284"/>
      <c r="C216" s="281"/>
      <c r="D216" s="202">
        <f t="shared" ref="D216:N216" si="32">SUM(D4:D215)</f>
        <v>32034000</v>
      </c>
      <c r="E216" s="202">
        <f t="shared" si="32"/>
        <v>90068000</v>
      </c>
      <c r="F216" s="202">
        <f t="shared" si="32"/>
        <v>122102000</v>
      </c>
      <c r="G216" s="241">
        <f t="shared" si="32"/>
        <v>23753800</v>
      </c>
      <c r="H216" s="241">
        <f t="shared" si="32"/>
        <v>118769000</v>
      </c>
      <c r="I216" s="241">
        <f t="shared" si="32"/>
        <v>142522800</v>
      </c>
      <c r="J216" s="146">
        <v>67500</v>
      </c>
      <c r="K216" s="146">
        <v>77078.784610800009</v>
      </c>
      <c r="L216" s="146">
        <v>144578.78461080001</v>
      </c>
      <c r="M216" s="203">
        <f t="shared" si="32"/>
        <v>20674025</v>
      </c>
      <c r="N216" s="203">
        <f t="shared" si="32"/>
        <v>61831953.948778138</v>
      </c>
      <c r="O216" s="204">
        <f>(M216+N216)</f>
        <v>82505978.948778138</v>
      </c>
      <c r="P216" s="301">
        <f t="shared" si="29"/>
        <v>19226843.25</v>
      </c>
      <c r="Q216" s="301">
        <f t="shared" si="30"/>
        <v>57503717.172363669</v>
      </c>
      <c r="R216" s="300">
        <f t="shared" si="31"/>
        <v>76730560.422363669</v>
      </c>
    </row>
  </sheetData>
  <mergeCells count="7">
    <mergeCell ref="P2:R2"/>
    <mergeCell ref="M2:O2"/>
    <mergeCell ref="A216:C216"/>
    <mergeCell ref="A1:C1"/>
    <mergeCell ref="D2:F2"/>
    <mergeCell ref="G2:I2"/>
    <mergeCell ref="J2:L2"/>
  </mergeCells>
  <pageMargins left="0.7" right="0.7" top="0.75" bottom="0.75" header="0.3" footer="0.3"/>
  <pageSetup orientation="portrait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00B0F0"/>
  </sheetPr>
  <dimension ref="A1:O217"/>
  <sheetViews>
    <sheetView tabSelected="1" topLeftCell="D198" workbookViewId="0">
      <selection activeCell="Q214" sqref="Q214"/>
    </sheetView>
  </sheetViews>
  <sheetFormatPr baseColWidth="10" defaultRowHeight="15" x14ac:dyDescent="0.25"/>
  <cols>
    <col min="2" max="2" width="42.28515625" bestFit="1" customWidth="1"/>
    <col min="4" max="5" width="12.85546875" bestFit="1" customWidth="1"/>
    <col min="6" max="6" width="13.7109375" bestFit="1" customWidth="1"/>
    <col min="7" max="7" width="12.5703125" bestFit="1" customWidth="1"/>
    <col min="8" max="9" width="13.5703125" bestFit="1" customWidth="1"/>
    <col min="10" max="11" width="12.5703125" bestFit="1" customWidth="1"/>
    <col min="12" max="12" width="16.28515625" bestFit="1" customWidth="1"/>
    <col min="13" max="13" width="16.5703125" customWidth="1"/>
    <col min="14" max="14" width="17.7109375" customWidth="1"/>
    <col min="15" max="15" width="16.42578125" customWidth="1"/>
  </cols>
  <sheetData>
    <row r="1" spans="1:15" x14ac:dyDescent="0.25">
      <c r="A1" s="279" t="s">
        <v>566</v>
      </c>
      <c r="B1" s="279"/>
      <c r="C1" s="279"/>
      <c r="D1" s="44"/>
      <c r="E1" s="44"/>
      <c r="F1" s="44"/>
    </row>
    <row r="2" spans="1:15" x14ac:dyDescent="0.25">
      <c r="A2" s="28"/>
      <c r="B2" s="27"/>
      <c r="C2" s="27"/>
      <c r="D2" s="293" t="s">
        <v>473</v>
      </c>
      <c r="E2" s="293"/>
      <c r="F2" s="293"/>
      <c r="G2" s="277" t="s">
        <v>490</v>
      </c>
      <c r="H2" s="277"/>
      <c r="I2" s="277"/>
      <c r="J2" s="266" t="s">
        <v>480</v>
      </c>
      <c r="K2" s="266"/>
      <c r="L2" s="266"/>
      <c r="M2" s="295" t="s">
        <v>576</v>
      </c>
      <c r="N2" s="296"/>
      <c r="O2" s="297"/>
    </row>
    <row r="3" spans="1:15" ht="33.75" x14ac:dyDescent="0.25">
      <c r="A3" s="29" t="s">
        <v>0</v>
      </c>
      <c r="B3" s="30" t="s">
        <v>91</v>
      </c>
      <c r="C3" s="45" t="s">
        <v>152</v>
      </c>
      <c r="D3" s="89" t="s">
        <v>469</v>
      </c>
      <c r="E3" s="89" t="s">
        <v>470</v>
      </c>
      <c r="F3" s="90" t="s">
        <v>471</v>
      </c>
      <c r="G3" s="115" t="s">
        <v>469</v>
      </c>
      <c r="H3" s="115" t="s">
        <v>470</v>
      </c>
      <c r="I3" s="116" t="s">
        <v>471</v>
      </c>
      <c r="J3" s="97" t="s">
        <v>469</v>
      </c>
      <c r="K3" s="97" t="s">
        <v>470</v>
      </c>
      <c r="L3" s="98" t="s">
        <v>471</v>
      </c>
      <c r="M3" s="298" t="s">
        <v>574</v>
      </c>
      <c r="N3" s="298" t="s">
        <v>575</v>
      </c>
      <c r="O3" s="299" t="s">
        <v>471</v>
      </c>
    </row>
    <row r="4" spans="1:15" ht="45" x14ac:dyDescent="0.25">
      <c r="A4" s="151">
        <v>1</v>
      </c>
      <c r="B4" s="152" t="s">
        <v>154</v>
      </c>
      <c r="C4" s="153" t="s">
        <v>153</v>
      </c>
      <c r="D4" s="227">
        <v>1348000</v>
      </c>
      <c r="E4" s="227">
        <v>4283000</v>
      </c>
      <c r="F4" s="228">
        <f>(D4+E4)</f>
        <v>5631000</v>
      </c>
      <c r="G4" s="146">
        <v>1620000</v>
      </c>
      <c r="H4" s="146">
        <v>3893542.1987445699</v>
      </c>
      <c r="I4" s="146">
        <v>5513542.1987445699</v>
      </c>
      <c r="J4" s="198">
        <f>MIN(D4,G4)</f>
        <v>1348000</v>
      </c>
      <c r="K4" s="198">
        <f>MIN(E4,H4)</f>
        <v>3893542.1987445699</v>
      </c>
      <c r="L4" s="198">
        <f>J4+K4</f>
        <v>5241542.1987445699</v>
      </c>
      <c r="M4" s="301">
        <f>J4-(J4*7%)</f>
        <v>1253640</v>
      </c>
      <c r="N4" s="301">
        <f>K4-(K4*7%)</f>
        <v>3620994.2448324501</v>
      </c>
      <c r="O4" s="300">
        <f>N4+M4</f>
        <v>4874634.2448324505</v>
      </c>
    </row>
    <row r="5" spans="1:15" x14ac:dyDescent="0.25">
      <c r="A5" s="151">
        <v>2</v>
      </c>
      <c r="B5" s="152" t="s">
        <v>155</v>
      </c>
      <c r="C5" s="153" t="s">
        <v>153</v>
      </c>
      <c r="D5" s="227">
        <v>116000</v>
      </c>
      <c r="E5" s="227">
        <v>360000</v>
      </c>
      <c r="F5" s="228">
        <f t="shared" ref="F5:F68" si="0">(D5+E5)</f>
        <v>476000</v>
      </c>
      <c r="G5" s="146">
        <v>149500</v>
      </c>
      <c r="H5" s="146">
        <v>327028.32837594999</v>
      </c>
      <c r="I5" s="146">
        <v>476528.32837594999</v>
      </c>
      <c r="J5" s="198">
        <f t="shared" ref="J5:J68" si="1">MIN(D5,G5)</f>
        <v>116000</v>
      </c>
      <c r="K5" s="198">
        <f t="shared" ref="K5:K68" si="2">MIN(E5,H5)</f>
        <v>327028.32837594999</v>
      </c>
      <c r="L5" s="198">
        <f t="shared" ref="L5:L68" si="3">J5+K5</f>
        <v>443028.32837594999</v>
      </c>
      <c r="M5" s="301">
        <f t="shared" ref="M5:M68" si="4">J5-(J5*7%)</f>
        <v>107880</v>
      </c>
      <c r="N5" s="301">
        <f t="shared" ref="N5:N68" si="5">K5-(K5*7%)</f>
        <v>304136.3453896335</v>
      </c>
      <c r="O5" s="300">
        <f t="shared" ref="O5:O68" si="6">N5+M5</f>
        <v>412016.3453896335</v>
      </c>
    </row>
    <row r="6" spans="1:15" x14ac:dyDescent="0.25">
      <c r="A6" s="151">
        <v>3</v>
      </c>
      <c r="B6" s="152" t="s">
        <v>156</v>
      </c>
      <c r="C6" s="153" t="s">
        <v>153</v>
      </c>
      <c r="D6" s="227">
        <v>47000</v>
      </c>
      <c r="E6" s="227">
        <v>145000</v>
      </c>
      <c r="F6" s="228">
        <f t="shared" si="0"/>
        <v>192000</v>
      </c>
      <c r="G6" s="146">
        <v>649500</v>
      </c>
      <c r="H6" s="146">
        <v>131489.02785299474</v>
      </c>
      <c r="I6" s="146">
        <v>780989.02785299474</v>
      </c>
      <c r="J6" s="198">
        <f t="shared" si="1"/>
        <v>47000</v>
      </c>
      <c r="K6" s="198">
        <f t="shared" si="2"/>
        <v>131489.02785299474</v>
      </c>
      <c r="L6" s="198">
        <f t="shared" si="3"/>
        <v>178489.02785299474</v>
      </c>
      <c r="M6" s="301">
        <f t="shared" si="4"/>
        <v>43710</v>
      </c>
      <c r="N6" s="301">
        <f t="shared" si="5"/>
        <v>122284.79590328511</v>
      </c>
      <c r="O6" s="300">
        <f t="shared" si="6"/>
        <v>165994.79590328509</v>
      </c>
    </row>
    <row r="7" spans="1:15" x14ac:dyDescent="0.25">
      <c r="A7" s="151">
        <v>4</v>
      </c>
      <c r="B7" s="152" t="s">
        <v>133</v>
      </c>
      <c r="C7" s="153" t="s">
        <v>153</v>
      </c>
      <c r="D7" s="227">
        <v>558000</v>
      </c>
      <c r="E7" s="227">
        <v>1445000</v>
      </c>
      <c r="F7" s="228">
        <f t="shared" si="0"/>
        <v>2003000</v>
      </c>
      <c r="G7" s="146">
        <v>899500</v>
      </c>
      <c r="H7" s="146">
        <v>1313199.2293143803</v>
      </c>
      <c r="I7" s="146">
        <v>2212699.2293143803</v>
      </c>
      <c r="J7" s="198">
        <f t="shared" si="1"/>
        <v>558000</v>
      </c>
      <c r="K7" s="198">
        <f t="shared" si="2"/>
        <v>1313199.2293143803</v>
      </c>
      <c r="L7" s="198">
        <f t="shared" si="3"/>
        <v>1871199.2293143803</v>
      </c>
      <c r="M7" s="301">
        <f t="shared" si="4"/>
        <v>518940</v>
      </c>
      <c r="N7" s="301">
        <f t="shared" si="5"/>
        <v>1221275.2832623736</v>
      </c>
      <c r="O7" s="300">
        <f t="shared" si="6"/>
        <v>1740215.2832623736</v>
      </c>
    </row>
    <row r="8" spans="1:15" x14ac:dyDescent="0.25">
      <c r="A8" s="151">
        <v>5</v>
      </c>
      <c r="B8" s="152" t="s">
        <v>4</v>
      </c>
      <c r="C8" s="153" t="s">
        <v>153</v>
      </c>
      <c r="D8" s="227">
        <v>218000</v>
      </c>
      <c r="E8" s="227">
        <v>744000</v>
      </c>
      <c r="F8" s="228">
        <f t="shared" si="0"/>
        <v>962000</v>
      </c>
      <c r="G8" s="146">
        <v>899500</v>
      </c>
      <c r="H8" s="146">
        <v>767627.25727929862</v>
      </c>
      <c r="I8" s="146">
        <v>1667127.2572792987</v>
      </c>
      <c r="J8" s="198">
        <f t="shared" si="1"/>
        <v>218000</v>
      </c>
      <c r="K8" s="198">
        <f t="shared" si="2"/>
        <v>744000</v>
      </c>
      <c r="L8" s="198">
        <f t="shared" si="3"/>
        <v>962000</v>
      </c>
      <c r="M8" s="301">
        <f t="shared" si="4"/>
        <v>202740</v>
      </c>
      <c r="N8" s="301">
        <f t="shared" si="5"/>
        <v>691920</v>
      </c>
      <c r="O8" s="300">
        <f t="shared" si="6"/>
        <v>894660</v>
      </c>
    </row>
    <row r="9" spans="1:15" x14ac:dyDescent="0.25">
      <c r="A9" s="151">
        <v>6</v>
      </c>
      <c r="B9" s="152" t="s">
        <v>96</v>
      </c>
      <c r="C9" s="153" t="s">
        <v>153</v>
      </c>
      <c r="D9" s="227">
        <v>143000</v>
      </c>
      <c r="E9" s="227">
        <v>267000</v>
      </c>
      <c r="F9" s="228">
        <f t="shared" si="0"/>
        <v>410000</v>
      </c>
      <c r="G9" s="146">
        <v>899500</v>
      </c>
      <c r="H9" s="146">
        <v>502151.3705313034</v>
      </c>
      <c r="I9" s="146">
        <v>1401651.3705313033</v>
      </c>
      <c r="J9" s="198">
        <f t="shared" si="1"/>
        <v>143000</v>
      </c>
      <c r="K9" s="198">
        <f t="shared" si="2"/>
        <v>267000</v>
      </c>
      <c r="L9" s="198">
        <f t="shared" si="3"/>
        <v>410000</v>
      </c>
      <c r="M9" s="301">
        <f t="shared" si="4"/>
        <v>132990</v>
      </c>
      <c r="N9" s="301">
        <f t="shared" si="5"/>
        <v>248310</v>
      </c>
      <c r="O9" s="300">
        <f t="shared" si="6"/>
        <v>381300</v>
      </c>
    </row>
    <row r="10" spans="1:15" x14ac:dyDescent="0.25">
      <c r="A10" s="151">
        <v>7</v>
      </c>
      <c r="B10" s="152" t="s">
        <v>8</v>
      </c>
      <c r="C10" s="153" t="s">
        <v>153</v>
      </c>
      <c r="D10" s="227">
        <v>28000</v>
      </c>
      <c r="E10" s="227">
        <v>80000</v>
      </c>
      <c r="F10" s="228">
        <f t="shared" si="0"/>
        <v>108000</v>
      </c>
      <c r="G10" s="146">
        <v>297500</v>
      </c>
      <c r="H10" s="146">
        <v>72827.23769610819</v>
      </c>
      <c r="I10" s="146">
        <v>370327.23769610818</v>
      </c>
      <c r="J10" s="198">
        <f t="shared" si="1"/>
        <v>28000</v>
      </c>
      <c r="K10" s="198">
        <f t="shared" si="2"/>
        <v>72827.23769610819</v>
      </c>
      <c r="L10" s="198">
        <f t="shared" si="3"/>
        <v>100827.23769610819</v>
      </c>
      <c r="M10" s="301">
        <f t="shared" si="4"/>
        <v>26040</v>
      </c>
      <c r="N10" s="301">
        <f t="shared" si="5"/>
        <v>67729.331057380623</v>
      </c>
      <c r="O10" s="300">
        <f t="shared" si="6"/>
        <v>93769.331057380623</v>
      </c>
    </row>
    <row r="11" spans="1:15" x14ac:dyDescent="0.25">
      <c r="A11" s="151">
        <v>8</v>
      </c>
      <c r="B11" s="152" t="s">
        <v>157</v>
      </c>
      <c r="C11" s="153" t="s">
        <v>153</v>
      </c>
      <c r="D11" s="227">
        <v>41000</v>
      </c>
      <c r="E11" s="227">
        <v>129000</v>
      </c>
      <c r="F11" s="228">
        <f t="shared" si="0"/>
        <v>170000</v>
      </c>
      <c r="G11" s="146">
        <v>399500</v>
      </c>
      <c r="H11" s="146">
        <v>116823.5803137731</v>
      </c>
      <c r="I11" s="146">
        <v>516323.58031377313</v>
      </c>
      <c r="J11" s="198">
        <f t="shared" si="1"/>
        <v>41000</v>
      </c>
      <c r="K11" s="198">
        <f t="shared" si="2"/>
        <v>116823.5803137731</v>
      </c>
      <c r="L11" s="198">
        <f t="shared" si="3"/>
        <v>157823.5803137731</v>
      </c>
      <c r="M11" s="301">
        <f t="shared" si="4"/>
        <v>38130</v>
      </c>
      <c r="N11" s="301">
        <f t="shared" si="5"/>
        <v>108645.92969180898</v>
      </c>
      <c r="O11" s="300">
        <f t="shared" si="6"/>
        <v>146775.929691809</v>
      </c>
    </row>
    <row r="12" spans="1:15" x14ac:dyDescent="0.25">
      <c r="A12" s="151">
        <v>9</v>
      </c>
      <c r="B12" s="152" t="s">
        <v>10</v>
      </c>
      <c r="C12" s="153" t="s">
        <v>153</v>
      </c>
      <c r="D12" s="227">
        <v>36000</v>
      </c>
      <c r="E12" s="227">
        <v>111000</v>
      </c>
      <c r="F12" s="228">
        <f t="shared" si="0"/>
        <v>147000</v>
      </c>
      <c r="G12" s="146">
        <v>149500</v>
      </c>
      <c r="H12" s="146">
        <v>100726.78509472343</v>
      </c>
      <c r="I12" s="146">
        <v>250226.78509472343</v>
      </c>
      <c r="J12" s="198">
        <f t="shared" si="1"/>
        <v>36000</v>
      </c>
      <c r="K12" s="198">
        <f t="shared" si="2"/>
        <v>100726.78509472343</v>
      </c>
      <c r="L12" s="198">
        <f t="shared" si="3"/>
        <v>136726.78509472343</v>
      </c>
      <c r="M12" s="301">
        <f t="shared" si="4"/>
        <v>33480</v>
      </c>
      <c r="N12" s="301">
        <f t="shared" si="5"/>
        <v>93675.91013809279</v>
      </c>
      <c r="O12" s="300">
        <f t="shared" si="6"/>
        <v>127155.91013809279</v>
      </c>
    </row>
    <row r="13" spans="1:15" x14ac:dyDescent="0.25">
      <c r="A13" s="151">
        <v>10</v>
      </c>
      <c r="B13" s="152" t="s">
        <v>65</v>
      </c>
      <c r="C13" s="153" t="s">
        <v>153</v>
      </c>
      <c r="D13" s="227">
        <v>124000</v>
      </c>
      <c r="E13" s="227">
        <v>384000</v>
      </c>
      <c r="F13" s="228">
        <f t="shared" si="0"/>
        <v>508000</v>
      </c>
      <c r="G13" s="146">
        <v>649500</v>
      </c>
      <c r="H13" s="146">
        <v>348999.63454028347</v>
      </c>
      <c r="I13" s="146">
        <v>998499.63454028347</v>
      </c>
      <c r="J13" s="198">
        <f t="shared" si="1"/>
        <v>124000</v>
      </c>
      <c r="K13" s="198">
        <f t="shared" si="2"/>
        <v>348999.63454028347</v>
      </c>
      <c r="L13" s="198">
        <f t="shared" si="3"/>
        <v>472999.63454028347</v>
      </c>
      <c r="M13" s="301">
        <f t="shared" si="4"/>
        <v>115320</v>
      </c>
      <c r="N13" s="301">
        <f t="shared" si="5"/>
        <v>324569.6601224636</v>
      </c>
      <c r="O13" s="300">
        <f t="shared" si="6"/>
        <v>439889.6601224636</v>
      </c>
    </row>
    <row r="14" spans="1:15" x14ac:dyDescent="0.25">
      <c r="A14" s="151">
        <v>11</v>
      </c>
      <c r="B14" s="152" t="s">
        <v>9</v>
      </c>
      <c r="C14" s="153" t="s">
        <v>153</v>
      </c>
      <c r="D14" s="227">
        <v>32000</v>
      </c>
      <c r="E14" s="227">
        <v>91000</v>
      </c>
      <c r="F14" s="228">
        <f t="shared" si="0"/>
        <v>123000</v>
      </c>
      <c r="G14" s="146">
        <v>249500</v>
      </c>
      <c r="H14" s="146">
        <v>82799.742022778912</v>
      </c>
      <c r="I14" s="146">
        <v>332299.7420227789</v>
      </c>
      <c r="J14" s="198">
        <f t="shared" si="1"/>
        <v>32000</v>
      </c>
      <c r="K14" s="198">
        <f t="shared" si="2"/>
        <v>82799.742022778912</v>
      </c>
      <c r="L14" s="198">
        <f t="shared" si="3"/>
        <v>114799.74202277891</v>
      </c>
      <c r="M14" s="301">
        <f t="shared" si="4"/>
        <v>29760</v>
      </c>
      <c r="N14" s="301">
        <f t="shared" si="5"/>
        <v>77003.760081184388</v>
      </c>
      <c r="O14" s="300">
        <f t="shared" si="6"/>
        <v>106763.76008118439</v>
      </c>
    </row>
    <row r="15" spans="1:15" x14ac:dyDescent="0.25">
      <c r="A15" s="151">
        <v>12</v>
      </c>
      <c r="B15" s="152" t="s">
        <v>370</v>
      </c>
      <c r="C15" s="153" t="s">
        <v>153</v>
      </c>
      <c r="D15" s="227">
        <v>28000</v>
      </c>
      <c r="E15" s="227">
        <v>81000</v>
      </c>
      <c r="F15" s="228">
        <f t="shared" si="0"/>
        <v>109000</v>
      </c>
      <c r="G15" s="146">
        <v>249500</v>
      </c>
      <c r="H15" s="146">
        <v>73433.409527729353</v>
      </c>
      <c r="I15" s="146">
        <v>322933.40952772938</v>
      </c>
      <c r="J15" s="198">
        <f t="shared" si="1"/>
        <v>28000</v>
      </c>
      <c r="K15" s="198">
        <f t="shared" si="2"/>
        <v>73433.409527729353</v>
      </c>
      <c r="L15" s="198">
        <f t="shared" si="3"/>
        <v>101433.40952772935</v>
      </c>
      <c r="M15" s="301">
        <f t="shared" si="4"/>
        <v>26040</v>
      </c>
      <c r="N15" s="301">
        <f t="shared" si="5"/>
        <v>68293.070860788299</v>
      </c>
      <c r="O15" s="300">
        <f t="shared" si="6"/>
        <v>94333.070860788299</v>
      </c>
    </row>
    <row r="16" spans="1:15" x14ac:dyDescent="0.25">
      <c r="A16" s="151">
        <v>13</v>
      </c>
      <c r="B16" s="158" t="s">
        <v>158</v>
      </c>
      <c r="C16" s="153" t="s">
        <v>153</v>
      </c>
      <c r="D16" s="227">
        <v>845000</v>
      </c>
      <c r="E16" s="227">
        <v>2948000</v>
      </c>
      <c r="F16" s="228">
        <f t="shared" si="0"/>
        <v>3793000</v>
      </c>
      <c r="G16" s="146">
        <v>799500</v>
      </c>
      <c r="H16" s="146">
        <v>3411169.9904812556</v>
      </c>
      <c r="I16" s="146">
        <v>4210669.9904812556</v>
      </c>
      <c r="J16" s="198">
        <f t="shared" si="1"/>
        <v>799500</v>
      </c>
      <c r="K16" s="198">
        <f t="shared" si="2"/>
        <v>2948000</v>
      </c>
      <c r="L16" s="198">
        <f t="shared" si="3"/>
        <v>3747500</v>
      </c>
      <c r="M16" s="301">
        <f t="shared" si="4"/>
        <v>743535</v>
      </c>
      <c r="N16" s="301">
        <f t="shared" si="5"/>
        <v>2741640</v>
      </c>
      <c r="O16" s="300">
        <f t="shared" si="6"/>
        <v>3485175</v>
      </c>
    </row>
    <row r="17" spans="1:15" x14ac:dyDescent="0.25">
      <c r="A17" s="151">
        <v>14</v>
      </c>
      <c r="B17" s="152" t="s">
        <v>2</v>
      </c>
      <c r="C17" s="153" t="s">
        <v>153</v>
      </c>
      <c r="D17" s="227">
        <v>99000</v>
      </c>
      <c r="E17" s="227">
        <v>308000</v>
      </c>
      <c r="F17" s="228">
        <f t="shared" si="0"/>
        <v>407000</v>
      </c>
      <c r="G17" s="146">
        <v>549500</v>
      </c>
      <c r="H17" s="146">
        <v>280330.61032156035</v>
      </c>
      <c r="I17" s="146">
        <v>829830.61032156041</v>
      </c>
      <c r="J17" s="198">
        <f t="shared" si="1"/>
        <v>99000</v>
      </c>
      <c r="K17" s="198">
        <f t="shared" si="2"/>
        <v>280330.61032156035</v>
      </c>
      <c r="L17" s="198">
        <f t="shared" si="3"/>
        <v>379330.61032156035</v>
      </c>
      <c r="M17" s="301">
        <f t="shared" si="4"/>
        <v>92070</v>
      </c>
      <c r="N17" s="301">
        <f t="shared" si="5"/>
        <v>260707.46759905113</v>
      </c>
      <c r="O17" s="300">
        <f t="shared" si="6"/>
        <v>352777.46759905113</v>
      </c>
    </row>
    <row r="18" spans="1:15" x14ac:dyDescent="0.25">
      <c r="A18" s="151">
        <v>15</v>
      </c>
      <c r="B18" s="152" t="s">
        <v>3</v>
      </c>
      <c r="C18" s="153" t="s">
        <v>153</v>
      </c>
      <c r="D18" s="227">
        <v>99000</v>
      </c>
      <c r="E18" s="227">
        <v>307000</v>
      </c>
      <c r="F18" s="228">
        <f t="shared" si="0"/>
        <v>406000</v>
      </c>
      <c r="G18" s="146">
        <v>549500</v>
      </c>
      <c r="H18" s="146">
        <v>278649.95003356563</v>
      </c>
      <c r="I18" s="146">
        <v>828149.95003356563</v>
      </c>
      <c r="J18" s="198">
        <f t="shared" si="1"/>
        <v>99000</v>
      </c>
      <c r="K18" s="198">
        <f t="shared" si="2"/>
        <v>278649.95003356563</v>
      </c>
      <c r="L18" s="198">
        <f t="shared" si="3"/>
        <v>377649.95003356563</v>
      </c>
      <c r="M18" s="301">
        <f t="shared" si="4"/>
        <v>92070</v>
      </c>
      <c r="N18" s="301">
        <f t="shared" si="5"/>
        <v>259144.45353121604</v>
      </c>
      <c r="O18" s="300">
        <f t="shared" si="6"/>
        <v>351214.45353121602</v>
      </c>
    </row>
    <row r="19" spans="1:15" x14ac:dyDescent="0.25">
      <c r="A19" s="151">
        <v>16</v>
      </c>
      <c r="B19" s="152" t="s">
        <v>15</v>
      </c>
      <c r="C19" s="153" t="s">
        <v>153</v>
      </c>
      <c r="D19" s="227">
        <v>237000</v>
      </c>
      <c r="E19" s="227">
        <v>736000</v>
      </c>
      <c r="F19" s="228">
        <f t="shared" si="0"/>
        <v>973000</v>
      </c>
      <c r="G19" s="146">
        <v>649500</v>
      </c>
      <c r="H19" s="146">
        <v>668653.08492659964</v>
      </c>
      <c r="I19" s="146">
        <v>1318153.0849265996</v>
      </c>
      <c r="J19" s="198">
        <f t="shared" si="1"/>
        <v>237000</v>
      </c>
      <c r="K19" s="198">
        <f t="shared" si="2"/>
        <v>668653.08492659964</v>
      </c>
      <c r="L19" s="198">
        <f t="shared" si="3"/>
        <v>905653.08492659964</v>
      </c>
      <c r="M19" s="301">
        <f t="shared" si="4"/>
        <v>220410</v>
      </c>
      <c r="N19" s="301">
        <f t="shared" si="5"/>
        <v>621847.36898173764</v>
      </c>
      <c r="O19" s="300">
        <f t="shared" si="6"/>
        <v>842257.36898173764</v>
      </c>
    </row>
    <row r="20" spans="1:15" x14ac:dyDescent="0.25">
      <c r="A20" s="151">
        <v>17</v>
      </c>
      <c r="B20" s="152" t="s">
        <v>105</v>
      </c>
      <c r="C20" s="153" t="s">
        <v>153</v>
      </c>
      <c r="D20" s="227">
        <v>90000</v>
      </c>
      <c r="E20" s="227">
        <v>279000</v>
      </c>
      <c r="F20" s="228">
        <f t="shared" si="0"/>
        <v>369000</v>
      </c>
      <c r="G20" s="146">
        <v>549500</v>
      </c>
      <c r="H20" s="146">
        <v>253808.63729512936</v>
      </c>
      <c r="I20" s="146">
        <v>803308.63729512936</v>
      </c>
      <c r="J20" s="198">
        <f t="shared" si="1"/>
        <v>90000</v>
      </c>
      <c r="K20" s="198">
        <f t="shared" si="2"/>
        <v>253808.63729512936</v>
      </c>
      <c r="L20" s="198">
        <f t="shared" si="3"/>
        <v>343808.63729512936</v>
      </c>
      <c r="M20" s="301">
        <f t="shared" si="4"/>
        <v>83700</v>
      </c>
      <c r="N20" s="301">
        <f t="shared" si="5"/>
        <v>236042.03268447029</v>
      </c>
      <c r="O20" s="300">
        <f t="shared" si="6"/>
        <v>319742.03268447029</v>
      </c>
    </row>
    <row r="21" spans="1:15" x14ac:dyDescent="0.25">
      <c r="A21" s="151">
        <v>18</v>
      </c>
      <c r="B21" s="152" t="s">
        <v>106</v>
      </c>
      <c r="C21" s="153" t="s">
        <v>153</v>
      </c>
      <c r="D21" s="227">
        <v>98000</v>
      </c>
      <c r="E21" s="227">
        <v>306000</v>
      </c>
      <c r="F21" s="228">
        <f t="shared" si="0"/>
        <v>404000</v>
      </c>
      <c r="G21" s="146">
        <v>474500</v>
      </c>
      <c r="H21" s="146">
        <v>278143.50324521115</v>
      </c>
      <c r="I21" s="146">
        <v>752643.50324521121</v>
      </c>
      <c r="J21" s="198">
        <f t="shared" si="1"/>
        <v>98000</v>
      </c>
      <c r="K21" s="198">
        <f t="shared" si="2"/>
        <v>278143.50324521115</v>
      </c>
      <c r="L21" s="198">
        <f t="shared" si="3"/>
        <v>376143.50324521115</v>
      </c>
      <c r="M21" s="301">
        <f t="shared" si="4"/>
        <v>91140</v>
      </c>
      <c r="N21" s="301">
        <f t="shared" si="5"/>
        <v>258673.45801804637</v>
      </c>
      <c r="O21" s="300">
        <f t="shared" si="6"/>
        <v>349813.45801804634</v>
      </c>
    </row>
    <row r="22" spans="1:15" x14ac:dyDescent="0.25">
      <c r="A22" s="151">
        <v>19</v>
      </c>
      <c r="B22" s="152" t="s">
        <v>6</v>
      </c>
      <c r="C22" s="153" t="s">
        <v>153</v>
      </c>
      <c r="D22" s="227">
        <v>76000</v>
      </c>
      <c r="E22" s="227">
        <v>236000</v>
      </c>
      <c r="F22" s="228">
        <f t="shared" si="0"/>
        <v>312000</v>
      </c>
      <c r="G22" s="146">
        <v>374500</v>
      </c>
      <c r="H22" s="146">
        <v>214593.23057525064</v>
      </c>
      <c r="I22" s="146">
        <v>589093.23057525069</v>
      </c>
      <c r="J22" s="198">
        <f t="shared" si="1"/>
        <v>76000</v>
      </c>
      <c r="K22" s="198">
        <f t="shared" si="2"/>
        <v>214593.23057525064</v>
      </c>
      <c r="L22" s="198">
        <f t="shared" si="3"/>
        <v>290593.23057525064</v>
      </c>
      <c r="M22" s="301">
        <f t="shared" si="4"/>
        <v>70680</v>
      </c>
      <c r="N22" s="301">
        <f t="shared" si="5"/>
        <v>199571.70443498308</v>
      </c>
      <c r="O22" s="300">
        <f t="shared" si="6"/>
        <v>270251.70443498308</v>
      </c>
    </row>
    <row r="23" spans="1:15" x14ac:dyDescent="0.25">
      <c r="A23" s="151">
        <v>20</v>
      </c>
      <c r="B23" s="152" t="s">
        <v>159</v>
      </c>
      <c r="C23" s="153" t="s">
        <v>153</v>
      </c>
      <c r="D23" s="227">
        <v>341000</v>
      </c>
      <c r="E23" s="227">
        <v>1060000</v>
      </c>
      <c r="F23" s="228">
        <f t="shared" si="0"/>
        <v>1401000</v>
      </c>
      <c r="G23" s="146">
        <v>474500</v>
      </c>
      <c r="H23" s="146">
        <v>963200.77717984561</v>
      </c>
      <c r="I23" s="146">
        <v>1437700.7771798456</v>
      </c>
      <c r="J23" s="198">
        <f t="shared" si="1"/>
        <v>341000</v>
      </c>
      <c r="K23" s="198">
        <f t="shared" si="2"/>
        <v>963200.77717984561</v>
      </c>
      <c r="L23" s="198">
        <f t="shared" si="3"/>
        <v>1304200.7771798456</v>
      </c>
      <c r="M23" s="301">
        <f t="shared" si="4"/>
        <v>317130</v>
      </c>
      <c r="N23" s="301">
        <f t="shared" si="5"/>
        <v>895776.72277725639</v>
      </c>
      <c r="O23" s="300">
        <f t="shared" si="6"/>
        <v>1212906.7227772563</v>
      </c>
    </row>
    <row r="24" spans="1:15" ht="22.5" x14ac:dyDescent="0.25">
      <c r="A24" s="151">
        <v>21</v>
      </c>
      <c r="B24" s="152" t="s">
        <v>160</v>
      </c>
      <c r="C24" s="153" t="s">
        <v>153</v>
      </c>
      <c r="D24" s="227">
        <v>89000</v>
      </c>
      <c r="E24" s="227">
        <v>303000</v>
      </c>
      <c r="F24" s="228">
        <f t="shared" si="0"/>
        <v>392000</v>
      </c>
      <c r="G24" s="146">
        <v>184500</v>
      </c>
      <c r="H24" s="146">
        <v>337700</v>
      </c>
      <c r="I24" s="146">
        <v>522200</v>
      </c>
      <c r="J24" s="198">
        <f t="shared" si="1"/>
        <v>89000</v>
      </c>
      <c r="K24" s="198">
        <f t="shared" si="2"/>
        <v>303000</v>
      </c>
      <c r="L24" s="198">
        <f t="shared" si="3"/>
        <v>392000</v>
      </c>
      <c r="M24" s="301">
        <f t="shared" si="4"/>
        <v>82770</v>
      </c>
      <c r="N24" s="301">
        <f t="shared" si="5"/>
        <v>281790</v>
      </c>
      <c r="O24" s="300">
        <f t="shared" si="6"/>
        <v>364560</v>
      </c>
    </row>
    <row r="25" spans="1:15" x14ac:dyDescent="0.25">
      <c r="A25" s="151">
        <v>22</v>
      </c>
      <c r="B25" s="152" t="s">
        <v>107</v>
      </c>
      <c r="C25" s="153" t="s">
        <v>153</v>
      </c>
      <c r="D25" s="227">
        <v>170000</v>
      </c>
      <c r="E25" s="227">
        <v>361000</v>
      </c>
      <c r="F25" s="228">
        <f t="shared" si="0"/>
        <v>531000</v>
      </c>
      <c r="G25" s="146">
        <v>199500</v>
      </c>
      <c r="H25" s="146">
        <v>480619.56045421807</v>
      </c>
      <c r="I25" s="146">
        <v>680119.56045421807</v>
      </c>
      <c r="J25" s="198">
        <f t="shared" si="1"/>
        <v>170000</v>
      </c>
      <c r="K25" s="198">
        <f t="shared" si="2"/>
        <v>361000</v>
      </c>
      <c r="L25" s="198">
        <f t="shared" si="3"/>
        <v>531000</v>
      </c>
      <c r="M25" s="301">
        <f t="shared" si="4"/>
        <v>158100</v>
      </c>
      <c r="N25" s="301">
        <f t="shared" si="5"/>
        <v>335730</v>
      </c>
      <c r="O25" s="300">
        <f t="shared" si="6"/>
        <v>493830</v>
      </c>
    </row>
    <row r="26" spans="1:15" x14ac:dyDescent="0.25">
      <c r="A26" s="151">
        <v>23</v>
      </c>
      <c r="B26" s="158" t="s">
        <v>132</v>
      </c>
      <c r="C26" s="153" t="s">
        <v>153</v>
      </c>
      <c r="D26" s="227">
        <v>239000</v>
      </c>
      <c r="E26" s="227">
        <v>743000</v>
      </c>
      <c r="F26" s="228">
        <f t="shared" si="0"/>
        <v>982000</v>
      </c>
      <c r="G26" s="146">
        <v>384500</v>
      </c>
      <c r="H26" s="146">
        <v>675094.14948582591</v>
      </c>
      <c r="I26" s="146">
        <v>1059594.149485826</v>
      </c>
      <c r="J26" s="198">
        <f t="shared" si="1"/>
        <v>239000</v>
      </c>
      <c r="K26" s="198">
        <f t="shared" si="2"/>
        <v>675094.14948582591</v>
      </c>
      <c r="L26" s="198">
        <f t="shared" si="3"/>
        <v>914094.14948582591</v>
      </c>
      <c r="M26" s="301">
        <f t="shared" si="4"/>
        <v>222270</v>
      </c>
      <c r="N26" s="301">
        <f t="shared" si="5"/>
        <v>627837.5590218181</v>
      </c>
      <c r="O26" s="300">
        <f t="shared" si="6"/>
        <v>850107.5590218181</v>
      </c>
    </row>
    <row r="27" spans="1:15" x14ac:dyDescent="0.25">
      <c r="A27" s="151">
        <v>24</v>
      </c>
      <c r="B27" s="158" t="s">
        <v>149</v>
      </c>
      <c r="C27" s="153" t="s">
        <v>153</v>
      </c>
      <c r="D27" s="227">
        <v>87000</v>
      </c>
      <c r="E27" s="227">
        <v>270000</v>
      </c>
      <c r="F27" s="228">
        <f t="shared" si="0"/>
        <v>357000</v>
      </c>
      <c r="G27" s="146">
        <v>384500</v>
      </c>
      <c r="H27" s="146">
        <v>245775.88282964632</v>
      </c>
      <c r="I27" s="146">
        <v>630275.88282964635</v>
      </c>
      <c r="J27" s="198">
        <f t="shared" si="1"/>
        <v>87000</v>
      </c>
      <c r="K27" s="198">
        <f t="shared" si="2"/>
        <v>245775.88282964632</v>
      </c>
      <c r="L27" s="198">
        <f t="shared" si="3"/>
        <v>332775.88282964635</v>
      </c>
      <c r="M27" s="301">
        <f t="shared" si="4"/>
        <v>80910</v>
      </c>
      <c r="N27" s="301">
        <f t="shared" si="5"/>
        <v>228571.57103157107</v>
      </c>
      <c r="O27" s="300">
        <f t="shared" si="6"/>
        <v>309481.57103157107</v>
      </c>
    </row>
    <row r="28" spans="1:15" x14ac:dyDescent="0.25">
      <c r="A28" s="151">
        <v>25</v>
      </c>
      <c r="B28" s="152" t="s">
        <v>11</v>
      </c>
      <c r="C28" s="153" t="s">
        <v>153</v>
      </c>
      <c r="D28" s="227">
        <v>45000</v>
      </c>
      <c r="E28" s="227">
        <v>140000</v>
      </c>
      <c r="F28" s="228">
        <f t="shared" si="0"/>
        <v>185000</v>
      </c>
      <c r="G28" s="146">
        <v>109500</v>
      </c>
      <c r="H28" s="146">
        <v>127682.46624510741</v>
      </c>
      <c r="I28" s="146">
        <v>237182.46624510741</v>
      </c>
      <c r="J28" s="198">
        <f t="shared" si="1"/>
        <v>45000</v>
      </c>
      <c r="K28" s="198">
        <f t="shared" si="2"/>
        <v>127682.46624510741</v>
      </c>
      <c r="L28" s="198">
        <f t="shared" si="3"/>
        <v>172682.46624510741</v>
      </c>
      <c r="M28" s="301">
        <f t="shared" si="4"/>
        <v>41850</v>
      </c>
      <c r="N28" s="301">
        <f t="shared" si="5"/>
        <v>118744.69360794988</v>
      </c>
      <c r="O28" s="300">
        <f t="shared" si="6"/>
        <v>160594.69360794988</v>
      </c>
    </row>
    <row r="29" spans="1:15" x14ac:dyDescent="0.25">
      <c r="A29" s="151">
        <v>26</v>
      </c>
      <c r="B29" s="158" t="s">
        <v>66</v>
      </c>
      <c r="C29" s="153" t="s">
        <v>153</v>
      </c>
      <c r="D29" s="227">
        <v>60000</v>
      </c>
      <c r="E29" s="227">
        <v>188000</v>
      </c>
      <c r="F29" s="228">
        <f t="shared" si="0"/>
        <v>248000</v>
      </c>
      <c r="G29" s="146">
        <v>109500</v>
      </c>
      <c r="H29" s="146">
        <v>170596.8879575858</v>
      </c>
      <c r="I29" s="146">
        <v>280096.8879575858</v>
      </c>
      <c r="J29" s="198">
        <f t="shared" si="1"/>
        <v>60000</v>
      </c>
      <c r="K29" s="198">
        <f t="shared" si="2"/>
        <v>170596.8879575858</v>
      </c>
      <c r="L29" s="198">
        <f t="shared" si="3"/>
        <v>230596.8879575858</v>
      </c>
      <c r="M29" s="301">
        <f t="shared" si="4"/>
        <v>55800</v>
      </c>
      <c r="N29" s="301">
        <f t="shared" si="5"/>
        <v>158655.1058005548</v>
      </c>
      <c r="O29" s="300">
        <f t="shared" si="6"/>
        <v>214455.1058005548</v>
      </c>
    </row>
    <row r="30" spans="1:15" x14ac:dyDescent="0.25">
      <c r="A30" s="151">
        <v>27</v>
      </c>
      <c r="B30" s="152" t="s">
        <v>13</v>
      </c>
      <c r="C30" s="153" t="s">
        <v>153</v>
      </c>
      <c r="D30" s="227">
        <v>148000</v>
      </c>
      <c r="E30" s="227">
        <v>849000</v>
      </c>
      <c r="F30" s="228">
        <f t="shared" si="0"/>
        <v>997000</v>
      </c>
      <c r="G30" s="146">
        <v>134500</v>
      </c>
      <c r="H30" s="146">
        <v>771817.19519518432</v>
      </c>
      <c r="I30" s="146">
        <v>906317.19519518432</v>
      </c>
      <c r="J30" s="198">
        <f t="shared" si="1"/>
        <v>134500</v>
      </c>
      <c r="K30" s="198">
        <f t="shared" si="2"/>
        <v>771817.19519518432</v>
      </c>
      <c r="L30" s="198">
        <f t="shared" si="3"/>
        <v>906317.19519518432</v>
      </c>
      <c r="M30" s="301">
        <f t="shared" si="4"/>
        <v>125085</v>
      </c>
      <c r="N30" s="301">
        <f t="shared" si="5"/>
        <v>717789.99153152143</v>
      </c>
      <c r="O30" s="300">
        <f t="shared" si="6"/>
        <v>842874.99153152143</v>
      </c>
    </row>
    <row r="31" spans="1:15" x14ac:dyDescent="0.25">
      <c r="A31" s="151">
        <v>28</v>
      </c>
      <c r="B31" s="152" t="s">
        <v>151</v>
      </c>
      <c r="C31" s="153" t="s">
        <v>153</v>
      </c>
      <c r="D31" s="227">
        <v>31000</v>
      </c>
      <c r="E31" s="227">
        <v>90000</v>
      </c>
      <c r="F31" s="228">
        <f t="shared" si="0"/>
        <v>121000</v>
      </c>
      <c r="G31" s="146">
        <v>65500</v>
      </c>
      <c r="H31" s="146">
        <v>81532.647355390145</v>
      </c>
      <c r="I31" s="146">
        <v>147032.64735539013</v>
      </c>
      <c r="J31" s="198">
        <f t="shared" si="1"/>
        <v>31000</v>
      </c>
      <c r="K31" s="198">
        <f t="shared" si="2"/>
        <v>81532.647355390145</v>
      </c>
      <c r="L31" s="198">
        <f t="shared" si="3"/>
        <v>112532.64735539015</v>
      </c>
      <c r="M31" s="301">
        <f t="shared" si="4"/>
        <v>28830</v>
      </c>
      <c r="N31" s="301">
        <f t="shared" si="5"/>
        <v>75825.362040512831</v>
      </c>
      <c r="O31" s="300">
        <f t="shared" si="6"/>
        <v>104655.36204051283</v>
      </c>
    </row>
    <row r="32" spans="1:15" x14ac:dyDescent="0.25">
      <c r="A32" s="151">
        <v>29</v>
      </c>
      <c r="B32" s="152" t="s">
        <v>163</v>
      </c>
      <c r="C32" s="153" t="s">
        <v>153</v>
      </c>
      <c r="D32" s="227">
        <v>27000</v>
      </c>
      <c r="E32" s="227">
        <v>78000</v>
      </c>
      <c r="F32" s="228">
        <f t="shared" si="0"/>
        <v>105000</v>
      </c>
      <c r="G32" s="146">
        <v>99500</v>
      </c>
      <c r="H32" s="146">
        <v>70778.963523130224</v>
      </c>
      <c r="I32" s="146">
        <v>170278.96352313022</v>
      </c>
      <c r="J32" s="198">
        <f t="shared" si="1"/>
        <v>27000</v>
      </c>
      <c r="K32" s="198">
        <f t="shared" si="2"/>
        <v>70778.963523130224</v>
      </c>
      <c r="L32" s="198">
        <f t="shared" si="3"/>
        <v>97778.963523130224</v>
      </c>
      <c r="M32" s="301">
        <f t="shared" si="4"/>
        <v>25110</v>
      </c>
      <c r="N32" s="301">
        <f t="shared" si="5"/>
        <v>65824.436076511105</v>
      </c>
      <c r="O32" s="300">
        <f t="shared" si="6"/>
        <v>90934.436076511105</v>
      </c>
    </row>
    <row r="33" spans="1:15" x14ac:dyDescent="0.25">
      <c r="A33" s="151">
        <v>30</v>
      </c>
      <c r="B33" s="152" t="s">
        <v>165</v>
      </c>
      <c r="C33" s="153" t="s">
        <v>153</v>
      </c>
      <c r="D33" s="227">
        <v>60000</v>
      </c>
      <c r="E33" s="227">
        <v>185000</v>
      </c>
      <c r="F33" s="228">
        <f t="shared" si="0"/>
        <v>245000</v>
      </c>
      <c r="G33" s="146">
        <v>99500</v>
      </c>
      <c r="H33" s="146">
        <v>168548.61378460779</v>
      </c>
      <c r="I33" s="146">
        <v>268048.61378460779</v>
      </c>
      <c r="J33" s="198">
        <f t="shared" si="1"/>
        <v>60000</v>
      </c>
      <c r="K33" s="198">
        <f t="shared" si="2"/>
        <v>168548.61378460779</v>
      </c>
      <c r="L33" s="198">
        <f t="shared" si="3"/>
        <v>228548.61378460779</v>
      </c>
      <c r="M33" s="301">
        <f t="shared" si="4"/>
        <v>55800</v>
      </c>
      <c r="N33" s="301">
        <f t="shared" si="5"/>
        <v>156750.21081968525</v>
      </c>
      <c r="O33" s="300">
        <f t="shared" si="6"/>
        <v>212550.21081968525</v>
      </c>
    </row>
    <row r="34" spans="1:15" x14ac:dyDescent="0.25">
      <c r="A34" s="151">
        <v>31</v>
      </c>
      <c r="B34" s="152" t="s">
        <v>7</v>
      </c>
      <c r="C34" s="153" t="s">
        <v>153</v>
      </c>
      <c r="D34" s="227">
        <v>89000</v>
      </c>
      <c r="E34" s="227">
        <v>277000</v>
      </c>
      <c r="F34" s="228">
        <f t="shared" si="0"/>
        <v>366000</v>
      </c>
      <c r="G34" s="146">
        <v>184500</v>
      </c>
      <c r="H34" s="146">
        <v>251481.71961890621</v>
      </c>
      <c r="I34" s="146">
        <v>435981.71961890621</v>
      </c>
      <c r="J34" s="198">
        <f t="shared" si="1"/>
        <v>89000</v>
      </c>
      <c r="K34" s="198">
        <f t="shared" si="2"/>
        <v>251481.71961890621</v>
      </c>
      <c r="L34" s="198">
        <f t="shared" si="3"/>
        <v>340481.71961890621</v>
      </c>
      <c r="M34" s="301">
        <f t="shared" si="4"/>
        <v>82770</v>
      </c>
      <c r="N34" s="301">
        <f t="shared" si="5"/>
        <v>233877.99924558279</v>
      </c>
      <c r="O34" s="300">
        <f t="shared" si="6"/>
        <v>316647.99924558279</v>
      </c>
    </row>
    <row r="35" spans="1:15" x14ac:dyDescent="0.25">
      <c r="A35" s="151">
        <v>32</v>
      </c>
      <c r="B35" s="158" t="s">
        <v>353</v>
      </c>
      <c r="C35" s="153" t="s">
        <v>153</v>
      </c>
      <c r="D35" s="227">
        <v>93000</v>
      </c>
      <c r="E35" s="227">
        <v>297000</v>
      </c>
      <c r="F35" s="228">
        <f t="shared" si="0"/>
        <v>390000</v>
      </c>
      <c r="G35" s="146">
        <v>84500</v>
      </c>
      <c r="H35" s="146">
        <v>270444.1432871198</v>
      </c>
      <c r="I35" s="146">
        <v>354944.1432871198</v>
      </c>
      <c r="J35" s="198">
        <f t="shared" si="1"/>
        <v>84500</v>
      </c>
      <c r="K35" s="198">
        <f t="shared" si="2"/>
        <v>270444.1432871198</v>
      </c>
      <c r="L35" s="198">
        <f t="shared" si="3"/>
        <v>354944.1432871198</v>
      </c>
      <c r="M35" s="301">
        <f t="shared" si="4"/>
        <v>78585</v>
      </c>
      <c r="N35" s="301">
        <f t="shared" si="5"/>
        <v>251513.05325702141</v>
      </c>
      <c r="O35" s="300">
        <f t="shared" si="6"/>
        <v>330098.05325702141</v>
      </c>
    </row>
    <row r="36" spans="1:15" x14ac:dyDescent="0.25">
      <c r="A36" s="151">
        <v>33</v>
      </c>
      <c r="B36" s="158" t="s">
        <v>109</v>
      </c>
      <c r="C36" s="153" t="s">
        <v>153</v>
      </c>
      <c r="D36" s="227">
        <v>180000</v>
      </c>
      <c r="E36" s="227">
        <v>560000</v>
      </c>
      <c r="F36" s="228">
        <f t="shared" si="0"/>
        <v>740000</v>
      </c>
      <c r="G36" s="146">
        <v>749500</v>
      </c>
      <c r="H36" s="146">
        <v>508698.026312812</v>
      </c>
      <c r="I36" s="146">
        <v>1258198.026312812</v>
      </c>
      <c r="J36" s="198">
        <f t="shared" si="1"/>
        <v>180000</v>
      </c>
      <c r="K36" s="198">
        <f t="shared" si="2"/>
        <v>508698.026312812</v>
      </c>
      <c r="L36" s="198">
        <f t="shared" si="3"/>
        <v>688698.026312812</v>
      </c>
      <c r="M36" s="301">
        <f t="shared" si="4"/>
        <v>167400</v>
      </c>
      <c r="N36" s="301">
        <f t="shared" si="5"/>
        <v>473089.16447091516</v>
      </c>
      <c r="O36" s="300">
        <f t="shared" si="6"/>
        <v>640489.16447091522</v>
      </c>
    </row>
    <row r="37" spans="1:15" x14ac:dyDescent="0.25">
      <c r="A37" s="151">
        <v>34</v>
      </c>
      <c r="B37" s="152" t="s">
        <v>135</v>
      </c>
      <c r="C37" s="153" t="s">
        <v>153</v>
      </c>
      <c r="D37" s="227">
        <v>112000</v>
      </c>
      <c r="E37" s="227">
        <v>347000</v>
      </c>
      <c r="F37" s="228">
        <f t="shared" si="0"/>
        <v>459000</v>
      </c>
      <c r="G37" s="146">
        <v>299500</v>
      </c>
      <c r="H37" s="146">
        <v>315844.45808253955</v>
      </c>
      <c r="I37" s="146">
        <v>615344.4580825395</v>
      </c>
      <c r="J37" s="198">
        <f t="shared" si="1"/>
        <v>112000</v>
      </c>
      <c r="K37" s="198">
        <f t="shared" si="2"/>
        <v>315844.45808253955</v>
      </c>
      <c r="L37" s="198">
        <f t="shared" si="3"/>
        <v>427844.45808253955</v>
      </c>
      <c r="M37" s="301">
        <f t="shared" si="4"/>
        <v>104160</v>
      </c>
      <c r="N37" s="301">
        <f t="shared" si="5"/>
        <v>293735.34601676179</v>
      </c>
      <c r="O37" s="300">
        <f t="shared" si="6"/>
        <v>397895.34601676179</v>
      </c>
    </row>
    <row r="38" spans="1:15" ht="33.75" x14ac:dyDescent="0.25">
      <c r="A38" s="151">
        <v>35</v>
      </c>
      <c r="B38" s="152" t="s">
        <v>333</v>
      </c>
      <c r="C38" s="153" t="s">
        <v>153</v>
      </c>
      <c r="D38" s="227">
        <v>130000</v>
      </c>
      <c r="E38" s="227">
        <v>445000</v>
      </c>
      <c r="F38" s="228">
        <f t="shared" si="0"/>
        <v>575000</v>
      </c>
      <c r="G38" s="146">
        <v>299500</v>
      </c>
      <c r="H38" s="146">
        <v>527508.90702312021</v>
      </c>
      <c r="I38" s="146">
        <v>827008.90702312021</v>
      </c>
      <c r="J38" s="198">
        <f t="shared" si="1"/>
        <v>130000</v>
      </c>
      <c r="K38" s="198">
        <f t="shared" si="2"/>
        <v>445000</v>
      </c>
      <c r="L38" s="198">
        <f t="shared" si="3"/>
        <v>575000</v>
      </c>
      <c r="M38" s="301">
        <f t="shared" si="4"/>
        <v>120900</v>
      </c>
      <c r="N38" s="301">
        <f t="shared" si="5"/>
        <v>413850</v>
      </c>
      <c r="O38" s="300">
        <f t="shared" si="6"/>
        <v>534750</v>
      </c>
    </row>
    <row r="39" spans="1:15" ht="22.5" x14ac:dyDescent="0.25">
      <c r="A39" s="210"/>
      <c r="B39" s="156" t="s">
        <v>22</v>
      </c>
      <c r="C39" s="153" t="s">
        <v>153</v>
      </c>
      <c r="D39" s="227">
        <v>0</v>
      </c>
      <c r="E39" s="227">
        <v>0</v>
      </c>
      <c r="F39" s="228">
        <f t="shared" si="0"/>
        <v>0</v>
      </c>
      <c r="G39" s="146"/>
      <c r="H39" s="146"/>
      <c r="I39" s="146">
        <v>0</v>
      </c>
      <c r="J39" s="198">
        <f t="shared" si="1"/>
        <v>0</v>
      </c>
      <c r="K39" s="198">
        <f t="shared" si="2"/>
        <v>0</v>
      </c>
      <c r="L39" s="198">
        <f t="shared" si="3"/>
        <v>0</v>
      </c>
      <c r="M39" s="301">
        <f t="shared" si="4"/>
        <v>0</v>
      </c>
      <c r="N39" s="301">
        <f t="shared" si="5"/>
        <v>0</v>
      </c>
      <c r="O39" s="300">
        <f t="shared" si="6"/>
        <v>0</v>
      </c>
    </row>
    <row r="40" spans="1:15" x14ac:dyDescent="0.25">
      <c r="A40" s="210">
        <v>36</v>
      </c>
      <c r="B40" s="152" t="s">
        <v>23</v>
      </c>
      <c r="C40" s="153" t="s">
        <v>153</v>
      </c>
      <c r="D40" s="227">
        <v>220000</v>
      </c>
      <c r="E40" s="227">
        <v>684000</v>
      </c>
      <c r="F40" s="228">
        <f t="shared" si="0"/>
        <v>904000</v>
      </c>
      <c r="G40" s="146">
        <v>224500</v>
      </c>
      <c r="H40" s="146">
        <v>621476.34304692422</v>
      </c>
      <c r="I40" s="146">
        <v>845976.34304692422</v>
      </c>
      <c r="J40" s="198">
        <f t="shared" si="1"/>
        <v>220000</v>
      </c>
      <c r="K40" s="198">
        <f t="shared" si="2"/>
        <v>621476.34304692422</v>
      </c>
      <c r="L40" s="198">
        <f t="shared" si="3"/>
        <v>841476.34304692422</v>
      </c>
      <c r="M40" s="301">
        <f t="shared" si="4"/>
        <v>204600</v>
      </c>
      <c r="N40" s="301">
        <f t="shared" si="5"/>
        <v>577972.99903363956</v>
      </c>
      <c r="O40" s="300">
        <f t="shared" si="6"/>
        <v>782572.99903363956</v>
      </c>
    </row>
    <row r="41" spans="1:15" x14ac:dyDescent="0.25">
      <c r="A41" s="210">
        <v>37</v>
      </c>
      <c r="B41" s="152" t="s">
        <v>167</v>
      </c>
      <c r="C41" s="153" t="s">
        <v>153</v>
      </c>
      <c r="D41" s="227">
        <v>67000</v>
      </c>
      <c r="E41" s="227">
        <v>229000</v>
      </c>
      <c r="F41" s="228">
        <f t="shared" si="0"/>
        <v>296000</v>
      </c>
      <c r="G41" s="146">
        <v>224500</v>
      </c>
      <c r="H41" s="146">
        <v>228367.36062325357</v>
      </c>
      <c r="I41" s="146">
        <v>452867.36062325357</v>
      </c>
      <c r="J41" s="198">
        <f t="shared" si="1"/>
        <v>67000</v>
      </c>
      <c r="K41" s="198">
        <f t="shared" si="2"/>
        <v>228367.36062325357</v>
      </c>
      <c r="L41" s="198">
        <f t="shared" si="3"/>
        <v>295367.36062325357</v>
      </c>
      <c r="M41" s="301">
        <f t="shared" si="4"/>
        <v>62310</v>
      </c>
      <c r="N41" s="301">
        <f t="shared" si="5"/>
        <v>212381.64537962581</v>
      </c>
      <c r="O41" s="300">
        <f t="shared" si="6"/>
        <v>274691.64537962584</v>
      </c>
    </row>
    <row r="42" spans="1:15" x14ac:dyDescent="0.25">
      <c r="A42" s="210">
        <v>38</v>
      </c>
      <c r="B42" s="152" t="s">
        <v>24</v>
      </c>
      <c r="C42" s="153" t="s">
        <v>153</v>
      </c>
      <c r="D42" s="227">
        <v>45000</v>
      </c>
      <c r="E42" s="227">
        <v>140000</v>
      </c>
      <c r="F42" s="228">
        <f t="shared" si="0"/>
        <v>185000</v>
      </c>
      <c r="G42" s="146">
        <v>84500</v>
      </c>
      <c r="H42" s="146">
        <v>127644.68723591724</v>
      </c>
      <c r="I42" s="146">
        <v>212144.68723591726</v>
      </c>
      <c r="J42" s="198">
        <f t="shared" si="1"/>
        <v>45000</v>
      </c>
      <c r="K42" s="198">
        <f t="shared" si="2"/>
        <v>127644.68723591724</v>
      </c>
      <c r="L42" s="198">
        <f t="shared" si="3"/>
        <v>172644.68723591726</v>
      </c>
      <c r="M42" s="301">
        <f t="shared" si="4"/>
        <v>41850</v>
      </c>
      <c r="N42" s="301">
        <f t="shared" si="5"/>
        <v>118709.55912940303</v>
      </c>
      <c r="O42" s="300">
        <f t="shared" si="6"/>
        <v>160559.55912940303</v>
      </c>
    </row>
    <row r="43" spans="1:15" x14ac:dyDescent="0.25">
      <c r="A43" s="210">
        <v>39</v>
      </c>
      <c r="B43" s="152" t="s">
        <v>25</v>
      </c>
      <c r="C43" s="153" t="s">
        <v>153</v>
      </c>
      <c r="D43" s="227">
        <v>45000</v>
      </c>
      <c r="E43" s="227">
        <v>140000</v>
      </c>
      <c r="F43" s="228">
        <f t="shared" si="0"/>
        <v>185000</v>
      </c>
      <c r="G43" s="146">
        <v>124500</v>
      </c>
      <c r="H43" s="146">
        <v>127644.68723591724</v>
      </c>
      <c r="I43" s="146">
        <v>252144.68723591726</v>
      </c>
      <c r="J43" s="198">
        <f t="shared" si="1"/>
        <v>45000</v>
      </c>
      <c r="K43" s="198">
        <f t="shared" si="2"/>
        <v>127644.68723591724</v>
      </c>
      <c r="L43" s="198">
        <f t="shared" si="3"/>
        <v>172644.68723591726</v>
      </c>
      <c r="M43" s="301">
        <f t="shared" si="4"/>
        <v>41850</v>
      </c>
      <c r="N43" s="301">
        <f t="shared" si="5"/>
        <v>118709.55912940303</v>
      </c>
      <c r="O43" s="300">
        <f t="shared" si="6"/>
        <v>160559.55912940303</v>
      </c>
    </row>
    <row r="44" spans="1:15" x14ac:dyDescent="0.25">
      <c r="A44" s="210">
        <v>40</v>
      </c>
      <c r="B44" s="152" t="s">
        <v>283</v>
      </c>
      <c r="C44" s="153" t="s">
        <v>153</v>
      </c>
      <c r="D44" s="227">
        <v>140000</v>
      </c>
      <c r="E44" s="227">
        <v>802000</v>
      </c>
      <c r="F44" s="228">
        <f t="shared" si="0"/>
        <v>942000</v>
      </c>
      <c r="G44" s="146">
        <v>619500</v>
      </c>
      <c r="H44" s="146">
        <v>1119958.1218831169</v>
      </c>
      <c r="I44" s="146">
        <v>1739458.1218831169</v>
      </c>
      <c r="J44" s="198">
        <f t="shared" si="1"/>
        <v>140000</v>
      </c>
      <c r="K44" s="198">
        <f t="shared" si="2"/>
        <v>802000</v>
      </c>
      <c r="L44" s="198">
        <f t="shared" si="3"/>
        <v>942000</v>
      </c>
      <c r="M44" s="301">
        <f t="shared" si="4"/>
        <v>130200</v>
      </c>
      <c r="N44" s="301">
        <f t="shared" si="5"/>
        <v>745860</v>
      </c>
      <c r="O44" s="300">
        <f t="shared" si="6"/>
        <v>876060</v>
      </c>
    </row>
    <row r="45" spans="1:15" x14ac:dyDescent="0.25">
      <c r="A45" s="210">
        <v>41</v>
      </c>
      <c r="B45" s="152" t="s">
        <v>332</v>
      </c>
      <c r="C45" s="153" t="s">
        <v>153</v>
      </c>
      <c r="D45" s="227">
        <v>67000</v>
      </c>
      <c r="E45" s="227">
        <v>229000</v>
      </c>
      <c r="F45" s="228">
        <f t="shared" si="0"/>
        <v>296000</v>
      </c>
      <c r="G45" s="146">
        <v>389500</v>
      </c>
      <c r="H45" s="146">
        <v>234720.48945043876</v>
      </c>
      <c r="I45" s="146">
        <v>624220.48945043876</v>
      </c>
      <c r="J45" s="198">
        <f t="shared" si="1"/>
        <v>67000</v>
      </c>
      <c r="K45" s="198">
        <f t="shared" si="2"/>
        <v>229000</v>
      </c>
      <c r="L45" s="198">
        <f t="shared" si="3"/>
        <v>296000</v>
      </c>
      <c r="M45" s="301">
        <f t="shared" si="4"/>
        <v>62310</v>
      </c>
      <c r="N45" s="301">
        <f t="shared" si="5"/>
        <v>212970</v>
      </c>
      <c r="O45" s="300">
        <f t="shared" si="6"/>
        <v>275280</v>
      </c>
    </row>
    <row r="46" spans="1:15" x14ac:dyDescent="0.25">
      <c r="A46" s="210">
        <v>42</v>
      </c>
      <c r="B46" s="152" t="s">
        <v>92</v>
      </c>
      <c r="C46" s="153" t="s">
        <v>153</v>
      </c>
      <c r="D46" s="227">
        <v>199000</v>
      </c>
      <c r="E46" s="227">
        <v>617000</v>
      </c>
      <c r="F46" s="228">
        <f t="shared" si="0"/>
        <v>816000</v>
      </c>
      <c r="G46" s="146">
        <v>349500</v>
      </c>
      <c r="H46" s="146">
        <v>561273.96898349037</v>
      </c>
      <c r="I46" s="146">
        <v>910773.96898349037</v>
      </c>
      <c r="J46" s="198">
        <f t="shared" si="1"/>
        <v>199000</v>
      </c>
      <c r="K46" s="198">
        <f t="shared" si="2"/>
        <v>561273.96898349037</v>
      </c>
      <c r="L46" s="198">
        <f t="shared" si="3"/>
        <v>760273.96898349037</v>
      </c>
      <c r="M46" s="301">
        <f t="shared" si="4"/>
        <v>185070</v>
      </c>
      <c r="N46" s="301">
        <f t="shared" si="5"/>
        <v>521984.79115464602</v>
      </c>
      <c r="O46" s="300">
        <f t="shared" si="6"/>
        <v>707054.79115464608</v>
      </c>
    </row>
    <row r="47" spans="1:15" ht="22.5" x14ac:dyDescent="0.25">
      <c r="A47" s="210"/>
      <c r="B47" s="156" t="s">
        <v>97</v>
      </c>
      <c r="C47" s="153" t="s">
        <v>153</v>
      </c>
      <c r="D47" s="227">
        <v>0</v>
      </c>
      <c r="E47" s="227">
        <v>0</v>
      </c>
      <c r="F47" s="228">
        <f t="shared" si="0"/>
        <v>0</v>
      </c>
      <c r="G47" s="146"/>
      <c r="H47" s="146"/>
      <c r="I47" s="146">
        <v>0</v>
      </c>
      <c r="J47" s="198">
        <f t="shared" si="1"/>
        <v>0</v>
      </c>
      <c r="K47" s="198">
        <f t="shared" si="2"/>
        <v>0</v>
      </c>
      <c r="L47" s="198">
        <f t="shared" si="3"/>
        <v>0</v>
      </c>
      <c r="M47" s="301">
        <f t="shared" si="4"/>
        <v>0</v>
      </c>
      <c r="N47" s="301">
        <f t="shared" si="5"/>
        <v>0</v>
      </c>
      <c r="O47" s="300">
        <f t="shared" si="6"/>
        <v>0</v>
      </c>
    </row>
    <row r="48" spans="1:15" x14ac:dyDescent="0.25">
      <c r="A48" s="210">
        <v>43</v>
      </c>
      <c r="B48" s="152" t="s">
        <v>169</v>
      </c>
      <c r="C48" s="153" t="s">
        <v>153</v>
      </c>
      <c r="D48" s="227">
        <v>348000</v>
      </c>
      <c r="E48" s="227">
        <v>857000</v>
      </c>
      <c r="F48" s="228">
        <f t="shared" si="0"/>
        <v>1205000</v>
      </c>
      <c r="G48" s="146">
        <v>549500</v>
      </c>
      <c r="H48" s="146">
        <v>982891.82204748341</v>
      </c>
      <c r="I48" s="146">
        <v>1532391.8220474834</v>
      </c>
      <c r="J48" s="198">
        <f t="shared" si="1"/>
        <v>348000</v>
      </c>
      <c r="K48" s="198">
        <f t="shared" si="2"/>
        <v>857000</v>
      </c>
      <c r="L48" s="198">
        <f t="shared" si="3"/>
        <v>1205000</v>
      </c>
      <c r="M48" s="301">
        <f t="shared" si="4"/>
        <v>323640</v>
      </c>
      <c r="N48" s="301">
        <f t="shared" si="5"/>
        <v>797010</v>
      </c>
      <c r="O48" s="300">
        <f t="shared" si="6"/>
        <v>1120650</v>
      </c>
    </row>
    <row r="49" spans="1:15" x14ac:dyDescent="0.25">
      <c r="A49" s="210">
        <v>44</v>
      </c>
      <c r="B49" s="152" t="s">
        <v>170</v>
      </c>
      <c r="C49" s="153" t="s">
        <v>153</v>
      </c>
      <c r="D49" s="227">
        <v>178000</v>
      </c>
      <c r="E49" s="227">
        <v>608000</v>
      </c>
      <c r="F49" s="228">
        <f t="shared" si="0"/>
        <v>786000</v>
      </c>
      <c r="G49" s="146">
        <v>579500</v>
      </c>
      <c r="H49" s="146">
        <v>782700</v>
      </c>
      <c r="I49" s="146">
        <v>1362200</v>
      </c>
      <c r="J49" s="198">
        <f t="shared" si="1"/>
        <v>178000</v>
      </c>
      <c r="K49" s="198">
        <f t="shared" si="2"/>
        <v>608000</v>
      </c>
      <c r="L49" s="198">
        <f t="shared" si="3"/>
        <v>786000</v>
      </c>
      <c r="M49" s="301">
        <f t="shared" si="4"/>
        <v>165540</v>
      </c>
      <c r="N49" s="301">
        <f t="shared" si="5"/>
        <v>565440</v>
      </c>
      <c r="O49" s="300">
        <f t="shared" si="6"/>
        <v>730980</v>
      </c>
    </row>
    <row r="50" spans="1:15" x14ac:dyDescent="0.25">
      <c r="A50" s="210">
        <v>45</v>
      </c>
      <c r="B50" s="152" t="s">
        <v>211</v>
      </c>
      <c r="C50" s="153" t="s">
        <v>153</v>
      </c>
      <c r="D50" s="227">
        <v>120000</v>
      </c>
      <c r="E50" s="227">
        <v>371000</v>
      </c>
      <c r="F50" s="228">
        <f t="shared" si="0"/>
        <v>491000</v>
      </c>
      <c r="G50" s="146">
        <v>574500</v>
      </c>
      <c r="H50" s="146">
        <v>337700</v>
      </c>
      <c r="I50" s="146">
        <v>912200</v>
      </c>
      <c r="J50" s="198">
        <f t="shared" si="1"/>
        <v>120000</v>
      </c>
      <c r="K50" s="198">
        <f t="shared" si="2"/>
        <v>337700</v>
      </c>
      <c r="L50" s="198">
        <f t="shared" si="3"/>
        <v>457700</v>
      </c>
      <c r="M50" s="301">
        <f t="shared" si="4"/>
        <v>111600</v>
      </c>
      <c r="N50" s="301">
        <f t="shared" si="5"/>
        <v>314061</v>
      </c>
      <c r="O50" s="300">
        <f t="shared" si="6"/>
        <v>425661</v>
      </c>
    </row>
    <row r="51" spans="1:15" x14ac:dyDescent="0.25">
      <c r="A51" s="210">
        <v>46</v>
      </c>
      <c r="B51" s="152" t="s">
        <v>291</v>
      </c>
      <c r="C51" s="153" t="s">
        <v>153</v>
      </c>
      <c r="D51" s="227">
        <v>110000</v>
      </c>
      <c r="E51" s="227">
        <v>342000</v>
      </c>
      <c r="F51" s="228">
        <f t="shared" si="0"/>
        <v>452000</v>
      </c>
      <c r="G51" s="146">
        <v>549500</v>
      </c>
      <c r="H51" s="146">
        <v>311000</v>
      </c>
      <c r="I51" s="146">
        <v>860500</v>
      </c>
      <c r="J51" s="198">
        <f t="shared" si="1"/>
        <v>110000</v>
      </c>
      <c r="K51" s="198">
        <f t="shared" si="2"/>
        <v>311000</v>
      </c>
      <c r="L51" s="198">
        <f t="shared" si="3"/>
        <v>421000</v>
      </c>
      <c r="M51" s="301">
        <f t="shared" si="4"/>
        <v>102300</v>
      </c>
      <c r="N51" s="301">
        <f t="shared" si="5"/>
        <v>289230</v>
      </c>
      <c r="O51" s="300">
        <f t="shared" si="6"/>
        <v>391530</v>
      </c>
    </row>
    <row r="52" spans="1:15" x14ac:dyDescent="0.25">
      <c r="A52" s="210">
        <v>47</v>
      </c>
      <c r="B52" s="152" t="s">
        <v>17</v>
      </c>
      <c r="C52" s="153" t="s">
        <v>153</v>
      </c>
      <c r="D52" s="227">
        <v>137000</v>
      </c>
      <c r="E52" s="227">
        <v>455000</v>
      </c>
      <c r="F52" s="228">
        <f t="shared" si="0"/>
        <v>592000</v>
      </c>
      <c r="G52" s="146">
        <v>124500</v>
      </c>
      <c r="H52" s="146">
        <v>413368.76953729999</v>
      </c>
      <c r="I52" s="146">
        <v>537868.76953729999</v>
      </c>
      <c r="J52" s="198">
        <f t="shared" si="1"/>
        <v>124500</v>
      </c>
      <c r="K52" s="198">
        <f t="shared" si="2"/>
        <v>413368.76953729999</v>
      </c>
      <c r="L52" s="198">
        <f t="shared" si="3"/>
        <v>537868.76953729999</v>
      </c>
      <c r="M52" s="301">
        <f t="shared" si="4"/>
        <v>115785</v>
      </c>
      <c r="N52" s="301">
        <f t="shared" si="5"/>
        <v>384432.95566968899</v>
      </c>
      <c r="O52" s="300">
        <f t="shared" si="6"/>
        <v>500217.95566968899</v>
      </c>
    </row>
    <row r="53" spans="1:15" x14ac:dyDescent="0.25">
      <c r="A53" s="210">
        <v>48</v>
      </c>
      <c r="B53" s="152" t="s">
        <v>16</v>
      </c>
      <c r="C53" s="153" t="s">
        <v>153</v>
      </c>
      <c r="D53" s="227">
        <v>109000</v>
      </c>
      <c r="E53" s="227">
        <v>339000</v>
      </c>
      <c r="F53" s="228">
        <f t="shared" si="0"/>
        <v>448000</v>
      </c>
      <c r="G53" s="146">
        <v>124500</v>
      </c>
      <c r="H53" s="146">
        <v>307996.46927165263</v>
      </c>
      <c r="I53" s="146">
        <v>432496.46927165263</v>
      </c>
      <c r="J53" s="198">
        <f t="shared" si="1"/>
        <v>109000</v>
      </c>
      <c r="K53" s="198">
        <f t="shared" si="2"/>
        <v>307996.46927165263</v>
      </c>
      <c r="L53" s="198">
        <f t="shared" si="3"/>
        <v>416996.46927165263</v>
      </c>
      <c r="M53" s="301">
        <f t="shared" si="4"/>
        <v>101370</v>
      </c>
      <c r="N53" s="301">
        <f t="shared" si="5"/>
        <v>286436.71642263694</v>
      </c>
      <c r="O53" s="300">
        <f t="shared" si="6"/>
        <v>387806.71642263694</v>
      </c>
    </row>
    <row r="54" spans="1:15" x14ac:dyDescent="0.25">
      <c r="A54" s="210">
        <v>49</v>
      </c>
      <c r="B54" s="158" t="s">
        <v>75</v>
      </c>
      <c r="C54" s="153" t="s">
        <v>153</v>
      </c>
      <c r="D54" s="227">
        <v>79000</v>
      </c>
      <c r="E54" s="227">
        <v>245000</v>
      </c>
      <c r="F54" s="228">
        <f t="shared" si="0"/>
        <v>324000</v>
      </c>
      <c r="G54" s="146">
        <v>149500</v>
      </c>
      <c r="H54" s="146">
        <v>222566.67778104113</v>
      </c>
      <c r="I54" s="146">
        <v>372066.67778104113</v>
      </c>
      <c r="J54" s="198">
        <f t="shared" si="1"/>
        <v>79000</v>
      </c>
      <c r="K54" s="198">
        <f t="shared" si="2"/>
        <v>222566.67778104113</v>
      </c>
      <c r="L54" s="198">
        <f t="shared" si="3"/>
        <v>301566.67778104113</v>
      </c>
      <c r="M54" s="301">
        <f t="shared" si="4"/>
        <v>73470</v>
      </c>
      <c r="N54" s="301">
        <f t="shared" si="5"/>
        <v>206987.01033636826</v>
      </c>
      <c r="O54" s="300">
        <f t="shared" si="6"/>
        <v>280457.01033636823</v>
      </c>
    </row>
    <row r="55" spans="1:15" x14ac:dyDescent="0.25">
      <c r="A55" s="210">
        <v>50</v>
      </c>
      <c r="B55" s="158" t="s">
        <v>76</v>
      </c>
      <c r="C55" s="153" t="s">
        <v>153</v>
      </c>
      <c r="D55" s="227">
        <v>116000</v>
      </c>
      <c r="E55" s="227">
        <v>361000</v>
      </c>
      <c r="F55" s="228">
        <f t="shared" si="0"/>
        <v>477000</v>
      </c>
      <c r="G55" s="146">
        <v>449500</v>
      </c>
      <c r="H55" s="146">
        <v>327740.24330503837</v>
      </c>
      <c r="I55" s="146">
        <v>777240.24330503843</v>
      </c>
      <c r="J55" s="198">
        <f t="shared" si="1"/>
        <v>116000</v>
      </c>
      <c r="K55" s="198">
        <f t="shared" si="2"/>
        <v>327740.24330503837</v>
      </c>
      <c r="L55" s="198">
        <f t="shared" si="3"/>
        <v>443740.24330503837</v>
      </c>
      <c r="M55" s="301">
        <f t="shared" si="4"/>
        <v>107880</v>
      </c>
      <c r="N55" s="301">
        <f t="shared" si="5"/>
        <v>304798.42627368571</v>
      </c>
      <c r="O55" s="300">
        <f t="shared" si="6"/>
        <v>412678.42627368571</v>
      </c>
    </row>
    <row r="56" spans="1:15" x14ac:dyDescent="0.25">
      <c r="A56" s="210">
        <v>51</v>
      </c>
      <c r="B56" s="152" t="s">
        <v>18</v>
      </c>
      <c r="C56" s="153" t="s">
        <v>153</v>
      </c>
      <c r="D56" s="227">
        <v>88000</v>
      </c>
      <c r="E56" s="227">
        <v>274000</v>
      </c>
      <c r="F56" s="228">
        <f t="shared" si="0"/>
        <v>362000</v>
      </c>
      <c r="G56" s="146">
        <v>449500</v>
      </c>
      <c r="H56" s="146">
        <v>248697.75255820825</v>
      </c>
      <c r="I56" s="146">
        <v>698197.7525582083</v>
      </c>
      <c r="J56" s="198">
        <f t="shared" si="1"/>
        <v>88000</v>
      </c>
      <c r="K56" s="198">
        <f t="shared" si="2"/>
        <v>248697.75255820825</v>
      </c>
      <c r="L56" s="198">
        <f t="shared" si="3"/>
        <v>336697.75255820825</v>
      </c>
      <c r="M56" s="301">
        <f t="shared" si="4"/>
        <v>81840</v>
      </c>
      <c r="N56" s="301">
        <f t="shared" si="5"/>
        <v>231288.90987913366</v>
      </c>
      <c r="O56" s="300">
        <f t="shared" si="6"/>
        <v>313128.90987913369</v>
      </c>
    </row>
    <row r="57" spans="1:15" x14ac:dyDescent="0.25">
      <c r="A57" s="210">
        <v>52</v>
      </c>
      <c r="B57" s="152" t="s">
        <v>21</v>
      </c>
      <c r="C57" s="153" t="s">
        <v>153</v>
      </c>
      <c r="D57" s="227">
        <v>96000</v>
      </c>
      <c r="E57" s="227">
        <v>297000</v>
      </c>
      <c r="F57" s="228">
        <f t="shared" si="0"/>
        <v>393000</v>
      </c>
      <c r="G57" s="146">
        <v>449500</v>
      </c>
      <c r="H57" s="146">
        <v>270027.6730536031</v>
      </c>
      <c r="I57" s="146">
        <v>719527.67305360315</v>
      </c>
      <c r="J57" s="198">
        <f t="shared" si="1"/>
        <v>96000</v>
      </c>
      <c r="K57" s="198">
        <f t="shared" si="2"/>
        <v>270027.6730536031</v>
      </c>
      <c r="L57" s="198">
        <f t="shared" si="3"/>
        <v>366027.6730536031</v>
      </c>
      <c r="M57" s="301">
        <f t="shared" si="4"/>
        <v>89280</v>
      </c>
      <c r="N57" s="301">
        <f t="shared" si="5"/>
        <v>251125.73593985089</v>
      </c>
      <c r="O57" s="300">
        <f t="shared" si="6"/>
        <v>340405.73593985091</v>
      </c>
    </row>
    <row r="58" spans="1:15" x14ac:dyDescent="0.25">
      <c r="A58" s="210">
        <v>53</v>
      </c>
      <c r="B58" s="152" t="s">
        <v>20</v>
      </c>
      <c r="C58" s="153" t="s">
        <v>153</v>
      </c>
      <c r="D58" s="227">
        <v>65000</v>
      </c>
      <c r="E58" s="227">
        <v>203000</v>
      </c>
      <c r="F58" s="228">
        <f t="shared" si="0"/>
        <v>268000</v>
      </c>
      <c r="G58" s="146">
        <v>384500</v>
      </c>
      <c r="H58" s="146">
        <v>184597.88156299156</v>
      </c>
      <c r="I58" s="146">
        <v>569097.88156299153</v>
      </c>
      <c r="J58" s="198">
        <f t="shared" si="1"/>
        <v>65000</v>
      </c>
      <c r="K58" s="198">
        <f t="shared" si="2"/>
        <v>184597.88156299156</v>
      </c>
      <c r="L58" s="198">
        <f t="shared" si="3"/>
        <v>249597.88156299156</v>
      </c>
      <c r="M58" s="301">
        <f t="shared" si="4"/>
        <v>60450</v>
      </c>
      <c r="N58" s="301">
        <f t="shared" si="5"/>
        <v>171676.02985358215</v>
      </c>
      <c r="O58" s="300">
        <f t="shared" si="6"/>
        <v>232126.02985358215</v>
      </c>
    </row>
    <row r="59" spans="1:15" x14ac:dyDescent="0.25">
      <c r="A59" s="210">
        <v>54</v>
      </c>
      <c r="B59" s="152" t="s">
        <v>567</v>
      </c>
      <c r="C59" s="153" t="s">
        <v>153</v>
      </c>
      <c r="D59" s="227">
        <v>423000</v>
      </c>
      <c r="E59" s="227">
        <v>3426000</v>
      </c>
      <c r="F59" s="228">
        <f t="shared" si="0"/>
        <v>3849000</v>
      </c>
      <c r="G59" s="146">
        <v>384500</v>
      </c>
      <c r="H59" s="146">
        <v>3114500</v>
      </c>
      <c r="I59" s="146">
        <v>3499000</v>
      </c>
      <c r="J59" s="198">
        <f t="shared" si="1"/>
        <v>384500</v>
      </c>
      <c r="K59" s="198">
        <f t="shared" si="2"/>
        <v>3114500</v>
      </c>
      <c r="L59" s="198">
        <f t="shared" si="3"/>
        <v>3499000</v>
      </c>
      <c r="M59" s="301">
        <f t="shared" si="4"/>
        <v>357585</v>
      </c>
      <c r="N59" s="301">
        <f t="shared" si="5"/>
        <v>2896485</v>
      </c>
      <c r="O59" s="300">
        <f t="shared" si="6"/>
        <v>3254070</v>
      </c>
    </row>
    <row r="60" spans="1:15" ht="22.5" x14ac:dyDescent="0.25">
      <c r="A60" s="210">
        <v>55</v>
      </c>
      <c r="B60" s="152" t="s">
        <v>172</v>
      </c>
      <c r="C60" s="153" t="s">
        <v>153</v>
      </c>
      <c r="D60" s="227">
        <v>362000</v>
      </c>
      <c r="E60" s="227">
        <v>1127000</v>
      </c>
      <c r="F60" s="228">
        <f t="shared" si="0"/>
        <v>1489000</v>
      </c>
      <c r="G60" s="146">
        <v>549500</v>
      </c>
      <c r="H60" s="146">
        <v>1024156.2252248981</v>
      </c>
      <c r="I60" s="146">
        <v>1573656.2252248982</v>
      </c>
      <c r="J60" s="198">
        <f t="shared" si="1"/>
        <v>362000</v>
      </c>
      <c r="K60" s="198">
        <f t="shared" si="2"/>
        <v>1024156.2252248981</v>
      </c>
      <c r="L60" s="198">
        <f t="shared" si="3"/>
        <v>1386156.2252248982</v>
      </c>
      <c r="M60" s="301">
        <f t="shared" si="4"/>
        <v>336660</v>
      </c>
      <c r="N60" s="301">
        <f t="shared" si="5"/>
        <v>952465.28945915517</v>
      </c>
      <c r="O60" s="300">
        <f t="shared" si="6"/>
        <v>1289125.2894591552</v>
      </c>
    </row>
    <row r="61" spans="1:15" x14ac:dyDescent="0.25">
      <c r="A61" s="210">
        <v>56</v>
      </c>
      <c r="B61" s="152" t="s">
        <v>294</v>
      </c>
      <c r="C61" s="153" t="s">
        <v>153</v>
      </c>
      <c r="D61" s="227">
        <v>205000</v>
      </c>
      <c r="E61" s="227">
        <v>665000</v>
      </c>
      <c r="F61" s="228">
        <f t="shared" si="0"/>
        <v>870000</v>
      </c>
      <c r="G61" s="146">
        <v>549500</v>
      </c>
      <c r="H61" s="146">
        <v>604700</v>
      </c>
      <c r="I61" s="146">
        <v>1154200</v>
      </c>
      <c r="J61" s="198">
        <f t="shared" si="1"/>
        <v>205000</v>
      </c>
      <c r="K61" s="198">
        <f t="shared" si="2"/>
        <v>604700</v>
      </c>
      <c r="L61" s="198">
        <f t="shared" si="3"/>
        <v>809700</v>
      </c>
      <c r="M61" s="301">
        <f t="shared" si="4"/>
        <v>190650</v>
      </c>
      <c r="N61" s="301">
        <f t="shared" si="5"/>
        <v>562371</v>
      </c>
      <c r="O61" s="300">
        <f t="shared" si="6"/>
        <v>753021</v>
      </c>
    </row>
    <row r="62" spans="1:15" x14ac:dyDescent="0.25">
      <c r="A62" s="210">
        <v>57</v>
      </c>
      <c r="B62" s="158" t="s">
        <v>292</v>
      </c>
      <c r="C62" s="153" t="s">
        <v>153</v>
      </c>
      <c r="D62" s="227">
        <v>75000</v>
      </c>
      <c r="E62" s="227">
        <v>234000</v>
      </c>
      <c r="F62" s="228">
        <f t="shared" si="0"/>
        <v>309000</v>
      </c>
      <c r="G62" s="146">
        <v>549500</v>
      </c>
      <c r="H62" s="146">
        <v>213074.47872652876</v>
      </c>
      <c r="I62" s="146">
        <v>762574.47872652882</v>
      </c>
      <c r="J62" s="198">
        <f t="shared" si="1"/>
        <v>75000</v>
      </c>
      <c r="K62" s="198">
        <f t="shared" si="2"/>
        <v>213074.47872652876</v>
      </c>
      <c r="L62" s="198">
        <f t="shared" si="3"/>
        <v>288074.47872652876</v>
      </c>
      <c r="M62" s="301">
        <f t="shared" si="4"/>
        <v>69750</v>
      </c>
      <c r="N62" s="301">
        <f t="shared" si="5"/>
        <v>198159.26521567174</v>
      </c>
      <c r="O62" s="300">
        <f t="shared" si="6"/>
        <v>267909.26521567174</v>
      </c>
    </row>
    <row r="63" spans="1:15" x14ac:dyDescent="0.25">
      <c r="A63" s="210">
        <v>58</v>
      </c>
      <c r="B63" s="158" t="s">
        <v>150</v>
      </c>
      <c r="C63" s="153" t="s">
        <v>153</v>
      </c>
      <c r="D63" s="227">
        <v>129000</v>
      </c>
      <c r="E63" s="227">
        <v>401000</v>
      </c>
      <c r="F63" s="228">
        <f t="shared" si="0"/>
        <v>530000</v>
      </c>
      <c r="G63" s="146">
        <v>549500</v>
      </c>
      <c r="H63" s="146">
        <v>364949.66359872697</v>
      </c>
      <c r="I63" s="146">
        <v>914449.66359872697</v>
      </c>
      <c r="J63" s="198">
        <f t="shared" si="1"/>
        <v>129000</v>
      </c>
      <c r="K63" s="198">
        <f t="shared" si="2"/>
        <v>364949.66359872697</v>
      </c>
      <c r="L63" s="198">
        <f t="shared" si="3"/>
        <v>493949.66359872697</v>
      </c>
      <c r="M63" s="301">
        <f t="shared" si="4"/>
        <v>119970</v>
      </c>
      <c r="N63" s="301">
        <f t="shared" si="5"/>
        <v>339403.18714681605</v>
      </c>
      <c r="O63" s="300">
        <f t="shared" si="6"/>
        <v>459373.18714681605</v>
      </c>
    </row>
    <row r="64" spans="1:15" ht="22.5" x14ac:dyDescent="0.25">
      <c r="A64" s="210"/>
      <c r="B64" s="156" t="s">
        <v>124</v>
      </c>
      <c r="C64" s="153" t="s">
        <v>153</v>
      </c>
      <c r="D64" s="227">
        <v>0</v>
      </c>
      <c r="E64" s="227">
        <v>0</v>
      </c>
      <c r="F64" s="228">
        <f t="shared" si="0"/>
        <v>0</v>
      </c>
      <c r="G64" s="146"/>
      <c r="H64" s="146"/>
      <c r="I64" s="146">
        <v>0</v>
      </c>
      <c r="J64" s="198">
        <f t="shared" si="1"/>
        <v>0</v>
      </c>
      <c r="K64" s="198">
        <f t="shared" si="2"/>
        <v>0</v>
      </c>
      <c r="L64" s="198">
        <f t="shared" si="3"/>
        <v>0</v>
      </c>
      <c r="M64" s="301">
        <f t="shared" si="4"/>
        <v>0</v>
      </c>
      <c r="N64" s="301">
        <f t="shared" si="5"/>
        <v>0</v>
      </c>
      <c r="O64" s="300">
        <f t="shared" si="6"/>
        <v>0</v>
      </c>
    </row>
    <row r="65" spans="1:15" ht="22.5" x14ac:dyDescent="0.25">
      <c r="A65" s="210">
        <v>59</v>
      </c>
      <c r="B65" s="152" t="s">
        <v>371</v>
      </c>
      <c r="C65" s="153" t="s">
        <v>153</v>
      </c>
      <c r="D65" s="227">
        <v>194000</v>
      </c>
      <c r="E65" s="227">
        <v>662000</v>
      </c>
      <c r="F65" s="228">
        <f t="shared" si="0"/>
        <v>856000</v>
      </c>
      <c r="G65" s="246">
        <v>176206.43039999995</v>
      </c>
      <c r="H65" s="246">
        <v>704825.72160000005</v>
      </c>
      <c r="I65" s="146">
        <v>881032.152</v>
      </c>
      <c r="J65" s="198">
        <f t="shared" si="1"/>
        <v>176206.43039999995</v>
      </c>
      <c r="K65" s="198">
        <f t="shared" si="2"/>
        <v>662000</v>
      </c>
      <c r="L65" s="198">
        <f t="shared" si="3"/>
        <v>838206.43039999995</v>
      </c>
      <c r="M65" s="301">
        <f t="shared" si="4"/>
        <v>163871.98027199996</v>
      </c>
      <c r="N65" s="301">
        <f t="shared" si="5"/>
        <v>615660</v>
      </c>
      <c r="O65" s="300">
        <f t="shared" si="6"/>
        <v>779531.98027199996</v>
      </c>
    </row>
    <row r="66" spans="1:15" x14ac:dyDescent="0.25">
      <c r="A66" s="210">
        <v>60</v>
      </c>
      <c r="B66" s="152" t="s">
        <v>372</v>
      </c>
      <c r="C66" s="153" t="s">
        <v>153</v>
      </c>
      <c r="D66" s="227">
        <v>315000</v>
      </c>
      <c r="E66" s="227">
        <v>1075000</v>
      </c>
      <c r="F66" s="228">
        <f t="shared" si="0"/>
        <v>1390000</v>
      </c>
      <c r="G66" s="246">
        <v>286335.44940000004</v>
      </c>
      <c r="H66" s="246">
        <v>1145341.7975999999</v>
      </c>
      <c r="I66" s="146">
        <v>1431677.247</v>
      </c>
      <c r="J66" s="198">
        <f t="shared" si="1"/>
        <v>286335.44940000004</v>
      </c>
      <c r="K66" s="198">
        <f t="shared" si="2"/>
        <v>1075000</v>
      </c>
      <c r="L66" s="198">
        <f t="shared" si="3"/>
        <v>1361335.4494</v>
      </c>
      <c r="M66" s="301">
        <f t="shared" si="4"/>
        <v>266291.96794200002</v>
      </c>
      <c r="N66" s="301">
        <f t="shared" si="5"/>
        <v>999750</v>
      </c>
      <c r="O66" s="300">
        <f t="shared" si="6"/>
        <v>1266041.9679419999</v>
      </c>
    </row>
    <row r="67" spans="1:15" x14ac:dyDescent="0.25">
      <c r="A67" s="210">
        <v>61</v>
      </c>
      <c r="B67" s="158" t="s">
        <v>368</v>
      </c>
      <c r="C67" s="153" t="s">
        <v>153</v>
      </c>
      <c r="D67" s="227">
        <v>199000</v>
      </c>
      <c r="E67" s="227">
        <v>678000</v>
      </c>
      <c r="F67" s="228">
        <f t="shared" si="0"/>
        <v>877000</v>
      </c>
      <c r="G67" s="246">
        <v>180587.87106359995</v>
      </c>
      <c r="H67" s="246">
        <v>722351.48425440001</v>
      </c>
      <c r="I67" s="146">
        <v>902939.35531799996</v>
      </c>
      <c r="J67" s="198">
        <f t="shared" si="1"/>
        <v>180587.87106359995</v>
      </c>
      <c r="K67" s="198">
        <f t="shared" si="2"/>
        <v>678000</v>
      </c>
      <c r="L67" s="198">
        <f t="shared" si="3"/>
        <v>858587.87106359995</v>
      </c>
      <c r="M67" s="301">
        <f t="shared" si="4"/>
        <v>167946.72008914794</v>
      </c>
      <c r="N67" s="301">
        <f t="shared" si="5"/>
        <v>630540</v>
      </c>
      <c r="O67" s="300">
        <f t="shared" si="6"/>
        <v>798486.72008914792</v>
      </c>
    </row>
    <row r="68" spans="1:15" ht="22.5" x14ac:dyDescent="0.25">
      <c r="A68" s="210"/>
      <c r="B68" s="156" t="s">
        <v>31</v>
      </c>
      <c r="C68" s="153" t="s">
        <v>153</v>
      </c>
      <c r="D68" s="227">
        <v>0</v>
      </c>
      <c r="E68" s="227">
        <v>0</v>
      </c>
      <c r="F68" s="228">
        <f t="shared" si="0"/>
        <v>0</v>
      </c>
      <c r="G68" s="146"/>
      <c r="H68" s="146"/>
      <c r="I68" s="146">
        <v>0</v>
      </c>
      <c r="J68" s="198">
        <f t="shared" si="1"/>
        <v>0</v>
      </c>
      <c r="K68" s="198">
        <f t="shared" si="2"/>
        <v>0</v>
      </c>
      <c r="L68" s="198">
        <f t="shared" si="3"/>
        <v>0</v>
      </c>
      <c r="M68" s="301">
        <f t="shared" si="4"/>
        <v>0</v>
      </c>
      <c r="N68" s="301">
        <f t="shared" si="5"/>
        <v>0</v>
      </c>
      <c r="O68" s="300">
        <f t="shared" si="6"/>
        <v>0</v>
      </c>
    </row>
    <row r="69" spans="1:15" x14ac:dyDescent="0.25">
      <c r="A69" s="210">
        <v>62</v>
      </c>
      <c r="B69" s="152" t="s">
        <v>323</v>
      </c>
      <c r="C69" s="153" t="s">
        <v>153</v>
      </c>
      <c r="D69" s="227">
        <v>384000</v>
      </c>
      <c r="E69" s="227">
        <v>1654000</v>
      </c>
      <c r="F69" s="228">
        <f t="shared" ref="F69:F132" si="7">(D69+E69)</f>
        <v>2038000</v>
      </c>
      <c r="G69" s="146">
        <v>349500</v>
      </c>
      <c r="H69" s="146">
        <v>1884271.0442639799</v>
      </c>
      <c r="I69" s="146">
        <v>2233771.0442639799</v>
      </c>
      <c r="J69" s="198">
        <f t="shared" ref="J69:J132" si="8">MIN(D69,G69)</f>
        <v>349500</v>
      </c>
      <c r="K69" s="198">
        <f t="shared" ref="K69:K132" si="9">MIN(E69,H69)</f>
        <v>1654000</v>
      </c>
      <c r="L69" s="198">
        <f t="shared" ref="L69:L132" si="10">J69+K69</f>
        <v>2003500</v>
      </c>
      <c r="M69" s="301">
        <f t="shared" ref="M69:M132" si="11">J69-(J69*7%)</f>
        <v>325035</v>
      </c>
      <c r="N69" s="301">
        <f t="shared" ref="N69:N132" si="12">K69-(K69*7%)</f>
        <v>1538220</v>
      </c>
      <c r="O69" s="300">
        <f t="shared" ref="O69:O132" si="13">N69+M69</f>
        <v>1863255</v>
      </c>
    </row>
    <row r="70" spans="1:15" x14ac:dyDescent="0.25">
      <c r="A70" s="210">
        <v>63</v>
      </c>
      <c r="B70" s="152" t="s">
        <v>178</v>
      </c>
      <c r="C70" s="153" t="s">
        <v>153</v>
      </c>
      <c r="D70" s="227">
        <v>186000</v>
      </c>
      <c r="E70" s="227">
        <v>636000</v>
      </c>
      <c r="F70" s="228">
        <f t="shared" si="7"/>
        <v>822000</v>
      </c>
      <c r="G70" s="146">
        <v>334500</v>
      </c>
      <c r="H70" s="146">
        <v>932191.13923761644</v>
      </c>
      <c r="I70" s="146">
        <v>1266691.1392376164</v>
      </c>
      <c r="J70" s="198">
        <f t="shared" si="8"/>
        <v>186000</v>
      </c>
      <c r="K70" s="198">
        <f t="shared" si="9"/>
        <v>636000</v>
      </c>
      <c r="L70" s="198">
        <f t="shared" si="10"/>
        <v>822000</v>
      </c>
      <c r="M70" s="301">
        <f t="shared" si="11"/>
        <v>172980</v>
      </c>
      <c r="N70" s="301">
        <f t="shared" si="12"/>
        <v>591480</v>
      </c>
      <c r="O70" s="300">
        <f t="shared" si="13"/>
        <v>764460</v>
      </c>
    </row>
    <row r="71" spans="1:15" x14ac:dyDescent="0.25">
      <c r="A71" s="210">
        <v>64</v>
      </c>
      <c r="B71" s="152" t="s">
        <v>301</v>
      </c>
      <c r="C71" s="153" t="s">
        <v>153</v>
      </c>
      <c r="D71" s="227">
        <v>273000</v>
      </c>
      <c r="E71" s="227">
        <v>848000</v>
      </c>
      <c r="F71" s="228">
        <f t="shared" si="7"/>
        <v>1121000</v>
      </c>
      <c r="G71" s="146">
        <v>274500</v>
      </c>
      <c r="H71" s="146">
        <v>771121.81036121747</v>
      </c>
      <c r="I71" s="146">
        <v>1045621.8103612175</v>
      </c>
      <c r="J71" s="198">
        <f t="shared" si="8"/>
        <v>273000</v>
      </c>
      <c r="K71" s="198">
        <f t="shared" si="9"/>
        <v>771121.81036121747</v>
      </c>
      <c r="L71" s="198">
        <f t="shared" si="10"/>
        <v>1044121.8103612175</v>
      </c>
      <c r="M71" s="301">
        <f t="shared" si="11"/>
        <v>253890</v>
      </c>
      <c r="N71" s="301">
        <f t="shared" si="12"/>
        <v>717143.28363593225</v>
      </c>
      <c r="O71" s="300">
        <f t="shared" si="13"/>
        <v>971033.28363593225</v>
      </c>
    </row>
    <row r="72" spans="1:15" x14ac:dyDescent="0.25">
      <c r="A72" s="210">
        <v>65</v>
      </c>
      <c r="B72" s="158" t="s">
        <v>79</v>
      </c>
      <c r="C72" s="153" t="s">
        <v>153</v>
      </c>
      <c r="D72" s="227">
        <v>32000</v>
      </c>
      <c r="E72" s="227">
        <v>99000</v>
      </c>
      <c r="F72" s="228">
        <f t="shared" si="7"/>
        <v>131000</v>
      </c>
      <c r="G72" s="146">
        <v>257500</v>
      </c>
      <c r="H72" s="146">
        <v>89675.891017867674</v>
      </c>
      <c r="I72" s="146">
        <v>347175.89101786766</v>
      </c>
      <c r="J72" s="198">
        <f t="shared" si="8"/>
        <v>32000</v>
      </c>
      <c r="K72" s="198">
        <f t="shared" si="9"/>
        <v>89675.891017867674</v>
      </c>
      <c r="L72" s="198">
        <f t="shared" si="10"/>
        <v>121675.89101786767</v>
      </c>
      <c r="M72" s="301">
        <f t="shared" si="11"/>
        <v>29760</v>
      </c>
      <c r="N72" s="301">
        <f t="shared" si="12"/>
        <v>83398.578646616937</v>
      </c>
      <c r="O72" s="300">
        <f t="shared" si="13"/>
        <v>113158.57864661694</v>
      </c>
    </row>
    <row r="73" spans="1:15" x14ac:dyDescent="0.25">
      <c r="A73" s="210">
        <v>66</v>
      </c>
      <c r="B73" s="152" t="s">
        <v>32</v>
      </c>
      <c r="C73" s="153" t="s">
        <v>153</v>
      </c>
      <c r="D73" s="227">
        <v>49000</v>
      </c>
      <c r="E73" s="227">
        <v>151000</v>
      </c>
      <c r="F73" s="228">
        <f t="shared" si="7"/>
        <v>200000</v>
      </c>
      <c r="G73" s="146">
        <v>324500</v>
      </c>
      <c r="H73" s="146">
        <v>137136.88629042963</v>
      </c>
      <c r="I73" s="146">
        <v>461636.88629042963</v>
      </c>
      <c r="J73" s="198">
        <f t="shared" si="8"/>
        <v>49000</v>
      </c>
      <c r="K73" s="198">
        <f t="shared" si="9"/>
        <v>137136.88629042963</v>
      </c>
      <c r="L73" s="198">
        <f t="shared" si="10"/>
        <v>186136.88629042963</v>
      </c>
      <c r="M73" s="301">
        <f t="shared" si="11"/>
        <v>45570</v>
      </c>
      <c r="N73" s="301">
        <f t="shared" si="12"/>
        <v>127537.30425009955</v>
      </c>
      <c r="O73" s="300">
        <f t="shared" si="13"/>
        <v>173107.30425009955</v>
      </c>
    </row>
    <row r="74" spans="1:15" x14ac:dyDescent="0.25">
      <c r="A74" s="210">
        <v>67</v>
      </c>
      <c r="B74" s="158" t="s">
        <v>77</v>
      </c>
      <c r="C74" s="153" t="s">
        <v>153</v>
      </c>
      <c r="D74" s="227">
        <v>93000</v>
      </c>
      <c r="E74" s="227">
        <v>297000</v>
      </c>
      <c r="F74" s="228">
        <f t="shared" si="7"/>
        <v>390000</v>
      </c>
      <c r="G74" s="146">
        <v>84500</v>
      </c>
      <c r="H74" s="146">
        <v>270027.6730536031</v>
      </c>
      <c r="I74" s="146">
        <v>354527.6730536031</v>
      </c>
      <c r="J74" s="198">
        <f t="shared" si="8"/>
        <v>84500</v>
      </c>
      <c r="K74" s="198">
        <f t="shared" si="9"/>
        <v>270027.6730536031</v>
      </c>
      <c r="L74" s="198">
        <f t="shared" si="10"/>
        <v>354527.6730536031</v>
      </c>
      <c r="M74" s="301">
        <f t="shared" si="11"/>
        <v>78585</v>
      </c>
      <c r="N74" s="301">
        <f t="shared" si="12"/>
        <v>251125.73593985089</v>
      </c>
      <c r="O74" s="300">
        <f t="shared" si="13"/>
        <v>329710.73593985091</v>
      </c>
    </row>
    <row r="75" spans="1:15" ht="22.5" x14ac:dyDescent="0.25">
      <c r="A75" s="210"/>
      <c r="B75" s="156" t="s">
        <v>90</v>
      </c>
      <c r="C75" s="153" t="s">
        <v>153</v>
      </c>
      <c r="D75" s="227">
        <v>0</v>
      </c>
      <c r="E75" s="227">
        <v>0</v>
      </c>
      <c r="F75" s="228">
        <f t="shared" si="7"/>
        <v>0</v>
      </c>
      <c r="G75" s="146">
        <v>-500</v>
      </c>
      <c r="H75" s="146"/>
      <c r="I75" s="146">
        <v>-500</v>
      </c>
      <c r="J75" s="198">
        <f t="shared" si="8"/>
        <v>-500</v>
      </c>
      <c r="K75" s="198">
        <f t="shared" si="9"/>
        <v>0</v>
      </c>
      <c r="L75" s="198">
        <f t="shared" si="10"/>
        <v>-500</v>
      </c>
      <c r="M75" s="301">
        <f t="shared" si="11"/>
        <v>-465</v>
      </c>
      <c r="N75" s="301">
        <f t="shared" si="12"/>
        <v>0</v>
      </c>
      <c r="O75" s="300">
        <f t="shared" si="13"/>
        <v>-465</v>
      </c>
    </row>
    <row r="76" spans="1:15" x14ac:dyDescent="0.25">
      <c r="A76" s="210">
        <v>68</v>
      </c>
      <c r="B76" s="152" t="s">
        <v>561</v>
      </c>
      <c r="C76" s="153" t="s">
        <v>153</v>
      </c>
      <c r="D76" s="227">
        <v>29000</v>
      </c>
      <c r="E76" s="227">
        <v>83000</v>
      </c>
      <c r="F76" s="228">
        <f t="shared" si="7"/>
        <v>112000</v>
      </c>
      <c r="G76" s="146">
        <v>124500</v>
      </c>
      <c r="H76" s="146">
        <v>75755.415940161722</v>
      </c>
      <c r="I76" s="146">
        <v>200255.41594016174</v>
      </c>
      <c r="J76" s="198">
        <f t="shared" si="8"/>
        <v>29000</v>
      </c>
      <c r="K76" s="198">
        <f t="shared" si="9"/>
        <v>75755.415940161722</v>
      </c>
      <c r="L76" s="198">
        <f t="shared" si="10"/>
        <v>104755.41594016172</v>
      </c>
      <c r="M76" s="301">
        <f t="shared" si="11"/>
        <v>26970</v>
      </c>
      <c r="N76" s="301">
        <f t="shared" si="12"/>
        <v>70452.536824350405</v>
      </c>
      <c r="O76" s="300">
        <f t="shared" si="13"/>
        <v>97422.536824350405</v>
      </c>
    </row>
    <row r="77" spans="1:15" x14ac:dyDescent="0.25">
      <c r="A77" s="210">
        <v>69</v>
      </c>
      <c r="B77" s="152" t="s">
        <v>181</v>
      </c>
      <c r="C77" s="153" t="s">
        <v>153</v>
      </c>
      <c r="D77" s="227">
        <v>131000</v>
      </c>
      <c r="E77" s="227">
        <v>565000</v>
      </c>
      <c r="F77" s="228">
        <f t="shared" si="7"/>
        <v>696000</v>
      </c>
      <c r="G77" s="146">
        <v>119500</v>
      </c>
      <c r="H77" s="146">
        <v>513372.53567479894</v>
      </c>
      <c r="I77" s="146">
        <v>632872.535674799</v>
      </c>
      <c r="J77" s="198">
        <f t="shared" si="8"/>
        <v>119500</v>
      </c>
      <c r="K77" s="198">
        <f t="shared" si="9"/>
        <v>513372.53567479894</v>
      </c>
      <c r="L77" s="198">
        <f t="shared" si="10"/>
        <v>632872.535674799</v>
      </c>
      <c r="M77" s="301">
        <f t="shared" si="11"/>
        <v>111135</v>
      </c>
      <c r="N77" s="301">
        <f t="shared" si="12"/>
        <v>477436.45817756304</v>
      </c>
      <c r="O77" s="300">
        <f t="shared" si="13"/>
        <v>588571.45817756304</v>
      </c>
    </row>
    <row r="78" spans="1:15" x14ac:dyDescent="0.25">
      <c r="A78" s="210">
        <v>70</v>
      </c>
      <c r="B78" s="158" t="s">
        <v>374</v>
      </c>
      <c r="C78" s="153" t="s">
        <v>153</v>
      </c>
      <c r="D78" s="227">
        <v>131000</v>
      </c>
      <c r="E78" s="227">
        <v>573000</v>
      </c>
      <c r="F78" s="228">
        <f t="shared" si="7"/>
        <v>704000</v>
      </c>
      <c r="G78" s="146">
        <v>119500</v>
      </c>
      <c r="H78" s="146">
        <v>629192.84679393808</v>
      </c>
      <c r="I78" s="146">
        <v>748692.84679393808</v>
      </c>
      <c r="J78" s="198">
        <f t="shared" si="8"/>
        <v>119500</v>
      </c>
      <c r="K78" s="198">
        <f t="shared" si="9"/>
        <v>573000</v>
      </c>
      <c r="L78" s="198">
        <f t="shared" si="10"/>
        <v>692500</v>
      </c>
      <c r="M78" s="301">
        <f t="shared" si="11"/>
        <v>111135</v>
      </c>
      <c r="N78" s="301">
        <f t="shared" si="12"/>
        <v>532890</v>
      </c>
      <c r="O78" s="300">
        <f t="shared" si="13"/>
        <v>644025</v>
      </c>
    </row>
    <row r="79" spans="1:15" x14ac:dyDescent="0.25">
      <c r="A79" s="210">
        <v>71</v>
      </c>
      <c r="B79" s="158" t="s">
        <v>80</v>
      </c>
      <c r="C79" s="153" t="s">
        <v>153</v>
      </c>
      <c r="D79" s="227">
        <v>101000</v>
      </c>
      <c r="E79" s="227">
        <v>315000</v>
      </c>
      <c r="F79" s="228">
        <f t="shared" si="7"/>
        <v>416000</v>
      </c>
      <c r="G79" s="146">
        <v>219500</v>
      </c>
      <c r="H79" s="146">
        <v>286139.73172873235</v>
      </c>
      <c r="I79" s="146">
        <v>505639.73172873235</v>
      </c>
      <c r="J79" s="198">
        <f t="shared" si="8"/>
        <v>101000</v>
      </c>
      <c r="K79" s="198">
        <f t="shared" si="9"/>
        <v>286139.73172873235</v>
      </c>
      <c r="L79" s="198">
        <f t="shared" si="10"/>
        <v>387139.73172873235</v>
      </c>
      <c r="M79" s="301">
        <f t="shared" si="11"/>
        <v>93930</v>
      </c>
      <c r="N79" s="301">
        <f t="shared" si="12"/>
        <v>266109.95050772111</v>
      </c>
      <c r="O79" s="300">
        <f t="shared" si="13"/>
        <v>360039.95050772111</v>
      </c>
    </row>
    <row r="80" spans="1:15" x14ac:dyDescent="0.25">
      <c r="A80" s="210">
        <v>72</v>
      </c>
      <c r="B80" s="158" t="s">
        <v>99</v>
      </c>
      <c r="C80" s="153" t="s">
        <v>153</v>
      </c>
      <c r="D80" s="227">
        <v>64000</v>
      </c>
      <c r="E80" s="227">
        <v>197000</v>
      </c>
      <c r="F80" s="228">
        <f t="shared" si="7"/>
        <v>261000</v>
      </c>
      <c r="G80" s="146">
        <v>199500</v>
      </c>
      <c r="H80" s="146">
        <v>179458.08390681594</v>
      </c>
      <c r="I80" s="146">
        <v>378958.08390681597</v>
      </c>
      <c r="J80" s="198">
        <f t="shared" si="8"/>
        <v>64000</v>
      </c>
      <c r="K80" s="198">
        <f t="shared" si="9"/>
        <v>179458.08390681594</v>
      </c>
      <c r="L80" s="198">
        <f t="shared" si="10"/>
        <v>243458.08390681594</v>
      </c>
      <c r="M80" s="301">
        <f t="shared" si="11"/>
        <v>59520</v>
      </c>
      <c r="N80" s="301">
        <f t="shared" si="12"/>
        <v>166896.01803333883</v>
      </c>
      <c r="O80" s="300">
        <f t="shared" si="13"/>
        <v>226416.01803333883</v>
      </c>
    </row>
    <row r="81" spans="1:15" x14ac:dyDescent="0.25">
      <c r="A81" s="210">
        <v>73</v>
      </c>
      <c r="B81" s="152" t="s">
        <v>27</v>
      </c>
      <c r="C81" s="153" t="s">
        <v>153</v>
      </c>
      <c r="D81" s="227">
        <v>84000</v>
      </c>
      <c r="E81" s="227">
        <v>262000</v>
      </c>
      <c r="F81" s="228">
        <f t="shared" si="7"/>
        <v>346000</v>
      </c>
      <c r="G81" s="146">
        <v>99500</v>
      </c>
      <c r="H81" s="146">
        <v>237831.67349538367</v>
      </c>
      <c r="I81" s="146">
        <v>337331.6734953837</v>
      </c>
      <c r="J81" s="198">
        <f t="shared" si="8"/>
        <v>84000</v>
      </c>
      <c r="K81" s="198">
        <f t="shared" si="9"/>
        <v>237831.67349538367</v>
      </c>
      <c r="L81" s="198">
        <f t="shared" si="10"/>
        <v>321831.6734953837</v>
      </c>
      <c r="M81" s="301">
        <f t="shared" si="11"/>
        <v>78120</v>
      </c>
      <c r="N81" s="301">
        <f t="shared" si="12"/>
        <v>221183.45635070681</v>
      </c>
      <c r="O81" s="300">
        <f t="shared" si="13"/>
        <v>299303.45635070681</v>
      </c>
    </row>
    <row r="82" spans="1:15" x14ac:dyDescent="0.25">
      <c r="A82" s="210">
        <v>74</v>
      </c>
      <c r="B82" s="152" t="s">
        <v>113</v>
      </c>
      <c r="C82" s="153" t="s">
        <v>153</v>
      </c>
      <c r="D82" s="227">
        <v>76000</v>
      </c>
      <c r="E82" s="227">
        <v>235000</v>
      </c>
      <c r="F82" s="228">
        <f t="shared" si="7"/>
        <v>311000</v>
      </c>
      <c r="G82" s="146">
        <v>124500</v>
      </c>
      <c r="H82" s="146">
        <v>213650.11984911092</v>
      </c>
      <c r="I82" s="146">
        <v>338150.11984911095</v>
      </c>
      <c r="J82" s="198">
        <f t="shared" si="8"/>
        <v>76000</v>
      </c>
      <c r="K82" s="198">
        <f t="shared" si="9"/>
        <v>213650.11984911092</v>
      </c>
      <c r="L82" s="198">
        <f t="shared" si="10"/>
        <v>289650.11984911095</v>
      </c>
      <c r="M82" s="301">
        <f t="shared" si="11"/>
        <v>70680</v>
      </c>
      <c r="N82" s="301">
        <f t="shared" si="12"/>
        <v>198694.61145967315</v>
      </c>
      <c r="O82" s="300">
        <f t="shared" si="13"/>
        <v>269374.61145967315</v>
      </c>
    </row>
    <row r="83" spans="1:15" x14ac:dyDescent="0.25">
      <c r="A83" s="210">
        <v>75</v>
      </c>
      <c r="B83" s="152" t="s">
        <v>380</v>
      </c>
      <c r="C83" s="153" t="s">
        <v>153</v>
      </c>
      <c r="D83" s="227">
        <v>151000</v>
      </c>
      <c r="E83" s="227">
        <v>514000</v>
      </c>
      <c r="F83" s="228">
        <f t="shared" si="7"/>
        <v>665000</v>
      </c>
      <c r="G83" s="146">
        <v>159500</v>
      </c>
      <c r="H83" s="146">
        <v>845000</v>
      </c>
      <c r="I83" s="146">
        <v>1004500</v>
      </c>
      <c r="J83" s="198">
        <f t="shared" si="8"/>
        <v>151000</v>
      </c>
      <c r="K83" s="198">
        <f t="shared" si="9"/>
        <v>514000</v>
      </c>
      <c r="L83" s="198">
        <f t="shared" si="10"/>
        <v>665000</v>
      </c>
      <c r="M83" s="301">
        <f t="shared" si="11"/>
        <v>140430</v>
      </c>
      <c r="N83" s="301">
        <f t="shared" si="12"/>
        <v>478020</v>
      </c>
      <c r="O83" s="300">
        <f t="shared" si="13"/>
        <v>618450</v>
      </c>
    </row>
    <row r="84" spans="1:15" x14ac:dyDescent="0.25">
      <c r="A84" s="210">
        <v>76</v>
      </c>
      <c r="B84" s="152" t="s">
        <v>381</v>
      </c>
      <c r="C84" s="153" t="s">
        <v>153</v>
      </c>
      <c r="D84" s="227">
        <v>45000</v>
      </c>
      <c r="E84" s="227">
        <v>140000</v>
      </c>
      <c r="F84" s="228">
        <f t="shared" si="7"/>
        <v>185000</v>
      </c>
      <c r="G84" s="146">
        <v>169500</v>
      </c>
      <c r="H84" s="146">
        <v>127644.68723591724</v>
      </c>
      <c r="I84" s="146">
        <v>297144.68723591726</v>
      </c>
      <c r="J84" s="198">
        <f t="shared" si="8"/>
        <v>45000</v>
      </c>
      <c r="K84" s="198">
        <f t="shared" si="9"/>
        <v>127644.68723591724</v>
      </c>
      <c r="L84" s="198">
        <f t="shared" si="10"/>
        <v>172644.68723591726</v>
      </c>
      <c r="M84" s="301">
        <f t="shared" si="11"/>
        <v>41850</v>
      </c>
      <c r="N84" s="301">
        <f t="shared" si="12"/>
        <v>118709.55912940303</v>
      </c>
      <c r="O84" s="300">
        <f t="shared" si="13"/>
        <v>160559.55912940303</v>
      </c>
    </row>
    <row r="85" spans="1:15" x14ac:dyDescent="0.25">
      <c r="A85" s="210">
        <v>77</v>
      </c>
      <c r="B85" s="158" t="s">
        <v>306</v>
      </c>
      <c r="C85" s="153" t="s">
        <v>153</v>
      </c>
      <c r="D85" s="227">
        <v>89000</v>
      </c>
      <c r="E85" s="227">
        <v>276000</v>
      </c>
      <c r="F85" s="228">
        <f t="shared" si="7"/>
        <v>365000</v>
      </c>
      <c r="G85" s="146">
        <v>157500</v>
      </c>
      <c r="H85" s="146">
        <v>251043.2749445783</v>
      </c>
      <c r="I85" s="146">
        <v>408543.2749445783</v>
      </c>
      <c r="J85" s="198">
        <f t="shared" si="8"/>
        <v>89000</v>
      </c>
      <c r="K85" s="198">
        <f t="shared" si="9"/>
        <v>251043.2749445783</v>
      </c>
      <c r="L85" s="198">
        <f t="shared" si="10"/>
        <v>340043.2749445783</v>
      </c>
      <c r="M85" s="301">
        <f t="shared" si="11"/>
        <v>82770</v>
      </c>
      <c r="N85" s="301">
        <f t="shared" si="12"/>
        <v>233470.24569845782</v>
      </c>
      <c r="O85" s="300">
        <f t="shared" si="13"/>
        <v>316240.24569845782</v>
      </c>
    </row>
    <row r="86" spans="1:15" x14ac:dyDescent="0.25">
      <c r="A86" s="210">
        <v>78</v>
      </c>
      <c r="B86" s="158" t="s">
        <v>103</v>
      </c>
      <c r="C86" s="153" t="s">
        <v>153</v>
      </c>
      <c r="D86" s="227">
        <v>34000</v>
      </c>
      <c r="E86" s="227">
        <v>105000</v>
      </c>
      <c r="F86" s="228">
        <f t="shared" si="7"/>
        <v>139000</v>
      </c>
      <c r="G86" s="146">
        <v>119500</v>
      </c>
      <c r="H86" s="146">
        <v>95858.906348917284</v>
      </c>
      <c r="I86" s="146">
        <v>215358.90634891728</v>
      </c>
      <c r="J86" s="198">
        <f t="shared" si="8"/>
        <v>34000</v>
      </c>
      <c r="K86" s="198">
        <f t="shared" si="9"/>
        <v>95858.906348917284</v>
      </c>
      <c r="L86" s="198">
        <f t="shared" si="10"/>
        <v>129858.90634891728</v>
      </c>
      <c r="M86" s="301">
        <f t="shared" si="11"/>
        <v>31620</v>
      </c>
      <c r="N86" s="301">
        <f t="shared" si="12"/>
        <v>89148.78290449307</v>
      </c>
      <c r="O86" s="300">
        <f t="shared" si="13"/>
        <v>120768.78290449307</v>
      </c>
    </row>
    <row r="87" spans="1:15" x14ac:dyDescent="0.25">
      <c r="A87" s="210">
        <v>79</v>
      </c>
      <c r="B87" s="152" t="s">
        <v>373</v>
      </c>
      <c r="C87" s="153" t="s">
        <v>153</v>
      </c>
      <c r="D87" s="227">
        <v>117000</v>
      </c>
      <c r="E87" s="227">
        <v>365000</v>
      </c>
      <c r="F87" s="228">
        <f t="shared" si="7"/>
        <v>482000</v>
      </c>
      <c r="G87" s="146">
        <v>199500</v>
      </c>
      <c r="H87" s="146">
        <v>331403.43766694918</v>
      </c>
      <c r="I87" s="146">
        <v>530903.43766694912</v>
      </c>
      <c r="J87" s="198">
        <f t="shared" si="8"/>
        <v>117000</v>
      </c>
      <c r="K87" s="198">
        <f t="shared" si="9"/>
        <v>331403.43766694918</v>
      </c>
      <c r="L87" s="198">
        <f t="shared" si="10"/>
        <v>448403.43766694918</v>
      </c>
      <c r="M87" s="301">
        <f t="shared" si="11"/>
        <v>108810</v>
      </c>
      <c r="N87" s="301">
        <f t="shared" si="12"/>
        <v>308205.19703026273</v>
      </c>
      <c r="O87" s="300">
        <f t="shared" si="13"/>
        <v>417015.19703026273</v>
      </c>
    </row>
    <row r="88" spans="1:15" x14ac:dyDescent="0.25">
      <c r="A88" s="210">
        <v>80</v>
      </c>
      <c r="B88" s="152" t="s">
        <v>375</v>
      </c>
      <c r="C88" s="153" t="s">
        <v>153</v>
      </c>
      <c r="D88" s="227">
        <v>33000</v>
      </c>
      <c r="E88" s="227">
        <v>113000</v>
      </c>
      <c r="F88" s="228">
        <f t="shared" si="7"/>
        <v>146000</v>
      </c>
      <c r="G88" s="146">
        <v>224500</v>
      </c>
      <c r="H88" s="146">
        <v>128550</v>
      </c>
      <c r="I88" s="146">
        <v>353050</v>
      </c>
      <c r="J88" s="198">
        <f t="shared" si="8"/>
        <v>33000</v>
      </c>
      <c r="K88" s="198">
        <f t="shared" si="9"/>
        <v>113000</v>
      </c>
      <c r="L88" s="198">
        <f t="shared" si="10"/>
        <v>146000</v>
      </c>
      <c r="M88" s="301">
        <f t="shared" si="11"/>
        <v>30690</v>
      </c>
      <c r="N88" s="301">
        <f t="shared" si="12"/>
        <v>105090</v>
      </c>
      <c r="O88" s="300">
        <f t="shared" si="13"/>
        <v>135780</v>
      </c>
    </row>
    <row r="89" spans="1:15" x14ac:dyDescent="0.25">
      <c r="A89" s="210">
        <v>81</v>
      </c>
      <c r="B89" s="152" t="s">
        <v>376</v>
      </c>
      <c r="C89" s="153" t="s">
        <v>153</v>
      </c>
      <c r="D89" s="227">
        <v>34000</v>
      </c>
      <c r="E89" s="227">
        <v>115000</v>
      </c>
      <c r="F89" s="228">
        <f t="shared" si="7"/>
        <v>149000</v>
      </c>
      <c r="G89" s="146">
        <v>224500</v>
      </c>
      <c r="H89" s="146">
        <v>146350</v>
      </c>
      <c r="I89" s="146">
        <v>370850</v>
      </c>
      <c r="J89" s="198">
        <f t="shared" si="8"/>
        <v>34000</v>
      </c>
      <c r="K89" s="198">
        <f t="shared" si="9"/>
        <v>115000</v>
      </c>
      <c r="L89" s="198">
        <f t="shared" si="10"/>
        <v>149000</v>
      </c>
      <c r="M89" s="301">
        <f t="shared" si="11"/>
        <v>31620</v>
      </c>
      <c r="N89" s="301">
        <f t="shared" si="12"/>
        <v>106950</v>
      </c>
      <c r="O89" s="300">
        <f t="shared" si="13"/>
        <v>138570</v>
      </c>
    </row>
    <row r="90" spans="1:15" x14ac:dyDescent="0.25">
      <c r="A90" s="210">
        <v>82</v>
      </c>
      <c r="B90" s="152" t="s">
        <v>377</v>
      </c>
      <c r="C90" s="153" t="s">
        <v>153</v>
      </c>
      <c r="D90" s="227">
        <v>29000</v>
      </c>
      <c r="E90" s="227">
        <v>93000</v>
      </c>
      <c r="F90" s="228">
        <f t="shared" si="7"/>
        <v>122000</v>
      </c>
      <c r="G90" s="146">
        <v>224500</v>
      </c>
      <c r="H90" s="146">
        <v>106300</v>
      </c>
      <c r="I90" s="146">
        <v>330800</v>
      </c>
      <c r="J90" s="198">
        <f t="shared" si="8"/>
        <v>29000</v>
      </c>
      <c r="K90" s="198">
        <f t="shared" si="9"/>
        <v>93000</v>
      </c>
      <c r="L90" s="198">
        <f t="shared" si="10"/>
        <v>122000</v>
      </c>
      <c r="M90" s="301">
        <f t="shared" si="11"/>
        <v>26970</v>
      </c>
      <c r="N90" s="301">
        <f t="shared" si="12"/>
        <v>86490</v>
      </c>
      <c r="O90" s="300">
        <f t="shared" si="13"/>
        <v>113460</v>
      </c>
    </row>
    <row r="91" spans="1:15" ht="22.5" x14ac:dyDescent="0.25">
      <c r="A91" s="210"/>
      <c r="B91" s="156" t="s">
        <v>28</v>
      </c>
      <c r="C91" s="153" t="s">
        <v>153</v>
      </c>
      <c r="D91" s="227">
        <v>0</v>
      </c>
      <c r="E91" s="227">
        <v>0</v>
      </c>
      <c r="F91" s="228">
        <f t="shared" si="7"/>
        <v>0</v>
      </c>
      <c r="G91" s="146"/>
      <c r="H91" s="146"/>
      <c r="I91" s="146">
        <v>0</v>
      </c>
      <c r="J91" s="198">
        <f t="shared" si="8"/>
        <v>0</v>
      </c>
      <c r="K91" s="198">
        <f t="shared" si="9"/>
        <v>0</v>
      </c>
      <c r="L91" s="198">
        <f t="shared" si="10"/>
        <v>0</v>
      </c>
      <c r="M91" s="301">
        <f t="shared" si="11"/>
        <v>0</v>
      </c>
      <c r="N91" s="301">
        <f t="shared" si="12"/>
        <v>0</v>
      </c>
      <c r="O91" s="300">
        <f t="shared" si="13"/>
        <v>0</v>
      </c>
    </row>
    <row r="92" spans="1:15" x14ac:dyDescent="0.25">
      <c r="A92" s="210">
        <v>83</v>
      </c>
      <c r="B92" s="152" t="s">
        <v>114</v>
      </c>
      <c r="C92" s="153" t="s">
        <v>153</v>
      </c>
      <c r="D92" s="227">
        <v>126000</v>
      </c>
      <c r="E92" s="227">
        <v>432000</v>
      </c>
      <c r="F92" s="228">
        <f t="shared" si="7"/>
        <v>558000</v>
      </c>
      <c r="G92" s="146">
        <v>199500</v>
      </c>
      <c r="H92" s="146">
        <v>416818.83611220436</v>
      </c>
      <c r="I92" s="146">
        <v>616318.83611220436</v>
      </c>
      <c r="J92" s="198">
        <f t="shared" si="8"/>
        <v>126000</v>
      </c>
      <c r="K92" s="198">
        <f t="shared" si="9"/>
        <v>416818.83611220436</v>
      </c>
      <c r="L92" s="198">
        <f t="shared" si="10"/>
        <v>542818.83611220436</v>
      </c>
      <c r="M92" s="301">
        <f t="shared" si="11"/>
        <v>117180</v>
      </c>
      <c r="N92" s="301">
        <f t="shared" si="12"/>
        <v>387641.51758435008</v>
      </c>
      <c r="O92" s="300">
        <f t="shared" si="13"/>
        <v>504821.51758435008</v>
      </c>
    </row>
    <row r="93" spans="1:15" x14ac:dyDescent="0.25">
      <c r="A93" s="210">
        <v>84</v>
      </c>
      <c r="B93" s="158" t="s">
        <v>378</v>
      </c>
      <c r="C93" s="153" t="s">
        <v>153</v>
      </c>
      <c r="D93" s="227">
        <v>86000</v>
      </c>
      <c r="E93" s="227">
        <v>267000</v>
      </c>
      <c r="F93" s="228">
        <f t="shared" si="7"/>
        <v>353000</v>
      </c>
      <c r="G93" s="146">
        <v>199500</v>
      </c>
      <c r="H93" s="146">
        <v>242963.51510937733</v>
      </c>
      <c r="I93" s="146">
        <v>442463.51510937733</v>
      </c>
      <c r="J93" s="198">
        <f t="shared" si="8"/>
        <v>86000</v>
      </c>
      <c r="K93" s="198">
        <f t="shared" si="9"/>
        <v>242963.51510937733</v>
      </c>
      <c r="L93" s="198">
        <f t="shared" si="10"/>
        <v>328963.51510937733</v>
      </c>
      <c r="M93" s="301">
        <f t="shared" si="11"/>
        <v>79980</v>
      </c>
      <c r="N93" s="301">
        <f t="shared" si="12"/>
        <v>225956.0690517209</v>
      </c>
      <c r="O93" s="300">
        <f t="shared" si="13"/>
        <v>305936.0690517209</v>
      </c>
    </row>
    <row r="94" spans="1:15" x14ac:dyDescent="0.25">
      <c r="A94" s="210">
        <v>85</v>
      </c>
      <c r="B94" s="152" t="s">
        <v>119</v>
      </c>
      <c r="C94" s="153" t="s">
        <v>153</v>
      </c>
      <c r="D94" s="227">
        <v>99000</v>
      </c>
      <c r="E94" s="227">
        <v>307000</v>
      </c>
      <c r="F94" s="228">
        <f t="shared" si="7"/>
        <v>406000</v>
      </c>
      <c r="G94" s="146">
        <v>157500</v>
      </c>
      <c r="H94" s="146">
        <v>279519.87210811541</v>
      </c>
      <c r="I94" s="146">
        <v>437019.87210811541</v>
      </c>
      <c r="J94" s="198">
        <f t="shared" si="8"/>
        <v>99000</v>
      </c>
      <c r="K94" s="198">
        <f t="shared" si="9"/>
        <v>279519.87210811541</v>
      </c>
      <c r="L94" s="198">
        <f t="shared" si="10"/>
        <v>378519.87210811541</v>
      </c>
      <c r="M94" s="301">
        <f t="shared" si="11"/>
        <v>92070</v>
      </c>
      <c r="N94" s="301">
        <f t="shared" si="12"/>
        <v>259953.48106054732</v>
      </c>
      <c r="O94" s="300">
        <f t="shared" si="13"/>
        <v>352023.48106054729</v>
      </c>
    </row>
    <row r="95" spans="1:15" x14ac:dyDescent="0.25">
      <c r="A95" s="210">
        <v>86</v>
      </c>
      <c r="B95" s="152" t="s">
        <v>117</v>
      </c>
      <c r="C95" s="153" t="s">
        <v>153</v>
      </c>
      <c r="D95" s="227">
        <v>104000</v>
      </c>
      <c r="E95" s="227">
        <v>356000</v>
      </c>
      <c r="F95" s="228">
        <f t="shared" si="7"/>
        <v>460000</v>
      </c>
      <c r="G95" s="146">
        <v>157500</v>
      </c>
      <c r="H95" s="146">
        <v>372097.22726899944</v>
      </c>
      <c r="I95" s="146">
        <v>529597.22726899944</v>
      </c>
      <c r="J95" s="198">
        <f t="shared" si="8"/>
        <v>104000</v>
      </c>
      <c r="K95" s="198">
        <f t="shared" si="9"/>
        <v>356000</v>
      </c>
      <c r="L95" s="198">
        <f t="shared" si="10"/>
        <v>460000</v>
      </c>
      <c r="M95" s="301">
        <f t="shared" si="11"/>
        <v>96720</v>
      </c>
      <c r="N95" s="301">
        <f t="shared" si="12"/>
        <v>331080</v>
      </c>
      <c r="O95" s="300">
        <f t="shared" si="13"/>
        <v>427800</v>
      </c>
    </row>
    <row r="96" spans="1:15" x14ac:dyDescent="0.25">
      <c r="A96" s="210">
        <v>87</v>
      </c>
      <c r="B96" s="152" t="s">
        <v>377</v>
      </c>
      <c r="C96" s="153" t="s">
        <v>153</v>
      </c>
      <c r="D96" s="227">
        <v>26000</v>
      </c>
      <c r="E96" s="227">
        <v>83000</v>
      </c>
      <c r="F96" s="228">
        <f t="shared" si="7"/>
        <v>109000</v>
      </c>
      <c r="G96" s="146">
        <v>224500</v>
      </c>
      <c r="H96" s="146">
        <v>106300</v>
      </c>
      <c r="I96" s="146">
        <v>330800</v>
      </c>
      <c r="J96" s="198">
        <f t="shared" si="8"/>
        <v>26000</v>
      </c>
      <c r="K96" s="198">
        <f t="shared" si="9"/>
        <v>83000</v>
      </c>
      <c r="L96" s="198">
        <f t="shared" si="10"/>
        <v>109000</v>
      </c>
      <c r="M96" s="301">
        <f t="shared" si="11"/>
        <v>24180</v>
      </c>
      <c r="N96" s="301">
        <f t="shared" si="12"/>
        <v>77190</v>
      </c>
      <c r="O96" s="300">
        <f t="shared" si="13"/>
        <v>101370</v>
      </c>
    </row>
    <row r="97" spans="1:15" ht="22.5" x14ac:dyDescent="0.25">
      <c r="A97" s="210"/>
      <c r="B97" s="156" t="s">
        <v>35</v>
      </c>
      <c r="C97" s="153" t="s">
        <v>153</v>
      </c>
      <c r="D97" s="227">
        <v>0</v>
      </c>
      <c r="E97" s="227">
        <v>0</v>
      </c>
      <c r="F97" s="228">
        <f t="shared" si="7"/>
        <v>0</v>
      </c>
      <c r="G97" s="146"/>
      <c r="H97" s="146"/>
      <c r="I97" s="146">
        <v>0</v>
      </c>
      <c r="J97" s="198">
        <f t="shared" si="8"/>
        <v>0</v>
      </c>
      <c r="K97" s="198">
        <f t="shared" si="9"/>
        <v>0</v>
      </c>
      <c r="L97" s="198">
        <f t="shared" si="10"/>
        <v>0</v>
      </c>
      <c r="M97" s="301">
        <f t="shared" si="11"/>
        <v>0</v>
      </c>
      <c r="N97" s="301">
        <f t="shared" si="12"/>
        <v>0</v>
      </c>
      <c r="O97" s="300">
        <f t="shared" si="13"/>
        <v>0</v>
      </c>
    </row>
    <row r="98" spans="1:15" x14ac:dyDescent="0.25">
      <c r="A98" s="210">
        <v>88</v>
      </c>
      <c r="B98" s="152" t="s">
        <v>30</v>
      </c>
      <c r="C98" s="153" t="s">
        <v>153</v>
      </c>
      <c r="D98" s="227">
        <v>12000</v>
      </c>
      <c r="E98" s="227">
        <v>34000</v>
      </c>
      <c r="F98" s="228">
        <f t="shared" si="7"/>
        <v>46000</v>
      </c>
      <c r="G98" s="146">
        <v>64500</v>
      </c>
      <c r="H98" s="146">
        <v>30560.431518717618</v>
      </c>
      <c r="I98" s="146">
        <v>95060.431518717611</v>
      </c>
      <c r="J98" s="198">
        <f t="shared" si="8"/>
        <v>12000</v>
      </c>
      <c r="K98" s="198">
        <f t="shared" si="9"/>
        <v>30560.431518717618</v>
      </c>
      <c r="L98" s="198">
        <f t="shared" si="10"/>
        <v>42560.431518717618</v>
      </c>
      <c r="M98" s="301">
        <f t="shared" si="11"/>
        <v>11160</v>
      </c>
      <c r="N98" s="301">
        <f t="shared" si="12"/>
        <v>28421.201312407386</v>
      </c>
      <c r="O98" s="300">
        <f t="shared" si="13"/>
        <v>39581.201312407386</v>
      </c>
    </row>
    <row r="99" spans="1:15" x14ac:dyDescent="0.25">
      <c r="A99" s="210">
        <v>89</v>
      </c>
      <c r="B99" s="158" t="s">
        <v>81</v>
      </c>
      <c r="C99" s="153" t="s">
        <v>153</v>
      </c>
      <c r="D99" s="227">
        <v>77000</v>
      </c>
      <c r="E99" s="227">
        <v>238000</v>
      </c>
      <c r="F99" s="228">
        <f t="shared" si="7"/>
        <v>315000</v>
      </c>
      <c r="G99" s="146">
        <v>134500</v>
      </c>
      <c r="H99" s="146">
        <v>216768.09917589629</v>
      </c>
      <c r="I99" s="146">
        <v>351268.09917589626</v>
      </c>
      <c r="J99" s="198">
        <f t="shared" si="8"/>
        <v>77000</v>
      </c>
      <c r="K99" s="198">
        <f t="shared" si="9"/>
        <v>216768.09917589629</v>
      </c>
      <c r="L99" s="198">
        <f t="shared" si="10"/>
        <v>293768.09917589626</v>
      </c>
      <c r="M99" s="301">
        <f t="shared" si="11"/>
        <v>71610</v>
      </c>
      <c r="N99" s="301">
        <f t="shared" si="12"/>
        <v>201594.33223358355</v>
      </c>
      <c r="O99" s="300">
        <f t="shared" si="13"/>
        <v>273204.33223358355</v>
      </c>
    </row>
    <row r="100" spans="1:15" x14ac:dyDescent="0.25">
      <c r="A100" s="210">
        <v>90</v>
      </c>
      <c r="B100" s="158" t="s">
        <v>82</v>
      </c>
      <c r="C100" s="153" t="s">
        <v>153</v>
      </c>
      <c r="D100" s="227">
        <v>66000</v>
      </c>
      <c r="E100" s="227">
        <v>204000</v>
      </c>
      <c r="F100" s="228">
        <f t="shared" si="7"/>
        <v>270000</v>
      </c>
      <c r="G100" s="146">
        <v>94500</v>
      </c>
      <c r="H100" s="146">
        <v>185675.61635144183</v>
      </c>
      <c r="I100" s="146">
        <v>280175.61635144183</v>
      </c>
      <c r="J100" s="198">
        <f t="shared" si="8"/>
        <v>66000</v>
      </c>
      <c r="K100" s="198">
        <f t="shared" si="9"/>
        <v>185675.61635144183</v>
      </c>
      <c r="L100" s="198">
        <f t="shared" si="10"/>
        <v>251675.61635144183</v>
      </c>
      <c r="M100" s="301">
        <f t="shared" si="11"/>
        <v>61380</v>
      </c>
      <c r="N100" s="301">
        <f t="shared" si="12"/>
        <v>172678.3232068409</v>
      </c>
      <c r="O100" s="300">
        <f t="shared" si="13"/>
        <v>234058.3232068409</v>
      </c>
    </row>
    <row r="101" spans="1:15" x14ac:dyDescent="0.25">
      <c r="A101" s="210">
        <v>91</v>
      </c>
      <c r="B101" s="158" t="s">
        <v>328</v>
      </c>
      <c r="C101" s="153" t="s">
        <v>153</v>
      </c>
      <c r="D101" s="227">
        <v>68000</v>
      </c>
      <c r="E101" s="227">
        <v>213000</v>
      </c>
      <c r="F101" s="228">
        <f t="shared" si="7"/>
        <v>281000</v>
      </c>
      <c r="G101" s="146">
        <v>149500</v>
      </c>
      <c r="H101" s="146">
        <v>193422.48096892139</v>
      </c>
      <c r="I101" s="146">
        <v>342922.48096892139</v>
      </c>
      <c r="J101" s="198">
        <f t="shared" si="8"/>
        <v>68000</v>
      </c>
      <c r="K101" s="198">
        <f t="shared" si="9"/>
        <v>193422.48096892139</v>
      </c>
      <c r="L101" s="198">
        <f t="shared" si="10"/>
        <v>261422.48096892139</v>
      </c>
      <c r="M101" s="301">
        <f t="shared" si="11"/>
        <v>63240</v>
      </c>
      <c r="N101" s="301">
        <f t="shared" si="12"/>
        <v>179882.90730109689</v>
      </c>
      <c r="O101" s="300">
        <f t="shared" si="13"/>
        <v>243122.90730109689</v>
      </c>
    </row>
    <row r="102" spans="1:15" x14ac:dyDescent="0.25">
      <c r="A102" s="210">
        <v>92</v>
      </c>
      <c r="B102" s="160" t="s">
        <v>199</v>
      </c>
      <c r="C102" s="153" t="s">
        <v>153</v>
      </c>
      <c r="D102" s="227">
        <v>31000</v>
      </c>
      <c r="E102" s="227">
        <v>89000</v>
      </c>
      <c r="F102" s="228">
        <f t="shared" si="7"/>
        <v>120000</v>
      </c>
      <c r="G102" s="146">
        <v>77500</v>
      </c>
      <c r="H102" s="146">
        <v>80666.844895229966</v>
      </c>
      <c r="I102" s="146">
        <v>158166.84489522997</v>
      </c>
      <c r="J102" s="198">
        <f t="shared" si="8"/>
        <v>31000</v>
      </c>
      <c r="K102" s="198">
        <f t="shared" si="9"/>
        <v>80666.844895229966</v>
      </c>
      <c r="L102" s="198">
        <f t="shared" si="10"/>
        <v>111666.84489522997</v>
      </c>
      <c r="M102" s="301">
        <f t="shared" si="11"/>
        <v>28830</v>
      </c>
      <c r="N102" s="301">
        <f t="shared" si="12"/>
        <v>75020.165752563873</v>
      </c>
      <c r="O102" s="300">
        <f t="shared" si="13"/>
        <v>103850.16575256387</v>
      </c>
    </row>
    <row r="103" spans="1:15" x14ac:dyDescent="0.25">
      <c r="A103" s="210">
        <v>93</v>
      </c>
      <c r="B103" s="152" t="s">
        <v>327</v>
      </c>
      <c r="C103" s="153" t="s">
        <v>153</v>
      </c>
      <c r="D103" s="227">
        <v>83000</v>
      </c>
      <c r="E103" s="227">
        <v>257000</v>
      </c>
      <c r="F103" s="228">
        <f t="shared" si="7"/>
        <v>340000</v>
      </c>
      <c r="G103" s="146">
        <v>84500</v>
      </c>
      <c r="H103" s="146">
        <v>233816.83210044916</v>
      </c>
      <c r="I103" s="146">
        <v>318316.83210044913</v>
      </c>
      <c r="J103" s="198">
        <f t="shared" si="8"/>
        <v>83000</v>
      </c>
      <c r="K103" s="198">
        <f t="shared" si="9"/>
        <v>233816.83210044916</v>
      </c>
      <c r="L103" s="198">
        <f t="shared" si="10"/>
        <v>316816.83210044913</v>
      </c>
      <c r="M103" s="301">
        <f t="shared" si="11"/>
        <v>77190</v>
      </c>
      <c r="N103" s="301">
        <f t="shared" si="12"/>
        <v>217449.65385341772</v>
      </c>
      <c r="O103" s="300">
        <f t="shared" si="13"/>
        <v>294639.65385341772</v>
      </c>
    </row>
    <row r="104" spans="1:15" x14ac:dyDescent="0.25">
      <c r="A104" s="210">
        <v>94</v>
      </c>
      <c r="B104" s="160" t="s">
        <v>200</v>
      </c>
      <c r="C104" s="153" t="s">
        <v>153</v>
      </c>
      <c r="D104" s="227">
        <v>32000</v>
      </c>
      <c r="E104" s="227">
        <v>99000</v>
      </c>
      <c r="F104" s="228">
        <f t="shared" si="7"/>
        <v>131000</v>
      </c>
      <c r="G104" s="146">
        <v>77500</v>
      </c>
      <c r="H104" s="146">
        <v>90402.993465443316</v>
      </c>
      <c r="I104" s="146">
        <v>167902.99346544332</v>
      </c>
      <c r="J104" s="198">
        <f t="shared" si="8"/>
        <v>32000</v>
      </c>
      <c r="K104" s="198">
        <f t="shared" si="9"/>
        <v>90402.993465443316</v>
      </c>
      <c r="L104" s="198">
        <f t="shared" si="10"/>
        <v>122402.99346544332</v>
      </c>
      <c r="M104" s="301">
        <f t="shared" si="11"/>
        <v>29760</v>
      </c>
      <c r="N104" s="301">
        <f t="shared" si="12"/>
        <v>84074.783922862291</v>
      </c>
      <c r="O104" s="300">
        <f t="shared" si="13"/>
        <v>113834.78392286229</v>
      </c>
    </row>
    <row r="105" spans="1:15" x14ac:dyDescent="0.25">
      <c r="A105" s="210">
        <v>95</v>
      </c>
      <c r="B105" s="152" t="s">
        <v>36</v>
      </c>
      <c r="C105" s="153" t="s">
        <v>153</v>
      </c>
      <c r="D105" s="227">
        <v>183000</v>
      </c>
      <c r="E105" s="227">
        <v>569000</v>
      </c>
      <c r="F105" s="228">
        <f t="shared" si="7"/>
        <v>752000</v>
      </c>
      <c r="G105" s="146">
        <v>179500</v>
      </c>
      <c r="H105" s="146">
        <v>517597.51347396249</v>
      </c>
      <c r="I105" s="146">
        <v>697097.51347396243</v>
      </c>
      <c r="J105" s="198">
        <f t="shared" si="8"/>
        <v>179500</v>
      </c>
      <c r="K105" s="198">
        <f t="shared" si="9"/>
        <v>517597.51347396249</v>
      </c>
      <c r="L105" s="198">
        <f t="shared" si="10"/>
        <v>697097.51347396243</v>
      </c>
      <c r="M105" s="301">
        <f t="shared" si="11"/>
        <v>166935</v>
      </c>
      <c r="N105" s="301">
        <f t="shared" si="12"/>
        <v>481365.6875307851</v>
      </c>
      <c r="O105" s="300">
        <f t="shared" si="13"/>
        <v>648300.6875307851</v>
      </c>
    </row>
    <row r="106" spans="1:15" x14ac:dyDescent="0.25">
      <c r="A106" s="210">
        <v>96</v>
      </c>
      <c r="B106" s="158" t="s">
        <v>201</v>
      </c>
      <c r="C106" s="153" t="s">
        <v>153</v>
      </c>
      <c r="D106" s="227">
        <v>77000</v>
      </c>
      <c r="E106" s="227">
        <v>238000</v>
      </c>
      <c r="F106" s="228">
        <f t="shared" si="7"/>
        <v>315000</v>
      </c>
      <c r="G106" s="146">
        <v>279500</v>
      </c>
      <c r="H106" s="146">
        <v>216675.81904781068</v>
      </c>
      <c r="I106" s="146">
        <v>496175.81904781068</v>
      </c>
      <c r="J106" s="198">
        <f t="shared" si="8"/>
        <v>77000</v>
      </c>
      <c r="K106" s="198">
        <f t="shared" si="9"/>
        <v>216675.81904781068</v>
      </c>
      <c r="L106" s="198">
        <f t="shared" si="10"/>
        <v>293675.81904781068</v>
      </c>
      <c r="M106" s="301">
        <f t="shared" si="11"/>
        <v>71610</v>
      </c>
      <c r="N106" s="301">
        <f t="shared" si="12"/>
        <v>201508.51171446394</v>
      </c>
      <c r="O106" s="300">
        <f t="shared" si="13"/>
        <v>273118.51171446394</v>
      </c>
    </row>
    <row r="107" spans="1:15" x14ac:dyDescent="0.25">
      <c r="A107" s="210">
        <v>97</v>
      </c>
      <c r="B107" s="152" t="s">
        <v>316</v>
      </c>
      <c r="C107" s="153" t="s">
        <v>153</v>
      </c>
      <c r="D107" s="227">
        <v>50000</v>
      </c>
      <c r="E107" s="227">
        <v>155000</v>
      </c>
      <c r="F107" s="228">
        <f t="shared" si="7"/>
        <v>205000</v>
      </c>
      <c r="G107" s="146">
        <v>124500</v>
      </c>
      <c r="H107" s="146">
        <v>141264.71143227018</v>
      </c>
      <c r="I107" s="146">
        <v>265764.71143227018</v>
      </c>
      <c r="J107" s="198">
        <f t="shared" si="8"/>
        <v>50000</v>
      </c>
      <c r="K107" s="198">
        <f t="shared" si="9"/>
        <v>141264.71143227018</v>
      </c>
      <c r="L107" s="198">
        <f t="shared" si="10"/>
        <v>191264.71143227018</v>
      </c>
      <c r="M107" s="301">
        <f t="shared" si="11"/>
        <v>46500</v>
      </c>
      <c r="N107" s="301">
        <f t="shared" si="12"/>
        <v>131376.18163201126</v>
      </c>
      <c r="O107" s="300">
        <f t="shared" si="13"/>
        <v>177876.18163201126</v>
      </c>
    </row>
    <row r="108" spans="1:15" x14ac:dyDescent="0.25">
      <c r="A108" s="210">
        <v>98</v>
      </c>
      <c r="B108" s="160" t="s">
        <v>202</v>
      </c>
      <c r="C108" s="153" t="s">
        <v>153</v>
      </c>
      <c r="D108" s="227">
        <v>32000</v>
      </c>
      <c r="E108" s="227">
        <v>98000</v>
      </c>
      <c r="F108" s="228">
        <f t="shared" si="7"/>
        <v>130000</v>
      </c>
      <c r="G108" s="146">
        <v>104500</v>
      </c>
      <c r="H108" s="146">
        <v>88921.261193033934</v>
      </c>
      <c r="I108" s="146">
        <v>193421.26119303395</v>
      </c>
      <c r="J108" s="198">
        <f t="shared" si="8"/>
        <v>32000</v>
      </c>
      <c r="K108" s="198">
        <f t="shared" si="9"/>
        <v>88921.261193033934</v>
      </c>
      <c r="L108" s="198">
        <f t="shared" si="10"/>
        <v>120921.26119303393</v>
      </c>
      <c r="M108" s="301">
        <f t="shared" si="11"/>
        <v>29760</v>
      </c>
      <c r="N108" s="301">
        <f t="shared" si="12"/>
        <v>82696.772909521562</v>
      </c>
      <c r="O108" s="300">
        <f t="shared" si="13"/>
        <v>112456.77290952156</v>
      </c>
    </row>
    <row r="109" spans="1:15" x14ac:dyDescent="0.25">
      <c r="A109" s="210">
        <v>99</v>
      </c>
      <c r="B109" s="160" t="s">
        <v>271</v>
      </c>
      <c r="C109" s="153" t="s">
        <v>153</v>
      </c>
      <c r="D109" s="227">
        <v>56000</v>
      </c>
      <c r="E109" s="227">
        <v>176000</v>
      </c>
      <c r="F109" s="228">
        <f t="shared" si="7"/>
        <v>232000</v>
      </c>
      <c r="G109" s="146">
        <v>104500</v>
      </c>
      <c r="H109" s="146">
        <v>159700</v>
      </c>
      <c r="I109" s="146">
        <v>264200</v>
      </c>
      <c r="J109" s="198">
        <f t="shared" si="8"/>
        <v>56000</v>
      </c>
      <c r="K109" s="198">
        <f t="shared" si="9"/>
        <v>159700</v>
      </c>
      <c r="L109" s="198">
        <f t="shared" si="10"/>
        <v>215700</v>
      </c>
      <c r="M109" s="301">
        <f t="shared" si="11"/>
        <v>52080</v>
      </c>
      <c r="N109" s="301">
        <f t="shared" si="12"/>
        <v>148521</v>
      </c>
      <c r="O109" s="300">
        <f t="shared" si="13"/>
        <v>200601</v>
      </c>
    </row>
    <row r="110" spans="1:15" x14ac:dyDescent="0.25">
      <c r="A110" s="210">
        <v>100</v>
      </c>
      <c r="B110" s="160" t="s">
        <v>203</v>
      </c>
      <c r="C110" s="153" t="s">
        <v>153</v>
      </c>
      <c r="D110" s="227">
        <v>45000</v>
      </c>
      <c r="E110" s="227">
        <v>153000</v>
      </c>
      <c r="F110" s="228">
        <f t="shared" si="7"/>
        <v>198000</v>
      </c>
      <c r="G110" s="146">
        <v>144500</v>
      </c>
      <c r="H110" s="146">
        <v>141142.59429143381</v>
      </c>
      <c r="I110" s="146">
        <v>285642.59429143381</v>
      </c>
      <c r="J110" s="198">
        <f t="shared" si="8"/>
        <v>45000</v>
      </c>
      <c r="K110" s="198">
        <f t="shared" si="9"/>
        <v>141142.59429143381</v>
      </c>
      <c r="L110" s="198">
        <f t="shared" si="10"/>
        <v>186142.59429143381</v>
      </c>
      <c r="M110" s="301">
        <f t="shared" si="11"/>
        <v>41850</v>
      </c>
      <c r="N110" s="301">
        <f t="shared" si="12"/>
        <v>131262.61269103343</v>
      </c>
      <c r="O110" s="300">
        <f t="shared" si="13"/>
        <v>173112.61269103343</v>
      </c>
    </row>
    <row r="111" spans="1:15" x14ac:dyDescent="0.25">
      <c r="A111" s="210">
        <v>101</v>
      </c>
      <c r="B111" s="158" t="s">
        <v>204</v>
      </c>
      <c r="C111" s="153" t="s">
        <v>153</v>
      </c>
      <c r="D111" s="227">
        <v>45000</v>
      </c>
      <c r="E111" s="227">
        <v>153000</v>
      </c>
      <c r="F111" s="228">
        <f t="shared" si="7"/>
        <v>198000</v>
      </c>
      <c r="G111" s="146">
        <v>144500</v>
      </c>
      <c r="H111" s="146">
        <v>141900</v>
      </c>
      <c r="I111" s="146">
        <v>286400</v>
      </c>
      <c r="J111" s="198">
        <f t="shared" si="8"/>
        <v>45000</v>
      </c>
      <c r="K111" s="198">
        <f t="shared" si="9"/>
        <v>141900</v>
      </c>
      <c r="L111" s="198">
        <f t="shared" si="10"/>
        <v>186900</v>
      </c>
      <c r="M111" s="301">
        <f t="shared" si="11"/>
        <v>41850</v>
      </c>
      <c r="N111" s="301">
        <f t="shared" si="12"/>
        <v>131967</v>
      </c>
      <c r="O111" s="300">
        <f t="shared" si="13"/>
        <v>173817</v>
      </c>
    </row>
    <row r="112" spans="1:15" x14ac:dyDescent="0.25">
      <c r="A112" s="210">
        <v>102</v>
      </c>
      <c r="B112" s="158" t="s">
        <v>206</v>
      </c>
      <c r="C112" s="153" t="s">
        <v>153</v>
      </c>
      <c r="D112" s="227">
        <v>38000</v>
      </c>
      <c r="E112" s="227">
        <v>117000</v>
      </c>
      <c r="F112" s="228">
        <f t="shared" si="7"/>
        <v>155000</v>
      </c>
      <c r="G112" s="146">
        <v>104500</v>
      </c>
      <c r="H112" s="146">
        <v>106813.10719088436</v>
      </c>
      <c r="I112" s="146">
        <v>211313.10719088436</v>
      </c>
      <c r="J112" s="198">
        <f t="shared" si="8"/>
        <v>38000</v>
      </c>
      <c r="K112" s="198">
        <f t="shared" si="9"/>
        <v>106813.10719088436</v>
      </c>
      <c r="L112" s="198">
        <f t="shared" si="10"/>
        <v>144813.10719088436</v>
      </c>
      <c r="M112" s="301">
        <f t="shared" si="11"/>
        <v>35340</v>
      </c>
      <c r="N112" s="301">
        <f t="shared" si="12"/>
        <v>99336.189687522448</v>
      </c>
      <c r="O112" s="300">
        <f t="shared" si="13"/>
        <v>134676.18968752245</v>
      </c>
    </row>
    <row r="113" spans="1:15" x14ac:dyDescent="0.25">
      <c r="A113" s="210">
        <v>103</v>
      </c>
      <c r="B113" s="158" t="s">
        <v>205</v>
      </c>
      <c r="C113" s="153" t="s">
        <v>153</v>
      </c>
      <c r="D113" s="227">
        <v>30000</v>
      </c>
      <c r="E113" s="227">
        <v>88000</v>
      </c>
      <c r="F113" s="228">
        <f t="shared" si="7"/>
        <v>118000</v>
      </c>
      <c r="G113" s="146">
        <v>164500</v>
      </c>
      <c r="H113" s="146">
        <v>79600</v>
      </c>
      <c r="I113" s="146">
        <v>244100</v>
      </c>
      <c r="J113" s="198">
        <f t="shared" si="8"/>
        <v>30000</v>
      </c>
      <c r="K113" s="198">
        <f t="shared" si="9"/>
        <v>79600</v>
      </c>
      <c r="L113" s="198">
        <f t="shared" si="10"/>
        <v>109600</v>
      </c>
      <c r="M113" s="301">
        <f t="shared" si="11"/>
        <v>27900</v>
      </c>
      <c r="N113" s="301">
        <f t="shared" si="12"/>
        <v>74028</v>
      </c>
      <c r="O113" s="300">
        <f t="shared" si="13"/>
        <v>101928</v>
      </c>
    </row>
    <row r="114" spans="1:15" x14ac:dyDescent="0.25">
      <c r="A114" s="210">
        <v>104</v>
      </c>
      <c r="B114" s="152" t="s">
        <v>37</v>
      </c>
      <c r="C114" s="153" t="s">
        <v>153</v>
      </c>
      <c r="D114" s="227">
        <v>67000</v>
      </c>
      <c r="E114" s="227">
        <v>229000</v>
      </c>
      <c r="F114" s="228">
        <f t="shared" si="7"/>
        <v>296000</v>
      </c>
      <c r="G114" s="146">
        <v>134500</v>
      </c>
      <c r="H114" s="146">
        <v>270027.6730536031</v>
      </c>
      <c r="I114" s="146">
        <v>404527.6730536031</v>
      </c>
      <c r="J114" s="198">
        <f t="shared" si="8"/>
        <v>67000</v>
      </c>
      <c r="K114" s="198">
        <f t="shared" si="9"/>
        <v>229000</v>
      </c>
      <c r="L114" s="198">
        <f t="shared" si="10"/>
        <v>296000</v>
      </c>
      <c r="M114" s="301">
        <f t="shared" si="11"/>
        <v>62310</v>
      </c>
      <c r="N114" s="301">
        <f t="shared" si="12"/>
        <v>212970</v>
      </c>
      <c r="O114" s="300">
        <f t="shared" si="13"/>
        <v>275280</v>
      </c>
    </row>
    <row r="115" spans="1:15" x14ac:dyDescent="0.25">
      <c r="A115" s="210">
        <v>105</v>
      </c>
      <c r="B115" s="152" t="s">
        <v>337</v>
      </c>
      <c r="C115" s="153" t="s">
        <v>153</v>
      </c>
      <c r="D115" s="227">
        <v>61000</v>
      </c>
      <c r="E115" s="227">
        <v>189000</v>
      </c>
      <c r="F115" s="228">
        <f t="shared" si="7"/>
        <v>250000</v>
      </c>
      <c r="G115" s="146">
        <v>144500</v>
      </c>
      <c r="H115" s="146">
        <v>171907.12277123748</v>
      </c>
      <c r="I115" s="146">
        <v>316407.12277123751</v>
      </c>
      <c r="J115" s="198">
        <f t="shared" si="8"/>
        <v>61000</v>
      </c>
      <c r="K115" s="198">
        <f t="shared" si="9"/>
        <v>171907.12277123748</v>
      </c>
      <c r="L115" s="198">
        <f t="shared" si="10"/>
        <v>232907.12277123748</v>
      </c>
      <c r="M115" s="301">
        <f t="shared" si="11"/>
        <v>56730</v>
      </c>
      <c r="N115" s="301">
        <f t="shared" si="12"/>
        <v>159873.62417725087</v>
      </c>
      <c r="O115" s="300">
        <f t="shared" si="13"/>
        <v>216603.62417725087</v>
      </c>
    </row>
    <row r="116" spans="1:15" x14ac:dyDescent="0.25">
      <c r="A116" s="210">
        <v>106</v>
      </c>
      <c r="B116" s="161" t="s">
        <v>419</v>
      </c>
      <c r="C116" s="153" t="s">
        <v>153</v>
      </c>
      <c r="D116" s="227">
        <v>19000</v>
      </c>
      <c r="E116" s="227">
        <v>54000</v>
      </c>
      <c r="F116" s="228">
        <f t="shared" si="7"/>
        <v>73000</v>
      </c>
      <c r="G116" s="146">
        <v>84500</v>
      </c>
      <c r="H116" s="146">
        <v>49198.241181280064</v>
      </c>
      <c r="I116" s="146">
        <v>133698.24118128006</v>
      </c>
      <c r="J116" s="198">
        <f t="shared" si="8"/>
        <v>19000</v>
      </c>
      <c r="K116" s="198">
        <f t="shared" si="9"/>
        <v>49198.241181280064</v>
      </c>
      <c r="L116" s="198">
        <f t="shared" si="10"/>
        <v>68198.241181280056</v>
      </c>
      <c r="M116" s="301">
        <f t="shared" si="11"/>
        <v>17670</v>
      </c>
      <c r="N116" s="301">
        <f t="shared" si="12"/>
        <v>45754.364298590459</v>
      </c>
      <c r="O116" s="300">
        <f t="shared" si="13"/>
        <v>63424.364298590459</v>
      </c>
    </row>
    <row r="117" spans="1:15" x14ac:dyDescent="0.25">
      <c r="A117" s="210">
        <v>107</v>
      </c>
      <c r="B117" s="161" t="s">
        <v>317</v>
      </c>
      <c r="C117" s="153" t="s">
        <v>153</v>
      </c>
      <c r="D117" s="227">
        <v>115000</v>
      </c>
      <c r="E117" s="227">
        <v>544000</v>
      </c>
      <c r="F117" s="228">
        <f t="shared" si="7"/>
        <v>659000</v>
      </c>
      <c r="G117" s="146">
        <v>104500</v>
      </c>
      <c r="H117" s="146">
        <v>667000</v>
      </c>
      <c r="I117" s="146">
        <v>771500</v>
      </c>
      <c r="J117" s="198">
        <f t="shared" si="8"/>
        <v>104500</v>
      </c>
      <c r="K117" s="198">
        <f t="shared" si="9"/>
        <v>544000</v>
      </c>
      <c r="L117" s="198">
        <f t="shared" si="10"/>
        <v>648500</v>
      </c>
      <c r="M117" s="301">
        <f t="shared" si="11"/>
        <v>97185</v>
      </c>
      <c r="N117" s="301">
        <f t="shared" si="12"/>
        <v>505920</v>
      </c>
      <c r="O117" s="300">
        <f t="shared" si="13"/>
        <v>603105</v>
      </c>
    </row>
    <row r="118" spans="1:15" x14ac:dyDescent="0.25">
      <c r="A118" s="210">
        <v>108</v>
      </c>
      <c r="B118" s="161" t="s">
        <v>318</v>
      </c>
      <c r="C118" s="153" t="s">
        <v>153</v>
      </c>
      <c r="D118" s="227">
        <v>65000</v>
      </c>
      <c r="E118" s="227">
        <v>223000</v>
      </c>
      <c r="F118" s="228">
        <f t="shared" si="7"/>
        <v>288000</v>
      </c>
      <c r="G118" s="146">
        <v>104500</v>
      </c>
      <c r="H118" s="146">
        <v>400000</v>
      </c>
      <c r="I118" s="146">
        <v>504500</v>
      </c>
      <c r="J118" s="198">
        <f t="shared" si="8"/>
        <v>65000</v>
      </c>
      <c r="K118" s="198">
        <f t="shared" si="9"/>
        <v>223000</v>
      </c>
      <c r="L118" s="198">
        <f t="shared" si="10"/>
        <v>288000</v>
      </c>
      <c r="M118" s="301">
        <f t="shared" si="11"/>
        <v>60450</v>
      </c>
      <c r="N118" s="301">
        <f t="shared" si="12"/>
        <v>207390</v>
      </c>
      <c r="O118" s="300">
        <f t="shared" si="13"/>
        <v>267840</v>
      </c>
    </row>
    <row r="119" spans="1:15" x14ac:dyDescent="0.25">
      <c r="A119" s="210">
        <v>109</v>
      </c>
      <c r="B119" s="161" t="s">
        <v>329</v>
      </c>
      <c r="C119" s="153" t="s">
        <v>153</v>
      </c>
      <c r="D119" s="227">
        <v>202000</v>
      </c>
      <c r="E119" s="227">
        <v>689000</v>
      </c>
      <c r="F119" s="228">
        <f t="shared" si="7"/>
        <v>891000</v>
      </c>
      <c r="G119" s="146">
        <v>379500</v>
      </c>
      <c r="H119" s="146">
        <v>1023000</v>
      </c>
      <c r="I119" s="146">
        <v>1402500</v>
      </c>
      <c r="J119" s="198">
        <f t="shared" si="8"/>
        <v>202000</v>
      </c>
      <c r="K119" s="198">
        <f t="shared" si="9"/>
        <v>689000</v>
      </c>
      <c r="L119" s="198">
        <f t="shared" si="10"/>
        <v>891000</v>
      </c>
      <c r="M119" s="301">
        <f t="shared" si="11"/>
        <v>187860</v>
      </c>
      <c r="N119" s="301">
        <f t="shared" si="12"/>
        <v>640770</v>
      </c>
      <c r="O119" s="300">
        <f t="shared" si="13"/>
        <v>828630</v>
      </c>
    </row>
    <row r="120" spans="1:15" ht="22.5" x14ac:dyDescent="0.25">
      <c r="A120" s="210"/>
      <c r="B120" s="156" t="s">
        <v>39</v>
      </c>
      <c r="C120" s="153" t="s">
        <v>153</v>
      </c>
      <c r="D120" s="227">
        <v>0</v>
      </c>
      <c r="E120" s="227">
        <v>0</v>
      </c>
      <c r="F120" s="228">
        <f t="shared" si="7"/>
        <v>0</v>
      </c>
      <c r="G120" s="146"/>
      <c r="H120" s="146"/>
      <c r="I120" s="146">
        <v>0</v>
      </c>
      <c r="J120" s="198">
        <f t="shared" si="8"/>
        <v>0</v>
      </c>
      <c r="K120" s="198">
        <f t="shared" si="9"/>
        <v>0</v>
      </c>
      <c r="L120" s="198">
        <f t="shared" si="10"/>
        <v>0</v>
      </c>
      <c r="M120" s="301">
        <f t="shared" si="11"/>
        <v>0</v>
      </c>
      <c r="N120" s="301">
        <f t="shared" si="12"/>
        <v>0</v>
      </c>
      <c r="O120" s="300">
        <f t="shared" si="13"/>
        <v>0</v>
      </c>
    </row>
    <row r="121" spans="1:15" x14ac:dyDescent="0.25">
      <c r="A121" s="210">
        <v>110</v>
      </c>
      <c r="B121" s="152" t="s">
        <v>40</v>
      </c>
      <c r="C121" s="153" t="s">
        <v>153</v>
      </c>
      <c r="D121" s="227">
        <v>219000</v>
      </c>
      <c r="E121" s="227">
        <v>1103000</v>
      </c>
      <c r="F121" s="228">
        <f t="shared" si="7"/>
        <v>1322000</v>
      </c>
      <c r="G121" s="146">
        <v>199500</v>
      </c>
      <c r="H121" s="146">
        <v>1002354.6269888555</v>
      </c>
      <c r="I121" s="146">
        <v>1201854.6269888557</v>
      </c>
      <c r="J121" s="198">
        <f t="shared" si="8"/>
        <v>199500</v>
      </c>
      <c r="K121" s="198">
        <f t="shared" si="9"/>
        <v>1002354.6269888555</v>
      </c>
      <c r="L121" s="198">
        <f t="shared" si="10"/>
        <v>1201854.6269888557</v>
      </c>
      <c r="M121" s="301">
        <f t="shared" si="11"/>
        <v>185535</v>
      </c>
      <c r="N121" s="301">
        <f t="shared" si="12"/>
        <v>932189.80309963564</v>
      </c>
      <c r="O121" s="300">
        <f t="shared" si="13"/>
        <v>1117724.8030996355</v>
      </c>
    </row>
    <row r="122" spans="1:15" ht="22.5" x14ac:dyDescent="0.25">
      <c r="A122" s="210">
        <v>111</v>
      </c>
      <c r="B122" s="152" t="s">
        <v>209</v>
      </c>
      <c r="C122" s="153" t="s">
        <v>153</v>
      </c>
      <c r="D122" s="227">
        <v>34000</v>
      </c>
      <c r="E122" s="227">
        <v>104000</v>
      </c>
      <c r="F122" s="228">
        <f t="shared" si="7"/>
        <v>138000</v>
      </c>
      <c r="G122" s="146">
        <v>199500</v>
      </c>
      <c r="H122" s="146">
        <v>94955.452131987477</v>
      </c>
      <c r="I122" s="146">
        <v>294455.45213198749</v>
      </c>
      <c r="J122" s="198">
        <f t="shared" si="8"/>
        <v>34000</v>
      </c>
      <c r="K122" s="198">
        <f t="shared" si="9"/>
        <v>94955.452131987477</v>
      </c>
      <c r="L122" s="198">
        <f t="shared" si="10"/>
        <v>128955.45213198748</v>
      </c>
      <c r="M122" s="301">
        <f t="shared" si="11"/>
        <v>31620</v>
      </c>
      <c r="N122" s="301">
        <f t="shared" si="12"/>
        <v>88308.570482748357</v>
      </c>
      <c r="O122" s="300">
        <f t="shared" si="13"/>
        <v>119928.57048274836</v>
      </c>
    </row>
    <row r="123" spans="1:15" x14ac:dyDescent="0.25">
      <c r="A123" s="210">
        <v>112</v>
      </c>
      <c r="B123" s="152" t="s">
        <v>208</v>
      </c>
      <c r="C123" s="153" t="s">
        <v>153</v>
      </c>
      <c r="D123" s="227">
        <v>67000</v>
      </c>
      <c r="E123" s="227">
        <v>229000</v>
      </c>
      <c r="F123" s="228">
        <f t="shared" si="7"/>
        <v>296000</v>
      </c>
      <c r="G123" s="146">
        <v>199500</v>
      </c>
      <c r="H123" s="146">
        <v>311000</v>
      </c>
      <c r="I123" s="146">
        <v>510500</v>
      </c>
      <c r="J123" s="198">
        <f t="shared" si="8"/>
        <v>67000</v>
      </c>
      <c r="K123" s="198">
        <f t="shared" si="9"/>
        <v>229000</v>
      </c>
      <c r="L123" s="198">
        <f t="shared" si="10"/>
        <v>296000</v>
      </c>
      <c r="M123" s="301">
        <f t="shared" si="11"/>
        <v>62310</v>
      </c>
      <c r="N123" s="301">
        <f t="shared" si="12"/>
        <v>212970</v>
      </c>
      <c r="O123" s="300">
        <f t="shared" si="13"/>
        <v>275280</v>
      </c>
    </row>
    <row r="124" spans="1:15" x14ac:dyDescent="0.25">
      <c r="A124" s="210">
        <v>113</v>
      </c>
      <c r="B124" s="152" t="s">
        <v>41</v>
      </c>
      <c r="C124" s="153" t="s">
        <v>153</v>
      </c>
      <c r="D124" s="227">
        <v>219000</v>
      </c>
      <c r="E124" s="227">
        <v>1118000</v>
      </c>
      <c r="F124" s="228">
        <f t="shared" si="7"/>
        <v>1337000</v>
      </c>
      <c r="G124" s="146">
        <v>199500</v>
      </c>
      <c r="H124" s="146">
        <v>1016526.4801772427</v>
      </c>
      <c r="I124" s="146">
        <v>1216026.4801772428</v>
      </c>
      <c r="J124" s="198">
        <f t="shared" si="8"/>
        <v>199500</v>
      </c>
      <c r="K124" s="198">
        <f t="shared" si="9"/>
        <v>1016526.4801772427</v>
      </c>
      <c r="L124" s="198">
        <f t="shared" si="10"/>
        <v>1216026.4801772428</v>
      </c>
      <c r="M124" s="301">
        <f t="shared" si="11"/>
        <v>185535</v>
      </c>
      <c r="N124" s="301">
        <f t="shared" si="12"/>
        <v>945369.62656483566</v>
      </c>
      <c r="O124" s="300">
        <f t="shared" si="13"/>
        <v>1130904.6265648357</v>
      </c>
    </row>
    <row r="125" spans="1:15" ht="22.5" x14ac:dyDescent="0.25">
      <c r="A125" s="210">
        <v>114</v>
      </c>
      <c r="B125" s="152" t="s">
        <v>210</v>
      </c>
      <c r="C125" s="153" t="s">
        <v>153</v>
      </c>
      <c r="D125" s="227">
        <v>160000</v>
      </c>
      <c r="E125" s="227">
        <v>496000</v>
      </c>
      <c r="F125" s="228">
        <f t="shared" si="7"/>
        <v>656000</v>
      </c>
      <c r="G125" s="146">
        <v>199500</v>
      </c>
      <c r="H125" s="146">
        <v>450912.91667620203</v>
      </c>
      <c r="I125" s="146">
        <v>650412.91667620209</v>
      </c>
      <c r="J125" s="198">
        <f t="shared" si="8"/>
        <v>160000</v>
      </c>
      <c r="K125" s="198">
        <f t="shared" si="9"/>
        <v>450912.91667620203</v>
      </c>
      <c r="L125" s="198">
        <f t="shared" si="10"/>
        <v>610912.91667620209</v>
      </c>
      <c r="M125" s="301">
        <f t="shared" si="11"/>
        <v>148800</v>
      </c>
      <c r="N125" s="301">
        <f t="shared" si="12"/>
        <v>419349.01250886789</v>
      </c>
      <c r="O125" s="300">
        <f t="shared" si="13"/>
        <v>568149.01250886789</v>
      </c>
    </row>
    <row r="126" spans="1:15" ht="22.5" x14ac:dyDescent="0.25">
      <c r="A126" s="210">
        <v>115</v>
      </c>
      <c r="B126" s="152" t="s">
        <v>212</v>
      </c>
      <c r="C126" s="153" t="s">
        <v>153</v>
      </c>
      <c r="D126" s="227">
        <v>67000</v>
      </c>
      <c r="E126" s="227">
        <v>208000</v>
      </c>
      <c r="F126" s="228">
        <f t="shared" si="7"/>
        <v>275000</v>
      </c>
      <c r="G126" s="146">
        <v>264500</v>
      </c>
      <c r="H126" s="146">
        <v>188663.39041803923</v>
      </c>
      <c r="I126" s="146">
        <v>453163.39041803923</v>
      </c>
      <c r="J126" s="198">
        <f t="shared" si="8"/>
        <v>67000</v>
      </c>
      <c r="K126" s="198">
        <f t="shared" si="9"/>
        <v>188663.39041803923</v>
      </c>
      <c r="L126" s="198">
        <f t="shared" si="10"/>
        <v>255663.39041803923</v>
      </c>
      <c r="M126" s="301">
        <f t="shared" si="11"/>
        <v>62310</v>
      </c>
      <c r="N126" s="301">
        <f t="shared" si="12"/>
        <v>175456.95308877647</v>
      </c>
      <c r="O126" s="300">
        <f t="shared" si="13"/>
        <v>237766.95308877647</v>
      </c>
    </row>
    <row r="127" spans="1:15" ht="22.5" x14ac:dyDescent="0.25">
      <c r="A127" s="210">
        <v>116</v>
      </c>
      <c r="B127" s="152" t="s">
        <v>213</v>
      </c>
      <c r="C127" s="153" t="s">
        <v>153</v>
      </c>
      <c r="D127" s="227">
        <v>163000</v>
      </c>
      <c r="E127" s="227">
        <v>506000</v>
      </c>
      <c r="F127" s="228">
        <f t="shared" si="7"/>
        <v>669000</v>
      </c>
      <c r="G127" s="146">
        <v>449500</v>
      </c>
      <c r="H127" s="146">
        <v>460219.06862924597</v>
      </c>
      <c r="I127" s="146">
        <v>909719.06862924597</v>
      </c>
      <c r="J127" s="198">
        <f t="shared" si="8"/>
        <v>163000</v>
      </c>
      <c r="K127" s="198">
        <f t="shared" si="9"/>
        <v>460219.06862924597</v>
      </c>
      <c r="L127" s="198">
        <f t="shared" si="10"/>
        <v>623219.06862924597</v>
      </c>
      <c r="M127" s="301">
        <f t="shared" si="11"/>
        <v>151590</v>
      </c>
      <c r="N127" s="301">
        <f t="shared" si="12"/>
        <v>428003.73382519872</v>
      </c>
      <c r="O127" s="300">
        <f t="shared" si="13"/>
        <v>579593.73382519872</v>
      </c>
    </row>
    <row r="128" spans="1:15" x14ac:dyDescent="0.25">
      <c r="A128" s="210">
        <v>117</v>
      </c>
      <c r="B128" s="152" t="s">
        <v>214</v>
      </c>
      <c r="C128" s="153" t="s">
        <v>153</v>
      </c>
      <c r="D128" s="227">
        <v>104000</v>
      </c>
      <c r="E128" s="227">
        <v>453000</v>
      </c>
      <c r="F128" s="228">
        <f t="shared" si="7"/>
        <v>557000</v>
      </c>
      <c r="G128" s="146">
        <v>94500</v>
      </c>
      <c r="H128" s="146">
        <v>411601.92351184436</v>
      </c>
      <c r="I128" s="146">
        <v>506101.92351184436</v>
      </c>
      <c r="J128" s="198">
        <f t="shared" si="8"/>
        <v>94500</v>
      </c>
      <c r="K128" s="198">
        <f t="shared" si="9"/>
        <v>411601.92351184436</v>
      </c>
      <c r="L128" s="198">
        <f t="shared" si="10"/>
        <v>506101.92351184436</v>
      </c>
      <c r="M128" s="301">
        <f t="shared" si="11"/>
        <v>87885</v>
      </c>
      <c r="N128" s="301">
        <f t="shared" si="12"/>
        <v>382789.78886601527</v>
      </c>
      <c r="O128" s="300">
        <f t="shared" si="13"/>
        <v>470674.78886601527</v>
      </c>
    </row>
    <row r="129" spans="1:15" x14ac:dyDescent="0.25">
      <c r="A129" s="210">
        <v>118</v>
      </c>
      <c r="B129" s="158" t="s">
        <v>242</v>
      </c>
      <c r="C129" s="153" t="s">
        <v>153</v>
      </c>
      <c r="D129" s="227">
        <v>49000</v>
      </c>
      <c r="E129" s="227">
        <v>153000</v>
      </c>
      <c r="F129" s="228">
        <f t="shared" si="7"/>
        <v>202000</v>
      </c>
      <c r="G129" s="146">
        <v>94500</v>
      </c>
      <c r="H129" s="146">
        <v>139432.10002181071</v>
      </c>
      <c r="I129" s="146">
        <v>233932.10002181071</v>
      </c>
      <c r="J129" s="198">
        <f t="shared" si="8"/>
        <v>49000</v>
      </c>
      <c r="K129" s="198">
        <f t="shared" si="9"/>
        <v>139432.10002181071</v>
      </c>
      <c r="L129" s="198">
        <f t="shared" si="10"/>
        <v>188432.10002181071</v>
      </c>
      <c r="M129" s="301">
        <f t="shared" si="11"/>
        <v>45570</v>
      </c>
      <c r="N129" s="301">
        <f t="shared" si="12"/>
        <v>129671.85302028396</v>
      </c>
      <c r="O129" s="300">
        <f t="shared" si="13"/>
        <v>175241.85302028398</v>
      </c>
    </row>
    <row r="130" spans="1:15" x14ac:dyDescent="0.25">
      <c r="A130" s="210">
        <v>119</v>
      </c>
      <c r="B130" s="152" t="s">
        <v>355</v>
      </c>
      <c r="C130" s="153" t="s">
        <v>153</v>
      </c>
      <c r="D130" s="227">
        <v>110000</v>
      </c>
      <c r="E130" s="227">
        <v>343000</v>
      </c>
      <c r="F130" s="228">
        <f t="shared" si="7"/>
        <v>453000</v>
      </c>
      <c r="G130" s="146">
        <v>134500</v>
      </c>
      <c r="H130" s="146">
        <v>311434.5437691969</v>
      </c>
      <c r="I130" s="146">
        <v>445934.5437691969</v>
      </c>
      <c r="J130" s="198">
        <f t="shared" si="8"/>
        <v>110000</v>
      </c>
      <c r="K130" s="198">
        <f t="shared" si="9"/>
        <v>311434.5437691969</v>
      </c>
      <c r="L130" s="198">
        <f t="shared" si="10"/>
        <v>421434.5437691969</v>
      </c>
      <c r="M130" s="301">
        <f t="shared" si="11"/>
        <v>102300</v>
      </c>
      <c r="N130" s="301">
        <f t="shared" si="12"/>
        <v>289634.1257053531</v>
      </c>
      <c r="O130" s="300">
        <f t="shared" si="13"/>
        <v>391934.1257053531</v>
      </c>
    </row>
    <row r="131" spans="1:15" x14ac:dyDescent="0.25">
      <c r="A131" s="210">
        <v>120</v>
      </c>
      <c r="B131" s="152" t="s">
        <v>215</v>
      </c>
      <c r="C131" s="153" t="s">
        <v>153</v>
      </c>
      <c r="D131" s="227">
        <v>11000</v>
      </c>
      <c r="E131" s="227">
        <v>34000</v>
      </c>
      <c r="F131" s="228">
        <f t="shared" si="7"/>
        <v>45000</v>
      </c>
      <c r="G131" s="146">
        <v>64500</v>
      </c>
      <c r="H131" s="146">
        <v>57783.726695013567</v>
      </c>
      <c r="I131" s="146">
        <v>122283.72669501357</v>
      </c>
      <c r="J131" s="198">
        <f t="shared" si="8"/>
        <v>11000</v>
      </c>
      <c r="K131" s="198">
        <f t="shared" si="9"/>
        <v>34000</v>
      </c>
      <c r="L131" s="198">
        <f t="shared" si="10"/>
        <v>45000</v>
      </c>
      <c r="M131" s="301">
        <f t="shared" si="11"/>
        <v>10230</v>
      </c>
      <c r="N131" s="301">
        <f t="shared" si="12"/>
        <v>31620</v>
      </c>
      <c r="O131" s="300">
        <f t="shared" si="13"/>
        <v>41850</v>
      </c>
    </row>
    <row r="132" spans="1:15" x14ac:dyDescent="0.25">
      <c r="A132" s="210">
        <v>121</v>
      </c>
      <c r="B132" s="152" t="s">
        <v>216</v>
      </c>
      <c r="C132" s="153" t="s">
        <v>153</v>
      </c>
      <c r="D132" s="227">
        <v>2000</v>
      </c>
      <c r="E132" s="227">
        <v>6000</v>
      </c>
      <c r="F132" s="228">
        <f t="shared" si="7"/>
        <v>8000</v>
      </c>
      <c r="G132" s="146">
        <v>64500</v>
      </c>
      <c r="H132" s="146">
        <v>7603.7031682419947</v>
      </c>
      <c r="I132" s="146">
        <v>72103.703168241991</v>
      </c>
      <c r="J132" s="198">
        <f t="shared" si="8"/>
        <v>2000</v>
      </c>
      <c r="K132" s="198">
        <f t="shared" si="9"/>
        <v>6000</v>
      </c>
      <c r="L132" s="198">
        <f t="shared" si="10"/>
        <v>8000</v>
      </c>
      <c r="M132" s="301">
        <f t="shared" si="11"/>
        <v>1860</v>
      </c>
      <c r="N132" s="301">
        <f t="shared" si="12"/>
        <v>5580</v>
      </c>
      <c r="O132" s="300">
        <f t="shared" si="13"/>
        <v>7440</v>
      </c>
    </row>
    <row r="133" spans="1:15" x14ac:dyDescent="0.25">
      <c r="A133" s="210">
        <v>122</v>
      </c>
      <c r="B133" s="152" t="s">
        <v>217</v>
      </c>
      <c r="C133" s="153" t="s">
        <v>153</v>
      </c>
      <c r="D133" s="227">
        <v>2000</v>
      </c>
      <c r="E133" s="227">
        <v>6000</v>
      </c>
      <c r="F133" s="228">
        <f t="shared" ref="F133:F196" si="14">(D133+E133)</f>
        <v>8000</v>
      </c>
      <c r="G133" s="146">
        <v>64500</v>
      </c>
      <c r="H133" s="146">
        <v>6255.217538087335</v>
      </c>
      <c r="I133" s="146">
        <v>70755.217538087338</v>
      </c>
      <c r="J133" s="198">
        <f t="shared" ref="J133:J196" si="15">MIN(D133,G133)</f>
        <v>2000</v>
      </c>
      <c r="K133" s="198">
        <f t="shared" ref="K133:K196" si="16">MIN(E133,H133)</f>
        <v>6000</v>
      </c>
      <c r="L133" s="198">
        <f t="shared" ref="L133:L196" si="17">J133+K133</f>
        <v>8000</v>
      </c>
      <c r="M133" s="301">
        <f t="shared" ref="M133:M196" si="18">J133-(J133*7%)</f>
        <v>1860</v>
      </c>
      <c r="N133" s="301">
        <f t="shared" ref="N133:N196" si="19">K133-(K133*7%)</f>
        <v>5580</v>
      </c>
      <c r="O133" s="300">
        <f t="shared" ref="O133:O196" si="20">N133+M133</f>
        <v>7440</v>
      </c>
    </row>
    <row r="134" spans="1:15" x14ac:dyDescent="0.25">
      <c r="A134" s="210">
        <v>123</v>
      </c>
      <c r="B134" s="152" t="s">
        <v>218</v>
      </c>
      <c r="C134" s="153" t="s">
        <v>153</v>
      </c>
      <c r="D134" s="227">
        <v>1000</v>
      </c>
      <c r="E134" s="227">
        <v>4000</v>
      </c>
      <c r="F134" s="228">
        <f t="shared" si="14"/>
        <v>5000</v>
      </c>
      <c r="G134" s="146">
        <v>64500</v>
      </c>
      <c r="H134" s="146">
        <v>5391.8023163318012</v>
      </c>
      <c r="I134" s="146">
        <v>69891.802316331799</v>
      </c>
      <c r="J134" s="198">
        <f t="shared" si="15"/>
        <v>1000</v>
      </c>
      <c r="K134" s="198">
        <f t="shared" si="16"/>
        <v>4000</v>
      </c>
      <c r="L134" s="198">
        <f t="shared" si="17"/>
        <v>5000</v>
      </c>
      <c r="M134" s="301">
        <f t="shared" si="18"/>
        <v>930</v>
      </c>
      <c r="N134" s="301">
        <f t="shared" si="19"/>
        <v>3720</v>
      </c>
      <c r="O134" s="300">
        <f t="shared" si="20"/>
        <v>4650</v>
      </c>
    </row>
    <row r="135" spans="1:15" ht="22.5" x14ac:dyDescent="0.25">
      <c r="A135" s="210">
        <v>124</v>
      </c>
      <c r="B135" s="161" t="s">
        <v>224</v>
      </c>
      <c r="C135" s="153" t="s">
        <v>153</v>
      </c>
      <c r="D135" s="227">
        <v>181000</v>
      </c>
      <c r="E135" s="227">
        <v>564000</v>
      </c>
      <c r="F135" s="228">
        <f t="shared" si="14"/>
        <v>745000</v>
      </c>
      <c r="G135" s="146">
        <v>474500</v>
      </c>
      <c r="H135" s="146">
        <v>512500.20258168911</v>
      </c>
      <c r="I135" s="146">
        <v>987000.20258168911</v>
      </c>
      <c r="J135" s="198">
        <f t="shared" si="15"/>
        <v>181000</v>
      </c>
      <c r="K135" s="198">
        <f t="shared" si="16"/>
        <v>512500.20258168911</v>
      </c>
      <c r="L135" s="198">
        <f t="shared" si="17"/>
        <v>693500.20258168911</v>
      </c>
      <c r="M135" s="301">
        <f t="shared" si="18"/>
        <v>168330</v>
      </c>
      <c r="N135" s="301">
        <f t="shared" si="19"/>
        <v>476625.18840097089</v>
      </c>
      <c r="O135" s="300">
        <f t="shared" si="20"/>
        <v>644955.18840097089</v>
      </c>
    </row>
    <row r="136" spans="1:15" ht="22.5" x14ac:dyDescent="0.25">
      <c r="A136" s="210">
        <v>125</v>
      </c>
      <c r="B136" s="152" t="s">
        <v>226</v>
      </c>
      <c r="C136" s="153" t="s">
        <v>153</v>
      </c>
      <c r="D136" s="227">
        <v>129000</v>
      </c>
      <c r="E136" s="227">
        <v>401000</v>
      </c>
      <c r="F136" s="228">
        <f t="shared" si="14"/>
        <v>530000</v>
      </c>
      <c r="G136" s="146">
        <v>374500</v>
      </c>
      <c r="H136" s="146">
        <v>364812.02671243652</v>
      </c>
      <c r="I136" s="146">
        <v>739312.02671243646</v>
      </c>
      <c r="J136" s="198">
        <f t="shared" si="15"/>
        <v>129000</v>
      </c>
      <c r="K136" s="198">
        <f t="shared" si="16"/>
        <v>364812.02671243652</v>
      </c>
      <c r="L136" s="198">
        <f t="shared" si="17"/>
        <v>493812.02671243652</v>
      </c>
      <c r="M136" s="301">
        <f t="shared" si="18"/>
        <v>119970</v>
      </c>
      <c r="N136" s="301">
        <f t="shared" si="19"/>
        <v>339275.18484256597</v>
      </c>
      <c r="O136" s="300">
        <f t="shared" si="20"/>
        <v>459245.18484256597</v>
      </c>
    </row>
    <row r="137" spans="1:15" x14ac:dyDescent="0.25">
      <c r="A137" s="210">
        <v>126</v>
      </c>
      <c r="B137" s="152" t="s">
        <v>42</v>
      </c>
      <c r="C137" s="153" t="s">
        <v>153</v>
      </c>
      <c r="D137" s="227">
        <v>37000</v>
      </c>
      <c r="E137" s="227">
        <v>127000</v>
      </c>
      <c r="F137" s="228">
        <f t="shared" si="14"/>
        <v>164000</v>
      </c>
      <c r="G137" s="146">
        <v>84500</v>
      </c>
      <c r="H137" s="146">
        <v>127644.68723591724</v>
      </c>
      <c r="I137" s="146">
        <v>212144.68723591726</v>
      </c>
      <c r="J137" s="198">
        <f t="shared" si="15"/>
        <v>37000</v>
      </c>
      <c r="K137" s="198">
        <f t="shared" si="16"/>
        <v>127000</v>
      </c>
      <c r="L137" s="198">
        <f t="shared" si="17"/>
        <v>164000</v>
      </c>
      <c r="M137" s="301">
        <f t="shared" si="18"/>
        <v>34410</v>
      </c>
      <c r="N137" s="301">
        <f t="shared" si="19"/>
        <v>118110</v>
      </c>
      <c r="O137" s="300">
        <f t="shared" si="20"/>
        <v>152520</v>
      </c>
    </row>
    <row r="138" spans="1:15" x14ac:dyDescent="0.25">
      <c r="A138" s="210">
        <v>127</v>
      </c>
      <c r="B138" s="211" t="s">
        <v>95</v>
      </c>
      <c r="C138" s="153" t="s">
        <v>153</v>
      </c>
      <c r="D138" s="227">
        <v>236000</v>
      </c>
      <c r="E138" s="227">
        <v>791000</v>
      </c>
      <c r="F138" s="228">
        <f t="shared" si="14"/>
        <v>1027000</v>
      </c>
      <c r="G138" s="146">
        <v>214500</v>
      </c>
      <c r="H138" s="146">
        <v>719293.4543036744</v>
      </c>
      <c r="I138" s="146">
        <v>933793.4543036744</v>
      </c>
      <c r="J138" s="198">
        <f t="shared" si="15"/>
        <v>214500</v>
      </c>
      <c r="K138" s="198">
        <f t="shared" si="16"/>
        <v>719293.4543036744</v>
      </c>
      <c r="L138" s="198">
        <f t="shared" si="17"/>
        <v>933793.4543036744</v>
      </c>
      <c r="M138" s="301">
        <f t="shared" si="18"/>
        <v>199485</v>
      </c>
      <c r="N138" s="301">
        <f t="shared" si="19"/>
        <v>668942.91250241722</v>
      </c>
      <c r="O138" s="300">
        <f t="shared" si="20"/>
        <v>868427.91250241722</v>
      </c>
    </row>
    <row r="139" spans="1:15" x14ac:dyDescent="0.25">
      <c r="A139" s="210">
        <v>128</v>
      </c>
      <c r="B139" s="211" t="s">
        <v>228</v>
      </c>
      <c r="C139" s="153" t="s">
        <v>153</v>
      </c>
      <c r="D139" s="227">
        <v>1000</v>
      </c>
      <c r="E139" s="227">
        <v>2000</v>
      </c>
      <c r="F139" s="228">
        <f t="shared" si="14"/>
        <v>3000</v>
      </c>
      <c r="G139" s="146">
        <v>64500</v>
      </c>
      <c r="H139" s="146">
        <v>1736.8269993666668</v>
      </c>
      <c r="I139" s="146">
        <v>66236.826999366662</v>
      </c>
      <c r="J139" s="198">
        <f t="shared" si="15"/>
        <v>1000</v>
      </c>
      <c r="K139" s="198">
        <f t="shared" si="16"/>
        <v>1736.8269993666668</v>
      </c>
      <c r="L139" s="198">
        <f t="shared" si="17"/>
        <v>2736.8269993666668</v>
      </c>
      <c r="M139" s="301">
        <f t="shared" si="18"/>
        <v>930</v>
      </c>
      <c r="N139" s="301">
        <f t="shared" si="19"/>
        <v>1615.2491094110001</v>
      </c>
      <c r="O139" s="300">
        <f t="shared" si="20"/>
        <v>2545.2491094110001</v>
      </c>
    </row>
    <row r="140" spans="1:15" x14ac:dyDescent="0.25">
      <c r="A140" s="210">
        <v>129</v>
      </c>
      <c r="B140" s="211" t="s">
        <v>229</v>
      </c>
      <c r="C140" s="153" t="s">
        <v>153</v>
      </c>
      <c r="D140" s="227">
        <v>32000</v>
      </c>
      <c r="E140" s="227">
        <v>98000</v>
      </c>
      <c r="F140" s="228">
        <f t="shared" si="14"/>
        <v>130000</v>
      </c>
      <c r="G140" s="146">
        <v>64500</v>
      </c>
      <c r="H140" s="146">
        <v>88973.07997466666</v>
      </c>
      <c r="I140" s="146">
        <v>153473.07997466665</v>
      </c>
      <c r="J140" s="198">
        <f t="shared" si="15"/>
        <v>32000</v>
      </c>
      <c r="K140" s="198">
        <f t="shared" si="16"/>
        <v>88973.07997466666</v>
      </c>
      <c r="L140" s="198">
        <f t="shared" si="17"/>
        <v>120973.07997466666</v>
      </c>
      <c r="M140" s="301">
        <f t="shared" si="18"/>
        <v>29760</v>
      </c>
      <c r="N140" s="301">
        <f t="shared" si="19"/>
        <v>82744.964376439995</v>
      </c>
      <c r="O140" s="300">
        <f t="shared" si="20"/>
        <v>112504.96437644</v>
      </c>
    </row>
    <row r="141" spans="1:15" x14ac:dyDescent="0.25">
      <c r="A141" s="210">
        <v>130</v>
      </c>
      <c r="B141" s="211" t="s">
        <v>241</v>
      </c>
      <c r="C141" s="153" t="s">
        <v>153</v>
      </c>
      <c r="D141" s="227">
        <v>57000</v>
      </c>
      <c r="E141" s="227">
        <v>176000</v>
      </c>
      <c r="F141" s="228">
        <f t="shared" si="14"/>
        <v>233000</v>
      </c>
      <c r="G141" s="146">
        <v>84500</v>
      </c>
      <c r="H141" s="146">
        <v>159700</v>
      </c>
      <c r="I141" s="146">
        <v>244200</v>
      </c>
      <c r="J141" s="198">
        <f t="shared" si="15"/>
        <v>57000</v>
      </c>
      <c r="K141" s="198">
        <f t="shared" si="16"/>
        <v>159700</v>
      </c>
      <c r="L141" s="198">
        <f t="shared" si="17"/>
        <v>216700</v>
      </c>
      <c r="M141" s="301">
        <f t="shared" si="18"/>
        <v>53010</v>
      </c>
      <c r="N141" s="301">
        <f t="shared" si="19"/>
        <v>148521</v>
      </c>
      <c r="O141" s="300">
        <f t="shared" si="20"/>
        <v>201531</v>
      </c>
    </row>
    <row r="142" spans="1:15" x14ac:dyDescent="0.25">
      <c r="A142" s="210">
        <v>131</v>
      </c>
      <c r="B142" s="158" t="s">
        <v>85</v>
      </c>
      <c r="C142" s="153" t="s">
        <v>153</v>
      </c>
      <c r="D142" s="227">
        <v>33000</v>
      </c>
      <c r="E142" s="227">
        <v>102000</v>
      </c>
      <c r="F142" s="228">
        <f t="shared" si="14"/>
        <v>135000</v>
      </c>
      <c r="G142" s="146">
        <v>84500</v>
      </c>
      <c r="H142" s="146">
        <v>92888.051177914691</v>
      </c>
      <c r="I142" s="146">
        <v>177388.05117791469</v>
      </c>
      <c r="J142" s="198">
        <f t="shared" si="15"/>
        <v>33000</v>
      </c>
      <c r="K142" s="198">
        <f t="shared" si="16"/>
        <v>92888.051177914691</v>
      </c>
      <c r="L142" s="198">
        <f t="shared" si="17"/>
        <v>125888.05117791469</v>
      </c>
      <c r="M142" s="301">
        <f t="shared" si="18"/>
        <v>30690</v>
      </c>
      <c r="N142" s="301">
        <f t="shared" si="19"/>
        <v>86385.887595460663</v>
      </c>
      <c r="O142" s="300">
        <f t="shared" si="20"/>
        <v>117075.88759546066</v>
      </c>
    </row>
    <row r="143" spans="1:15" x14ac:dyDescent="0.25">
      <c r="A143" s="210">
        <v>132</v>
      </c>
      <c r="B143" s="158" t="s">
        <v>232</v>
      </c>
      <c r="C143" s="153" t="s">
        <v>153</v>
      </c>
      <c r="D143" s="227">
        <v>210000</v>
      </c>
      <c r="E143" s="227">
        <v>652000</v>
      </c>
      <c r="F143" s="228">
        <f t="shared" si="14"/>
        <v>862000</v>
      </c>
      <c r="G143" s="146">
        <v>219500</v>
      </c>
      <c r="H143" s="146">
        <v>592762.4409070242</v>
      </c>
      <c r="I143" s="146">
        <v>812262.4409070242</v>
      </c>
      <c r="J143" s="198">
        <f t="shared" si="15"/>
        <v>210000</v>
      </c>
      <c r="K143" s="198">
        <f t="shared" si="16"/>
        <v>592762.4409070242</v>
      </c>
      <c r="L143" s="198">
        <f t="shared" si="17"/>
        <v>802762.4409070242</v>
      </c>
      <c r="M143" s="301">
        <f t="shared" si="18"/>
        <v>195300</v>
      </c>
      <c r="N143" s="301">
        <f t="shared" si="19"/>
        <v>551269.07004353253</v>
      </c>
      <c r="O143" s="300">
        <f t="shared" si="20"/>
        <v>746569.07004353253</v>
      </c>
    </row>
    <row r="144" spans="1:15" x14ac:dyDescent="0.25">
      <c r="A144" s="210">
        <v>133</v>
      </c>
      <c r="B144" s="158" t="s">
        <v>67</v>
      </c>
      <c r="C144" s="153" t="s">
        <v>153</v>
      </c>
      <c r="D144" s="227">
        <v>93000</v>
      </c>
      <c r="E144" s="227">
        <v>504000</v>
      </c>
      <c r="F144" s="228">
        <f t="shared" si="14"/>
        <v>597000</v>
      </c>
      <c r="G144" s="146">
        <v>84500</v>
      </c>
      <c r="H144" s="146">
        <v>505170.32647179475</v>
      </c>
      <c r="I144" s="146">
        <v>589670.32647179475</v>
      </c>
      <c r="J144" s="198">
        <f t="shared" si="15"/>
        <v>84500</v>
      </c>
      <c r="K144" s="198">
        <f t="shared" si="16"/>
        <v>504000</v>
      </c>
      <c r="L144" s="198">
        <f t="shared" si="17"/>
        <v>588500</v>
      </c>
      <c r="M144" s="301">
        <f t="shared" si="18"/>
        <v>78585</v>
      </c>
      <c r="N144" s="301">
        <f t="shared" si="19"/>
        <v>468720</v>
      </c>
      <c r="O144" s="300">
        <f t="shared" si="20"/>
        <v>547305</v>
      </c>
    </row>
    <row r="145" spans="1:15" x14ac:dyDescent="0.25">
      <c r="A145" s="210">
        <v>134</v>
      </c>
      <c r="B145" s="161" t="s">
        <v>237</v>
      </c>
      <c r="C145" s="153" t="s">
        <v>153</v>
      </c>
      <c r="D145" s="227">
        <v>101000</v>
      </c>
      <c r="E145" s="227">
        <v>344000</v>
      </c>
      <c r="F145" s="228">
        <f t="shared" si="14"/>
        <v>445000</v>
      </c>
      <c r="G145" s="146">
        <v>174500</v>
      </c>
      <c r="H145" s="146">
        <v>344797.72500599711</v>
      </c>
      <c r="I145" s="146">
        <v>519297.72500599711</v>
      </c>
      <c r="J145" s="198">
        <f t="shared" si="15"/>
        <v>101000</v>
      </c>
      <c r="K145" s="198">
        <f t="shared" si="16"/>
        <v>344000</v>
      </c>
      <c r="L145" s="198">
        <f t="shared" si="17"/>
        <v>445000</v>
      </c>
      <c r="M145" s="301">
        <f t="shared" si="18"/>
        <v>93930</v>
      </c>
      <c r="N145" s="301">
        <f t="shared" si="19"/>
        <v>319920</v>
      </c>
      <c r="O145" s="300">
        <f t="shared" si="20"/>
        <v>413850</v>
      </c>
    </row>
    <row r="146" spans="1:15" x14ac:dyDescent="0.25">
      <c r="A146" s="210">
        <v>135</v>
      </c>
      <c r="B146" s="161" t="s">
        <v>238</v>
      </c>
      <c r="C146" s="153" t="s">
        <v>153</v>
      </c>
      <c r="D146" s="227">
        <v>93000</v>
      </c>
      <c r="E146" s="227">
        <v>360000</v>
      </c>
      <c r="F146" s="228">
        <f t="shared" si="14"/>
        <v>453000</v>
      </c>
      <c r="G146" s="146">
        <v>84500</v>
      </c>
      <c r="H146" s="146">
        <v>360980.02595412987</v>
      </c>
      <c r="I146" s="146">
        <v>445480.02595412987</v>
      </c>
      <c r="J146" s="198">
        <f t="shared" si="15"/>
        <v>84500</v>
      </c>
      <c r="K146" s="198">
        <f t="shared" si="16"/>
        <v>360000</v>
      </c>
      <c r="L146" s="198">
        <f t="shared" si="17"/>
        <v>444500</v>
      </c>
      <c r="M146" s="301">
        <f t="shared" si="18"/>
        <v>78585</v>
      </c>
      <c r="N146" s="301">
        <f t="shared" si="19"/>
        <v>334800</v>
      </c>
      <c r="O146" s="300">
        <f t="shared" si="20"/>
        <v>413385</v>
      </c>
    </row>
    <row r="147" spans="1:15" x14ac:dyDescent="0.25">
      <c r="A147" s="210">
        <v>136</v>
      </c>
      <c r="B147" s="158" t="s">
        <v>83</v>
      </c>
      <c r="C147" s="153" t="s">
        <v>153</v>
      </c>
      <c r="D147" s="227">
        <v>118000</v>
      </c>
      <c r="E147" s="227">
        <v>404000</v>
      </c>
      <c r="F147" s="228">
        <f t="shared" si="14"/>
        <v>522000</v>
      </c>
      <c r="G147" s="146">
        <v>184500</v>
      </c>
      <c r="H147" s="146">
        <v>404640.34472526505</v>
      </c>
      <c r="I147" s="146">
        <v>589140.34472526505</v>
      </c>
      <c r="J147" s="198">
        <f t="shared" si="15"/>
        <v>118000</v>
      </c>
      <c r="K147" s="198">
        <f t="shared" si="16"/>
        <v>404000</v>
      </c>
      <c r="L147" s="198">
        <f t="shared" si="17"/>
        <v>522000</v>
      </c>
      <c r="M147" s="301">
        <f t="shared" si="18"/>
        <v>109740</v>
      </c>
      <c r="N147" s="301">
        <f t="shared" si="19"/>
        <v>375720</v>
      </c>
      <c r="O147" s="300">
        <f t="shared" si="20"/>
        <v>485460</v>
      </c>
    </row>
    <row r="148" spans="1:15" x14ac:dyDescent="0.25">
      <c r="A148" s="210">
        <v>137</v>
      </c>
      <c r="B148" s="161" t="s">
        <v>568</v>
      </c>
      <c r="C148" s="153" t="s">
        <v>153</v>
      </c>
      <c r="D148" s="227">
        <v>137000</v>
      </c>
      <c r="E148" s="227">
        <v>628000</v>
      </c>
      <c r="F148" s="228">
        <f t="shared" si="14"/>
        <v>765000</v>
      </c>
      <c r="G148" s="146">
        <v>124500</v>
      </c>
      <c r="H148" s="146">
        <v>629484.91138921632</v>
      </c>
      <c r="I148" s="146">
        <v>753984.91138921632</v>
      </c>
      <c r="J148" s="198">
        <f t="shared" si="15"/>
        <v>124500</v>
      </c>
      <c r="K148" s="198">
        <f t="shared" si="16"/>
        <v>628000</v>
      </c>
      <c r="L148" s="198">
        <f t="shared" si="17"/>
        <v>752500</v>
      </c>
      <c r="M148" s="301">
        <f t="shared" si="18"/>
        <v>115785</v>
      </c>
      <c r="N148" s="301">
        <f t="shared" si="19"/>
        <v>584040</v>
      </c>
      <c r="O148" s="300">
        <f t="shared" si="20"/>
        <v>699825</v>
      </c>
    </row>
    <row r="149" spans="1:15" x14ac:dyDescent="0.25">
      <c r="A149" s="210">
        <v>138</v>
      </c>
      <c r="B149" s="158" t="s">
        <v>84</v>
      </c>
      <c r="C149" s="153" t="s">
        <v>153</v>
      </c>
      <c r="D149" s="227">
        <v>210000</v>
      </c>
      <c r="E149" s="227">
        <v>715000</v>
      </c>
      <c r="F149" s="228">
        <f t="shared" si="14"/>
        <v>925000</v>
      </c>
      <c r="G149" s="146">
        <v>224500</v>
      </c>
      <c r="H149" s="146">
        <v>716976.27752212097</v>
      </c>
      <c r="I149" s="146">
        <v>941476.27752212097</v>
      </c>
      <c r="J149" s="198">
        <f t="shared" si="15"/>
        <v>210000</v>
      </c>
      <c r="K149" s="198">
        <f t="shared" si="16"/>
        <v>715000</v>
      </c>
      <c r="L149" s="198">
        <f t="shared" si="17"/>
        <v>925000</v>
      </c>
      <c r="M149" s="301">
        <f t="shared" si="18"/>
        <v>195300</v>
      </c>
      <c r="N149" s="301">
        <f t="shared" si="19"/>
        <v>664950</v>
      </c>
      <c r="O149" s="300">
        <f t="shared" si="20"/>
        <v>860250</v>
      </c>
    </row>
    <row r="150" spans="1:15" x14ac:dyDescent="0.25">
      <c r="A150" s="210">
        <v>139</v>
      </c>
      <c r="B150" s="158" t="s">
        <v>236</v>
      </c>
      <c r="C150" s="153" t="s">
        <v>153</v>
      </c>
      <c r="D150" s="227">
        <v>46000</v>
      </c>
      <c r="E150" s="227">
        <v>156000</v>
      </c>
      <c r="F150" s="228">
        <f t="shared" si="14"/>
        <v>202000</v>
      </c>
      <c r="G150" s="146">
        <v>224500</v>
      </c>
      <c r="H150" s="146">
        <v>156121.28439945442</v>
      </c>
      <c r="I150" s="146">
        <v>380621.28439945442</v>
      </c>
      <c r="J150" s="198">
        <f t="shared" si="15"/>
        <v>46000</v>
      </c>
      <c r="K150" s="198">
        <f t="shared" si="16"/>
        <v>156000</v>
      </c>
      <c r="L150" s="198">
        <f t="shared" si="17"/>
        <v>202000</v>
      </c>
      <c r="M150" s="301">
        <f t="shared" si="18"/>
        <v>42780</v>
      </c>
      <c r="N150" s="301">
        <f t="shared" si="19"/>
        <v>145080</v>
      </c>
      <c r="O150" s="300">
        <f t="shared" si="20"/>
        <v>187860</v>
      </c>
    </row>
    <row r="151" spans="1:15" x14ac:dyDescent="0.25">
      <c r="A151" s="210">
        <v>140</v>
      </c>
      <c r="B151" s="211" t="s">
        <v>239</v>
      </c>
      <c r="C151" s="153" t="s">
        <v>153</v>
      </c>
      <c r="D151" s="227">
        <v>37000</v>
      </c>
      <c r="E151" s="227">
        <v>128000</v>
      </c>
      <c r="F151" s="228">
        <f t="shared" si="14"/>
        <v>165000</v>
      </c>
      <c r="G151" s="146">
        <v>184500</v>
      </c>
      <c r="H151" s="146">
        <v>127644.68723591724</v>
      </c>
      <c r="I151" s="146">
        <v>312144.68723591726</v>
      </c>
      <c r="J151" s="198">
        <f t="shared" si="15"/>
        <v>37000</v>
      </c>
      <c r="K151" s="198">
        <f t="shared" si="16"/>
        <v>127644.68723591724</v>
      </c>
      <c r="L151" s="198">
        <f t="shared" si="17"/>
        <v>164644.68723591726</v>
      </c>
      <c r="M151" s="301">
        <f t="shared" si="18"/>
        <v>34410</v>
      </c>
      <c r="N151" s="301">
        <f t="shared" si="19"/>
        <v>118709.55912940303</v>
      </c>
      <c r="O151" s="300">
        <f t="shared" si="20"/>
        <v>153119.55912940303</v>
      </c>
    </row>
    <row r="152" spans="1:15" x14ac:dyDescent="0.25">
      <c r="A152" s="210">
        <v>141</v>
      </c>
      <c r="B152" s="211" t="s">
        <v>338</v>
      </c>
      <c r="C152" s="153" t="s">
        <v>153</v>
      </c>
      <c r="D152" s="227">
        <v>56000</v>
      </c>
      <c r="E152" s="227">
        <v>191000</v>
      </c>
      <c r="F152" s="228">
        <f t="shared" si="14"/>
        <v>247000</v>
      </c>
      <c r="G152" s="146">
        <v>184500</v>
      </c>
      <c r="H152" s="146">
        <v>190767.81094842465</v>
      </c>
      <c r="I152" s="146">
        <v>375267.81094842462</v>
      </c>
      <c r="J152" s="198">
        <f t="shared" si="15"/>
        <v>56000</v>
      </c>
      <c r="K152" s="198">
        <f t="shared" si="16"/>
        <v>190767.81094842465</v>
      </c>
      <c r="L152" s="198">
        <f t="shared" si="17"/>
        <v>246767.81094842465</v>
      </c>
      <c r="M152" s="301">
        <f t="shared" si="18"/>
        <v>52080</v>
      </c>
      <c r="N152" s="301">
        <f t="shared" si="19"/>
        <v>177414.06418203493</v>
      </c>
      <c r="O152" s="300">
        <f t="shared" si="20"/>
        <v>229494.06418203493</v>
      </c>
    </row>
    <row r="153" spans="1:15" x14ac:dyDescent="0.25">
      <c r="A153" s="210">
        <v>142</v>
      </c>
      <c r="B153" s="158" t="s">
        <v>68</v>
      </c>
      <c r="C153" s="153" t="s">
        <v>153</v>
      </c>
      <c r="D153" s="227">
        <v>96000</v>
      </c>
      <c r="E153" s="227">
        <v>327000</v>
      </c>
      <c r="F153" s="228">
        <f t="shared" si="14"/>
        <v>423000</v>
      </c>
      <c r="G153" s="146">
        <v>184500</v>
      </c>
      <c r="H153" s="146">
        <v>326980.86738067743</v>
      </c>
      <c r="I153" s="146">
        <v>511480.86738067743</v>
      </c>
      <c r="J153" s="198">
        <f t="shared" si="15"/>
        <v>96000</v>
      </c>
      <c r="K153" s="198">
        <f t="shared" si="16"/>
        <v>326980.86738067743</v>
      </c>
      <c r="L153" s="198">
        <f t="shared" si="17"/>
        <v>422980.86738067743</v>
      </c>
      <c r="M153" s="301">
        <f t="shared" si="18"/>
        <v>89280</v>
      </c>
      <c r="N153" s="301">
        <f t="shared" si="19"/>
        <v>304092.20666403003</v>
      </c>
      <c r="O153" s="300">
        <f t="shared" si="20"/>
        <v>393372.20666403003</v>
      </c>
    </row>
    <row r="154" spans="1:15" x14ac:dyDescent="0.25">
      <c r="A154" s="210">
        <v>143</v>
      </c>
      <c r="B154" s="211" t="s">
        <v>94</v>
      </c>
      <c r="C154" s="153" t="s">
        <v>153</v>
      </c>
      <c r="D154" s="227">
        <v>79000</v>
      </c>
      <c r="E154" s="227">
        <v>245000</v>
      </c>
      <c r="F154" s="228">
        <f t="shared" si="14"/>
        <v>324000</v>
      </c>
      <c r="G154" s="146">
        <v>104500</v>
      </c>
      <c r="H154" s="146">
        <v>222566.67778104113</v>
      </c>
      <c r="I154" s="146">
        <v>327066.67778104113</v>
      </c>
      <c r="J154" s="198">
        <f t="shared" si="15"/>
        <v>79000</v>
      </c>
      <c r="K154" s="198">
        <f t="shared" si="16"/>
        <v>222566.67778104113</v>
      </c>
      <c r="L154" s="198">
        <f t="shared" si="17"/>
        <v>301566.67778104113</v>
      </c>
      <c r="M154" s="301">
        <f t="shared" si="18"/>
        <v>73470</v>
      </c>
      <c r="N154" s="301">
        <f t="shared" si="19"/>
        <v>206987.01033636826</v>
      </c>
      <c r="O154" s="300">
        <f t="shared" si="20"/>
        <v>280457.01033636823</v>
      </c>
    </row>
    <row r="155" spans="1:15" x14ac:dyDescent="0.25">
      <c r="A155" s="210">
        <v>144</v>
      </c>
      <c r="B155" s="211" t="s">
        <v>250</v>
      </c>
      <c r="C155" s="153" t="s">
        <v>153</v>
      </c>
      <c r="D155" s="227">
        <v>37000</v>
      </c>
      <c r="E155" s="227">
        <v>125000</v>
      </c>
      <c r="F155" s="228">
        <f t="shared" si="14"/>
        <v>162000</v>
      </c>
      <c r="G155" s="146">
        <v>84500</v>
      </c>
      <c r="H155" s="146">
        <v>195300</v>
      </c>
      <c r="I155" s="146">
        <v>279800</v>
      </c>
      <c r="J155" s="198">
        <f t="shared" si="15"/>
        <v>37000</v>
      </c>
      <c r="K155" s="198">
        <f t="shared" si="16"/>
        <v>125000</v>
      </c>
      <c r="L155" s="198">
        <f t="shared" si="17"/>
        <v>162000</v>
      </c>
      <c r="M155" s="301">
        <f t="shared" si="18"/>
        <v>34410</v>
      </c>
      <c r="N155" s="301">
        <f t="shared" si="19"/>
        <v>116250</v>
      </c>
      <c r="O155" s="300">
        <f t="shared" si="20"/>
        <v>150660</v>
      </c>
    </row>
    <row r="156" spans="1:15" x14ac:dyDescent="0.25">
      <c r="A156" s="210">
        <v>145</v>
      </c>
      <c r="B156" s="158" t="s">
        <v>120</v>
      </c>
      <c r="C156" s="153" t="s">
        <v>153</v>
      </c>
      <c r="D156" s="227">
        <v>401000</v>
      </c>
      <c r="E156" s="227">
        <v>4124000</v>
      </c>
      <c r="F156" s="228">
        <f t="shared" si="14"/>
        <v>4525000</v>
      </c>
      <c r="G156" s="146">
        <v>364500</v>
      </c>
      <c r="H156" s="146">
        <v>3748918.6265323926</v>
      </c>
      <c r="I156" s="146">
        <v>4113418.6265323926</v>
      </c>
      <c r="J156" s="198">
        <f t="shared" si="15"/>
        <v>364500</v>
      </c>
      <c r="K156" s="198">
        <f t="shared" si="16"/>
        <v>3748918.6265323926</v>
      </c>
      <c r="L156" s="198">
        <f t="shared" si="17"/>
        <v>4113418.6265323926</v>
      </c>
      <c r="M156" s="301">
        <f t="shared" si="18"/>
        <v>338985</v>
      </c>
      <c r="N156" s="301">
        <f t="shared" si="19"/>
        <v>3486494.3226751252</v>
      </c>
      <c r="O156" s="300">
        <f t="shared" si="20"/>
        <v>3825479.3226751252</v>
      </c>
    </row>
    <row r="157" spans="1:15" ht="24.75" customHeight="1" x14ac:dyDescent="0.25">
      <c r="A157" s="210">
        <v>146</v>
      </c>
      <c r="B157" s="166" t="s">
        <v>230</v>
      </c>
      <c r="C157" s="153" t="s">
        <v>153</v>
      </c>
      <c r="D157" s="227">
        <v>82000</v>
      </c>
      <c r="E157" s="227">
        <v>509000</v>
      </c>
      <c r="F157" s="228">
        <f t="shared" si="14"/>
        <v>591000</v>
      </c>
      <c r="G157" s="146">
        <v>74500</v>
      </c>
      <c r="H157" s="146">
        <v>462970.55426877335</v>
      </c>
      <c r="I157" s="146">
        <v>537470.55426877341</v>
      </c>
      <c r="J157" s="198">
        <f t="shared" si="15"/>
        <v>74500</v>
      </c>
      <c r="K157" s="198">
        <f t="shared" si="16"/>
        <v>462970.55426877335</v>
      </c>
      <c r="L157" s="198">
        <f t="shared" si="17"/>
        <v>537470.55426877341</v>
      </c>
      <c r="M157" s="301">
        <f t="shared" si="18"/>
        <v>69285</v>
      </c>
      <c r="N157" s="301">
        <f t="shared" si="19"/>
        <v>430562.61546995922</v>
      </c>
      <c r="O157" s="300">
        <f t="shared" si="20"/>
        <v>499847.61546995922</v>
      </c>
    </row>
    <row r="158" spans="1:15" x14ac:dyDescent="0.25">
      <c r="A158" s="210">
        <v>147</v>
      </c>
      <c r="B158" s="166" t="s">
        <v>231</v>
      </c>
      <c r="C158" s="153" t="s">
        <v>153</v>
      </c>
      <c r="D158" s="227">
        <v>6000</v>
      </c>
      <c r="E158" s="227">
        <v>18000</v>
      </c>
      <c r="F158" s="228">
        <f t="shared" si="14"/>
        <v>24000</v>
      </c>
      <c r="G158" s="146">
        <v>34500</v>
      </c>
      <c r="H158" s="146">
        <v>16111.34834539668</v>
      </c>
      <c r="I158" s="146">
        <v>50611.348345396676</v>
      </c>
      <c r="J158" s="198">
        <f t="shared" si="15"/>
        <v>6000</v>
      </c>
      <c r="K158" s="198">
        <f t="shared" si="16"/>
        <v>16111.34834539668</v>
      </c>
      <c r="L158" s="198">
        <f t="shared" si="17"/>
        <v>22111.34834539668</v>
      </c>
      <c r="M158" s="301">
        <f t="shared" si="18"/>
        <v>5580</v>
      </c>
      <c r="N158" s="301">
        <f t="shared" si="19"/>
        <v>14983.553961218913</v>
      </c>
      <c r="O158" s="300">
        <f t="shared" si="20"/>
        <v>20563.553961218913</v>
      </c>
    </row>
    <row r="159" spans="1:15" x14ac:dyDescent="0.25">
      <c r="A159" s="210">
        <v>148</v>
      </c>
      <c r="B159" s="152" t="s">
        <v>339</v>
      </c>
      <c r="C159" s="153" t="s">
        <v>153</v>
      </c>
      <c r="D159" s="227">
        <v>21000</v>
      </c>
      <c r="E159" s="227">
        <v>60000</v>
      </c>
      <c r="F159" s="228">
        <f t="shared" si="14"/>
        <v>81000</v>
      </c>
      <c r="G159" s="146">
        <v>134500</v>
      </c>
      <c r="H159" s="146">
        <v>54554.754516171852</v>
      </c>
      <c r="I159" s="146">
        <v>189054.75451617184</v>
      </c>
      <c r="J159" s="198">
        <f t="shared" si="15"/>
        <v>21000</v>
      </c>
      <c r="K159" s="198">
        <f t="shared" si="16"/>
        <v>54554.754516171852</v>
      </c>
      <c r="L159" s="198">
        <f t="shared" si="17"/>
        <v>75554.754516171844</v>
      </c>
      <c r="M159" s="301">
        <f t="shared" si="18"/>
        <v>19530</v>
      </c>
      <c r="N159" s="301">
        <f t="shared" si="19"/>
        <v>50735.92170003982</v>
      </c>
      <c r="O159" s="300">
        <f t="shared" si="20"/>
        <v>70265.92170003982</v>
      </c>
    </row>
    <row r="160" spans="1:15" x14ac:dyDescent="0.25">
      <c r="A160" s="210">
        <v>149</v>
      </c>
      <c r="B160" s="152" t="s">
        <v>340</v>
      </c>
      <c r="C160" s="153" t="s">
        <v>153</v>
      </c>
      <c r="D160" s="227">
        <v>58000</v>
      </c>
      <c r="E160" s="227">
        <v>198000</v>
      </c>
      <c r="F160" s="228">
        <f t="shared" si="14"/>
        <v>256000</v>
      </c>
      <c r="G160" s="146">
        <v>104500</v>
      </c>
      <c r="H160" s="146">
        <v>290909.56175362476</v>
      </c>
      <c r="I160" s="146">
        <v>395409.56175362476</v>
      </c>
      <c r="J160" s="198">
        <f t="shared" si="15"/>
        <v>58000</v>
      </c>
      <c r="K160" s="198">
        <f t="shared" si="16"/>
        <v>198000</v>
      </c>
      <c r="L160" s="198">
        <f t="shared" si="17"/>
        <v>256000</v>
      </c>
      <c r="M160" s="301">
        <f t="shared" si="18"/>
        <v>53940</v>
      </c>
      <c r="N160" s="301">
        <f t="shared" si="19"/>
        <v>184140</v>
      </c>
      <c r="O160" s="300">
        <f t="shared" si="20"/>
        <v>238080</v>
      </c>
    </row>
    <row r="161" spans="1:15" x14ac:dyDescent="0.25">
      <c r="A161" s="210">
        <v>150</v>
      </c>
      <c r="B161" s="152" t="s">
        <v>341</v>
      </c>
      <c r="C161" s="153" t="s">
        <v>153</v>
      </c>
      <c r="D161" s="227">
        <v>142000</v>
      </c>
      <c r="E161" s="227">
        <v>440000</v>
      </c>
      <c r="F161" s="228">
        <f t="shared" si="14"/>
        <v>582000</v>
      </c>
      <c r="G161" s="146">
        <v>134500</v>
      </c>
      <c r="H161" s="146">
        <v>400357.46451186901</v>
      </c>
      <c r="I161" s="146">
        <v>534857.46451186901</v>
      </c>
      <c r="J161" s="198">
        <f t="shared" si="15"/>
        <v>134500</v>
      </c>
      <c r="K161" s="198">
        <f t="shared" si="16"/>
        <v>400357.46451186901</v>
      </c>
      <c r="L161" s="198">
        <f t="shared" si="17"/>
        <v>534857.46451186901</v>
      </c>
      <c r="M161" s="301">
        <f t="shared" si="18"/>
        <v>125085</v>
      </c>
      <c r="N161" s="301">
        <f t="shared" si="19"/>
        <v>372332.44199603819</v>
      </c>
      <c r="O161" s="300">
        <f t="shared" si="20"/>
        <v>497417.44199603819</v>
      </c>
    </row>
    <row r="162" spans="1:15" ht="22.5" x14ac:dyDescent="0.25">
      <c r="A162" s="210">
        <v>151</v>
      </c>
      <c r="B162" s="166" t="s">
        <v>223</v>
      </c>
      <c r="C162" s="153" t="s">
        <v>153</v>
      </c>
      <c r="D162" s="227">
        <v>75000</v>
      </c>
      <c r="E162" s="227">
        <v>255000</v>
      </c>
      <c r="F162" s="228">
        <f t="shared" si="14"/>
        <v>330000</v>
      </c>
      <c r="G162" s="146">
        <v>679500</v>
      </c>
      <c r="H162" s="146">
        <v>311000</v>
      </c>
      <c r="I162" s="146">
        <v>990500</v>
      </c>
      <c r="J162" s="198">
        <f t="shared" si="15"/>
        <v>75000</v>
      </c>
      <c r="K162" s="198">
        <f t="shared" si="16"/>
        <v>255000</v>
      </c>
      <c r="L162" s="198">
        <f t="shared" si="17"/>
        <v>330000</v>
      </c>
      <c r="M162" s="301">
        <f t="shared" si="18"/>
        <v>69750</v>
      </c>
      <c r="N162" s="301">
        <f t="shared" si="19"/>
        <v>237150</v>
      </c>
      <c r="O162" s="300">
        <f t="shared" si="20"/>
        <v>306900</v>
      </c>
    </row>
    <row r="163" spans="1:15" x14ac:dyDescent="0.25">
      <c r="A163" s="210">
        <v>152</v>
      </c>
      <c r="B163" s="161" t="s">
        <v>222</v>
      </c>
      <c r="C163" s="153" t="s">
        <v>153</v>
      </c>
      <c r="D163" s="227">
        <v>53000</v>
      </c>
      <c r="E163" s="227">
        <v>181000</v>
      </c>
      <c r="F163" s="228">
        <f t="shared" si="14"/>
        <v>234000</v>
      </c>
      <c r="G163" s="146">
        <v>564500</v>
      </c>
      <c r="H163" s="146">
        <v>248700</v>
      </c>
      <c r="I163" s="146">
        <v>813200</v>
      </c>
      <c r="J163" s="198">
        <f t="shared" si="15"/>
        <v>53000</v>
      </c>
      <c r="K163" s="198">
        <f t="shared" si="16"/>
        <v>181000</v>
      </c>
      <c r="L163" s="198">
        <f t="shared" si="17"/>
        <v>234000</v>
      </c>
      <c r="M163" s="301">
        <f t="shared" si="18"/>
        <v>49290</v>
      </c>
      <c r="N163" s="301">
        <f t="shared" si="19"/>
        <v>168330</v>
      </c>
      <c r="O163" s="300">
        <f t="shared" si="20"/>
        <v>217620</v>
      </c>
    </row>
    <row r="164" spans="1:15" ht="22.5" x14ac:dyDescent="0.25">
      <c r="A164" s="210"/>
      <c r="B164" s="163" t="s">
        <v>44</v>
      </c>
      <c r="C164" s="153" t="s">
        <v>153</v>
      </c>
      <c r="D164" s="227">
        <v>0</v>
      </c>
      <c r="E164" s="227">
        <v>0</v>
      </c>
      <c r="F164" s="228">
        <f t="shared" si="14"/>
        <v>0</v>
      </c>
      <c r="G164" s="146"/>
      <c r="H164" s="146"/>
      <c r="I164" s="146">
        <v>0</v>
      </c>
      <c r="J164" s="198">
        <f t="shared" si="15"/>
        <v>0</v>
      </c>
      <c r="K164" s="198">
        <f t="shared" si="16"/>
        <v>0</v>
      </c>
      <c r="L164" s="198">
        <f t="shared" si="17"/>
        <v>0</v>
      </c>
      <c r="M164" s="301">
        <f t="shared" si="18"/>
        <v>0</v>
      </c>
      <c r="N164" s="301">
        <f t="shared" si="19"/>
        <v>0</v>
      </c>
      <c r="O164" s="300">
        <f t="shared" si="20"/>
        <v>0</v>
      </c>
    </row>
    <row r="165" spans="1:15" x14ac:dyDescent="0.25">
      <c r="A165" s="210">
        <v>153</v>
      </c>
      <c r="B165" s="158" t="s">
        <v>86</v>
      </c>
      <c r="C165" s="153" t="s">
        <v>153</v>
      </c>
      <c r="D165" s="227">
        <v>16000</v>
      </c>
      <c r="E165" s="227">
        <v>46000</v>
      </c>
      <c r="F165" s="228">
        <f t="shared" si="14"/>
        <v>62000</v>
      </c>
      <c r="G165" s="146">
        <v>164500</v>
      </c>
      <c r="H165" s="146">
        <v>42214.895745305745</v>
      </c>
      <c r="I165" s="146">
        <v>206714.89574530575</v>
      </c>
      <c r="J165" s="198">
        <f t="shared" si="15"/>
        <v>16000</v>
      </c>
      <c r="K165" s="198">
        <f t="shared" si="16"/>
        <v>42214.895745305745</v>
      </c>
      <c r="L165" s="198">
        <f t="shared" si="17"/>
        <v>58214.895745305745</v>
      </c>
      <c r="M165" s="301">
        <f t="shared" si="18"/>
        <v>14880</v>
      </c>
      <c r="N165" s="301">
        <f t="shared" si="19"/>
        <v>39259.853043134339</v>
      </c>
      <c r="O165" s="300">
        <f t="shared" si="20"/>
        <v>54139.853043134339</v>
      </c>
    </row>
    <row r="166" spans="1:15" x14ac:dyDescent="0.25">
      <c r="A166" s="210">
        <v>154</v>
      </c>
      <c r="B166" s="166" t="s">
        <v>45</v>
      </c>
      <c r="C166" s="153" t="s">
        <v>153</v>
      </c>
      <c r="D166" s="227">
        <v>180000</v>
      </c>
      <c r="E166" s="227">
        <v>561000</v>
      </c>
      <c r="F166" s="228">
        <f t="shared" si="14"/>
        <v>741000</v>
      </c>
      <c r="G166" s="146">
        <v>224500</v>
      </c>
      <c r="H166" s="146">
        <v>509762.65237436804</v>
      </c>
      <c r="I166" s="146">
        <v>734262.65237436804</v>
      </c>
      <c r="J166" s="198">
        <f t="shared" si="15"/>
        <v>180000</v>
      </c>
      <c r="K166" s="198">
        <f t="shared" si="16"/>
        <v>509762.65237436804</v>
      </c>
      <c r="L166" s="198">
        <f t="shared" si="17"/>
        <v>689762.65237436804</v>
      </c>
      <c r="M166" s="301">
        <f t="shared" si="18"/>
        <v>167400</v>
      </c>
      <c r="N166" s="301">
        <f t="shared" si="19"/>
        <v>474079.26670816226</v>
      </c>
      <c r="O166" s="300">
        <f t="shared" si="20"/>
        <v>641479.26670816226</v>
      </c>
    </row>
    <row r="167" spans="1:15" x14ac:dyDescent="0.25">
      <c r="A167" s="210">
        <v>155</v>
      </c>
      <c r="B167" s="164" t="s">
        <v>243</v>
      </c>
      <c r="C167" s="153" t="s">
        <v>153</v>
      </c>
      <c r="D167" s="227">
        <v>45000</v>
      </c>
      <c r="E167" s="227">
        <v>153000</v>
      </c>
      <c r="F167" s="228">
        <f t="shared" si="14"/>
        <v>198000</v>
      </c>
      <c r="G167" s="146">
        <v>297500</v>
      </c>
      <c r="H167" s="146">
        <v>356144.69975576131</v>
      </c>
      <c r="I167" s="146">
        <v>653644.69975576131</v>
      </c>
      <c r="J167" s="198">
        <f t="shared" si="15"/>
        <v>45000</v>
      </c>
      <c r="K167" s="198">
        <f t="shared" si="16"/>
        <v>153000</v>
      </c>
      <c r="L167" s="198">
        <f t="shared" si="17"/>
        <v>198000</v>
      </c>
      <c r="M167" s="301">
        <f t="shared" si="18"/>
        <v>41850</v>
      </c>
      <c r="N167" s="301">
        <f t="shared" si="19"/>
        <v>142290</v>
      </c>
      <c r="O167" s="300">
        <f t="shared" si="20"/>
        <v>184140</v>
      </c>
    </row>
    <row r="168" spans="1:15" x14ac:dyDescent="0.25">
      <c r="A168" s="210">
        <v>156</v>
      </c>
      <c r="B168" s="166" t="s">
        <v>46</v>
      </c>
      <c r="C168" s="153" t="s">
        <v>153</v>
      </c>
      <c r="D168" s="227">
        <v>27000</v>
      </c>
      <c r="E168" s="227">
        <v>78000</v>
      </c>
      <c r="F168" s="228">
        <f t="shared" si="14"/>
        <v>105000</v>
      </c>
      <c r="G168" s="146">
        <v>199500</v>
      </c>
      <c r="H168" s="146">
        <v>70691.492908842905</v>
      </c>
      <c r="I168" s="146">
        <v>270191.49290884292</v>
      </c>
      <c r="J168" s="198">
        <f t="shared" si="15"/>
        <v>27000</v>
      </c>
      <c r="K168" s="198">
        <f t="shared" si="16"/>
        <v>70691.492908842905</v>
      </c>
      <c r="L168" s="198">
        <f t="shared" si="17"/>
        <v>97691.492908842905</v>
      </c>
      <c r="M168" s="301">
        <f t="shared" si="18"/>
        <v>25110</v>
      </c>
      <c r="N168" s="301">
        <f t="shared" si="19"/>
        <v>65743.088405223898</v>
      </c>
      <c r="O168" s="300">
        <f t="shared" si="20"/>
        <v>90853.088405223898</v>
      </c>
    </row>
    <row r="169" spans="1:15" x14ac:dyDescent="0.25">
      <c r="A169" s="210">
        <v>157</v>
      </c>
      <c r="B169" s="158" t="s">
        <v>87</v>
      </c>
      <c r="C169" s="153" t="s">
        <v>153</v>
      </c>
      <c r="D169" s="227">
        <v>32000</v>
      </c>
      <c r="E169" s="227">
        <v>99000</v>
      </c>
      <c r="F169" s="228">
        <f t="shared" si="14"/>
        <v>131000</v>
      </c>
      <c r="G169" s="146">
        <v>124500</v>
      </c>
      <c r="H169" s="146">
        <v>89675.891017867674</v>
      </c>
      <c r="I169" s="146">
        <v>214175.89101786766</v>
      </c>
      <c r="J169" s="198">
        <f t="shared" si="15"/>
        <v>32000</v>
      </c>
      <c r="K169" s="198">
        <f t="shared" si="16"/>
        <v>89675.891017867674</v>
      </c>
      <c r="L169" s="198">
        <f t="shared" si="17"/>
        <v>121675.89101786767</v>
      </c>
      <c r="M169" s="301">
        <f t="shared" si="18"/>
        <v>29760</v>
      </c>
      <c r="N169" s="301">
        <f t="shared" si="19"/>
        <v>83398.578646616937</v>
      </c>
      <c r="O169" s="300">
        <f t="shared" si="20"/>
        <v>113158.57864661694</v>
      </c>
    </row>
    <row r="170" spans="1:15" x14ac:dyDescent="0.25">
      <c r="A170" s="210">
        <v>158</v>
      </c>
      <c r="B170" s="152" t="s">
        <v>129</v>
      </c>
      <c r="C170" s="153" t="s">
        <v>153</v>
      </c>
      <c r="D170" s="227">
        <v>33000</v>
      </c>
      <c r="E170" s="227">
        <v>102000</v>
      </c>
      <c r="F170" s="228">
        <f t="shared" si="14"/>
        <v>135000</v>
      </c>
      <c r="G170" s="146">
        <v>219500</v>
      </c>
      <c r="H170" s="146">
        <v>92578.662441931883</v>
      </c>
      <c r="I170" s="146">
        <v>312078.6624419319</v>
      </c>
      <c r="J170" s="198">
        <f t="shared" si="15"/>
        <v>33000</v>
      </c>
      <c r="K170" s="198">
        <f t="shared" si="16"/>
        <v>92578.662441931883</v>
      </c>
      <c r="L170" s="198">
        <f t="shared" si="17"/>
        <v>125578.66244193188</v>
      </c>
      <c r="M170" s="301">
        <f t="shared" si="18"/>
        <v>30690</v>
      </c>
      <c r="N170" s="301">
        <f t="shared" si="19"/>
        <v>86098.156070996658</v>
      </c>
      <c r="O170" s="300">
        <f t="shared" si="20"/>
        <v>116788.15607099666</v>
      </c>
    </row>
    <row r="171" spans="1:15" ht="22.5" x14ac:dyDescent="0.25">
      <c r="A171" s="210"/>
      <c r="B171" s="163" t="s">
        <v>59</v>
      </c>
      <c r="C171" s="153" t="s">
        <v>153</v>
      </c>
      <c r="D171" s="227">
        <v>0</v>
      </c>
      <c r="E171" s="227">
        <v>0</v>
      </c>
      <c r="F171" s="228">
        <f t="shared" si="14"/>
        <v>0</v>
      </c>
      <c r="G171" s="146"/>
      <c r="H171" s="146">
        <v>-500</v>
      </c>
      <c r="I171" s="146">
        <v>-500</v>
      </c>
      <c r="J171" s="198">
        <f t="shared" si="15"/>
        <v>0</v>
      </c>
      <c r="K171" s="198">
        <f t="shared" si="16"/>
        <v>-500</v>
      </c>
      <c r="L171" s="198">
        <f t="shared" si="17"/>
        <v>-500</v>
      </c>
      <c r="M171" s="301">
        <f t="shared" si="18"/>
        <v>0</v>
      </c>
      <c r="N171" s="301">
        <f t="shared" si="19"/>
        <v>-465</v>
      </c>
      <c r="O171" s="300">
        <f t="shared" si="20"/>
        <v>-465</v>
      </c>
    </row>
    <row r="172" spans="1:15" x14ac:dyDescent="0.25">
      <c r="A172" s="210">
        <v>159</v>
      </c>
      <c r="B172" s="166" t="s">
        <v>60</v>
      </c>
      <c r="C172" s="153" t="s">
        <v>153</v>
      </c>
      <c r="D172" s="227">
        <v>37000</v>
      </c>
      <c r="E172" s="227">
        <v>114000</v>
      </c>
      <c r="F172" s="228">
        <f t="shared" si="14"/>
        <v>151000</v>
      </c>
      <c r="G172" s="146">
        <v>64500</v>
      </c>
      <c r="H172" s="146">
        <v>103288.77277061334</v>
      </c>
      <c r="I172" s="146">
        <v>167788.77277061334</v>
      </c>
      <c r="J172" s="198">
        <f t="shared" si="15"/>
        <v>37000</v>
      </c>
      <c r="K172" s="198">
        <f t="shared" si="16"/>
        <v>103288.77277061334</v>
      </c>
      <c r="L172" s="198">
        <f t="shared" si="17"/>
        <v>140288.77277061334</v>
      </c>
      <c r="M172" s="301">
        <f t="shared" si="18"/>
        <v>34410</v>
      </c>
      <c r="N172" s="301">
        <f t="shared" si="19"/>
        <v>96058.558676670407</v>
      </c>
      <c r="O172" s="300">
        <f t="shared" si="20"/>
        <v>130468.55867667041</v>
      </c>
    </row>
    <row r="173" spans="1:15" x14ac:dyDescent="0.25">
      <c r="A173" s="210">
        <v>160</v>
      </c>
      <c r="B173" s="166" t="s">
        <v>131</v>
      </c>
      <c r="C173" s="153" t="s">
        <v>153</v>
      </c>
      <c r="D173" s="227">
        <v>10000</v>
      </c>
      <c r="E173" s="227">
        <v>28000</v>
      </c>
      <c r="F173" s="228">
        <f t="shared" si="14"/>
        <v>38000</v>
      </c>
      <c r="G173" s="146">
        <v>64500</v>
      </c>
      <c r="H173" s="146">
        <v>25755.422584781267</v>
      </c>
      <c r="I173" s="146">
        <v>90255.422584781263</v>
      </c>
      <c r="J173" s="198">
        <f t="shared" si="15"/>
        <v>10000</v>
      </c>
      <c r="K173" s="198">
        <f t="shared" si="16"/>
        <v>25755.422584781267</v>
      </c>
      <c r="L173" s="198">
        <f t="shared" si="17"/>
        <v>35755.422584781263</v>
      </c>
      <c r="M173" s="301">
        <f t="shared" si="18"/>
        <v>9300</v>
      </c>
      <c r="N173" s="301">
        <f t="shared" si="19"/>
        <v>23952.543003846578</v>
      </c>
      <c r="O173" s="300">
        <f t="shared" si="20"/>
        <v>33252.543003846578</v>
      </c>
    </row>
    <row r="174" spans="1:15" x14ac:dyDescent="0.25">
      <c r="A174" s="210">
        <v>161</v>
      </c>
      <c r="B174" s="166" t="s">
        <v>61</v>
      </c>
      <c r="C174" s="153" t="s">
        <v>153</v>
      </c>
      <c r="D174" s="227">
        <v>14000</v>
      </c>
      <c r="E174" s="227">
        <v>66000</v>
      </c>
      <c r="F174" s="228">
        <f t="shared" si="14"/>
        <v>80000</v>
      </c>
      <c r="G174" s="146">
        <v>64500</v>
      </c>
      <c r="H174" s="146">
        <v>102356.424623004</v>
      </c>
      <c r="I174" s="146">
        <v>166856.42462300399</v>
      </c>
      <c r="J174" s="198">
        <f t="shared" si="15"/>
        <v>14000</v>
      </c>
      <c r="K174" s="198">
        <f t="shared" si="16"/>
        <v>66000</v>
      </c>
      <c r="L174" s="198">
        <f t="shared" si="17"/>
        <v>80000</v>
      </c>
      <c r="M174" s="301">
        <f t="shared" si="18"/>
        <v>13020</v>
      </c>
      <c r="N174" s="301">
        <f t="shared" si="19"/>
        <v>61380</v>
      </c>
      <c r="O174" s="300">
        <f t="shared" si="20"/>
        <v>74400</v>
      </c>
    </row>
    <row r="175" spans="1:15" x14ac:dyDescent="0.25">
      <c r="A175" s="210">
        <v>162</v>
      </c>
      <c r="B175" s="166" t="s">
        <v>118</v>
      </c>
      <c r="C175" s="153" t="s">
        <v>153</v>
      </c>
      <c r="D175" s="227">
        <v>14000</v>
      </c>
      <c r="E175" s="227">
        <v>145000</v>
      </c>
      <c r="F175" s="228">
        <f t="shared" si="14"/>
        <v>159000</v>
      </c>
      <c r="G175" s="146">
        <v>64500</v>
      </c>
      <c r="H175" s="146">
        <v>131570.66076486354</v>
      </c>
      <c r="I175" s="146">
        <v>196070.66076486354</v>
      </c>
      <c r="J175" s="198">
        <f t="shared" si="15"/>
        <v>14000</v>
      </c>
      <c r="K175" s="198">
        <f t="shared" si="16"/>
        <v>131570.66076486354</v>
      </c>
      <c r="L175" s="198">
        <f t="shared" si="17"/>
        <v>145570.66076486354</v>
      </c>
      <c r="M175" s="301">
        <f t="shared" si="18"/>
        <v>13020</v>
      </c>
      <c r="N175" s="301">
        <f t="shared" si="19"/>
        <v>122360.71451132309</v>
      </c>
      <c r="O175" s="300">
        <f t="shared" si="20"/>
        <v>135380.71451132308</v>
      </c>
    </row>
    <row r="176" spans="1:15" x14ac:dyDescent="0.25">
      <c r="A176" s="210">
        <v>163</v>
      </c>
      <c r="B176" s="166" t="s">
        <v>247</v>
      </c>
      <c r="C176" s="153" t="s">
        <v>153</v>
      </c>
      <c r="D176" s="227">
        <v>5000</v>
      </c>
      <c r="E176" s="227">
        <v>14000</v>
      </c>
      <c r="F176" s="228">
        <f t="shared" si="14"/>
        <v>19000</v>
      </c>
      <c r="G176" s="146">
        <v>64500</v>
      </c>
      <c r="H176" s="146">
        <v>12850</v>
      </c>
      <c r="I176" s="146">
        <v>77350</v>
      </c>
      <c r="J176" s="198">
        <f t="shared" si="15"/>
        <v>5000</v>
      </c>
      <c r="K176" s="198">
        <f t="shared" si="16"/>
        <v>12850</v>
      </c>
      <c r="L176" s="198">
        <f t="shared" si="17"/>
        <v>17850</v>
      </c>
      <c r="M176" s="301">
        <f t="shared" si="18"/>
        <v>4650</v>
      </c>
      <c r="N176" s="301">
        <f t="shared" si="19"/>
        <v>11950.5</v>
      </c>
      <c r="O176" s="300">
        <f t="shared" si="20"/>
        <v>16600.5</v>
      </c>
    </row>
    <row r="177" spans="1:15" x14ac:dyDescent="0.25">
      <c r="A177" s="210">
        <v>164</v>
      </c>
      <c r="B177" s="166" t="s">
        <v>248</v>
      </c>
      <c r="C177" s="153" t="s">
        <v>153</v>
      </c>
      <c r="D177" s="227">
        <v>10000</v>
      </c>
      <c r="E177" s="227">
        <v>28000</v>
      </c>
      <c r="F177" s="228">
        <f t="shared" si="14"/>
        <v>38000</v>
      </c>
      <c r="G177" s="146">
        <v>64500</v>
      </c>
      <c r="H177" s="146">
        <v>25750.362835213498</v>
      </c>
      <c r="I177" s="146">
        <v>90250.362835213498</v>
      </c>
      <c r="J177" s="198">
        <f t="shared" si="15"/>
        <v>10000</v>
      </c>
      <c r="K177" s="198">
        <f t="shared" si="16"/>
        <v>25750.362835213498</v>
      </c>
      <c r="L177" s="198">
        <f t="shared" si="17"/>
        <v>35750.362835213498</v>
      </c>
      <c r="M177" s="301">
        <f t="shared" si="18"/>
        <v>9300</v>
      </c>
      <c r="N177" s="301">
        <f t="shared" si="19"/>
        <v>23947.837436748552</v>
      </c>
      <c r="O177" s="300">
        <f t="shared" si="20"/>
        <v>33247.837436748552</v>
      </c>
    </row>
    <row r="178" spans="1:15" x14ac:dyDescent="0.25">
      <c r="A178" s="210">
        <v>165</v>
      </c>
      <c r="B178" s="166" t="s">
        <v>249</v>
      </c>
      <c r="C178" s="153" t="s">
        <v>153</v>
      </c>
      <c r="D178" s="227">
        <v>9000</v>
      </c>
      <c r="E178" s="227">
        <v>26000</v>
      </c>
      <c r="F178" s="228">
        <f t="shared" si="14"/>
        <v>35000</v>
      </c>
      <c r="G178" s="146">
        <v>64500</v>
      </c>
      <c r="H178" s="146">
        <v>23371.611791096668</v>
      </c>
      <c r="I178" s="146">
        <v>87871.611791096671</v>
      </c>
      <c r="J178" s="198">
        <f t="shared" si="15"/>
        <v>9000</v>
      </c>
      <c r="K178" s="198">
        <f t="shared" si="16"/>
        <v>23371.611791096668</v>
      </c>
      <c r="L178" s="198">
        <f t="shared" si="17"/>
        <v>32371.611791096668</v>
      </c>
      <c r="M178" s="301">
        <f t="shared" si="18"/>
        <v>8370</v>
      </c>
      <c r="N178" s="301">
        <f t="shared" si="19"/>
        <v>21735.598965719902</v>
      </c>
      <c r="O178" s="300">
        <f t="shared" si="20"/>
        <v>30105.598965719902</v>
      </c>
    </row>
    <row r="179" spans="1:15" ht="22.5" x14ac:dyDescent="0.25">
      <c r="A179" s="210"/>
      <c r="B179" s="165" t="s">
        <v>47</v>
      </c>
      <c r="C179" s="153" t="s">
        <v>153</v>
      </c>
      <c r="D179" s="227">
        <v>0</v>
      </c>
      <c r="E179" s="227">
        <v>0</v>
      </c>
      <c r="F179" s="228">
        <f t="shared" si="14"/>
        <v>0</v>
      </c>
      <c r="G179" s="146"/>
      <c r="H179" s="146"/>
      <c r="I179" s="146">
        <v>0</v>
      </c>
      <c r="J179" s="198">
        <f t="shared" si="15"/>
        <v>0</v>
      </c>
      <c r="K179" s="198">
        <f t="shared" si="16"/>
        <v>0</v>
      </c>
      <c r="L179" s="198">
        <f t="shared" si="17"/>
        <v>0</v>
      </c>
      <c r="M179" s="301">
        <f t="shared" si="18"/>
        <v>0</v>
      </c>
      <c r="N179" s="301">
        <f t="shared" si="19"/>
        <v>0</v>
      </c>
      <c r="O179" s="300">
        <f t="shared" si="20"/>
        <v>0</v>
      </c>
    </row>
    <row r="180" spans="1:15" x14ac:dyDescent="0.25">
      <c r="A180" s="210">
        <v>166</v>
      </c>
      <c r="B180" s="166" t="s">
        <v>48</v>
      </c>
      <c r="C180" s="153" t="s">
        <v>153</v>
      </c>
      <c r="D180" s="227">
        <v>189000</v>
      </c>
      <c r="E180" s="227">
        <v>644000</v>
      </c>
      <c r="F180" s="228">
        <f t="shared" si="14"/>
        <v>833000</v>
      </c>
      <c r="G180" s="146">
        <v>219500</v>
      </c>
      <c r="H180" s="146">
        <v>674012.81715393404</v>
      </c>
      <c r="I180" s="146">
        <v>893512.81715393404</v>
      </c>
      <c r="J180" s="198">
        <f t="shared" si="15"/>
        <v>189000</v>
      </c>
      <c r="K180" s="198">
        <f t="shared" si="16"/>
        <v>644000</v>
      </c>
      <c r="L180" s="198">
        <f t="shared" si="17"/>
        <v>833000</v>
      </c>
      <c r="M180" s="301">
        <f t="shared" si="18"/>
        <v>175770</v>
      </c>
      <c r="N180" s="301">
        <f t="shared" si="19"/>
        <v>598920</v>
      </c>
      <c r="O180" s="300">
        <f t="shared" si="20"/>
        <v>774690</v>
      </c>
    </row>
    <row r="181" spans="1:15" x14ac:dyDescent="0.25">
      <c r="A181" s="210">
        <v>167</v>
      </c>
      <c r="B181" s="166" t="s">
        <v>49</v>
      </c>
      <c r="C181" s="153" t="s">
        <v>153</v>
      </c>
      <c r="D181" s="227">
        <v>163000</v>
      </c>
      <c r="E181" s="227">
        <v>506000</v>
      </c>
      <c r="F181" s="228">
        <f t="shared" si="14"/>
        <v>669000</v>
      </c>
      <c r="G181" s="146">
        <v>219500</v>
      </c>
      <c r="H181" s="146">
        <v>460441.18608712143</v>
      </c>
      <c r="I181" s="146">
        <v>679941.18608712149</v>
      </c>
      <c r="J181" s="198">
        <f t="shared" si="15"/>
        <v>163000</v>
      </c>
      <c r="K181" s="198">
        <f t="shared" si="16"/>
        <v>460441.18608712143</v>
      </c>
      <c r="L181" s="198">
        <f t="shared" si="17"/>
        <v>623441.18608712149</v>
      </c>
      <c r="M181" s="301">
        <f t="shared" si="18"/>
        <v>151590</v>
      </c>
      <c r="N181" s="301">
        <f t="shared" si="19"/>
        <v>428210.30306102295</v>
      </c>
      <c r="O181" s="300">
        <f t="shared" si="20"/>
        <v>579800.30306102289</v>
      </c>
    </row>
    <row r="182" spans="1:15" x14ac:dyDescent="0.25">
      <c r="A182" s="210">
        <v>168</v>
      </c>
      <c r="B182" s="213" t="s">
        <v>379</v>
      </c>
      <c r="C182" s="153" t="s">
        <v>153</v>
      </c>
      <c r="D182" s="227">
        <v>80000</v>
      </c>
      <c r="E182" s="227">
        <v>247000</v>
      </c>
      <c r="F182" s="228">
        <f t="shared" si="14"/>
        <v>327000</v>
      </c>
      <c r="G182" s="146">
        <v>184500</v>
      </c>
      <c r="H182" s="146">
        <v>224486.949649769</v>
      </c>
      <c r="I182" s="146">
        <v>408986.949649769</v>
      </c>
      <c r="J182" s="198">
        <f t="shared" si="15"/>
        <v>80000</v>
      </c>
      <c r="K182" s="198">
        <f t="shared" si="16"/>
        <v>224486.949649769</v>
      </c>
      <c r="L182" s="198">
        <f t="shared" si="17"/>
        <v>304486.949649769</v>
      </c>
      <c r="M182" s="301">
        <f t="shared" si="18"/>
        <v>74400</v>
      </c>
      <c r="N182" s="301">
        <f t="shared" si="19"/>
        <v>208772.86317428516</v>
      </c>
      <c r="O182" s="300">
        <f t="shared" si="20"/>
        <v>283172.86317428516</v>
      </c>
    </row>
    <row r="183" spans="1:15" x14ac:dyDescent="0.25">
      <c r="A183" s="210">
        <v>169</v>
      </c>
      <c r="B183" s="213" t="s">
        <v>148</v>
      </c>
      <c r="C183" s="153" t="s">
        <v>153</v>
      </c>
      <c r="D183" s="227">
        <v>76000</v>
      </c>
      <c r="E183" s="227">
        <v>234000</v>
      </c>
      <c r="F183" s="228">
        <f t="shared" si="14"/>
        <v>310000</v>
      </c>
      <c r="G183" s="146">
        <v>184500</v>
      </c>
      <c r="H183" s="146">
        <v>213093.46312463775</v>
      </c>
      <c r="I183" s="146">
        <v>397593.46312463772</v>
      </c>
      <c r="J183" s="198">
        <f t="shared" si="15"/>
        <v>76000</v>
      </c>
      <c r="K183" s="198">
        <f t="shared" si="16"/>
        <v>213093.46312463775</v>
      </c>
      <c r="L183" s="198">
        <f t="shared" si="17"/>
        <v>289093.46312463772</v>
      </c>
      <c r="M183" s="301">
        <f t="shared" si="18"/>
        <v>70680</v>
      </c>
      <c r="N183" s="301">
        <f t="shared" si="19"/>
        <v>198176.9207059131</v>
      </c>
      <c r="O183" s="300">
        <f t="shared" si="20"/>
        <v>268856.9207059131</v>
      </c>
    </row>
    <row r="184" spans="1:15" x14ac:dyDescent="0.25">
      <c r="A184" s="210">
        <v>170</v>
      </c>
      <c r="B184" s="166" t="s">
        <v>322</v>
      </c>
      <c r="C184" s="153" t="s">
        <v>153</v>
      </c>
      <c r="D184" s="227">
        <v>13000</v>
      </c>
      <c r="E184" s="227">
        <v>36000</v>
      </c>
      <c r="F184" s="228">
        <f t="shared" si="14"/>
        <v>49000</v>
      </c>
      <c r="G184" s="146">
        <v>94500</v>
      </c>
      <c r="H184" s="146">
        <v>32722.69669079336</v>
      </c>
      <c r="I184" s="146">
        <v>127222.69669079335</v>
      </c>
      <c r="J184" s="198">
        <f t="shared" si="15"/>
        <v>13000</v>
      </c>
      <c r="K184" s="198">
        <f t="shared" si="16"/>
        <v>32722.69669079336</v>
      </c>
      <c r="L184" s="198">
        <f t="shared" si="17"/>
        <v>45722.69669079336</v>
      </c>
      <c r="M184" s="301">
        <f t="shared" si="18"/>
        <v>12090</v>
      </c>
      <c r="N184" s="301">
        <f t="shared" si="19"/>
        <v>30432.107922437826</v>
      </c>
      <c r="O184" s="300">
        <f t="shared" si="20"/>
        <v>42522.107922437826</v>
      </c>
    </row>
    <row r="185" spans="1:15" x14ac:dyDescent="0.25">
      <c r="A185" s="210">
        <v>171</v>
      </c>
      <c r="B185" s="166" t="s">
        <v>50</v>
      </c>
      <c r="C185" s="153" t="s">
        <v>153</v>
      </c>
      <c r="D185" s="227">
        <v>51000</v>
      </c>
      <c r="E185" s="227">
        <v>250000</v>
      </c>
      <c r="F185" s="228">
        <f t="shared" si="14"/>
        <v>301000</v>
      </c>
      <c r="G185" s="146">
        <v>94500</v>
      </c>
      <c r="H185" s="146">
        <v>143781.4256285883</v>
      </c>
      <c r="I185" s="146">
        <v>238281.4256285883</v>
      </c>
      <c r="J185" s="198">
        <f t="shared" si="15"/>
        <v>51000</v>
      </c>
      <c r="K185" s="198">
        <f t="shared" si="16"/>
        <v>143781.4256285883</v>
      </c>
      <c r="L185" s="198">
        <f t="shared" si="17"/>
        <v>194781.4256285883</v>
      </c>
      <c r="M185" s="301">
        <f t="shared" si="18"/>
        <v>47430</v>
      </c>
      <c r="N185" s="301">
        <f t="shared" si="19"/>
        <v>133716.72583458712</v>
      </c>
      <c r="O185" s="300">
        <f t="shared" si="20"/>
        <v>181146.72583458712</v>
      </c>
    </row>
    <row r="186" spans="1:15" x14ac:dyDescent="0.25">
      <c r="A186" s="210">
        <v>172</v>
      </c>
      <c r="B186" s="166" t="s">
        <v>51</v>
      </c>
      <c r="C186" s="153" t="s">
        <v>153</v>
      </c>
      <c r="D186" s="227">
        <v>75000</v>
      </c>
      <c r="E186" s="227">
        <v>53000</v>
      </c>
      <c r="F186" s="228">
        <f t="shared" si="14"/>
        <v>128000</v>
      </c>
      <c r="G186" s="146">
        <v>94500</v>
      </c>
      <c r="H186" s="146">
        <v>213074.47872652876</v>
      </c>
      <c r="I186" s="146">
        <v>307574.47872652876</v>
      </c>
      <c r="J186" s="198">
        <f t="shared" si="15"/>
        <v>75000</v>
      </c>
      <c r="K186" s="198">
        <f t="shared" si="16"/>
        <v>53000</v>
      </c>
      <c r="L186" s="198">
        <f t="shared" si="17"/>
        <v>128000</v>
      </c>
      <c r="M186" s="301">
        <f t="shared" si="18"/>
        <v>69750</v>
      </c>
      <c r="N186" s="301">
        <f t="shared" si="19"/>
        <v>49290</v>
      </c>
      <c r="O186" s="300">
        <f t="shared" si="20"/>
        <v>119040</v>
      </c>
    </row>
    <row r="187" spans="1:15" x14ac:dyDescent="0.25">
      <c r="A187" s="210">
        <v>173</v>
      </c>
      <c r="B187" s="166" t="s">
        <v>52</v>
      </c>
      <c r="C187" s="153" t="s">
        <v>153</v>
      </c>
      <c r="D187" s="227">
        <v>89000</v>
      </c>
      <c r="E187" s="227">
        <v>276000</v>
      </c>
      <c r="F187" s="228">
        <f t="shared" si="14"/>
        <v>365000</v>
      </c>
      <c r="G187" s="146">
        <v>134500</v>
      </c>
      <c r="H187" s="146">
        <v>251043.2749445783</v>
      </c>
      <c r="I187" s="146">
        <v>385543.2749445783</v>
      </c>
      <c r="J187" s="198">
        <f t="shared" si="15"/>
        <v>89000</v>
      </c>
      <c r="K187" s="198">
        <f t="shared" si="16"/>
        <v>251043.2749445783</v>
      </c>
      <c r="L187" s="198">
        <f t="shared" si="17"/>
        <v>340043.2749445783</v>
      </c>
      <c r="M187" s="301">
        <f t="shared" si="18"/>
        <v>82770</v>
      </c>
      <c r="N187" s="301">
        <f t="shared" si="19"/>
        <v>233470.24569845782</v>
      </c>
      <c r="O187" s="300">
        <f t="shared" si="20"/>
        <v>316240.24569845782</v>
      </c>
    </row>
    <row r="188" spans="1:15" x14ac:dyDescent="0.25">
      <c r="A188" s="210">
        <v>174</v>
      </c>
      <c r="B188" s="166" t="s">
        <v>53</v>
      </c>
      <c r="C188" s="153" t="s">
        <v>153</v>
      </c>
      <c r="D188" s="227">
        <v>96000</v>
      </c>
      <c r="E188" s="227">
        <v>128000</v>
      </c>
      <c r="F188" s="228">
        <f t="shared" si="14"/>
        <v>224000</v>
      </c>
      <c r="G188" s="146">
        <v>104500</v>
      </c>
      <c r="H188" s="146">
        <v>270027.6730536031</v>
      </c>
      <c r="I188" s="146">
        <v>374527.6730536031</v>
      </c>
      <c r="J188" s="198">
        <f t="shared" si="15"/>
        <v>96000</v>
      </c>
      <c r="K188" s="198">
        <f t="shared" si="16"/>
        <v>128000</v>
      </c>
      <c r="L188" s="198">
        <f t="shared" si="17"/>
        <v>224000</v>
      </c>
      <c r="M188" s="301">
        <f t="shared" si="18"/>
        <v>89280</v>
      </c>
      <c r="N188" s="301">
        <f t="shared" si="19"/>
        <v>119040</v>
      </c>
      <c r="O188" s="300">
        <f t="shared" si="20"/>
        <v>208320</v>
      </c>
    </row>
    <row r="189" spans="1:15" x14ac:dyDescent="0.25">
      <c r="A189" s="210">
        <v>175</v>
      </c>
      <c r="B189" s="166" t="s">
        <v>54</v>
      </c>
      <c r="C189" s="153" t="s">
        <v>153</v>
      </c>
      <c r="D189" s="227">
        <v>122000</v>
      </c>
      <c r="E189" s="227">
        <v>381000</v>
      </c>
      <c r="F189" s="228">
        <f t="shared" si="14"/>
        <v>503000</v>
      </c>
      <c r="G189" s="146">
        <v>224500</v>
      </c>
      <c r="H189" s="146">
        <v>345965.26548970217</v>
      </c>
      <c r="I189" s="146">
        <v>570465.26548970211</v>
      </c>
      <c r="J189" s="198">
        <f t="shared" si="15"/>
        <v>122000</v>
      </c>
      <c r="K189" s="198">
        <f t="shared" si="16"/>
        <v>345965.26548970217</v>
      </c>
      <c r="L189" s="198">
        <f t="shared" si="17"/>
        <v>467965.26548970217</v>
      </c>
      <c r="M189" s="301">
        <f t="shared" si="18"/>
        <v>113460</v>
      </c>
      <c r="N189" s="301">
        <f t="shared" si="19"/>
        <v>321747.69690542301</v>
      </c>
      <c r="O189" s="300">
        <f t="shared" si="20"/>
        <v>435207.69690542301</v>
      </c>
    </row>
    <row r="190" spans="1:15" x14ac:dyDescent="0.25">
      <c r="A190" s="210">
        <v>176</v>
      </c>
      <c r="B190" s="166" t="s">
        <v>251</v>
      </c>
      <c r="C190" s="153" t="s">
        <v>153</v>
      </c>
      <c r="D190" s="227">
        <v>200000</v>
      </c>
      <c r="E190" s="227">
        <v>623000</v>
      </c>
      <c r="F190" s="228">
        <f t="shared" si="14"/>
        <v>823000</v>
      </c>
      <c r="G190" s="146">
        <v>199500</v>
      </c>
      <c r="H190" s="146">
        <v>565994.43957329926</v>
      </c>
      <c r="I190" s="146">
        <v>765494.43957329926</v>
      </c>
      <c r="J190" s="198">
        <f t="shared" si="15"/>
        <v>199500</v>
      </c>
      <c r="K190" s="198">
        <f t="shared" si="16"/>
        <v>565994.43957329926</v>
      </c>
      <c r="L190" s="198">
        <f t="shared" si="17"/>
        <v>765494.43957329926</v>
      </c>
      <c r="M190" s="301">
        <f t="shared" si="18"/>
        <v>185535</v>
      </c>
      <c r="N190" s="301">
        <f t="shared" si="19"/>
        <v>526374.82880316826</v>
      </c>
      <c r="O190" s="300">
        <f t="shared" si="20"/>
        <v>711909.82880316826</v>
      </c>
    </row>
    <row r="191" spans="1:15" x14ac:dyDescent="0.25">
      <c r="A191" s="210">
        <v>177</v>
      </c>
      <c r="B191" s="166" t="s">
        <v>252</v>
      </c>
      <c r="C191" s="153" t="s">
        <v>153</v>
      </c>
      <c r="D191" s="227">
        <v>150000</v>
      </c>
      <c r="E191" s="227">
        <v>512000</v>
      </c>
      <c r="F191" s="228">
        <f t="shared" si="14"/>
        <v>662000</v>
      </c>
      <c r="G191" s="146">
        <v>199500</v>
      </c>
      <c r="H191" s="146">
        <v>640300</v>
      </c>
      <c r="I191" s="146">
        <v>839800</v>
      </c>
      <c r="J191" s="198">
        <f t="shared" si="15"/>
        <v>150000</v>
      </c>
      <c r="K191" s="198">
        <f t="shared" si="16"/>
        <v>512000</v>
      </c>
      <c r="L191" s="198">
        <f t="shared" si="17"/>
        <v>662000</v>
      </c>
      <c r="M191" s="301">
        <f t="shared" si="18"/>
        <v>139500</v>
      </c>
      <c r="N191" s="301">
        <f t="shared" si="19"/>
        <v>476160</v>
      </c>
      <c r="O191" s="300">
        <f t="shared" si="20"/>
        <v>615660</v>
      </c>
    </row>
    <row r="192" spans="1:15" x14ac:dyDescent="0.25">
      <c r="A192" s="210">
        <v>178</v>
      </c>
      <c r="B192" s="213" t="s">
        <v>58</v>
      </c>
      <c r="C192" s="153" t="s">
        <v>153</v>
      </c>
      <c r="D192" s="227">
        <v>84000</v>
      </c>
      <c r="E192" s="227">
        <v>260000</v>
      </c>
      <c r="F192" s="228">
        <f t="shared" si="14"/>
        <v>344000</v>
      </c>
      <c r="G192" s="146">
        <v>422325</v>
      </c>
      <c r="H192" s="146">
        <v>236804.97636280968</v>
      </c>
      <c r="I192" s="146">
        <v>659129.97636280966</v>
      </c>
      <c r="J192" s="198">
        <f t="shared" si="15"/>
        <v>84000</v>
      </c>
      <c r="K192" s="198">
        <f t="shared" si="16"/>
        <v>236804.97636280968</v>
      </c>
      <c r="L192" s="198">
        <f t="shared" si="17"/>
        <v>320804.97636280966</v>
      </c>
      <c r="M192" s="301">
        <f t="shared" si="18"/>
        <v>78120</v>
      </c>
      <c r="N192" s="301">
        <f t="shared" si="19"/>
        <v>220228.62801741299</v>
      </c>
      <c r="O192" s="300">
        <f t="shared" si="20"/>
        <v>298348.62801741296</v>
      </c>
    </row>
    <row r="193" spans="1:15" x14ac:dyDescent="0.25">
      <c r="A193" s="210">
        <v>179</v>
      </c>
      <c r="B193" s="213" t="s">
        <v>136</v>
      </c>
      <c r="C193" s="153" t="s">
        <v>153</v>
      </c>
      <c r="D193" s="227">
        <v>1131000</v>
      </c>
      <c r="E193" s="227">
        <v>1231000</v>
      </c>
      <c r="F193" s="228">
        <f t="shared" si="14"/>
        <v>2362000</v>
      </c>
      <c r="G193" s="229">
        <v>2908065</v>
      </c>
      <c r="H193" s="146">
        <v>1119518.7573381001</v>
      </c>
      <c r="I193" s="146">
        <v>4027583.7573381001</v>
      </c>
      <c r="J193" s="198">
        <f t="shared" si="15"/>
        <v>1131000</v>
      </c>
      <c r="K193" s="198">
        <f t="shared" si="16"/>
        <v>1119518.7573381001</v>
      </c>
      <c r="L193" s="198">
        <f t="shared" si="17"/>
        <v>2250518.7573381001</v>
      </c>
      <c r="M193" s="301">
        <f t="shared" si="18"/>
        <v>1051830</v>
      </c>
      <c r="N193" s="301">
        <f t="shared" si="19"/>
        <v>1041152.4443244331</v>
      </c>
      <c r="O193" s="300">
        <f t="shared" si="20"/>
        <v>2092982.4443244331</v>
      </c>
    </row>
    <row r="194" spans="1:15" ht="22.5" x14ac:dyDescent="0.25">
      <c r="A194" s="210"/>
      <c r="B194" s="163" t="s">
        <v>98</v>
      </c>
      <c r="C194" s="153" t="s">
        <v>153</v>
      </c>
      <c r="D194" s="227">
        <v>0</v>
      </c>
      <c r="E194" s="227">
        <v>0</v>
      </c>
      <c r="F194" s="228">
        <f t="shared" si="14"/>
        <v>0</v>
      </c>
      <c r="G194" s="146"/>
      <c r="H194" s="146"/>
      <c r="I194" s="146">
        <v>0</v>
      </c>
      <c r="J194" s="198">
        <f t="shared" si="15"/>
        <v>0</v>
      </c>
      <c r="K194" s="198">
        <f t="shared" si="16"/>
        <v>0</v>
      </c>
      <c r="L194" s="198">
        <f t="shared" si="17"/>
        <v>0</v>
      </c>
      <c r="M194" s="301">
        <f t="shared" si="18"/>
        <v>0</v>
      </c>
      <c r="N194" s="301">
        <f t="shared" si="19"/>
        <v>0</v>
      </c>
      <c r="O194" s="300">
        <f t="shared" si="20"/>
        <v>0</v>
      </c>
    </row>
    <row r="195" spans="1:15" x14ac:dyDescent="0.25">
      <c r="A195" s="210">
        <v>180</v>
      </c>
      <c r="B195" s="166" t="s">
        <v>254</v>
      </c>
      <c r="C195" s="153" t="s">
        <v>153</v>
      </c>
      <c r="D195" s="227">
        <v>23000</v>
      </c>
      <c r="E195" s="227">
        <v>67000</v>
      </c>
      <c r="F195" s="228">
        <f t="shared" si="14"/>
        <v>90000</v>
      </c>
      <c r="G195" s="146">
        <v>44500</v>
      </c>
      <c r="H195" s="146">
        <v>61216.647827660767</v>
      </c>
      <c r="I195" s="146">
        <v>105716.64782766077</v>
      </c>
      <c r="J195" s="198">
        <f t="shared" si="15"/>
        <v>23000</v>
      </c>
      <c r="K195" s="198">
        <f t="shared" si="16"/>
        <v>61216.647827660767</v>
      </c>
      <c r="L195" s="198">
        <f t="shared" si="17"/>
        <v>84216.647827660767</v>
      </c>
      <c r="M195" s="301">
        <f t="shared" si="18"/>
        <v>21390</v>
      </c>
      <c r="N195" s="301">
        <f t="shared" si="19"/>
        <v>56931.482479724509</v>
      </c>
      <c r="O195" s="300">
        <f t="shared" si="20"/>
        <v>78321.482479724509</v>
      </c>
    </row>
    <row r="196" spans="1:15" x14ac:dyDescent="0.25">
      <c r="A196" s="210">
        <v>181</v>
      </c>
      <c r="B196" s="166" t="s">
        <v>255</v>
      </c>
      <c r="C196" s="153" t="s">
        <v>153</v>
      </c>
      <c r="D196" s="227">
        <v>135000</v>
      </c>
      <c r="E196" s="227">
        <v>717000</v>
      </c>
      <c r="F196" s="228">
        <f t="shared" si="14"/>
        <v>852000</v>
      </c>
      <c r="G196" s="146">
        <v>749500</v>
      </c>
      <c r="H196" s="146">
        <v>1334500</v>
      </c>
      <c r="I196" s="146">
        <v>2084000</v>
      </c>
      <c r="J196" s="198">
        <f t="shared" si="15"/>
        <v>135000</v>
      </c>
      <c r="K196" s="198">
        <f t="shared" si="16"/>
        <v>717000</v>
      </c>
      <c r="L196" s="198">
        <f t="shared" si="17"/>
        <v>852000</v>
      </c>
      <c r="M196" s="301">
        <f t="shared" si="18"/>
        <v>125550</v>
      </c>
      <c r="N196" s="301">
        <f t="shared" si="19"/>
        <v>666810</v>
      </c>
      <c r="O196" s="300">
        <f t="shared" si="20"/>
        <v>792360</v>
      </c>
    </row>
    <row r="197" spans="1:15" x14ac:dyDescent="0.25">
      <c r="A197" s="210">
        <v>182</v>
      </c>
      <c r="B197" s="166" t="s">
        <v>256</v>
      </c>
      <c r="C197" s="153" t="s">
        <v>153</v>
      </c>
      <c r="D197" s="227">
        <v>42000</v>
      </c>
      <c r="E197" s="227">
        <v>145000</v>
      </c>
      <c r="F197" s="228">
        <f t="shared" ref="F197:F216" si="21">(D197+E197)</f>
        <v>187000</v>
      </c>
      <c r="G197" s="146">
        <v>649500</v>
      </c>
      <c r="H197" s="146">
        <v>311000</v>
      </c>
      <c r="I197" s="146">
        <v>960500</v>
      </c>
      <c r="J197" s="198">
        <f t="shared" ref="J197:J216" si="22">MIN(D197,G197)</f>
        <v>42000</v>
      </c>
      <c r="K197" s="198">
        <f t="shared" ref="K197:K216" si="23">MIN(E197,H197)</f>
        <v>145000</v>
      </c>
      <c r="L197" s="198">
        <f t="shared" ref="L197:L217" si="24">J197+K197</f>
        <v>187000</v>
      </c>
      <c r="M197" s="301">
        <f t="shared" ref="M197:M216" si="25">J197-(J197*7%)</f>
        <v>39060</v>
      </c>
      <c r="N197" s="301">
        <f t="shared" ref="N197:N216" si="26">K197-(K197*7%)</f>
        <v>134850</v>
      </c>
      <c r="O197" s="300">
        <f t="shared" ref="O197:O216" si="27">N197+M197</f>
        <v>173910</v>
      </c>
    </row>
    <row r="198" spans="1:15" x14ac:dyDescent="0.25">
      <c r="A198" s="210">
        <v>183</v>
      </c>
      <c r="B198" s="158" t="s">
        <v>69</v>
      </c>
      <c r="C198" s="153" t="s">
        <v>153</v>
      </c>
      <c r="D198" s="227">
        <v>32000</v>
      </c>
      <c r="E198" s="227">
        <v>99000</v>
      </c>
      <c r="F198" s="228">
        <f t="shared" si="21"/>
        <v>131000</v>
      </c>
      <c r="G198" s="146">
        <v>119500</v>
      </c>
      <c r="H198" s="146">
        <v>89675.891017867674</v>
      </c>
      <c r="I198" s="146">
        <v>209175.89101786766</v>
      </c>
      <c r="J198" s="198">
        <f t="shared" si="22"/>
        <v>32000</v>
      </c>
      <c r="K198" s="198">
        <f t="shared" si="23"/>
        <v>89675.891017867674</v>
      </c>
      <c r="L198" s="198">
        <f t="shared" si="24"/>
        <v>121675.89101786767</v>
      </c>
      <c r="M198" s="301">
        <f t="shared" si="25"/>
        <v>29760</v>
      </c>
      <c r="N198" s="301">
        <f t="shared" si="26"/>
        <v>83398.578646616937</v>
      </c>
      <c r="O198" s="300">
        <f t="shared" si="27"/>
        <v>113158.57864661694</v>
      </c>
    </row>
    <row r="199" spans="1:15" x14ac:dyDescent="0.25">
      <c r="A199" s="210">
        <v>184</v>
      </c>
      <c r="B199" s="158" t="s">
        <v>70</v>
      </c>
      <c r="C199" s="153" t="s">
        <v>153</v>
      </c>
      <c r="D199" s="227">
        <v>218000</v>
      </c>
      <c r="E199" s="227">
        <v>678000</v>
      </c>
      <c r="F199" s="228">
        <f t="shared" si="21"/>
        <v>896000</v>
      </c>
      <c r="G199" s="146">
        <v>249500</v>
      </c>
      <c r="H199" s="146">
        <v>616492.93854330527</v>
      </c>
      <c r="I199" s="146">
        <v>865992.93854330527</v>
      </c>
      <c r="J199" s="198">
        <f t="shared" si="22"/>
        <v>218000</v>
      </c>
      <c r="K199" s="198">
        <f t="shared" si="23"/>
        <v>616492.93854330527</v>
      </c>
      <c r="L199" s="198">
        <f t="shared" si="24"/>
        <v>834492.93854330527</v>
      </c>
      <c r="M199" s="301">
        <f t="shared" si="25"/>
        <v>202740</v>
      </c>
      <c r="N199" s="301">
        <f t="shared" si="26"/>
        <v>573338.43284527387</v>
      </c>
      <c r="O199" s="300">
        <f t="shared" si="27"/>
        <v>776078.43284527387</v>
      </c>
    </row>
    <row r="200" spans="1:15" x14ac:dyDescent="0.25">
      <c r="A200" s="210">
        <v>185</v>
      </c>
      <c r="B200" s="158" t="s">
        <v>1</v>
      </c>
      <c r="C200" s="153" t="s">
        <v>153</v>
      </c>
      <c r="D200" s="227">
        <v>60000</v>
      </c>
      <c r="E200" s="227">
        <v>187000</v>
      </c>
      <c r="F200" s="228">
        <f t="shared" si="21"/>
        <v>247000</v>
      </c>
      <c r="G200" s="146">
        <v>134500</v>
      </c>
      <c r="H200" s="146">
        <v>170359.58298122298</v>
      </c>
      <c r="I200" s="146">
        <v>304859.58298122301</v>
      </c>
      <c r="J200" s="198">
        <f t="shared" si="22"/>
        <v>60000</v>
      </c>
      <c r="K200" s="198">
        <f t="shared" si="23"/>
        <v>170359.58298122298</v>
      </c>
      <c r="L200" s="198">
        <f t="shared" si="24"/>
        <v>230359.58298122298</v>
      </c>
      <c r="M200" s="301">
        <f t="shared" si="25"/>
        <v>55800</v>
      </c>
      <c r="N200" s="301">
        <f t="shared" si="26"/>
        <v>158434.41217253736</v>
      </c>
      <c r="O200" s="300">
        <f t="shared" si="27"/>
        <v>214234.41217253736</v>
      </c>
    </row>
    <row r="201" spans="1:15" x14ac:dyDescent="0.25">
      <c r="A201" s="210">
        <v>186</v>
      </c>
      <c r="B201" s="166" t="s">
        <v>56</v>
      </c>
      <c r="C201" s="153" t="s">
        <v>153</v>
      </c>
      <c r="D201" s="227">
        <v>25000</v>
      </c>
      <c r="E201" s="227">
        <v>80000</v>
      </c>
      <c r="F201" s="228">
        <f t="shared" si="21"/>
        <v>105000</v>
      </c>
      <c r="G201" s="146">
        <v>59500</v>
      </c>
      <c r="H201" s="146">
        <v>111341.34996833334</v>
      </c>
      <c r="I201" s="146">
        <v>170841.34996833332</v>
      </c>
      <c r="J201" s="198">
        <f t="shared" si="22"/>
        <v>25000</v>
      </c>
      <c r="K201" s="198">
        <f t="shared" si="23"/>
        <v>80000</v>
      </c>
      <c r="L201" s="198">
        <f t="shared" si="24"/>
        <v>105000</v>
      </c>
      <c r="M201" s="301">
        <f t="shared" si="25"/>
        <v>23250</v>
      </c>
      <c r="N201" s="301">
        <f t="shared" si="26"/>
        <v>74400</v>
      </c>
      <c r="O201" s="300">
        <f t="shared" si="27"/>
        <v>97650</v>
      </c>
    </row>
    <row r="202" spans="1:15" x14ac:dyDescent="0.25">
      <c r="A202" s="210">
        <v>187</v>
      </c>
      <c r="B202" s="166" t="s">
        <v>57</v>
      </c>
      <c r="C202" s="153" t="s">
        <v>153</v>
      </c>
      <c r="D202" s="227">
        <v>10000</v>
      </c>
      <c r="E202" s="227">
        <v>31000</v>
      </c>
      <c r="F202" s="228">
        <f t="shared" si="21"/>
        <v>41000</v>
      </c>
      <c r="G202" s="146">
        <v>34500</v>
      </c>
      <c r="H202" s="146">
        <v>57657.501983533344</v>
      </c>
      <c r="I202" s="146">
        <v>92157.501983533351</v>
      </c>
      <c r="J202" s="198">
        <f t="shared" si="22"/>
        <v>10000</v>
      </c>
      <c r="K202" s="198">
        <f t="shared" si="23"/>
        <v>31000</v>
      </c>
      <c r="L202" s="198">
        <f t="shared" si="24"/>
        <v>41000</v>
      </c>
      <c r="M202" s="301">
        <f t="shared" si="25"/>
        <v>9300</v>
      </c>
      <c r="N202" s="301">
        <f t="shared" si="26"/>
        <v>28830</v>
      </c>
      <c r="O202" s="300">
        <f t="shared" si="27"/>
        <v>38130</v>
      </c>
    </row>
    <row r="203" spans="1:15" x14ac:dyDescent="0.25">
      <c r="A203" s="210">
        <v>188</v>
      </c>
      <c r="B203" s="166" t="s">
        <v>257</v>
      </c>
      <c r="C203" s="153" t="s">
        <v>153</v>
      </c>
      <c r="D203" s="227">
        <v>37000</v>
      </c>
      <c r="E203" s="227">
        <v>127000</v>
      </c>
      <c r="F203" s="228">
        <f t="shared" si="21"/>
        <v>164000</v>
      </c>
      <c r="G203" s="146">
        <v>119500</v>
      </c>
      <c r="H203" s="146">
        <v>165025.19795313335</v>
      </c>
      <c r="I203" s="146">
        <v>284525.19795313338</v>
      </c>
      <c r="J203" s="198">
        <f t="shared" si="22"/>
        <v>37000</v>
      </c>
      <c r="K203" s="198">
        <f t="shared" si="23"/>
        <v>127000</v>
      </c>
      <c r="L203" s="198">
        <f t="shared" si="24"/>
        <v>164000</v>
      </c>
      <c r="M203" s="301">
        <f t="shared" si="25"/>
        <v>34410</v>
      </c>
      <c r="N203" s="301">
        <f t="shared" si="26"/>
        <v>118110</v>
      </c>
      <c r="O203" s="300">
        <f t="shared" si="27"/>
        <v>152520</v>
      </c>
    </row>
    <row r="204" spans="1:15" x14ac:dyDescent="0.25">
      <c r="A204" s="210">
        <v>189</v>
      </c>
      <c r="B204" s="166" t="s">
        <v>258</v>
      </c>
      <c r="C204" s="153" t="s">
        <v>153</v>
      </c>
      <c r="D204" s="227">
        <v>24000</v>
      </c>
      <c r="E204" s="227">
        <v>76000</v>
      </c>
      <c r="F204" s="228">
        <f t="shared" si="21"/>
        <v>100000</v>
      </c>
      <c r="G204" s="146">
        <v>75500</v>
      </c>
      <c r="H204" s="146">
        <v>110088.72684868802</v>
      </c>
      <c r="I204" s="146">
        <v>185588.72684868803</v>
      </c>
      <c r="J204" s="198">
        <f t="shared" si="22"/>
        <v>24000</v>
      </c>
      <c r="K204" s="198">
        <f t="shared" si="23"/>
        <v>76000</v>
      </c>
      <c r="L204" s="198">
        <f t="shared" si="24"/>
        <v>100000</v>
      </c>
      <c r="M204" s="301">
        <f t="shared" si="25"/>
        <v>22320</v>
      </c>
      <c r="N204" s="301">
        <f t="shared" si="26"/>
        <v>70680</v>
      </c>
      <c r="O204" s="300">
        <f t="shared" si="27"/>
        <v>93000</v>
      </c>
    </row>
    <row r="205" spans="1:15" x14ac:dyDescent="0.25">
      <c r="A205" s="210">
        <v>190</v>
      </c>
      <c r="B205" s="166" t="s">
        <v>259</v>
      </c>
      <c r="C205" s="153" t="s">
        <v>153</v>
      </c>
      <c r="D205" s="227">
        <v>6000</v>
      </c>
      <c r="E205" s="227">
        <v>19000</v>
      </c>
      <c r="F205" s="228">
        <f t="shared" si="21"/>
        <v>25000</v>
      </c>
      <c r="G205" s="146">
        <v>67500</v>
      </c>
      <c r="H205" s="146">
        <v>622500</v>
      </c>
      <c r="I205" s="146">
        <v>690000</v>
      </c>
      <c r="J205" s="198">
        <f t="shared" si="22"/>
        <v>6000</v>
      </c>
      <c r="K205" s="198">
        <f t="shared" si="23"/>
        <v>19000</v>
      </c>
      <c r="L205" s="198">
        <f t="shared" si="24"/>
        <v>25000</v>
      </c>
      <c r="M205" s="301">
        <f t="shared" si="25"/>
        <v>5580</v>
      </c>
      <c r="N205" s="301">
        <f t="shared" si="26"/>
        <v>17670</v>
      </c>
      <c r="O205" s="300">
        <f t="shared" si="27"/>
        <v>23250</v>
      </c>
    </row>
    <row r="206" spans="1:15" x14ac:dyDescent="0.25">
      <c r="A206" s="210">
        <v>191</v>
      </c>
      <c r="B206" s="152" t="s">
        <v>260</v>
      </c>
      <c r="C206" s="153" t="s">
        <v>153</v>
      </c>
      <c r="D206" s="227">
        <v>10000</v>
      </c>
      <c r="E206" s="227">
        <v>32000</v>
      </c>
      <c r="F206" s="228">
        <f t="shared" si="21"/>
        <v>42000</v>
      </c>
      <c r="G206" s="146">
        <v>64500</v>
      </c>
      <c r="H206" s="146">
        <v>59401.45</v>
      </c>
      <c r="I206" s="146">
        <v>123901.45</v>
      </c>
      <c r="J206" s="198">
        <f t="shared" si="22"/>
        <v>10000</v>
      </c>
      <c r="K206" s="198">
        <f t="shared" si="23"/>
        <v>32000</v>
      </c>
      <c r="L206" s="198">
        <f t="shared" si="24"/>
        <v>42000</v>
      </c>
      <c r="M206" s="301">
        <f t="shared" si="25"/>
        <v>9300</v>
      </c>
      <c r="N206" s="301">
        <f t="shared" si="26"/>
        <v>29760</v>
      </c>
      <c r="O206" s="300">
        <f t="shared" si="27"/>
        <v>39060</v>
      </c>
    </row>
    <row r="207" spans="1:15" x14ac:dyDescent="0.25">
      <c r="A207" s="210">
        <v>192</v>
      </c>
      <c r="B207" s="167" t="s">
        <v>261</v>
      </c>
      <c r="C207" s="153" t="s">
        <v>153</v>
      </c>
      <c r="D207" s="227">
        <v>65000</v>
      </c>
      <c r="E207" s="227">
        <v>221000</v>
      </c>
      <c r="F207" s="228">
        <f t="shared" si="21"/>
        <v>286000</v>
      </c>
      <c r="G207" s="146">
        <v>247224</v>
      </c>
      <c r="H207" s="146">
        <v>245550.96993033338</v>
      </c>
      <c r="I207" s="146">
        <v>492774.96993033338</v>
      </c>
      <c r="J207" s="198">
        <f t="shared" si="22"/>
        <v>65000</v>
      </c>
      <c r="K207" s="198">
        <f t="shared" si="23"/>
        <v>221000</v>
      </c>
      <c r="L207" s="198">
        <f t="shared" si="24"/>
        <v>286000</v>
      </c>
      <c r="M207" s="301">
        <f t="shared" si="25"/>
        <v>60450</v>
      </c>
      <c r="N207" s="301">
        <f t="shared" si="26"/>
        <v>205530</v>
      </c>
      <c r="O207" s="300">
        <f t="shared" si="27"/>
        <v>265980</v>
      </c>
    </row>
    <row r="208" spans="1:15" x14ac:dyDescent="0.25">
      <c r="A208" s="210">
        <v>193</v>
      </c>
      <c r="B208" s="152" t="s">
        <v>569</v>
      </c>
      <c r="C208" s="153" t="s">
        <v>153</v>
      </c>
      <c r="D208" s="227">
        <v>52000</v>
      </c>
      <c r="E208" s="227">
        <v>291000</v>
      </c>
      <c r="F208" s="228">
        <f t="shared" si="21"/>
        <v>343000</v>
      </c>
      <c r="G208" s="146">
        <v>47500</v>
      </c>
      <c r="H208" s="146">
        <v>397700</v>
      </c>
      <c r="I208" s="146">
        <v>445200</v>
      </c>
      <c r="J208" s="198">
        <f t="shared" si="22"/>
        <v>47500</v>
      </c>
      <c r="K208" s="198">
        <f t="shared" si="23"/>
        <v>291000</v>
      </c>
      <c r="L208" s="198">
        <f t="shared" si="24"/>
        <v>338500</v>
      </c>
      <c r="M208" s="301">
        <f t="shared" si="25"/>
        <v>44175</v>
      </c>
      <c r="N208" s="301">
        <f t="shared" si="26"/>
        <v>270630</v>
      </c>
      <c r="O208" s="300">
        <f t="shared" si="27"/>
        <v>314805</v>
      </c>
    </row>
    <row r="209" spans="1:15" x14ac:dyDescent="0.25">
      <c r="A209" s="210">
        <v>194</v>
      </c>
      <c r="B209" s="158" t="s">
        <v>558</v>
      </c>
      <c r="C209" s="153" t="s">
        <v>153</v>
      </c>
      <c r="D209" s="227">
        <v>109000</v>
      </c>
      <c r="E209" s="227">
        <v>273000</v>
      </c>
      <c r="F209" s="228">
        <f t="shared" si="21"/>
        <v>382000</v>
      </c>
      <c r="G209" s="146">
        <v>415500</v>
      </c>
      <c r="H209" s="146">
        <v>339320.72615154297</v>
      </c>
      <c r="I209" s="146">
        <v>754820.72615154297</v>
      </c>
      <c r="J209" s="198">
        <f t="shared" si="22"/>
        <v>109000</v>
      </c>
      <c r="K209" s="198">
        <f t="shared" si="23"/>
        <v>273000</v>
      </c>
      <c r="L209" s="198">
        <f t="shared" si="24"/>
        <v>382000</v>
      </c>
      <c r="M209" s="301">
        <f t="shared" si="25"/>
        <v>101370</v>
      </c>
      <c r="N209" s="301">
        <f t="shared" si="26"/>
        <v>253890</v>
      </c>
      <c r="O209" s="300">
        <f t="shared" si="27"/>
        <v>355260</v>
      </c>
    </row>
    <row r="210" spans="1:15" ht="33.75" x14ac:dyDescent="0.25">
      <c r="A210" s="214"/>
      <c r="B210" s="163" t="s">
        <v>62</v>
      </c>
      <c r="C210" s="153" t="s">
        <v>153</v>
      </c>
      <c r="D210" s="227">
        <v>0</v>
      </c>
      <c r="E210" s="227">
        <v>0</v>
      </c>
      <c r="F210" s="228">
        <f t="shared" si="21"/>
        <v>0</v>
      </c>
      <c r="G210" s="146"/>
      <c r="H210" s="146"/>
      <c r="I210" s="146">
        <v>0</v>
      </c>
      <c r="J210" s="198">
        <f t="shared" si="22"/>
        <v>0</v>
      </c>
      <c r="K210" s="198">
        <f t="shared" si="23"/>
        <v>0</v>
      </c>
      <c r="L210" s="198">
        <f t="shared" si="24"/>
        <v>0</v>
      </c>
      <c r="M210" s="301">
        <f t="shared" si="25"/>
        <v>0</v>
      </c>
      <c r="N210" s="301">
        <f t="shared" si="26"/>
        <v>0</v>
      </c>
      <c r="O210" s="300">
        <f t="shared" si="27"/>
        <v>0</v>
      </c>
    </row>
    <row r="211" spans="1:15" ht="22.5" x14ac:dyDescent="0.25">
      <c r="A211" s="214">
        <v>195</v>
      </c>
      <c r="B211" s="166" t="s">
        <v>384</v>
      </c>
      <c r="C211" s="153" t="s">
        <v>153</v>
      </c>
      <c r="D211" s="227">
        <v>266000</v>
      </c>
      <c r="E211" s="227">
        <v>826000</v>
      </c>
      <c r="F211" s="228">
        <f t="shared" si="21"/>
        <v>1092000</v>
      </c>
      <c r="G211" s="146">
        <v>424500</v>
      </c>
      <c r="H211" s="146">
        <v>750927.15687274234</v>
      </c>
      <c r="I211" s="146">
        <v>1175427.1568727423</v>
      </c>
      <c r="J211" s="198">
        <f t="shared" si="22"/>
        <v>266000</v>
      </c>
      <c r="K211" s="198">
        <f t="shared" si="23"/>
        <v>750927.15687274234</v>
      </c>
      <c r="L211" s="198">
        <f t="shared" si="24"/>
        <v>1016927.1568727423</v>
      </c>
      <c r="M211" s="301">
        <f t="shared" si="25"/>
        <v>247380</v>
      </c>
      <c r="N211" s="301">
        <f t="shared" si="26"/>
        <v>698362.25589165033</v>
      </c>
      <c r="O211" s="300">
        <f t="shared" si="27"/>
        <v>945742.25589165033</v>
      </c>
    </row>
    <row r="212" spans="1:15" x14ac:dyDescent="0.25">
      <c r="A212" s="214">
        <v>196</v>
      </c>
      <c r="B212" s="166" t="s">
        <v>63</v>
      </c>
      <c r="C212" s="153" t="s">
        <v>153</v>
      </c>
      <c r="D212" s="227">
        <v>250000</v>
      </c>
      <c r="E212" s="227">
        <v>779000</v>
      </c>
      <c r="F212" s="228">
        <f t="shared" si="21"/>
        <v>1029000</v>
      </c>
      <c r="G212" s="146">
        <v>324500</v>
      </c>
      <c r="H212" s="146">
        <v>708059.43672265881</v>
      </c>
      <c r="I212" s="146">
        <v>1032559.4367226588</v>
      </c>
      <c r="J212" s="198">
        <f t="shared" si="22"/>
        <v>250000</v>
      </c>
      <c r="K212" s="198">
        <f t="shared" si="23"/>
        <v>708059.43672265881</v>
      </c>
      <c r="L212" s="198">
        <f t="shared" si="24"/>
        <v>958059.43672265881</v>
      </c>
      <c r="M212" s="301">
        <f t="shared" si="25"/>
        <v>232500</v>
      </c>
      <c r="N212" s="301">
        <f t="shared" si="26"/>
        <v>658495.27615207271</v>
      </c>
      <c r="O212" s="300">
        <f t="shared" si="27"/>
        <v>890995.27615207271</v>
      </c>
    </row>
    <row r="213" spans="1:15" x14ac:dyDescent="0.25">
      <c r="A213" s="214">
        <v>197</v>
      </c>
      <c r="B213" s="166" t="s">
        <v>134</v>
      </c>
      <c r="C213" s="153" t="s">
        <v>153</v>
      </c>
      <c r="D213" s="227">
        <v>63000</v>
      </c>
      <c r="E213" s="227">
        <v>215000</v>
      </c>
      <c r="F213" s="228">
        <f t="shared" si="21"/>
        <v>278000</v>
      </c>
      <c r="G213" s="146">
        <v>219500</v>
      </c>
      <c r="H213" s="146">
        <v>346314.32022709399</v>
      </c>
      <c r="I213" s="146">
        <v>565814.32022709399</v>
      </c>
      <c r="J213" s="198">
        <f t="shared" si="22"/>
        <v>63000</v>
      </c>
      <c r="K213" s="198">
        <f t="shared" si="23"/>
        <v>215000</v>
      </c>
      <c r="L213" s="198">
        <f t="shared" si="24"/>
        <v>278000</v>
      </c>
      <c r="M213" s="301">
        <f t="shared" si="25"/>
        <v>58590</v>
      </c>
      <c r="N213" s="301">
        <f t="shared" si="26"/>
        <v>199950</v>
      </c>
      <c r="O213" s="300">
        <f t="shared" si="27"/>
        <v>258540</v>
      </c>
    </row>
    <row r="214" spans="1:15" ht="22.5" x14ac:dyDescent="0.25">
      <c r="A214" s="214">
        <v>198</v>
      </c>
      <c r="B214" s="224" t="s">
        <v>264</v>
      </c>
      <c r="C214" s="153" t="s">
        <v>153</v>
      </c>
      <c r="D214" s="227">
        <v>236000</v>
      </c>
      <c r="E214" s="227">
        <v>734000</v>
      </c>
      <c r="F214" s="228">
        <f t="shared" si="21"/>
        <v>970000</v>
      </c>
      <c r="G214" s="146">
        <v>267500</v>
      </c>
      <c r="H214" s="146">
        <v>667357.83639681537</v>
      </c>
      <c r="I214" s="146">
        <v>934857.83639681537</v>
      </c>
      <c r="J214" s="198">
        <f t="shared" si="22"/>
        <v>236000</v>
      </c>
      <c r="K214" s="198">
        <f t="shared" si="23"/>
        <v>667357.83639681537</v>
      </c>
      <c r="L214" s="198">
        <f t="shared" si="24"/>
        <v>903357.83639681537</v>
      </c>
      <c r="M214" s="301">
        <f t="shared" si="25"/>
        <v>219480</v>
      </c>
      <c r="N214" s="301">
        <f t="shared" si="26"/>
        <v>620642.78784903826</v>
      </c>
      <c r="O214" s="300">
        <f t="shared" si="27"/>
        <v>840122.78784903826</v>
      </c>
    </row>
    <row r="215" spans="1:15" x14ac:dyDescent="0.25">
      <c r="A215" s="214">
        <v>199</v>
      </c>
      <c r="B215" s="158" t="s">
        <v>72</v>
      </c>
      <c r="C215" s="153" t="s">
        <v>153</v>
      </c>
      <c r="D215" s="227">
        <v>34000</v>
      </c>
      <c r="E215" s="227">
        <v>97000</v>
      </c>
      <c r="F215" s="228">
        <f t="shared" si="21"/>
        <v>131000</v>
      </c>
      <c r="G215" s="146">
        <v>264500</v>
      </c>
      <c r="H215" s="146">
        <v>88252.061159690813</v>
      </c>
      <c r="I215" s="146">
        <v>352752.06115969084</v>
      </c>
      <c r="J215" s="198">
        <f t="shared" si="22"/>
        <v>34000</v>
      </c>
      <c r="K215" s="198">
        <f t="shared" si="23"/>
        <v>88252.061159690813</v>
      </c>
      <c r="L215" s="198">
        <f t="shared" si="24"/>
        <v>122252.06115969081</v>
      </c>
      <c r="M215" s="301">
        <f t="shared" si="25"/>
        <v>31620</v>
      </c>
      <c r="N215" s="301">
        <f t="shared" si="26"/>
        <v>82074.416878512449</v>
      </c>
      <c r="O215" s="300">
        <f t="shared" si="27"/>
        <v>113694.41687851245</v>
      </c>
    </row>
    <row r="216" spans="1:15" x14ac:dyDescent="0.25">
      <c r="A216" s="214">
        <v>200</v>
      </c>
      <c r="B216" s="158" t="s">
        <v>73</v>
      </c>
      <c r="C216" s="153" t="s">
        <v>153</v>
      </c>
      <c r="D216" s="227">
        <v>27000</v>
      </c>
      <c r="E216" s="227">
        <v>78000</v>
      </c>
      <c r="F216" s="228">
        <f t="shared" si="21"/>
        <v>105000</v>
      </c>
      <c r="G216" s="146">
        <v>67500</v>
      </c>
      <c r="H216" s="146">
        <v>70691.492908842905</v>
      </c>
      <c r="I216" s="146">
        <v>138191.49290884292</v>
      </c>
      <c r="J216" s="198">
        <f t="shared" si="22"/>
        <v>27000</v>
      </c>
      <c r="K216" s="198">
        <f t="shared" si="23"/>
        <v>70691.492908842905</v>
      </c>
      <c r="L216" s="198">
        <f t="shared" si="24"/>
        <v>97691.492908842905</v>
      </c>
      <c r="M216" s="301">
        <f t="shared" si="25"/>
        <v>25110</v>
      </c>
      <c r="N216" s="301">
        <f t="shared" si="26"/>
        <v>65743.088405223898</v>
      </c>
      <c r="O216" s="300">
        <f t="shared" si="27"/>
        <v>90853.088405223898</v>
      </c>
    </row>
    <row r="217" spans="1:15" x14ac:dyDescent="0.25">
      <c r="A217" s="273" t="s">
        <v>491</v>
      </c>
      <c r="B217" s="273"/>
      <c r="C217" s="287"/>
      <c r="D217" s="92">
        <f>SUM(D4:D216)</f>
        <v>23095000</v>
      </c>
      <c r="E217" s="92">
        <f>SUM(E4:E216)</f>
        <v>78985000</v>
      </c>
      <c r="F217" s="92">
        <f>SUM(F4:F216)</f>
        <v>102080000</v>
      </c>
      <c r="G217" s="230">
        <f t="shared" ref="G217:I217" si="28">SUM(G4:G216)</f>
        <v>52087743.750863597</v>
      </c>
      <c r="H217" s="230">
        <f t="shared" si="28"/>
        <v>80402940.687216401</v>
      </c>
      <c r="I217" s="230">
        <f t="shared" si="28"/>
        <v>132490684.43808007</v>
      </c>
      <c r="J217" s="198">
        <f>SUM(J4:J216)</f>
        <v>22675129.750863597</v>
      </c>
      <c r="K217" s="198">
        <f>SUM(K4:K216)</f>
        <v>73997018.30344294</v>
      </c>
      <c r="L217" s="226">
        <f t="shared" si="24"/>
        <v>96672148.054306537</v>
      </c>
      <c r="M217" s="301">
        <f>J217-(J217*7%)</f>
        <v>21087870.668303143</v>
      </c>
      <c r="N217" s="301">
        <f>K217-(K217*7%)</f>
        <v>68817227.02220194</v>
      </c>
      <c r="O217" s="300">
        <f>N217+M217</f>
        <v>89905097.690505087</v>
      </c>
    </row>
  </sheetData>
  <mergeCells count="6">
    <mergeCell ref="M2:O2"/>
    <mergeCell ref="A217:C217"/>
    <mergeCell ref="A1:C1"/>
    <mergeCell ref="D2:F2"/>
    <mergeCell ref="G2:I2"/>
    <mergeCell ref="J2:L2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Hoja29">
    <tabColor rgb="FF92D050"/>
  </sheetPr>
  <dimension ref="A2:D217"/>
  <sheetViews>
    <sheetView topLeftCell="A196" zoomScale="130" zoomScaleNormal="130" workbookViewId="0">
      <selection activeCell="D211" sqref="D211"/>
    </sheetView>
  </sheetViews>
  <sheetFormatPr baseColWidth="10" defaultColWidth="9.140625" defaultRowHeight="12" x14ac:dyDescent="0.25"/>
  <cols>
    <col min="1" max="1" width="4.7109375" style="3" customWidth="1"/>
    <col min="2" max="2" width="63.7109375" style="3" customWidth="1"/>
    <col min="3" max="3" width="10.7109375" style="3" customWidth="1"/>
    <col min="4" max="4" width="13.140625" style="23" customWidth="1"/>
    <col min="5" max="16384" width="9.140625" style="15"/>
  </cols>
  <sheetData>
    <row r="2" spans="1:4" x14ac:dyDescent="0.25">
      <c r="A2" s="294" t="s">
        <v>342</v>
      </c>
      <c r="B2" s="294"/>
      <c r="C2" s="294"/>
    </row>
    <row r="3" spans="1:4" x14ac:dyDescent="0.25">
      <c r="A3" s="13"/>
      <c r="B3" s="14"/>
      <c r="C3" s="14"/>
    </row>
    <row r="4" spans="1:4" ht="48" x14ac:dyDescent="0.25">
      <c r="A4" s="1" t="s">
        <v>0</v>
      </c>
      <c r="B4" s="2" t="s">
        <v>91</v>
      </c>
      <c r="C4" s="2" t="s">
        <v>152</v>
      </c>
      <c r="D4" s="24" t="s">
        <v>456</v>
      </c>
    </row>
    <row r="5" spans="1:4" ht="36" x14ac:dyDescent="0.25">
      <c r="A5" s="16">
        <v>1</v>
      </c>
      <c r="B5" s="5" t="s">
        <v>154</v>
      </c>
      <c r="C5" s="4" t="s">
        <v>153</v>
      </c>
      <c r="D5" s="25">
        <v>3990043.7035525739</v>
      </c>
    </row>
    <row r="6" spans="1:4" x14ac:dyDescent="0.25">
      <c r="A6" s="16">
        <v>2</v>
      </c>
      <c r="B6" s="5" t="s">
        <v>155</v>
      </c>
      <c r="C6" s="4" t="s">
        <v>153</v>
      </c>
      <c r="D6" s="25">
        <v>327522.48689629359</v>
      </c>
    </row>
    <row r="7" spans="1:4" x14ac:dyDescent="0.25">
      <c r="A7" s="16">
        <v>3</v>
      </c>
      <c r="B7" s="5" t="s">
        <v>156</v>
      </c>
      <c r="C7" s="4" t="s">
        <v>153</v>
      </c>
      <c r="D7" s="25">
        <v>131986.67382387951</v>
      </c>
    </row>
    <row r="8" spans="1:4" x14ac:dyDescent="0.25">
      <c r="A8" s="16">
        <v>4</v>
      </c>
      <c r="B8" s="5" t="s">
        <v>133</v>
      </c>
      <c r="C8" s="4" t="s">
        <v>153</v>
      </c>
      <c r="D8" s="25">
        <v>1613170.4578474164</v>
      </c>
    </row>
    <row r="9" spans="1:4" x14ac:dyDescent="0.25">
      <c r="A9" s="16">
        <v>5</v>
      </c>
      <c r="B9" s="5" t="s">
        <v>4</v>
      </c>
      <c r="C9" s="4" t="s">
        <v>153</v>
      </c>
      <c r="D9" s="25">
        <v>768113.55770171061</v>
      </c>
    </row>
    <row r="10" spans="1:4" x14ac:dyDescent="0.25">
      <c r="A10" s="16">
        <v>6</v>
      </c>
      <c r="B10" s="5" t="s">
        <v>96</v>
      </c>
      <c r="C10" s="4" t="s">
        <v>153</v>
      </c>
      <c r="D10" s="25">
        <v>502642.40572581708</v>
      </c>
    </row>
    <row r="11" spans="1:4" x14ac:dyDescent="0.25">
      <c r="A11" s="16">
        <v>7</v>
      </c>
      <c r="B11" s="5" t="s">
        <v>8</v>
      </c>
      <c r="C11" s="4" t="s">
        <v>153</v>
      </c>
      <c r="D11" s="25">
        <v>73325.929902155272</v>
      </c>
    </row>
    <row r="12" spans="1:4" x14ac:dyDescent="0.25">
      <c r="A12" s="16">
        <v>8</v>
      </c>
      <c r="B12" s="5" t="s">
        <v>157</v>
      </c>
      <c r="C12" s="4" t="s">
        <v>153</v>
      </c>
      <c r="D12" s="25">
        <v>117321.48784344844</v>
      </c>
    </row>
    <row r="13" spans="1:4" x14ac:dyDescent="0.25">
      <c r="A13" s="16">
        <v>9</v>
      </c>
      <c r="B13" s="5" t="s">
        <v>10</v>
      </c>
      <c r="C13" s="4" t="s">
        <v>153</v>
      </c>
      <c r="D13" s="25">
        <v>101224.97971132729</v>
      </c>
    </row>
    <row r="14" spans="1:4" x14ac:dyDescent="0.25">
      <c r="A14" s="16">
        <v>10</v>
      </c>
      <c r="B14" s="5" t="s">
        <v>65</v>
      </c>
      <c r="C14" s="4" t="s">
        <v>153</v>
      </c>
      <c r="D14" s="25">
        <v>349493.40120158216</v>
      </c>
    </row>
    <row r="15" spans="1:4" x14ac:dyDescent="0.25">
      <c r="A15" s="16">
        <v>11</v>
      </c>
      <c r="B15" s="5" t="s">
        <v>9</v>
      </c>
      <c r="C15" s="4" t="s">
        <v>153</v>
      </c>
      <c r="D15" s="25">
        <v>83298.256368848393</v>
      </c>
    </row>
    <row r="16" spans="1:4" x14ac:dyDescent="0.25">
      <c r="A16" s="16">
        <v>12</v>
      </c>
      <c r="B16" s="5" t="s">
        <v>370</v>
      </c>
      <c r="C16" s="4" t="s">
        <v>153</v>
      </c>
      <c r="D16" s="25">
        <v>73932.090922679781</v>
      </c>
    </row>
    <row r="17" spans="1:4" x14ac:dyDescent="0.25">
      <c r="A17" s="16">
        <v>13</v>
      </c>
      <c r="B17" s="6" t="s">
        <v>158</v>
      </c>
      <c r="C17" s="4" t="s">
        <v>153</v>
      </c>
      <c r="D17" s="25">
        <v>3411609.143222814</v>
      </c>
    </row>
    <row r="18" spans="1:4" x14ac:dyDescent="0.25">
      <c r="A18" s="16">
        <v>14</v>
      </c>
      <c r="B18" s="5" t="s">
        <v>2</v>
      </c>
      <c r="C18" s="4" t="s">
        <v>153</v>
      </c>
      <c r="D18" s="25">
        <v>280825.60169740499</v>
      </c>
    </row>
    <row r="19" spans="1:4" x14ac:dyDescent="0.25">
      <c r="A19" s="16">
        <v>15</v>
      </c>
      <c r="B19" s="5" t="s">
        <v>3</v>
      </c>
      <c r="C19" s="4" t="s">
        <v>153</v>
      </c>
      <c r="D19" s="25">
        <v>279144.97138404765</v>
      </c>
    </row>
    <row r="20" spans="1:4" x14ac:dyDescent="0.25">
      <c r="A20" s="16">
        <v>16</v>
      </c>
      <c r="B20" s="5" t="s">
        <v>15</v>
      </c>
      <c r="C20" s="4" t="s">
        <v>153</v>
      </c>
      <c r="D20" s="25">
        <v>669141.15055697749</v>
      </c>
    </row>
    <row r="21" spans="1:4" x14ac:dyDescent="0.25">
      <c r="A21" s="16">
        <v>17</v>
      </c>
      <c r="B21" s="5" t="s">
        <v>105</v>
      </c>
      <c r="C21" s="4" t="s">
        <v>153</v>
      </c>
      <c r="D21" s="25">
        <v>254304.10169132808</v>
      </c>
    </row>
    <row r="22" spans="1:4" x14ac:dyDescent="0.25">
      <c r="A22" s="16">
        <v>18</v>
      </c>
      <c r="B22" s="5" t="s">
        <v>106</v>
      </c>
      <c r="C22" s="4" t="s">
        <v>153</v>
      </c>
      <c r="D22" s="25">
        <v>278638.53362819005</v>
      </c>
    </row>
    <row r="23" spans="1:4" x14ac:dyDescent="0.25">
      <c r="A23" s="16">
        <v>19</v>
      </c>
      <c r="B23" s="5" t="s">
        <v>6</v>
      </c>
      <c r="C23" s="4" t="s">
        <v>153</v>
      </c>
      <c r="D23" s="25">
        <v>215089.39437965545</v>
      </c>
    </row>
    <row r="24" spans="1:4" x14ac:dyDescent="0.25">
      <c r="A24" s="16">
        <v>20</v>
      </c>
      <c r="B24" s="5" t="s">
        <v>159</v>
      </c>
      <c r="C24" s="4" t="s">
        <v>153</v>
      </c>
      <c r="D24" s="25">
        <v>963683.58954141254</v>
      </c>
    </row>
    <row r="25" spans="1:4" ht="24" x14ac:dyDescent="0.25">
      <c r="A25" s="16">
        <v>21</v>
      </c>
      <c r="B25" s="5" t="s">
        <v>160</v>
      </c>
      <c r="C25" s="4" t="s">
        <v>153</v>
      </c>
      <c r="D25" s="25">
        <v>221712</v>
      </c>
    </row>
    <row r="26" spans="1:4" x14ac:dyDescent="0.25">
      <c r="A26" s="16">
        <v>22</v>
      </c>
      <c r="B26" s="5" t="s">
        <v>107</v>
      </c>
      <c r="C26" s="4" t="s">
        <v>153</v>
      </c>
      <c r="D26" s="25">
        <v>353400</v>
      </c>
    </row>
    <row r="27" spans="1:4" x14ac:dyDescent="0.25">
      <c r="A27" s="16">
        <v>23</v>
      </c>
      <c r="B27" s="6" t="s">
        <v>132</v>
      </c>
      <c r="C27" s="4" t="s">
        <v>153</v>
      </c>
      <c r="D27" s="25">
        <v>675582.10023958294</v>
      </c>
    </row>
    <row r="28" spans="1:4" x14ac:dyDescent="0.25">
      <c r="A28" s="16">
        <v>24</v>
      </c>
      <c r="B28" s="6" t="s">
        <v>149</v>
      </c>
      <c r="C28" s="4" t="s">
        <v>153</v>
      </c>
      <c r="D28" s="25">
        <v>246271.49049031333</v>
      </c>
    </row>
    <row r="29" spans="1:4" x14ac:dyDescent="0.25">
      <c r="A29" s="16">
        <v>25</v>
      </c>
      <c r="B29" s="5" t="s">
        <v>11</v>
      </c>
      <c r="C29" s="4" t="s">
        <v>153</v>
      </c>
      <c r="D29" s="25">
        <v>128180.18010615699</v>
      </c>
    </row>
    <row r="30" spans="1:4" x14ac:dyDescent="0.25">
      <c r="A30" s="16">
        <v>26</v>
      </c>
      <c r="B30" s="6" t="s">
        <v>66</v>
      </c>
      <c r="C30" s="4" t="s">
        <v>153</v>
      </c>
      <c r="D30" s="25">
        <v>171093.83643836237</v>
      </c>
    </row>
    <row r="31" spans="1:4" x14ac:dyDescent="0.25">
      <c r="A31" s="16">
        <v>27</v>
      </c>
      <c r="B31" s="5" t="s">
        <v>13</v>
      </c>
      <c r="C31" s="4" t="s">
        <v>153</v>
      </c>
      <c r="D31" s="25">
        <v>772303.420889901</v>
      </c>
    </row>
    <row r="32" spans="1:4" x14ac:dyDescent="0.25">
      <c r="A32" s="16">
        <v>28</v>
      </c>
      <c r="B32" s="5" t="s">
        <v>151</v>
      </c>
      <c r="C32" s="4" t="s">
        <v>153</v>
      </c>
      <c r="D32" s="25">
        <v>82031.184300139139</v>
      </c>
    </row>
    <row r="33" spans="1:4" x14ac:dyDescent="0.25">
      <c r="A33" s="16">
        <v>29</v>
      </c>
      <c r="B33" s="5" t="s">
        <v>163</v>
      </c>
      <c r="C33" s="4" t="s">
        <v>153</v>
      </c>
      <c r="D33" s="25">
        <v>71277.692260221738</v>
      </c>
    </row>
    <row r="34" spans="1:4" x14ac:dyDescent="0.25">
      <c r="A34" s="16">
        <v>30</v>
      </c>
      <c r="B34" s="5" t="s">
        <v>165</v>
      </c>
      <c r="C34" s="4" t="s">
        <v>153</v>
      </c>
      <c r="D34" s="25">
        <v>169045.59879642879</v>
      </c>
    </row>
    <row r="35" spans="1:4" x14ac:dyDescent="0.25">
      <c r="A35" s="16">
        <v>31</v>
      </c>
      <c r="B35" s="5" t="s">
        <v>7</v>
      </c>
      <c r="C35" s="4" t="s">
        <v>153</v>
      </c>
      <c r="D35" s="25">
        <v>251977.22551576645</v>
      </c>
    </row>
    <row r="36" spans="1:4" x14ac:dyDescent="0.25">
      <c r="A36" s="16">
        <v>32</v>
      </c>
      <c r="B36" s="6" t="s">
        <v>353</v>
      </c>
      <c r="C36" s="4" t="s">
        <v>153</v>
      </c>
      <c r="D36" s="25">
        <v>270939.31098846375</v>
      </c>
    </row>
    <row r="37" spans="1:4" x14ac:dyDescent="0.25">
      <c r="A37" s="16">
        <v>33</v>
      </c>
      <c r="B37" s="6" t="s">
        <v>109</v>
      </c>
      <c r="C37" s="4" t="s">
        <v>153</v>
      </c>
      <c r="D37" s="25">
        <v>509188.94474748155</v>
      </c>
    </row>
    <row r="38" spans="1:4" x14ac:dyDescent="0.25">
      <c r="A38" s="16">
        <v>34</v>
      </c>
      <c r="B38" s="5" t="s">
        <v>135</v>
      </c>
      <c r="C38" s="4" t="s">
        <v>153</v>
      </c>
      <c r="D38" s="25">
        <v>316338.81606761686</v>
      </c>
    </row>
    <row r="39" spans="1:4" ht="36" x14ac:dyDescent="0.25">
      <c r="A39" s="16">
        <v>35</v>
      </c>
      <c r="B39" s="5" t="s">
        <v>333</v>
      </c>
      <c r="C39" s="4" t="s">
        <v>153</v>
      </c>
      <c r="D39" s="25">
        <v>325500</v>
      </c>
    </row>
    <row r="40" spans="1:4" ht="24" x14ac:dyDescent="0.25">
      <c r="A40" s="19"/>
      <c r="B40" s="2" t="s">
        <v>22</v>
      </c>
      <c r="C40" s="4"/>
      <c r="D40" s="25"/>
    </row>
    <row r="41" spans="1:4" x14ac:dyDescent="0.25">
      <c r="A41" s="19">
        <v>36</v>
      </c>
      <c r="B41" s="5" t="s">
        <v>23</v>
      </c>
      <c r="C41" s="4" t="s">
        <v>153</v>
      </c>
      <c r="D41" s="25">
        <v>621965.25007621036</v>
      </c>
    </row>
    <row r="42" spans="1:4" x14ac:dyDescent="0.25">
      <c r="A42" s="19">
        <v>37</v>
      </c>
      <c r="B42" s="5" t="s">
        <v>167</v>
      </c>
      <c r="C42" s="4" t="s">
        <v>153</v>
      </c>
      <c r="D42" s="25">
        <v>167400</v>
      </c>
    </row>
    <row r="43" spans="1:4" x14ac:dyDescent="0.25">
      <c r="A43" s="19">
        <v>38</v>
      </c>
      <c r="B43" s="5" t="s">
        <v>24</v>
      </c>
      <c r="C43" s="4" t="s">
        <v>153</v>
      </c>
      <c r="D43" s="25">
        <v>128142.40177075678</v>
      </c>
    </row>
    <row r="44" spans="1:4" x14ac:dyDescent="0.25">
      <c r="A44" s="19">
        <v>39</v>
      </c>
      <c r="B44" s="5" t="s">
        <v>25</v>
      </c>
      <c r="C44" s="4" t="s">
        <v>153</v>
      </c>
      <c r="D44" s="25">
        <v>175602.5505747408</v>
      </c>
    </row>
    <row r="45" spans="1:4" x14ac:dyDescent="0.25">
      <c r="A45" s="19">
        <v>40</v>
      </c>
      <c r="B45" s="5" t="s">
        <v>283</v>
      </c>
      <c r="C45" s="4" t="s">
        <v>153</v>
      </c>
      <c r="D45" s="25">
        <v>1120438.1384717363</v>
      </c>
    </row>
    <row r="46" spans="1:4" x14ac:dyDescent="0.25">
      <c r="A46" s="19">
        <v>41</v>
      </c>
      <c r="B46" s="5" t="s">
        <v>332</v>
      </c>
      <c r="C46" s="4" t="s">
        <v>153</v>
      </c>
      <c r="D46" s="25">
        <v>167400</v>
      </c>
    </row>
    <row r="47" spans="1:4" x14ac:dyDescent="0.25">
      <c r="A47" s="19">
        <v>42</v>
      </c>
      <c r="B47" s="5" t="s">
        <v>92</v>
      </c>
      <c r="C47" s="4" t="s">
        <v>153</v>
      </c>
      <c r="D47" s="25">
        <v>561763.9497243088</v>
      </c>
    </row>
    <row r="48" spans="1:4" ht="24" x14ac:dyDescent="0.25">
      <c r="A48" s="19"/>
      <c r="B48" s="2" t="s">
        <v>97</v>
      </c>
      <c r="C48" s="4"/>
      <c r="D48" s="25"/>
    </row>
    <row r="49" spans="1:4" x14ac:dyDescent="0.25">
      <c r="A49" s="19">
        <v>43</v>
      </c>
      <c r="B49" s="5" t="s">
        <v>169</v>
      </c>
      <c r="C49" s="4" t="s">
        <v>153</v>
      </c>
      <c r="D49" s="25">
        <v>983374.2832185484</v>
      </c>
    </row>
    <row r="50" spans="1:4" x14ac:dyDescent="0.25">
      <c r="A50" s="19">
        <v>44</v>
      </c>
      <c r="B50" s="5" t="s">
        <v>170</v>
      </c>
      <c r="C50" s="4" t="s">
        <v>153</v>
      </c>
      <c r="D50" s="25">
        <v>432450</v>
      </c>
    </row>
    <row r="51" spans="1:4" x14ac:dyDescent="0.25">
      <c r="A51" s="19">
        <v>45</v>
      </c>
      <c r="B51" s="5" t="s">
        <v>211</v>
      </c>
      <c r="C51" s="4" t="s">
        <v>153</v>
      </c>
      <c r="D51" s="25">
        <v>344100</v>
      </c>
    </row>
    <row r="52" spans="1:4" x14ac:dyDescent="0.25">
      <c r="A52" s="19">
        <v>46</v>
      </c>
      <c r="B52" s="5" t="s">
        <v>291</v>
      </c>
      <c r="C52" s="4" t="s">
        <v>153</v>
      </c>
      <c r="D52" s="25">
        <v>297600</v>
      </c>
    </row>
    <row r="53" spans="1:4" x14ac:dyDescent="0.25">
      <c r="A53" s="19">
        <v>47</v>
      </c>
      <c r="B53" s="5" t="s">
        <v>17</v>
      </c>
      <c r="C53" s="4" t="s">
        <v>153</v>
      </c>
      <c r="D53" s="25">
        <v>413861.38817273325</v>
      </c>
    </row>
    <row r="54" spans="1:4" x14ac:dyDescent="0.25">
      <c r="A54" s="19">
        <v>48</v>
      </c>
      <c r="B54" s="5" t="s">
        <v>16</v>
      </c>
      <c r="C54" s="4" t="s">
        <v>153</v>
      </c>
      <c r="D54" s="25">
        <v>308490.96722589596</v>
      </c>
    </row>
    <row r="55" spans="1:4" x14ac:dyDescent="0.25">
      <c r="A55" s="19">
        <v>49</v>
      </c>
      <c r="B55" s="6" t="s">
        <v>74</v>
      </c>
      <c r="C55" s="4" t="s">
        <v>153</v>
      </c>
      <c r="D55" s="25">
        <v>191135.30807530868</v>
      </c>
    </row>
    <row r="56" spans="1:4" x14ac:dyDescent="0.25">
      <c r="A56" s="19">
        <v>50</v>
      </c>
      <c r="B56" s="6" t="s">
        <v>75</v>
      </c>
      <c r="C56" s="4" t="s">
        <v>153</v>
      </c>
      <c r="D56" s="25">
        <v>223062.69937872479</v>
      </c>
    </row>
    <row r="57" spans="1:4" x14ac:dyDescent="0.25">
      <c r="A57" s="19">
        <v>51</v>
      </c>
      <c r="B57" s="6" t="s">
        <v>76</v>
      </c>
      <c r="C57" s="4" t="s">
        <v>153</v>
      </c>
      <c r="D57" s="25">
        <v>328234.38912835333</v>
      </c>
    </row>
    <row r="58" spans="1:4" x14ac:dyDescent="0.25">
      <c r="A58" s="19">
        <v>52</v>
      </c>
      <c r="B58" s="5" t="s">
        <v>18</v>
      </c>
      <c r="C58" s="4" t="s">
        <v>153</v>
      </c>
      <c r="D58" s="25">
        <v>249193.30810722231</v>
      </c>
    </row>
    <row r="59" spans="1:4" x14ac:dyDescent="0.25">
      <c r="A59" s="19">
        <v>53</v>
      </c>
      <c r="B59" s="5" t="s">
        <v>21</v>
      </c>
      <c r="C59" s="4" t="s">
        <v>153</v>
      </c>
      <c r="D59" s="25">
        <v>270522.84818270872</v>
      </c>
    </row>
    <row r="60" spans="1:4" x14ac:dyDescent="0.25">
      <c r="A60" s="19">
        <v>54</v>
      </c>
      <c r="B60" s="5" t="s">
        <v>20</v>
      </c>
      <c r="C60" s="4" t="s">
        <v>153</v>
      </c>
      <c r="D60" s="25">
        <v>185094.58033553764</v>
      </c>
    </row>
    <row r="61" spans="1:4" ht="24" x14ac:dyDescent="0.25">
      <c r="A61" s="19">
        <v>55</v>
      </c>
      <c r="B61" s="5" t="s">
        <v>172</v>
      </c>
      <c r="C61" s="4" t="s">
        <v>153</v>
      </c>
      <c r="D61" s="25">
        <v>1024637.9504438313</v>
      </c>
    </row>
    <row r="62" spans="1:4" x14ac:dyDescent="0.25">
      <c r="A62" s="19">
        <v>56</v>
      </c>
      <c r="B62" s="5" t="s">
        <v>294</v>
      </c>
      <c r="C62" s="4" t="s">
        <v>153</v>
      </c>
      <c r="D62" s="25">
        <v>537540</v>
      </c>
    </row>
    <row r="63" spans="1:4" x14ac:dyDescent="0.25">
      <c r="A63" s="19">
        <v>57</v>
      </c>
      <c r="B63" s="6" t="s">
        <v>292</v>
      </c>
      <c r="C63" s="4" t="s">
        <v>153</v>
      </c>
      <c r="D63" s="25">
        <v>213570.66961792798</v>
      </c>
    </row>
    <row r="64" spans="1:4" x14ac:dyDescent="0.25">
      <c r="A64" s="19">
        <v>58</v>
      </c>
      <c r="B64" s="6" t="s">
        <v>150</v>
      </c>
      <c r="C64" s="4" t="s">
        <v>153</v>
      </c>
      <c r="D64" s="25">
        <v>365443.14579067676</v>
      </c>
    </row>
    <row r="65" spans="1:4" ht="24" x14ac:dyDescent="0.25">
      <c r="A65" s="19"/>
      <c r="B65" s="2" t="s">
        <v>124</v>
      </c>
      <c r="C65" s="4"/>
      <c r="D65" s="25"/>
    </row>
    <row r="66" spans="1:4" ht="24" x14ac:dyDescent="0.25">
      <c r="A66" s="19">
        <v>59</v>
      </c>
      <c r="B66" s="5" t="s">
        <v>371</v>
      </c>
      <c r="C66" s="4" t="s">
        <v>153</v>
      </c>
      <c r="D66" s="25">
        <v>453654</v>
      </c>
    </row>
    <row r="67" spans="1:4" x14ac:dyDescent="0.25">
      <c r="A67" s="19">
        <v>60</v>
      </c>
      <c r="B67" s="5" t="s">
        <v>372</v>
      </c>
      <c r="C67" s="4" t="s">
        <v>153</v>
      </c>
      <c r="D67" s="25">
        <v>730887</v>
      </c>
    </row>
    <row r="68" spans="1:4" x14ac:dyDescent="0.25">
      <c r="A68" s="19">
        <v>61</v>
      </c>
      <c r="B68" s="6" t="s">
        <v>368</v>
      </c>
      <c r="C68" s="4" t="s">
        <v>153</v>
      </c>
      <c r="D68" s="25">
        <v>497085</v>
      </c>
    </row>
    <row r="69" spans="1:4" ht="24" x14ac:dyDescent="0.25">
      <c r="A69" s="19"/>
      <c r="B69" s="2" t="s">
        <v>31</v>
      </c>
      <c r="C69" s="4"/>
      <c r="D69" s="25"/>
    </row>
    <row r="70" spans="1:4" x14ac:dyDescent="0.25">
      <c r="A70" s="19">
        <v>62</v>
      </c>
      <c r="B70" s="5" t="s">
        <v>323</v>
      </c>
      <c r="C70" s="4" t="s">
        <v>153</v>
      </c>
      <c r="D70" s="25">
        <v>1488000</v>
      </c>
    </row>
    <row r="71" spans="1:4" x14ac:dyDescent="0.25">
      <c r="A71" s="19">
        <v>63</v>
      </c>
      <c r="B71" s="5" t="s">
        <v>178</v>
      </c>
      <c r="C71" s="4" t="s">
        <v>153</v>
      </c>
      <c r="D71" s="25">
        <v>651000</v>
      </c>
    </row>
    <row r="72" spans="1:4" x14ac:dyDescent="0.25">
      <c r="A72" s="19">
        <v>64</v>
      </c>
      <c r="B72" s="5" t="s">
        <v>301</v>
      </c>
      <c r="C72" s="4" t="s">
        <v>153</v>
      </c>
      <c r="D72" s="25">
        <v>771608.04845814803</v>
      </c>
    </row>
    <row r="73" spans="1:4" x14ac:dyDescent="0.25">
      <c r="A73" s="19">
        <v>65</v>
      </c>
      <c r="B73" s="6" t="s">
        <v>79</v>
      </c>
      <c r="C73" s="4" t="s">
        <v>153</v>
      </c>
      <c r="D73" s="25">
        <v>90174.282727569604</v>
      </c>
    </row>
    <row r="74" spans="1:4" x14ac:dyDescent="0.25">
      <c r="A74" s="19">
        <v>66</v>
      </c>
      <c r="B74" s="5" t="s">
        <v>32</v>
      </c>
      <c r="C74" s="4" t="s">
        <v>153</v>
      </c>
      <c r="D74" s="25">
        <v>137634.43153155359</v>
      </c>
    </row>
    <row r="75" spans="1:4" x14ac:dyDescent="0.25">
      <c r="A75" s="19">
        <v>67</v>
      </c>
      <c r="B75" s="6" t="s">
        <v>77</v>
      </c>
      <c r="C75" s="4" t="s">
        <v>153</v>
      </c>
      <c r="D75" s="25">
        <v>270522.84818270872</v>
      </c>
    </row>
    <row r="76" spans="1:4" ht="24" x14ac:dyDescent="0.25">
      <c r="A76" s="19"/>
      <c r="B76" s="2" t="s">
        <v>90</v>
      </c>
      <c r="C76" s="4"/>
      <c r="D76" s="25"/>
    </row>
    <row r="77" spans="1:4" x14ac:dyDescent="0.25">
      <c r="A77" s="19">
        <v>68</v>
      </c>
      <c r="B77" s="5" t="s">
        <v>26</v>
      </c>
      <c r="C77" s="4" t="s">
        <v>153</v>
      </c>
      <c r="D77" s="25">
        <v>76254.055922043262</v>
      </c>
    </row>
    <row r="78" spans="1:4" x14ac:dyDescent="0.25">
      <c r="A78" s="19">
        <v>69</v>
      </c>
      <c r="B78" s="5" t="s">
        <v>181</v>
      </c>
      <c r="C78" s="4" t="s">
        <v>153</v>
      </c>
      <c r="D78" s="25">
        <v>511500</v>
      </c>
    </row>
    <row r="79" spans="1:4" x14ac:dyDescent="0.25">
      <c r="A79" s="19">
        <v>70</v>
      </c>
      <c r="B79" s="6" t="s">
        <v>374</v>
      </c>
      <c r="C79" s="4" t="s">
        <v>153</v>
      </c>
      <c r="D79" s="25">
        <v>539400</v>
      </c>
    </row>
    <row r="80" spans="1:4" x14ac:dyDescent="0.25">
      <c r="A80" s="19">
        <v>71</v>
      </c>
      <c r="B80" s="6" t="s">
        <v>450</v>
      </c>
      <c r="C80" s="4" t="s">
        <v>153</v>
      </c>
      <c r="D80" s="25">
        <v>232500</v>
      </c>
    </row>
    <row r="81" spans="1:4" x14ac:dyDescent="0.25">
      <c r="A81" s="19">
        <v>72</v>
      </c>
      <c r="B81" s="6" t="s">
        <v>305</v>
      </c>
      <c r="C81" s="4" t="s">
        <v>153</v>
      </c>
      <c r="D81" s="25">
        <v>334800</v>
      </c>
    </row>
    <row r="82" spans="1:4" x14ac:dyDescent="0.25">
      <c r="A82" s="19">
        <v>73</v>
      </c>
      <c r="B82" s="6" t="s">
        <v>80</v>
      </c>
      <c r="C82" s="4" t="s">
        <v>153</v>
      </c>
      <c r="D82" s="25">
        <v>286634.61949868529</v>
      </c>
    </row>
    <row r="83" spans="1:4" x14ac:dyDescent="0.25">
      <c r="A83" s="19">
        <v>74</v>
      </c>
      <c r="B83" s="6" t="s">
        <v>99</v>
      </c>
      <c r="C83" s="4" t="s">
        <v>153</v>
      </c>
      <c r="D83" s="25">
        <v>179954.8743478402</v>
      </c>
    </row>
    <row r="84" spans="1:4" x14ac:dyDescent="0.25">
      <c r="A84" s="19">
        <v>75</v>
      </c>
      <c r="B84" s="5" t="s">
        <v>27</v>
      </c>
      <c r="C84" s="4" t="s">
        <v>153</v>
      </c>
      <c r="D84" s="25">
        <v>232500</v>
      </c>
    </row>
    <row r="85" spans="1:4" x14ac:dyDescent="0.25">
      <c r="A85" s="19">
        <v>76</v>
      </c>
      <c r="B85" s="5" t="s">
        <v>144</v>
      </c>
      <c r="C85" s="4" t="s">
        <v>153</v>
      </c>
      <c r="D85" s="25">
        <v>214146.30047392988</v>
      </c>
    </row>
    <row r="86" spans="1:4" x14ac:dyDescent="0.25">
      <c r="A86" s="19">
        <v>77</v>
      </c>
      <c r="B86" s="5" t="s">
        <v>380</v>
      </c>
      <c r="C86" s="4" t="s">
        <v>153</v>
      </c>
      <c r="D86" s="25">
        <v>409014</v>
      </c>
    </row>
    <row r="87" spans="1:4" x14ac:dyDescent="0.25">
      <c r="A87" s="19">
        <v>78</v>
      </c>
      <c r="B87" s="5" t="s">
        <v>381</v>
      </c>
      <c r="C87" s="4" t="s">
        <v>153</v>
      </c>
      <c r="D87" s="25">
        <v>128142.40177075678</v>
      </c>
    </row>
    <row r="88" spans="1:4" x14ac:dyDescent="0.25">
      <c r="A88" s="19">
        <v>79</v>
      </c>
      <c r="B88" s="6" t="s">
        <v>306</v>
      </c>
      <c r="C88" s="4" t="s">
        <v>153</v>
      </c>
      <c r="D88" s="25">
        <v>251538.78866111519</v>
      </c>
    </row>
    <row r="89" spans="1:4" x14ac:dyDescent="0.25">
      <c r="A89" s="19">
        <v>80</v>
      </c>
      <c r="B89" s="6" t="s">
        <v>103</v>
      </c>
      <c r="C89" s="4" t="s">
        <v>153</v>
      </c>
      <c r="D89" s="25">
        <v>96357.187784315727</v>
      </c>
    </row>
    <row r="90" spans="1:4" x14ac:dyDescent="0.25">
      <c r="A90" s="19">
        <v>81</v>
      </c>
      <c r="B90" s="5" t="s">
        <v>373</v>
      </c>
      <c r="C90" s="4" t="s">
        <v>153</v>
      </c>
      <c r="D90" s="25">
        <v>331897.51815705938</v>
      </c>
    </row>
    <row r="91" spans="1:4" x14ac:dyDescent="0.25">
      <c r="A91" s="19">
        <v>82</v>
      </c>
      <c r="B91" s="5" t="s">
        <v>375</v>
      </c>
      <c r="C91" s="4" t="s">
        <v>153</v>
      </c>
      <c r="D91" s="25">
        <v>82305</v>
      </c>
    </row>
    <row r="92" spans="1:4" x14ac:dyDescent="0.25">
      <c r="A92" s="19">
        <v>83</v>
      </c>
      <c r="B92" s="5" t="s">
        <v>376</v>
      </c>
      <c r="C92" s="4" t="s">
        <v>153</v>
      </c>
      <c r="D92" s="25">
        <v>89094</v>
      </c>
    </row>
    <row r="93" spans="1:4" x14ac:dyDescent="0.25">
      <c r="A93" s="19">
        <v>84</v>
      </c>
      <c r="B93" s="5" t="s">
        <v>377</v>
      </c>
      <c r="C93" s="4" t="s">
        <v>153</v>
      </c>
      <c r="D93" s="25">
        <v>67890</v>
      </c>
    </row>
    <row r="94" spans="1:4" ht="24" x14ac:dyDescent="0.25">
      <c r="A94" s="19"/>
      <c r="B94" s="2" t="s">
        <v>28</v>
      </c>
      <c r="C94" s="4"/>
      <c r="D94" s="25"/>
    </row>
    <row r="95" spans="1:4" x14ac:dyDescent="0.25">
      <c r="A95" s="19">
        <v>85</v>
      </c>
      <c r="B95" s="5" t="s">
        <v>114</v>
      </c>
      <c r="C95" s="4" t="s">
        <v>153</v>
      </c>
      <c r="D95" s="25">
        <v>417311.39321557485</v>
      </c>
    </row>
    <row r="96" spans="1:4" x14ac:dyDescent="0.25">
      <c r="A96" s="19">
        <v>86</v>
      </c>
      <c r="B96" s="6" t="s">
        <v>378</v>
      </c>
      <c r="C96" s="4" t="s">
        <v>153</v>
      </c>
      <c r="D96" s="25">
        <v>243459.17292872499</v>
      </c>
    </row>
    <row r="97" spans="1:4" x14ac:dyDescent="0.25">
      <c r="A97" s="19">
        <v>87</v>
      </c>
      <c r="B97" s="5" t="s">
        <v>119</v>
      </c>
      <c r="C97" s="4" t="s">
        <v>153</v>
      </c>
      <c r="D97" s="25">
        <v>280014.87794350559</v>
      </c>
    </row>
    <row r="98" spans="1:4" x14ac:dyDescent="0.25">
      <c r="A98" s="19">
        <v>88</v>
      </c>
      <c r="B98" s="5" t="s">
        <v>117</v>
      </c>
      <c r="C98" s="4" t="s">
        <v>153</v>
      </c>
      <c r="D98" s="25">
        <v>372590.5819838912</v>
      </c>
    </row>
    <row r="99" spans="1:4" x14ac:dyDescent="0.25">
      <c r="A99" s="19">
        <v>89</v>
      </c>
      <c r="B99" s="5" t="s">
        <v>377</v>
      </c>
      <c r="C99" s="4" t="s">
        <v>153</v>
      </c>
      <c r="D99" s="25">
        <v>60450</v>
      </c>
    </row>
    <row r="100" spans="1:4" ht="24" x14ac:dyDescent="0.25">
      <c r="A100" s="19"/>
      <c r="B100" s="2" t="s">
        <v>35</v>
      </c>
      <c r="C100" s="4"/>
      <c r="D100" s="25"/>
    </row>
    <row r="101" spans="1:4" x14ac:dyDescent="0.25">
      <c r="A101" s="19">
        <v>90</v>
      </c>
      <c r="B101" s="5" t="s">
        <v>30</v>
      </c>
      <c r="C101" s="4" t="s">
        <v>153</v>
      </c>
      <c r="D101" s="25">
        <v>31059.877554791092</v>
      </c>
    </row>
    <row r="102" spans="1:4" x14ac:dyDescent="0.25">
      <c r="A102" s="19">
        <v>91</v>
      </c>
      <c r="B102" s="6" t="s">
        <v>81</v>
      </c>
      <c r="C102" s="4" t="s">
        <v>153</v>
      </c>
      <c r="D102" s="25">
        <v>217264.22419144047</v>
      </c>
    </row>
    <row r="103" spans="1:4" x14ac:dyDescent="0.25">
      <c r="A103" s="19">
        <v>92</v>
      </c>
      <c r="B103" s="6" t="s">
        <v>82</v>
      </c>
      <c r="C103" s="4" t="s">
        <v>153</v>
      </c>
      <c r="D103" s="25">
        <v>186000</v>
      </c>
    </row>
    <row r="104" spans="1:4" x14ac:dyDescent="0.25">
      <c r="A104" s="19">
        <v>93</v>
      </c>
      <c r="B104" s="6" t="s">
        <v>328</v>
      </c>
      <c r="C104" s="4" t="s">
        <v>153</v>
      </c>
      <c r="D104" s="25">
        <v>193919.02235441585</v>
      </c>
    </row>
    <row r="105" spans="1:4" x14ac:dyDescent="0.25">
      <c r="A105" s="19">
        <v>94</v>
      </c>
      <c r="B105" s="7" t="s">
        <v>199</v>
      </c>
      <c r="C105" s="4" t="s">
        <v>153</v>
      </c>
      <c r="D105" s="25">
        <v>74400</v>
      </c>
    </row>
    <row r="106" spans="1:4" x14ac:dyDescent="0.25">
      <c r="A106" s="19">
        <v>95</v>
      </c>
      <c r="B106" s="5" t="s">
        <v>327</v>
      </c>
      <c r="C106" s="4" t="s">
        <v>153</v>
      </c>
      <c r="D106" s="25">
        <v>234312.65305122119</v>
      </c>
    </row>
    <row r="107" spans="1:4" x14ac:dyDescent="0.25">
      <c r="A107" s="19">
        <v>96</v>
      </c>
      <c r="B107" s="7" t="s">
        <v>200</v>
      </c>
      <c r="C107" s="4" t="s">
        <v>153</v>
      </c>
      <c r="D107" s="25">
        <v>74400</v>
      </c>
    </row>
    <row r="108" spans="1:4" x14ac:dyDescent="0.25">
      <c r="A108" s="19">
        <v>97</v>
      </c>
      <c r="B108" s="5" t="s">
        <v>36</v>
      </c>
      <c r="C108" s="4" t="s">
        <v>153</v>
      </c>
      <c r="D108" s="25">
        <v>518088.27318595443</v>
      </c>
    </row>
    <row r="109" spans="1:4" x14ac:dyDescent="0.25">
      <c r="A109" s="19">
        <v>98</v>
      </c>
      <c r="B109" s="6" t="s">
        <v>201</v>
      </c>
      <c r="C109" s="4" t="s">
        <v>153</v>
      </c>
      <c r="D109" s="25">
        <v>217171.94570917427</v>
      </c>
    </row>
    <row r="110" spans="1:4" x14ac:dyDescent="0.25">
      <c r="A110" s="19">
        <v>99</v>
      </c>
      <c r="B110" s="5" t="s">
        <v>316</v>
      </c>
      <c r="C110" s="4" t="s">
        <v>153</v>
      </c>
      <c r="D110" s="25">
        <v>141762.18305348253</v>
      </c>
    </row>
    <row r="111" spans="1:4" x14ac:dyDescent="0.25">
      <c r="A111" s="19">
        <v>100</v>
      </c>
      <c r="B111" s="7" t="s">
        <v>202</v>
      </c>
      <c r="C111" s="4" t="s">
        <v>153</v>
      </c>
      <c r="D111" s="25">
        <v>83700</v>
      </c>
    </row>
    <row r="112" spans="1:4" x14ac:dyDescent="0.25">
      <c r="A112" s="19">
        <v>101</v>
      </c>
      <c r="B112" s="7" t="s">
        <v>271</v>
      </c>
      <c r="C112" s="4" t="s">
        <v>153</v>
      </c>
      <c r="D112" s="25">
        <v>111600</v>
      </c>
    </row>
    <row r="113" spans="1:4" x14ac:dyDescent="0.25">
      <c r="A113" s="19">
        <v>102</v>
      </c>
      <c r="B113" s="7" t="s">
        <v>203</v>
      </c>
      <c r="C113" s="4" t="s">
        <v>153</v>
      </c>
      <c r="D113" s="25">
        <v>139500</v>
      </c>
    </row>
    <row r="114" spans="1:4" x14ac:dyDescent="0.25">
      <c r="A114" s="19">
        <v>103</v>
      </c>
      <c r="B114" s="6" t="s">
        <v>204</v>
      </c>
      <c r="C114" s="4" t="s">
        <v>153</v>
      </c>
      <c r="D114" s="25">
        <v>111600</v>
      </c>
    </row>
    <row r="115" spans="1:4" x14ac:dyDescent="0.25">
      <c r="A115" s="19">
        <v>104</v>
      </c>
      <c r="B115" s="6" t="s">
        <v>206</v>
      </c>
      <c r="C115" s="4" t="s">
        <v>153</v>
      </c>
      <c r="D115" s="25">
        <v>107311.19325771215</v>
      </c>
    </row>
    <row r="116" spans="1:4" x14ac:dyDescent="0.25">
      <c r="A116" s="19">
        <v>105</v>
      </c>
      <c r="B116" s="6" t="s">
        <v>205</v>
      </c>
      <c r="C116" s="4" t="s">
        <v>153</v>
      </c>
      <c r="D116" s="25">
        <v>74400</v>
      </c>
    </row>
    <row r="117" spans="1:4" x14ac:dyDescent="0.25">
      <c r="A117" s="19">
        <v>106</v>
      </c>
      <c r="B117" s="5" t="s">
        <v>37</v>
      </c>
      <c r="C117" s="4" t="s">
        <v>153</v>
      </c>
      <c r="D117" s="25">
        <v>167400</v>
      </c>
    </row>
    <row r="118" spans="1:4" x14ac:dyDescent="0.25">
      <c r="A118" s="19">
        <v>107</v>
      </c>
      <c r="B118" s="5" t="s">
        <v>337</v>
      </c>
      <c r="C118" s="4" t="s">
        <v>153</v>
      </c>
      <c r="D118" s="25">
        <v>172404.04788392843</v>
      </c>
    </row>
    <row r="119" spans="1:4" x14ac:dyDescent="0.25">
      <c r="A119" s="19">
        <v>108</v>
      </c>
      <c r="B119" s="8" t="s">
        <v>419</v>
      </c>
      <c r="C119" s="4" t="s">
        <v>153</v>
      </c>
      <c r="D119" s="25">
        <v>49697.354811339916</v>
      </c>
    </row>
    <row r="120" spans="1:4" x14ac:dyDescent="0.25">
      <c r="A120" s="19">
        <v>109</v>
      </c>
      <c r="B120" s="8" t="s">
        <v>317</v>
      </c>
      <c r="C120" s="4" t="s">
        <v>153</v>
      </c>
      <c r="D120" s="25">
        <v>388740</v>
      </c>
    </row>
    <row r="121" spans="1:4" x14ac:dyDescent="0.25">
      <c r="A121" s="19">
        <v>110</v>
      </c>
      <c r="B121" s="8" t="s">
        <v>318</v>
      </c>
      <c r="C121" s="4" t="s">
        <v>153</v>
      </c>
      <c r="D121" s="25">
        <v>157077</v>
      </c>
    </row>
    <row r="122" spans="1:4" x14ac:dyDescent="0.25">
      <c r="A122" s="19">
        <v>111</v>
      </c>
      <c r="B122" s="8" t="s">
        <v>329</v>
      </c>
      <c r="C122" s="4" t="s">
        <v>153</v>
      </c>
      <c r="D122" s="25">
        <v>503595</v>
      </c>
    </row>
    <row r="123" spans="1:4" ht="24" x14ac:dyDescent="0.25">
      <c r="A123" s="19"/>
      <c r="B123" s="2" t="s">
        <v>39</v>
      </c>
      <c r="C123" s="4"/>
      <c r="D123" s="25"/>
    </row>
    <row r="124" spans="1:4" x14ac:dyDescent="0.25">
      <c r="A124" s="19">
        <v>112</v>
      </c>
      <c r="B124" s="5" t="s">
        <v>40</v>
      </c>
      <c r="C124" s="4" t="s">
        <v>153</v>
      </c>
      <c r="D124" s="25">
        <v>1002836.7410400863</v>
      </c>
    </row>
    <row r="125" spans="1:4" ht="24" x14ac:dyDescent="0.25">
      <c r="A125" s="19">
        <v>113</v>
      </c>
      <c r="B125" s="5" t="s">
        <v>209</v>
      </c>
      <c r="C125" s="4" t="s">
        <v>153</v>
      </c>
      <c r="D125" s="25">
        <v>95453.749680524779</v>
      </c>
    </row>
    <row r="126" spans="1:4" x14ac:dyDescent="0.25">
      <c r="A126" s="19">
        <v>114</v>
      </c>
      <c r="B126" s="5" t="s">
        <v>208</v>
      </c>
      <c r="C126" s="4" t="s">
        <v>153</v>
      </c>
      <c r="D126" s="25">
        <v>162750</v>
      </c>
    </row>
    <row r="127" spans="1:4" x14ac:dyDescent="0.25">
      <c r="A127" s="19">
        <v>115</v>
      </c>
      <c r="B127" s="5" t="s">
        <v>41</v>
      </c>
      <c r="C127" s="4" t="s">
        <v>153</v>
      </c>
      <c r="D127" s="25">
        <v>1017008.3414729558</v>
      </c>
    </row>
    <row r="128" spans="1:4" ht="24" x14ac:dyDescent="0.25">
      <c r="A128" s="19">
        <v>116</v>
      </c>
      <c r="B128" s="5" t="s">
        <v>210</v>
      </c>
      <c r="C128" s="4" t="s">
        <v>153</v>
      </c>
      <c r="D128" s="25">
        <v>451404.8657104047</v>
      </c>
    </row>
    <row r="129" spans="1:4" x14ac:dyDescent="0.25">
      <c r="A129" s="19">
        <v>117</v>
      </c>
      <c r="B129" s="5" t="s">
        <v>212</v>
      </c>
      <c r="C129" s="4" t="s">
        <v>153</v>
      </c>
      <c r="D129" s="25">
        <v>193306.13528160291</v>
      </c>
    </row>
    <row r="130" spans="1:4" ht="24" x14ac:dyDescent="0.25">
      <c r="A130" s="19">
        <v>118</v>
      </c>
      <c r="B130" s="5" t="s">
        <v>213</v>
      </c>
      <c r="C130" s="4" t="s">
        <v>153</v>
      </c>
      <c r="D130" s="25">
        <v>460710.85168788995</v>
      </c>
    </row>
    <row r="131" spans="1:4" x14ac:dyDescent="0.25">
      <c r="A131" s="19">
        <v>119</v>
      </c>
      <c r="B131" s="5" t="s">
        <v>214</v>
      </c>
      <c r="C131" s="4" t="s">
        <v>153</v>
      </c>
      <c r="D131" s="25">
        <v>412094.57365904091</v>
      </c>
    </row>
    <row r="132" spans="1:4" x14ac:dyDescent="0.25">
      <c r="A132" s="19">
        <v>120</v>
      </c>
      <c r="B132" s="6" t="s">
        <v>242</v>
      </c>
      <c r="C132" s="4" t="s">
        <v>153</v>
      </c>
      <c r="D132" s="25">
        <v>139929.60432771425</v>
      </c>
    </row>
    <row r="133" spans="1:4" x14ac:dyDescent="0.25">
      <c r="A133" s="19">
        <v>121</v>
      </c>
      <c r="B133" s="5" t="s">
        <v>355</v>
      </c>
      <c r="C133" s="4" t="s">
        <v>153</v>
      </c>
      <c r="D133" s="25">
        <v>311928.98040525662</v>
      </c>
    </row>
    <row r="134" spans="1:4" x14ac:dyDescent="0.25">
      <c r="A134" s="19">
        <v>122</v>
      </c>
      <c r="B134" s="5" t="s">
        <v>215</v>
      </c>
      <c r="C134" s="4" t="s">
        <v>153</v>
      </c>
      <c r="D134" s="25">
        <v>60031.167818705646</v>
      </c>
    </row>
    <row r="135" spans="1:4" x14ac:dyDescent="0.25">
      <c r="A135" s="19">
        <v>123</v>
      </c>
      <c r="B135" s="5" t="s">
        <v>216</v>
      </c>
      <c r="C135" s="4" t="s">
        <v>153</v>
      </c>
      <c r="D135" s="25">
        <v>8346.6653975531044</v>
      </c>
    </row>
    <row r="136" spans="1:4" x14ac:dyDescent="0.25">
      <c r="A136" s="19">
        <v>124</v>
      </c>
      <c r="B136" s="5" t="s">
        <v>217</v>
      </c>
      <c r="C136" s="4" t="s">
        <v>153</v>
      </c>
      <c r="D136" s="25">
        <v>6957.7499702928008</v>
      </c>
    </row>
    <row r="137" spans="1:4" x14ac:dyDescent="0.25">
      <c r="A137" s="19">
        <v>125</v>
      </c>
      <c r="B137" s="5" t="s">
        <v>218</v>
      </c>
      <c r="C137" s="4" t="s">
        <v>153</v>
      </c>
      <c r="D137" s="25">
        <v>6068.4481528977612</v>
      </c>
    </row>
    <row r="138" spans="1:4" ht="24" x14ac:dyDescent="0.25">
      <c r="A138" s="19">
        <v>126</v>
      </c>
      <c r="B138" s="8" t="s">
        <v>224</v>
      </c>
      <c r="C138" s="4" t="s">
        <v>153</v>
      </c>
      <c r="D138" s="25">
        <v>512991.05320440652</v>
      </c>
    </row>
    <row r="139" spans="1:4" ht="24" x14ac:dyDescent="0.25">
      <c r="A139" s="19">
        <v>127</v>
      </c>
      <c r="B139" s="5" t="s">
        <v>226</v>
      </c>
      <c r="C139" s="4" t="s">
        <v>153</v>
      </c>
      <c r="D139" s="25">
        <v>365305.51135914528</v>
      </c>
    </row>
    <row r="140" spans="1:4" x14ac:dyDescent="0.25">
      <c r="A140" s="19">
        <v>128</v>
      </c>
      <c r="B140" s="5" t="s">
        <v>42</v>
      </c>
      <c r="C140" s="4" t="s">
        <v>153</v>
      </c>
      <c r="D140" s="25">
        <v>128142.40177075678</v>
      </c>
    </row>
    <row r="141" spans="1:4" x14ac:dyDescent="0.25">
      <c r="A141" s="19">
        <v>129</v>
      </c>
      <c r="B141" s="17" t="s">
        <v>95</v>
      </c>
      <c r="C141" s="4" t="s">
        <v>153</v>
      </c>
      <c r="D141" s="25">
        <v>719780.61676122143</v>
      </c>
    </row>
    <row r="142" spans="1:4" x14ac:dyDescent="0.25">
      <c r="A142" s="19">
        <v>130</v>
      </c>
      <c r="B142" s="17" t="s">
        <v>228</v>
      </c>
      <c r="C142" s="4" t="s">
        <v>153</v>
      </c>
      <c r="D142" s="25">
        <v>2303.8907186400002</v>
      </c>
    </row>
    <row r="143" spans="1:4" x14ac:dyDescent="0.25">
      <c r="A143" s="19">
        <v>131</v>
      </c>
      <c r="B143" s="17" t="s">
        <v>229</v>
      </c>
      <c r="C143" s="4" t="s">
        <v>153</v>
      </c>
      <c r="D143" s="25">
        <v>92155.628745599999</v>
      </c>
    </row>
    <row r="144" spans="1:4" x14ac:dyDescent="0.25">
      <c r="A144" s="19">
        <v>132</v>
      </c>
      <c r="B144" s="17" t="s">
        <v>241</v>
      </c>
      <c r="C144" s="4" t="s">
        <v>153</v>
      </c>
      <c r="D144" s="25">
        <v>139500</v>
      </c>
    </row>
    <row r="145" spans="1:4" x14ac:dyDescent="0.25">
      <c r="A145" s="19">
        <v>133</v>
      </c>
      <c r="B145" s="6" t="s">
        <v>85</v>
      </c>
      <c r="C145" s="4" t="s">
        <v>153</v>
      </c>
      <c r="D145" s="25">
        <v>93386.385598623223</v>
      </c>
    </row>
    <row r="146" spans="1:4" x14ac:dyDescent="0.25">
      <c r="A146" s="19">
        <v>134</v>
      </c>
      <c r="B146" s="6" t="s">
        <v>232</v>
      </c>
      <c r="C146" s="4" t="s">
        <v>153</v>
      </c>
      <c r="D146" s="25">
        <v>593251.86004980002</v>
      </c>
    </row>
    <row r="147" spans="1:4" x14ac:dyDescent="0.25">
      <c r="A147" s="19">
        <v>135</v>
      </c>
      <c r="B147" s="6" t="s">
        <v>67</v>
      </c>
      <c r="C147" s="4" t="s">
        <v>153</v>
      </c>
      <c r="D147" s="25">
        <v>505661.30782311934</v>
      </c>
    </row>
    <row r="148" spans="1:4" x14ac:dyDescent="0.25">
      <c r="A148" s="19">
        <v>136</v>
      </c>
      <c r="B148" s="8" t="s">
        <v>237</v>
      </c>
      <c r="C148" s="4" t="s">
        <v>153</v>
      </c>
      <c r="D148" s="25">
        <v>345291.56660850521</v>
      </c>
    </row>
    <row r="149" spans="1:4" x14ac:dyDescent="0.25">
      <c r="A149" s="19">
        <v>137</v>
      </c>
      <c r="B149" s="8" t="s">
        <v>238</v>
      </c>
      <c r="C149" s="4" t="s">
        <v>153</v>
      </c>
      <c r="D149" s="25">
        <v>361473.57894471165</v>
      </c>
    </row>
    <row r="150" spans="1:4" x14ac:dyDescent="0.25">
      <c r="A150" s="19">
        <v>138</v>
      </c>
      <c r="B150" s="6" t="s">
        <v>83</v>
      </c>
      <c r="C150" s="4" t="s">
        <v>153</v>
      </c>
      <c r="D150" s="25">
        <v>405133.11903247255</v>
      </c>
    </row>
    <row r="151" spans="1:4" x14ac:dyDescent="0.25">
      <c r="A151" s="19">
        <v>139</v>
      </c>
      <c r="B151" s="8" t="s">
        <v>235</v>
      </c>
      <c r="C151" s="4" t="s">
        <v>153</v>
      </c>
      <c r="D151" s="25">
        <v>629973.67558539461</v>
      </c>
    </row>
    <row r="152" spans="1:4" x14ac:dyDescent="0.25">
      <c r="A152" s="19">
        <v>140</v>
      </c>
      <c r="B152" s="6" t="s">
        <v>84</v>
      </c>
      <c r="C152" s="4" t="s">
        <v>153</v>
      </c>
      <c r="D152" s="25">
        <v>717463.48130660004</v>
      </c>
    </row>
    <row r="153" spans="1:4" x14ac:dyDescent="0.25">
      <c r="A153" s="19">
        <v>141</v>
      </c>
      <c r="B153" s="6" t="s">
        <v>236</v>
      </c>
      <c r="C153" s="4" t="s">
        <v>153</v>
      </c>
      <c r="D153" s="25">
        <v>156618.49105314721</v>
      </c>
    </row>
    <row r="154" spans="1:4" x14ac:dyDescent="0.25">
      <c r="A154" s="19">
        <v>142</v>
      </c>
      <c r="B154" s="17" t="s">
        <v>239</v>
      </c>
      <c r="C154" s="4" t="s">
        <v>153</v>
      </c>
      <c r="D154" s="25">
        <v>128142.40177075678</v>
      </c>
    </row>
    <row r="155" spans="1:4" x14ac:dyDescent="0.25">
      <c r="A155" s="19">
        <v>143</v>
      </c>
      <c r="B155" s="17" t="s">
        <v>338</v>
      </c>
      <c r="C155" s="4" t="s">
        <v>153</v>
      </c>
      <c r="D155" s="25">
        <v>191264.39968005556</v>
      </c>
    </row>
    <row r="156" spans="1:4" x14ac:dyDescent="0.25">
      <c r="A156" s="19">
        <v>144</v>
      </c>
      <c r="B156" s="6" t="s">
        <v>68</v>
      </c>
      <c r="C156" s="4" t="s">
        <v>153</v>
      </c>
      <c r="D156" s="25">
        <v>327475.02674748958</v>
      </c>
    </row>
    <row r="157" spans="1:4" x14ac:dyDescent="0.25">
      <c r="A157" s="19">
        <v>145</v>
      </c>
      <c r="B157" s="17" t="s">
        <v>94</v>
      </c>
      <c r="C157" s="4" t="s">
        <v>153</v>
      </c>
      <c r="D157" s="25">
        <v>223062.69937872479</v>
      </c>
    </row>
    <row r="158" spans="1:4" x14ac:dyDescent="0.25">
      <c r="A158" s="19">
        <v>146</v>
      </c>
      <c r="B158" s="17" t="s">
        <v>250</v>
      </c>
      <c r="C158" s="4" t="s">
        <v>153</v>
      </c>
      <c r="D158" s="25">
        <v>91140</v>
      </c>
    </row>
    <row r="159" spans="1:4" x14ac:dyDescent="0.25">
      <c r="A159" s="19">
        <v>147</v>
      </c>
      <c r="B159" s="6" t="s">
        <v>120</v>
      </c>
      <c r="C159" s="4" t="s">
        <v>153</v>
      </c>
      <c r="D159" s="25">
        <v>3749351.7555147363</v>
      </c>
    </row>
    <row r="160" spans="1:4" x14ac:dyDescent="0.25">
      <c r="A160" s="19">
        <v>148</v>
      </c>
      <c r="B160" s="11" t="s">
        <v>230</v>
      </c>
      <c r="C160" s="4" t="s">
        <v>153</v>
      </c>
      <c r="D160" s="25">
        <v>427800</v>
      </c>
    </row>
    <row r="161" spans="1:4" x14ac:dyDescent="0.25">
      <c r="A161" s="19">
        <v>149</v>
      </c>
      <c r="B161" s="11" t="s">
        <v>231</v>
      </c>
      <c r="C161" s="4" t="s">
        <v>153</v>
      </c>
      <c r="D161" s="25">
        <v>16611.052081394406</v>
      </c>
    </row>
    <row r="162" spans="1:4" x14ac:dyDescent="0.25">
      <c r="A162" s="19">
        <v>150</v>
      </c>
      <c r="B162" s="5" t="s">
        <v>339</v>
      </c>
      <c r="C162" s="4" t="s">
        <v>153</v>
      </c>
      <c r="D162" s="25">
        <v>55053.772612621433</v>
      </c>
    </row>
    <row r="163" spans="1:4" x14ac:dyDescent="0.25">
      <c r="A163" s="19">
        <v>151</v>
      </c>
      <c r="B163" s="5" t="s">
        <v>340</v>
      </c>
      <c r="C163" s="4" t="s">
        <v>153</v>
      </c>
      <c r="D163" s="25">
        <v>144985.81258805466</v>
      </c>
    </row>
    <row r="164" spans="1:4" x14ac:dyDescent="0.25">
      <c r="A164" s="19">
        <v>152</v>
      </c>
      <c r="B164" s="5" t="s">
        <v>341</v>
      </c>
      <c r="C164" s="4" t="s">
        <v>153</v>
      </c>
      <c r="D164" s="25">
        <v>400850.31520440109</v>
      </c>
    </row>
    <row r="165" spans="1:4" ht="24" x14ac:dyDescent="0.25">
      <c r="A165" s="19"/>
      <c r="B165" s="1" t="s">
        <v>44</v>
      </c>
      <c r="C165" s="4"/>
      <c r="D165" s="25"/>
    </row>
    <row r="166" spans="1:4" x14ac:dyDescent="0.25">
      <c r="A166" s="19">
        <v>153</v>
      </c>
      <c r="B166" s="6" t="s">
        <v>86</v>
      </c>
      <c r="C166" s="4" t="s">
        <v>153</v>
      </c>
      <c r="D166" s="25">
        <v>42714.133923585592</v>
      </c>
    </row>
    <row r="167" spans="1:4" x14ac:dyDescent="0.25">
      <c r="A167" s="19">
        <v>154</v>
      </c>
      <c r="B167" s="11" t="s">
        <v>45</v>
      </c>
      <c r="C167" s="4" t="s">
        <v>153</v>
      </c>
      <c r="D167" s="25">
        <v>510253.55182139279</v>
      </c>
    </row>
    <row r="168" spans="1:4" x14ac:dyDescent="0.25">
      <c r="A168" s="19">
        <v>155</v>
      </c>
      <c r="B168" s="9" t="s">
        <v>243</v>
      </c>
      <c r="C168" s="4" t="s">
        <v>153</v>
      </c>
      <c r="D168" s="25">
        <v>102300</v>
      </c>
    </row>
    <row r="169" spans="1:4" x14ac:dyDescent="0.25">
      <c r="A169" s="19">
        <v>156</v>
      </c>
      <c r="B169" s="11" t="s">
        <v>46</v>
      </c>
      <c r="C169" s="4" t="s">
        <v>153</v>
      </c>
      <c r="D169" s="25">
        <v>71190.223205976014</v>
      </c>
    </row>
    <row r="170" spans="1:4" x14ac:dyDescent="0.25">
      <c r="A170" s="19">
        <v>157</v>
      </c>
      <c r="B170" s="6" t="s">
        <v>87</v>
      </c>
      <c r="C170" s="4" t="s">
        <v>153</v>
      </c>
      <c r="D170" s="25">
        <v>90174.282727569604</v>
      </c>
    </row>
    <row r="171" spans="1:4" x14ac:dyDescent="0.25">
      <c r="A171" s="19">
        <v>158</v>
      </c>
      <c r="B171" s="21" t="s">
        <v>129</v>
      </c>
      <c r="C171" s="4" t="s">
        <v>153</v>
      </c>
      <c r="D171" s="25">
        <v>93077.002380599835</v>
      </c>
    </row>
    <row r="172" spans="1:4" ht="24" x14ac:dyDescent="0.25">
      <c r="A172" s="19"/>
      <c r="B172" s="1" t="s">
        <v>59</v>
      </c>
      <c r="C172" s="4"/>
      <c r="D172" s="25"/>
    </row>
    <row r="173" spans="1:4" x14ac:dyDescent="0.25">
      <c r="A173" s="19">
        <v>159</v>
      </c>
      <c r="B173" s="11" t="s">
        <v>60</v>
      </c>
      <c r="C173" s="4" t="s">
        <v>153</v>
      </c>
      <c r="D173" s="25">
        <v>106900.529344896</v>
      </c>
    </row>
    <row r="174" spans="1:4" x14ac:dyDescent="0.25">
      <c r="A174" s="19">
        <v>160</v>
      </c>
      <c r="B174" s="11" t="s">
        <v>131</v>
      </c>
      <c r="C174" s="4" t="s">
        <v>153</v>
      </c>
      <c r="D174" s="25">
        <v>26254.954318363947</v>
      </c>
    </row>
    <row r="175" spans="1:4" x14ac:dyDescent="0.25">
      <c r="A175" s="19">
        <v>161</v>
      </c>
      <c r="B175" s="11" t="s">
        <v>244</v>
      </c>
      <c r="C175" s="4" t="s">
        <v>153</v>
      </c>
      <c r="D175" s="25">
        <v>65100</v>
      </c>
    </row>
    <row r="176" spans="1:4" x14ac:dyDescent="0.25">
      <c r="A176" s="19">
        <v>162</v>
      </c>
      <c r="B176" s="11" t="s">
        <v>61</v>
      </c>
      <c r="C176" s="4" t="s">
        <v>153</v>
      </c>
      <c r="D176" s="25">
        <v>65100</v>
      </c>
    </row>
    <row r="177" spans="1:4" x14ac:dyDescent="0.25">
      <c r="A177" s="19">
        <v>163</v>
      </c>
      <c r="B177" s="11" t="s">
        <v>118</v>
      </c>
      <c r="C177" s="4" t="s">
        <v>153</v>
      </c>
      <c r="D177" s="25">
        <v>111600</v>
      </c>
    </row>
    <row r="178" spans="1:4" x14ac:dyDescent="0.25">
      <c r="A178" s="19">
        <v>164</v>
      </c>
      <c r="B178" s="11" t="s">
        <v>247</v>
      </c>
      <c r="C178" s="4" t="s">
        <v>153</v>
      </c>
      <c r="D178" s="25">
        <v>13950</v>
      </c>
    </row>
    <row r="179" spans="1:4" x14ac:dyDescent="0.25">
      <c r="A179" s="19">
        <v>165</v>
      </c>
      <c r="B179" s="11" t="s">
        <v>248</v>
      </c>
      <c r="C179" s="4" t="s">
        <v>153</v>
      </c>
      <c r="D179" s="25">
        <v>27430.154423312983</v>
      </c>
    </row>
    <row r="180" spans="1:4" x14ac:dyDescent="0.25">
      <c r="A180" s="19">
        <v>166</v>
      </c>
      <c r="B180" s="11" t="s">
        <v>249</v>
      </c>
      <c r="C180" s="4" t="s">
        <v>153</v>
      </c>
      <c r="D180" s="25">
        <v>24944.49321991</v>
      </c>
    </row>
    <row r="181" spans="1:4" ht="24" x14ac:dyDescent="0.25">
      <c r="A181" s="19"/>
      <c r="B181" s="10" t="s">
        <v>47</v>
      </c>
      <c r="C181" s="4"/>
      <c r="D181" s="25"/>
    </row>
    <row r="182" spans="1:4" x14ac:dyDescent="0.25">
      <c r="A182" s="19">
        <v>167</v>
      </c>
      <c r="B182" s="11" t="s">
        <v>48</v>
      </c>
      <c r="C182" s="4" t="s">
        <v>153</v>
      </c>
      <c r="D182" s="25">
        <v>674500.7871932924</v>
      </c>
    </row>
    <row r="183" spans="1:4" x14ac:dyDescent="0.25">
      <c r="A183" s="19">
        <v>168</v>
      </c>
      <c r="B183" s="11" t="s">
        <v>49</v>
      </c>
      <c r="C183" s="4" t="s">
        <v>153</v>
      </c>
      <c r="D183" s="25">
        <v>460932.96518429264</v>
      </c>
    </row>
    <row r="184" spans="1:4" x14ac:dyDescent="0.25">
      <c r="A184" s="19">
        <v>169</v>
      </c>
      <c r="B184" s="18" t="s">
        <v>379</v>
      </c>
      <c r="C184" s="4" t="s">
        <v>153</v>
      </c>
      <c r="D184" s="25">
        <v>224982.93699933399</v>
      </c>
    </row>
    <row r="185" spans="1:4" x14ac:dyDescent="0.25">
      <c r="A185" s="19">
        <v>170</v>
      </c>
      <c r="B185" s="18" t="s">
        <v>148</v>
      </c>
      <c r="C185" s="4" t="s">
        <v>153</v>
      </c>
      <c r="D185" s="25">
        <v>213589.65367744965</v>
      </c>
    </row>
    <row r="186" spans="1:4" x14ac:dyDescent="0.25">
      <c r="A186" s="19">
        <v>171</v>
      </c>
      <c r="B186" s="11" t="s">
        <v>322</v>
      </c>
      <c r="C186" s="4" t="s">
        <v>153</v>
      </c>
      <c r="D186" s="25">
        <v>33222.104162788812</v>
      </c>
    </row>
    <row r="187" spans="1:4" x14ac:dyDescent="0.25">
      <c r="A187" s="19">
        <v>172</v>
      </c>
      <c r="B187" s="11" t="s">
        <v>50</v>
      </c>
      <c r="C187" s="4" t="s">
        <v>153</v>
      </c>
      <c r="D187" s="25">
        <v>144278.85236411137</v>
      </c>
    </row>
    <row r="188" spans="1:4" x14ac:dyDescent="0.25">
      <c r="A188" s="19">
        <v>173</v>
      </c>
      <c r="B188" s="11" t="s">
        <v>51</v>
      </c>
      <c r="C188" s="4" t="s">
        <v>153</v>
      </c>
      <c r="D188" s="25">
        <v>213570.66961792798</v>
      </c>
    </row>
    <row r="189" spans="1:4" x14ac:dyDescent="0.25">
      <c r="A189" s="19">
        <v>174</v>
      </c>
      <c r="B189" s="11" t="s">
        <v>52</v>
      </c>
      <c r="C189" s="4" t="s">
        <v>153</v>
      </c>
      <c r="D189" s="25">
        <v>251538.78866111519</v>
      </c>
    </row>
    <row r="190" spans="1:4" x14ac:dyDescent="0.25">
      <c r="A190" s="19">
        <v>175</v>
      </c>
      <c r="B190" s="11" t="s">
        <v>53</v>
      </c>
      <c r="C190" s="4" t="s">
        <v>153</v>
      </c>
      <c r="D190" s="25">
        <v>270522.84818270872</v>
      </c>
    </row>
    <row r="191" spans="1:4" x14ac:dyDescent="0.25">
      <c r="A191" s="19">
        <v>176</v>
      </c>
      <c r="B191" s="11" t="s">
        <v>54</v>
      </c>
      <c r="C191" s="4" t="s">
        <v>153</v>
      </c>
      <c r="D191" s="25">
        <v>346459.0862690832</v>
      </c>
    </row>
    <row r="192" spans="1:4" x14ac:dyDescent="0.25">
      <c r="A192" s="19">
        <v>177</v>
      </c>
      <c r="B192" s="11" t="s">
        <v>251</v>
      </c>
      <c r="C192" s="4" t="s">
        <v>153</v>
      </c>
      <c r="D192" s="25">
        <v>566484.33612435299</v>
      </c>
    </row>
    <row r="193" spans="1:4" x14ac:dyDescent="0.25">
      <c r="A193" s="19">
        <v>178</v>
      </c>
      <c r="B193" s="11" t="s">
        <v>252</v>
      </c>
      <c r="C193" s="4" t="s">
        <v>153</v>
      </c>
      <c r="D193" s="25">
        <v>360654</v>
      </c>
    </row>
    <row r="194" spans="1:4" x14ac:dyDescent="0.25">
      <c r="A194" s="19">
        <v>179</v>
      </c>
      <c r="B194" s="18" t="s">
        <v>58</v>
      </c>
      <c r="C194" s="4" t="s">
        <v>153</v>
      </c>
      <c r="D194" s="25">
        <v>237300.74401992001</v>
      </c>
    </row>
    <row r="195" spans="1:4" x14ac:dyDescent="0.25">
      <c r="A195" s="19">
        <v>180</v>
      </c>
      <c r="B195" s="18" t="s">
        <v>136</v>
      </c>
      <c r="C195" s="4" t="s">
        <v>153</v>
      </c>
      <c r="D195" s="25">
        <v>2883000</v>
      </c>
    </row>
    <row r="196" spans="1:4" ht="24" x14ac:dyDescent="0.25">
      <c r="A196" s="19"/>
      <c r="B196" s="1" t="s">
        <v>98</v>
      </c>
      <c r="C196" s="4"/>
      <c r="D196" s="25"/>
    </row>
    <row r="197" spans="1:4" x14ac:dyDescent="0.25">
      <c r="A197" s="19">
        <v>181</v>
      </c>
      <c r="B197" s="11" t="s">
        <v>254</v>
      </c>
      <c r="C197" s="4" t="s">
        <v>153</v>
      </c>
      <c r="D197" s="25">
        <v>55800</v>
      </c>
    </row>
    <row r="198" spans="1:4" x14ac:dyDescent="0.25">
      <c r="A198" s="19">
        <v>182</v>
      </c>
      <c r="B198" s="11" t="s">
        <v>255</v>
      </c>
      <c r="C198" s="4" t="s">
        <v>153</v>
      </c>
      <c r="D198" s="25">
        <v>604500</v>
      </c>
    </row>
    <row r="199" spans="1:4" x14ac:dyDescent="0.25">
      <c r="A199" s="19">
        <v>183</v>
      </c>
      <c r="B199" s="11" t="s">
        <v>256</v>
      </c>
      <c r="C199" s="4" t="s">
        <v>153</v>
      </c>
      <c r="D199" s="25">
        <v>106020</v>
      </c>
    </row>
    <row r="200" spans="1:4" x14ac:dyDescent="0.25">
      <c r="A200" s="19">
        <v>184</v>
      </c>
      <c r="B200" s="6" t="s">
        <v>69</v>
      </c>
      <c r="C200" s="4" t="s">
        <v>153</v>
      </c>
      <c r="D200" s="25">
        <v>90174.282727569604</v>
      </c>
    </row>
    <row r="201" spans="1:4" x14ac:dyDescent="0.25">
      <c r="A201" s="19">
        <v>185</v>
      </c>
      <c r="B201" s="6" t="s">
        <v>70</v>
      </c>
      <c r="C201" s="4" t="s">
        <v>153</v>
      </c>
      <c r="D201" s="25">
        <v>325500</v>
      </c>
    </row>
    <row r="202" spans="1:4" x14ac:dyDescent="0.25">
      <c r="A202" s="19">
        <v>186</v>
      </c>
      <c r="B202" s="6" t="s">
        <v>1</v>
      </c>
      <c r="C202" s="4" t="s">
        <v>153</v>
      </c>
      <c r="D202" s="25">
        <v>167400</v>
      </c>
    </row>
    <row r="203" spans="1:4" x14ac:dyDescent="0.25">
      <c r="A203" s="19">
        <v>187</v>
      </c>
      <c r="B203" s="11" t="s">
        <v>56</v>
      </c>
      <c r="C203" s="4" t="s">
        <v>153</v>
      </c>
      <c r="D203" s="25">
        <v>76353</v>
      </c>
    </row>
    <row r="204" spans="1:4" x14ac:dyDescent="0.25">
      <c r="A204" s="19">
        <v>188</v>
      </c>
      <c r="B204" s="11" t="s">
        <v>57</v>
      </c>
      <c r="C204" s="4" t="s">
        <v>153</v>
      </c>
      <c r="D204" s="25">
        <v>29481</v>
      </c>
    </row>
    <row r="205" spans="1:4" x14ac:dyDescent="0.25">
      <c r="A205" s="19">
        <v>189</v>
      </c>
      <c r="B205" s="11" t="s">
        <v>257</v>
      </c>
      <c r="C205" s="4" t="s">
        <v>153</v>
      </c>
      <c r="D205" s="25">
        <v>106950</v>
      </c>
    </row>
    <row r="206" spans="1:4" x14ac:dyDescent="0.25">
      <c r="A206" s="19">
        <v>190</v>
      </c>
      <c r="B206" s="11" t="s">
        <v>258</v>
      </c>
      <c r="C206" s="4" t="s">
        <v>153</v>
      </c>
      <c r="D206" s="25">
        <v>55800</v>
      </c>
    </row>
    <row r="207" spans="1:4" x14ac:dyDescent="0.25">
      <c r="A207" s="19">
        <v>191</v>
      </c>
      <c r="B207" s="11" t="s">
        <v>259</v>
      </c>
      <c r="C207" s="4" t="s">
        <v>153</v>
      </c>
      <c r="D207" s="25">
        <v>13950</v>
      </c>
    </row>
    <row r="208" spans="1:4" x14ac:dyDescent="0.25">
      <c r="A208" s="19">
        <v>192</v>
      </c>
      <c r="B208" s="5" t="s">
        <v>260</v>
      </c>
      <c r="C208" s="4" t="s">
        <v>153</v>
      </c>
      <c r="D208" s="25">
        <v>32550</v>
      </c>
    </row>
    <row r="209" spans="1:4" x14ac:dyDescent="0.25">
      <c r="A209" s="19">
        <v>193</v>
      </c>
      <c r="B209" s="12" t="s">
        <v>261</v>
      </c>
      <c r="C209" s="4" t="s">
        <v>153</v>
      </c>
      <c r="D209" s="25">
        <v>232500</v>
      </c>
    </row>
    <row r="210" spans="1:4" x14ac:dyDescent="0.25">
      <c r="A210" s="19">
        <v>194</v>
      </c>
      <c r="B210" s="5" t="s">
        <v>451</v>
      </c>
      <c r="C210" s="4" t="s">
        <v>153</v>
      </c>
      <c r="D210" s="25">
        <v>228501</v>
      </c>
    </row>
    <row r="211" spans="1:4" ht="24" x14ac:dyDescent="0.25">
      <c r="A211" s="20"/>
      <c r="B211" s="1" t="s">
        <v>62</v>
      </c>
      <c r="C211" s="4"/>
      <c r="D211" s="25"/>
    </row>
    <row r="212" spans="1:4" ht="24" x14ac:dyDescent="0.25">
      <c r="A212" s="20">
        <v>195</v>
      </c>
      <c r="B212" s="11" t="s">
        <v>384</v>
      </c>
      <c r="C212" s="4" t="s">
        <v>153</v>
      </c>
      <c r="D212" s="25">
        <v>751413.75514205277</v>
      </c>
    </row>
    <row r="213" spans="1:4" x14ac:dyDescent="0.25">
      <c r="A213" s="20">
        <v>196</v>
      </c>
      <c r="B213" s="11" t="s">
        <v>63</v>
      </c>
      <c r="C213" s="4" t="s">
        <v>153</v>
      </c>
      <c r="D213" s="25">
        <v>708546.79953931831</v>
      </c>
    </row>
    <row r="214" spans="1:4" x14ac:dyDescent="0.25">
      <c r="A214" s="20">
        <v>197</v>
      </c>
      <c r="B214" s="11" t="s">
        <v>134</v>
      </c>
      <c r="C214" s="4" t="s">
        <v>153</v>
      </c>
      <c r="D214" s="25">
        <v>204600</v>
      </c>
    </row>
    <row r="215" spans="1:4" x14ac:dyDescent="0.25">
      <c r="A215" s="20">
        <v>198</v>
      </c>
      <c r="B215" s="22" t="s">
        <v>264</v>
      </c>
      <c r="C215" s="4" t="s">
        <v>153</v>
      </c>
      <c r="D215" s="25">
        <v>667845.92512799765</v>
      </c>
    </row>
    <row r="216" spans="1:4" x14ac:dyDescent="0.25">
      <c r="A216" s="20">
        <v>199</v>
      </c>
      <c r="B216" s="6" t="s">
        <v>72</v>
      </c>
      <c r="C216" s="4" t="s">
        <v>153</v>
      </c>
      <c r="D216" s="25">
        <v>88750.478263450088</v>
      </c>
    </row>
    <row r="217" spans="1:4" x14ac:dyDescent="0.25">
      <c r="A217" s="20">
        <v>200</v>
      </c>
      <c r="B217" s="6" t="s">
        <v>73</v>
      </c>
      <c r="C217" s="4" t="s">
        <v>153</v>
      </c>
      <c r="D217" s="25">
        <v>65100</v>
      </c>
    </row>
  </sheetData>
  <autoFilter ref="A4:C217" xr:uid="{00000000-0009-0000-0000-000010000000}"/>
  <mergeCells count="1">
    <mergeCell ref="A2:C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1</vt:i4>
      </vt:variant>
    </vt:vector>
  </HeadingPairs>
  <TitlesOfParts>
    <vt:vector size="18" baseType="lpstr">
      <vt:lpstr>PANEL RENAULT TRAFIC</vt:lpstr>
      <vt:lpstr> CAMIONETA DMAX</vt:lpstr>
      <vt:lpstr>CAMIONETA NISSAN DIESEL</vt:lpstr>
      <vt:lpstr>CAMIONETA NISSAN GASOLINA</vt:lpstr>
      <vt:lpstr>CAMIONETA NISS FRONTIER NP-300</vt:lpstr>
      <vt:lpstr>Hoja2</vt:lpstr>
      <vt:lpstr>Hoja3</vt:lpstr>
      <vt:lpstr>CAMIONETA TOYOTA 4X4 </vt:lpstr>
      <vt:lpstr>TOYOTA FORTUNER</vt:lpstr>
      <vt:lpstr>CAMPERO RENAULT DUSTER</vt:lpstr>
      <vt:lpstr>CAMION, CAMA BAJA Y BUSETA NPR</vt:lpstr>
      <vt:lpstr>CAMION Y C.A.I HYUNDAI</vt:lpstr>
      <vt:lpstr>AUTOMOVIL AVEO</vt:lpstr>
      <vt:lpstr>AUTOMOVIL HYUNDAI</vt:lpstr>
      <vt:lpstr>AUTOMOVIL CHEVROLET BEAT</vt:lpstr>
      <vt:lpstr>AUTOMOVIL LOGAN</vt:lpstr>
      <vt:lpstr>AUTOMOVIL HYUNDAI </vt:lpstr>
      <vt:lpstr>'PANEL RENAULT TRAFIC'!Área_de_impresión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2006-09-16T00:00:00Z</dcterms:created>
  <dcterms:modified xsi:type="dcterms:W3CDTF">2021-08-09T20:25:34Z</dcterms:modified>
</cp:coreProperties>
</file>