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/>
  <mc:AlternateContent xmlns:mc="http://schemas.openxmlformats.org/markup-compatibility/2006">
    <mc:Choice Requires="x15">
      <x15ac:absPath xmlns:x15ac="http://schemas.microsoft.com/office/spreadsheetml/2010/11/ac" url="/Users/miguelrivera/Documents/MARC/99 TRABAJO/SDP 2021/SDP 2021/ENTREGA 3/RENOVACION/30_07_2017/"/>
    </mc:Choice>
  </mc:AlternateContent>
  <xr:revisionPtr revIDLastSave="0" documentId="13_ncr:1_{CC82248A-9EAD-6547-A914-1C94D45E199E}" xr6:coauthVersionLast="47" xr6:coauthVersionMax="47" xr10:uidLastSave="{00000000-0000-0000-0000-000000000000}"/>
  <bookViews>
    <workbookView xWindow="0" yWindow="500" windowWidth="14400" windowHeight="17500" activeTab="6" xr2:uid="{00000000-000D-0000-FFFF-FFFF00000000}"/>
  </bookViews>
  <sheets>
    <sheet name="DATOS " sheetId="22" r:id="rId1"/>
    <sheet name="01" sheetId="30" r:id="rId2"/>
    <sheet name="01a" sheetId="31" r:id="rId3"/>
    <sheet name="NORMA" sheetId="37" r:id="rId4"/>
    <sheet name="INMOB $$" sheetId="38" r:id="rId5"/>
    <sheet name="TABLAS" sheetId="39" r:id="rId6"/>
    <sheet name="FAC_ TRU_METRO" sheetId="40" r:id="rId7"/>
    <sheet name="RESUMEN" sheetId="41" r:id="rId8"/>
  </sheets>
  <externalReferences>
    <externalReference r:id="rId9"/>
    <externalReference r:id="rId10"/>
    <externalReference r:id="rId11"/>
    <externalReference r:id="rId12"/>
  </externalReferences>
  <definedNames>
    <definedName name="__UEN2" localSheetId="4" hidden="1">#REF!</definedName>
    <definedName name="__UEN2" hidden="1">#REF!</definedName>
    <definedName name="_Fill" localSheetId="4" hidden="1">#REF!</definedName>
    <definedName name="_Fill" hidden="1">#REF!</definedName>
    <definedName name="_xlnm._FilterDatabase" localSheetId="1" hidden="1">'01'!$B$12:$F$205</definedName>
    <definedName name="_xlnm._FilterDatabase" localSheetId="2" hidden="1">'01a'!$B$12:$F$205</definedName>
    <definedName name="_Key1" localSheetId="4" hidden="1">#REF!</definedName>
    <definedName name="_Key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Regression_Out" localSheetId="4" hidden="1">#REF!</definedName>
    <definedName name="_Regression_Out" hidden="1">#REF!</definedName>
    <definedName name="_Regression_X" localSheetId="4" hidden="1">#REF!</definedName>
    <definedName name="_Regression_X" hidden="1">#REF!</definedName>
    <definedName name="_Regression_Y" localSheetId="4" hidden="1">#REF!</definedName>
    <definedName name="_Regression_Y" hidden="1">#REF!</definedName>
    <definedName name="_Sort" localSheetId="4" hidden="1">#REF!</definedName>
    <definedName name="_Sort" hidden="1">#REF!</definedName>
    <definedName name="_Table2_In2" localSheetId="4" hidden="1">#REF!</definedName>
    <definedName name="_Table2_In2" hidden="1">#REF!</definedName>
    <definedName name="_Table2_in3" localSheetId="4" hidden="1">#REF!</definedName>
    <definedName name="_Table2_in3" hidden="1">#REF!</definedName>
    <definedName name="_UEN2" localSheetId="4" hidden="1">#REF!</definedName>
    <definedName name="_UEN2" hidden="1">#REF!</definedName>
    <definedName name="AccessDatabase" hidden="1">"C:\EXCEL\FILESXLS\TELEX\LIBRO99.mdb"</definedName>
    <definedName name="activos" localSheetId="4" hidden="1">{#N/A,#N/A,TRUE,"Posicion";#N/A,#N/A,TRUE,"Presentacion";#N/A,#N/A,TRUE,"analisis";#N/A,#N/A,TRUE,"PORTAFOLIO"}</definedName>
    <definedName name="activos" hidden="1">{#N/A,#N/A,TRUE,"Posicion";#N/A,#N/A,TRUE,"Presentacion";#N/A,#N/A,TRUE,"analisis";#N/A,#N/A,TRUE,"PORTAFOLIO"}</definedName>
    <definedName name="adsad" localSheetId="4" hidden="1">#REF!</definedName>
    <definedName name="adsad" hidden="1">#REF!</definedName>
    <definedName name="adssad" localSheetId="4" hidden="1">#REF!</definedName>
    <definedName name="adssad" hidden="1">#REF!</definedName>
    <definedName name="AREAS_ARQ">[1]Consolidado!$G$7:$BM$276</definedName>
    <definedName name="as" localSheetId="4" hidden="1">#REF!</definedName>
    <definedName name="as" hidden="1">#REF!</definedName>
    <definedName name="AS2DocOpenMode" hidden="1">"AS2DocumentEdit"</definedName>
    <definedName name="CBWorkbookPriority" hidden="1">-1069082714</definedName>
    <definedName name="consum" localSheetId="4" hidden="1">{"'Sheet2'!$A$3:$B$17"}</definedName>
    <definedName name="consum" hidden="1">{"'Sheet2'!$A$3:$B$17"}</definedName>
    <definedName name="de" hidden="1">0</definedName>
    <definedName name="debtmay2" localSheetId="4" hidden="1">{#N/A,#N/A,FALSE,"SOACHA"}</definedName>
    <definedName name="debtmay2" hidden="1">{#N/A,#N/A,FALSE,"SOACHA"}</definedName>
    <definedName name="DFFDF" localSheetId="4" hidden="1">{#N/A,#N/A,FALSE,"SOACHA"}</definedName>
    <definedName name="DFFDF" hidden="1">{#N/A,#N/A,FALSE,"SOACHA"}</definedName>
    <definedName name="direccion" localSheetId="4" hidden="1">{#N/A,#N/A,FALSE,"SOACHA"}</definedName>
    <definedName name="direccion" hidden="1">{#N/A,#N/A,FALSE,"SOACHA"}</definedName>
    <definedName name="gc" localSheetId="4" hidden="1">{#N/A,#N/A,FALSE,"SOACHA"}</definedName>
    <definedName name="gc" hidden="1">{#N/A,#N/A,FALSE,"SOACHA"}</definedName>
    <definedName name="HTML_CodePage" hidden="1">1252</definedName>
    <definedName name="HTML_Control" localSheetId="4" hidden="1">{"'Sheet1'!$A$1:$H$145"}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"N:\ACTIVIDADES DISTRITO HUILA\MANTENIMIENTO INDUSTRIAL\2PLANEACION\MyHTML.htm"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ngresos06" localSheetId="4" hidden="1">{"'Sheet2'!$A$3:$B$17"}</definedName>
    <definedName name="Ingresos06" hidden="1">{"'Sheet2'!$A$3:$B$17"}</definedName>
    <definedName name="IOM">[2]Valores!$A$3:$A$7</definedName>
    <definedName name="liosdasf" localSheetId="4" hidden="1">#REF!</definedName>
    <definedName name="liosdasf" hidden="1">#REF!</definedName>
    <definedName name="mama" localSheetId="4" hidden="1">'[3]Datos-Gráfica-Bijagual'!#REF!</definedName>
    <definedName name="mama" hidden="1">'[3]Datos-Gráfica-Bijagual'!#REF!</definedName>
    <definedName name="POZO" hidden="1">"M:\Datos\PRESUPUESTO Vs GASTOS\DB EJECUCION  PvsG-0SM.mdb"</definedName>
    <definedName name="ppp" localSheetId="4" hidden="1">#REF!</definedName>
    <definedName name="ppp" hidden="1">#REF!</definedName>
    <definedName name="PPTACUM" localSheetId="4" hidden="1">{#N/A,#N/A,FALSE,"SOACHA"}</definedName>
    <definedName name="PPTACUM" hidden="1">{#N/A,#N/A,FALSE,"SOACHA"}</definedName>
    <definedName name="PPTACUMG" localSheetId="4" hidden="1">{#N/A,#N/A,FALSE,"SOACHA"}</definedName>
    <definedName name="PPTACUMG" hidden="1">{#N/A,#N/A,FALSE,"SOACHA"}</definedName>
    <definedName name="PRUEBA" hidden="1">[4]CTAS_PAG!$A$42:$A$68</definedName>
    <definedName name="qw" hidden="1">'[3]Datos-Gráfica-Bijagual'!#REF!</definedName>
    <definedName name="qwqq" localSheetId="4" hidden="1">#REF!</definedName>
    <definedName name="qwqq" hidden="1">#REF!</definedName>
    <definedName name="qwqwq" localSheetId="4" hidden="1">#REF!</definedName>
    <definedName name="qwqwq" hidden="1">#REF!</definedName>
    <definedName name="sdfsdf" localSheetId="4" hidden="1">#REF!</definedName>
    <definedName name="sdfsdf" hidden="1">#REF!</definedName>
    <definedName name="SUELO_UTIL">[1]SUELO_UTIL!$E$2:$V$997</definedName>
    <definedName name="wacc" localSheetId="4" hidden="1">{#N/A,#N/A,FALSE,"SOACHA"}</definedName>
    <definedName name="wacc" hidden="1">{#N/A,#N/A,FALSE,"SOACHA"}</definedName>
    <definedName name="wqwqqqw" localSheetId="4" hidden="1">#REF!</definedName>
    <definedName name="wqwqqqw" hidden="1">#REF!</definedName>
    <definedName name="wrn.comite." localSheetId="4" hidden="1">{#N/A,#N/A,TRUE,"Posicion";#N/A,#N/A,TRUE,"Presentacion";#N/A,#N/A,TRUE,"analisis";#N/A,#N/A,TRUE,"PORTAFOLIO"}</definedName>
    <definedName name="wrn.comite." hidden="1">{#N/A,#N/A,TRUE,"Posicion";#N/A,#N/A,TRUE,"Presentacion";#N/A,#N/A,TRUE,"analisis";#N/A,#N/A,TRUE,"PORTAFOLIO"}</definedName>
    <definedName name="wrn.PRODUCCION._.SOACHA." localSheetId="4" hidden="1">{#N/A,#N/A,FALSE,"SOACHA"}</definedName>
    <definedName name="wrn.PRODUCCION._.SOACHA." hidden="1">{#N/A,#N/A,FALSE,"SOACHA"}</definedName>
    <definedName name="wrn.SOACHA." localSheetId="4" hidden="1">{#N/A,#N/A,FALSE,"SOACHA"}</definedName>
    <definedName name="wrn.SOACHA." hidden="1">{#N/A,#N/A,FALSE,"SOACHA"}</definedName>
    <definedName name="xxx" localSheetId="4" hidden="1">#REF!</definedName>
    <definedName name="xxx" hidden="1">#REF!</definedName>
    <definedName name="xxxxx" localSheetId="4" hidden="1">{#N/A,#N/A,FALSE,"SOACHA"}</definedName>
    <definedName name="xxxxx" hidden="1">{#N/A,#N/A,FALSE,"SOACHA"}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0" i="39" l="1"/>
  <c r="K80" i="39"/>
  <c r="K6" i="40"/>
  <c r="E6" i="40"/>
  <c r="F33" i="40" s="1"/>
  <c r="L64" i="39"/>
  <c r="L66" i="39"/>
  <c r="L65" i="39"/>
  <c r="L67" i="39"/>
  <c r="L68" i="39"/>
  <c r="L69" i="39"/>
  <c r="L20" i="40" l="1"/>
  <c r="M8" i="40"/>
  <c r="N8" i="40" s="1"/>
  <c r="K51" i="40"/>
  <c r="K48" i="40"/>
  <c r="J79" i="39"/>
  <c r="L78" i="39"/>
  <c r="L77" i="39"/>
  <c r="J76" i="39"/>
  <c r="L76" i="39"/>
  <c r="L75" i="39"/>
  <c r="B7" i="40" l="1"/>
  <c r="B8" i="40" l="1"/>
  <c r="K7" i="40"/>
  <c r="E7" i="40"/>
  <c r="H7" i="40" s="1"/>
  <c r="H8" i="40" s="1"/>
  <c r="H9" i="40" s="1"/>
  <c r="N16" i="40"/>
  <c r="D97" i="30" l="1"/>
  <c r="D96" i="30"/>
  <c r="D101" i="30"/>
  <c r="K36" i="40"/>
  <c r="E34" i="41"/>
  <c r="E32" i="41"/>
  <c r="E31" i="41"/>
  <c r="E30" i="41"/>
  <c r="E29" i="41"/>
  <c r="E28" i="41"/>
  <c r="E27" i="41"/>
  <c r="E26" i="41"/>
  <c r="K26" i="41" s="1"/>
  <c r="Q26" i="41" s="1"/>
  <c r="W26" i="41" s="1"/>
  <c r="AC26" i="41" s="1"/>
  <c r="E25" i="41"/>
  <c r="H33" i="41"/>
  <c r="E33" i="41"/>
  <c r="E35" i="41"/>
  <c r="K43" i="40" a="1"/>
  <c r="K43" i="40" s="1"/>
  <c r="J43" i="40"/>
  <c r="J9" i="40"/>
  <c r="J51" i="40"/>
  <c r="M51" i="40" s="1"/>
  <c r="J50" i="40"/>
  <c r="C106" i="31"/>
  <c r="K39" i="40"/>
  <c r="M39" i="40" s="1"/>
  <c r="L36" i="40"/>
  <c r="L35" i="40"/>
  <c r="L21" i="40"/>
  <c r="J49" i="40" s="1"/>
  <c r="L17" i="40"/>
  <c r="J48" i="40" s="1"/>
  <c r="J16" i="40"/>
  <c r="K17" i="40" s="1"/>
  <c r="N6" i="40"/>
  <c r="N7" i="40" s="1"/>
  <c r="N5" i="40"/>
  <c r="K28" i="40" s="1"/>
  <c r="N4" i="40"/>
  <c r="N3" i="40"/>
  <c r="K41" i="40" s="1"/>
  <c r="M41" i="40" s="1"/>
  <c r="L48" i="40"/>
  <c r="J47" i="40"/>
  <c r="J46" i="40"/>
  <c r="K40" i="40"/>
  <c r="M32" i="40"/>
  <c r="L28" i="40"/>
  <c r="K33" i="40" s="1"/>
  <c r="K16" i="40"/>
  <c r="L13" i="40"/>
  <c r="K12" i="40"/>
  <c r="L12" i="40" s="1"/>
  <c r="K11" i="40"/>
  <c r="L11" i="40" s="1"/>
  <c r="J13" i="40"/>
  <c r="K13" i="40" s="1"/>
  <c r="L33" i="40"/>
  <c r="F21" i="40"/>
  <c r="D20" i="40" s="1"/>
  <c r="E43" i="40" a="1"/>
  <c r="E43" i="40" s="1"/>
  <c r="D51" i="40"/>
  <c r="D50" i="40"/>
  <c r="F45" i="41" s="1"/>
  <c r="D47" i="40"/>
  <c r="D46" i="40"/>
  <c r="E46" i="40" s="1"/>
  <c r="F114" i="30"/>
  <c r="F113" i="30"/>
  <c r="C106" i="30"/>
  <c r="C107" i="30"/>
  <c r="D43" i="40"/>
  <c r="D74" i="30"/>
  <c r="D77" i="30"/>
  <c r="D80" i="30"/>
  <c r="G32" i="40"/>
  <c r="H27" i="41" s="1"/>
  <c r="D79" i="30"/>
  <c r="D59" i="30"/>
  <c r="H3" i="40"/>
  <c r="E60" i="30"/>
  <c r="D78" i="30"/>
  <c r="E39" i="40"/>
  <c r="D75" i="30"/>
  <c r="G36" i="40"/>
  <c r="H31" i="41" s="1"/>
  <c r="G35" i="40"/>
  <c r="H30" i="41" s="1"/>
  <c r="F36" i="40"/>
  <c r="F35" i="40"/>
  <c r="C118" i="30"/>
  <c r="C148" i="30"/>
  <c r="C110" i="30"/>
  <c r="F17" i="40"/>
  <c r="D48" i="40" s="1"/>
  <c r="D16" i="40"/>
  <c r="F19" i="41" s="1"/>
  <c r="F13" i="40"/>
  <c r="F50" i="30"/>
  <c r="F49" i="30"/>
  <c r="F48" i="30"/>
  <c r="D47" i="30"/>
  <c r="D54" i="30"/>
  <c r="D53" i="30"/>
  <c r="D48" i="30"/>
  <c r="C114" i="30"/>
  <c r="C113" i="30"/>
  <c r="D49" i="30"/>
  <c r="D11" i="40" s="1"/>
  <c r="D12" i="40"/>
  <c r="D57" i="30"/>
  <c r="H5" i="40"/>
  <c r="F13" i="41" s="1"/>
  <c r="H4" i="40"/>
  <c r="F9" i="41" s="1"/>
  <c r="F10" i="41"/>
  <c r="D9" i="40"/>
  <c r="AF59" i="41"/>
  <c r="Z59" i="41"/>
  <c r="T59" i="41"/>
  <c r="N59" i="41"/>
  <c r="AF55" i="41"/>
  <c r="AD55" i="41"/>
  <c r="Z55" i="41"/>
  <c r="X55" i="41"/>
  <c r="T55" i="41"/>
  <c r="R55" i="41"/>
  <c r="N55" i="41"/>
  <c r="L55" i="41"/>
  <c r="F55" i="41"/>
  <c r="AF53" i="41"/>
  <c r="Z53" i="41"/>
  <c r="Z57" i="41" s="1"/>
  <c r="T53" i="41"/>
  <c r="N53" i="41"/>
  <c r="AF50" i="41"/>
  <c r="Z50" i="41"/>
  <c r="T50" i="41"/>
  <c r="N50" i="41"/>
  <c r="E50" i="41"/>
  <c r="Q50" i="41" s="1"/>
  <c r="AF48" i="41"/>
  <c r="AD48" i="41"/>
  <c r="Z48" i="41"/>
  <c r="X48" i="41"/>
  <c r="T48" i="41"/>
  <c r="R48" i="41"/>
  <c r="N48" i="41"/>
  <c r="L48" i="41"/>
  <c r="F48" i="41"/>
  <c r="E48" i="41"/>
  <c r="AC48" i="41" s="1"/>
  <c r="AF46" i="41"/>
  <c r="AE46" i="41"/>
  <c r="AD46" i="41"/>
  <c r="Z46" i="41"/>
  <c r="Y46" i="41"/>
  <c r="X46" i="41"/>
  <c r="T46" i="41"/>
  <c r="S46" i="41"/>
  <c r="R46" i="41"/>
  <c r="N46" i="41"/>
  <c r="M46" i="41"/>
  <c r="L46" i="41"/>
  <c r="E46" i="41"/>
  <c r="AC46" i="41" s="1"/>
  <c r="AF45" i="41"/>
  <c r="AE45" i="41"/>
  <c r="AD45" i="41"/>
  <c r="Z45" i="41"/>
  <c r="Y45" i="41"/>
  <c r="X45" i="41"/>
  <c r="T45" i="41"/>
  <c r="S45" i="41"/>
  <c r="R45" i="41"/>
  <c r="N45" i="41"/>
  <c r="M45" i="41"/>
  <c r="L45" i="41"/>
  <c r="E45" i="41"/>
  <c r="W45" i="41" s="1"/>
  <c r="AF44" i="41"/>
  <c r="AE44" i="41"/>
  <c r="AD44" i="41"/>
  <c r="Z44" i="41"/>
  <c r="Y44" i="41"/>
  <c r="X44" i="41"/>
  <c r="T44" i="41"/>
  <c r="S44" i="41"/>
  <c r="R44" i="41"/>
  <c r="N44" i="41"/>
  <c r="M44" i="41"/>
  <c r="L44" i="41"/>
  <c r="AF43" i="41"/>
  <c r="AE43" i="41"/>
  <c r="AD43" i="41"/>
  <c r="Z43" i="41"/>
  <c r="Y43" i="41"/>
  <c r="X43" i="41"/>
  <c r="T43" i="41"/>
  <c r="S43" i="41"/>
  <c r="R43" i="41"/>
  <c r="N43" i="41"/>
  <c r="M43" i="41"/>
  <c r="L43" i="41"/>
  <c r="AF42" i="41"/>
  <c r="AE42" i="41"/>
  <c r="AD42" i="41"/>
  <c r="Z42" i="41"/>
  <c r="Y42" i="41"/>
  <c r="X42" i="41"/>
  <c r="T42" i="41"/>
  <c r="S42" i="41"/>
  <c r="R42" i="41"/>
  <c r="N42" i="41"/>
  <c r="M42" i="41"/>
  <c r="L42" i="41"/>
  <c r="AF41" i="41"/>
  <c r="AE41" i="41"/>
  <c r="AD41" i="41"/>
  <c r="Z41" i="41"/>
  <c r="Y41" i="41"/>
  <c r="X41" i="41"/>
  <c r="T41" i="41"/>
  <c r="S41" i="41"/>
  <c r="R41" i="41"/>
  <c r="N41" i="41"/>
  <c r="M41" i="41"/>
  <c r="L41" i="41"/>
  <c r="AF40" i="41"/>
  <c r="Z40" i="41"/>
  <c r="T40" i="41"/>
  <c r="N40" i="41"/>
  <c r="AF38" i="41"/>
  <c r="Z38" i="41"/>
  <c r="T38" i="41"/>
  <c r="N38" i="41"/>
  <c r="AF37" i="41"/>
  <c r="AC37" i="41"/>
  <c r="Z37" i="41"/>
  <c r="W37" i="41"/>
  <c r="T37" i="41"/>
  <c r="Q37" i="41"/>
  <c r="N37" i="41"/>
  <c r="K37" i="41"/>
  <c r="E37" i="41"/>
  <c r="AF28" i="41"/>
  <c r="Z28" i="41"/>
  <c r="T28" i="41"/>
  <c r="N28" i="41"/>
  <c r="K28" i="41"/>
  <c r="Q28" i="41" s="1"/>
  <c r="W28" i="41" s="1"/>
  <c r="AC28" i="41" s="1"/>
  <c r="AF27" i="41"/>
  <c r="Z27" i="41"/>
  <c r="T27" i="41"/>
  <c r="N27" i="41"/>
  <c r="K27" i="41"/>
  <c r="Q27" i="41" s="1"/>
  <c r="W27" i="41" s="1"/>
  <c r="AC27" i="41" s="1"/>
  <c r="AF26" i="41"/>
  <c r="AF24" i="41" s="1"/>
  <c r="Z26" i="41"/>
  <c r="Z24" i="41" s="1"/>
  <c r="T26" i="41"/>
  <c r="T24" i="41" s="1"/>
  <c r="N26" i="41"/>
  <c r="AD25" i="41"/>
  <c r="X25" i="41"/>
  <c r="R25" i="41"/>
  <c r="L25" i="41"/>
  <c r="K25" i="41"/>
  <c r="Q25" i="41" s="1"/>
  <c r="W25" i="41" s="1"/>
  <c r="AC25" i="41" s="1"/>
  <c r="N24" i="41"/>
  <c r="AF20" i="41"/>
  <c r="AE20" i="41"/>
  <c r="AD20" i="41"/>
  <c r="Z20" i="41"/>
  <c r="Y20" i="41"/>
  <c r="X20" i="41"/>
  <c r="T20" i="41"/>
  <c r="S20" i="41"/>
  <c r="R20" i="41"/>
  <c r="N20" i="41"/>
  <c r="M20" i="41"/>
  <c r="L20" i="41"/>
  <c r="G20" i="41"/>
  <c r="AF19" i="41"/>
  <c r="AE19" i="41"/>
  <c r="AD19" i="41"/>
  <c r="Z19" i="41"/>
  <c r="Y19" i="41"/>
  <c r="X19" i="41"/>
  <c r="T19" i="41"/>
  <c r="S19" i="41"/>
  <c r="R19" i="41"/>
  <c r="N19" i="41"/>
  <c r="M19" i="41"/>
  <c r="L19" i="41"/>
  <c r="AF18" i="41"/>
  <c r="AE18" i="41"/>
  <c r="AD18" i="41"/>
  <c r="Z18" i="41"/>
  <c r="Y18" i="41"/>
  <c r="X18" i="41"/>
  <c r="T18" i="41"/>
  <c r="S18" i="41"/>
  <c r="R18" i="41"/>
  <c r="N18" i="41"/>
  <c r="M18" i="41"/>
  <c r="L18" i="41"/>
  <c r="AF17" i="41"/>
  <c r="AF21" i="41" s="1"/>
  <c r="AE17" i="41"/>
  <c r="AD17" i="41"/>
  <c r="Z17" i="41"/>
  <c r="Z21" i="41" s="1"/>
  <c r="Y17" i="41"/>
  <c r="X17" i="41"/>
  <c r="T17" i="41"/>
  <c r="T21" i="41" s="1"/>
  <c r="S17" i="41"/>
  <c r="R17" i="41"/>
  <c r="N17" i="41"/>
  <c r="N21" i="41" s="1"/>
  <c r="M17" i="41"/>
  <c r="L17" i="41"/>
  <c r="AD13" i="41"/>
  <c r="X13" i="41"/>
  <c r="R13" i="41"/>
  <c r="L13" i="41"/>
  <c r="AD12" i="41"/>
  <c r="AC12" i="41"/>
  <c r="X12" i="41"/>
  <c r="W12" i="41"/>
  <c r="R12" i="41"/>
  <c r="Q12" i="41"/>
  <c r="L12" i="41"/>
  <c r="K12" i="41"/>
  <c r="E12" i="41"/>
  <c r="AD11" i="41"/>
  <c r="AC11" i="41"/>
  <c r="X11" i="41"/>
  <c r="W11" i="41"/>
  <c r="R11" i="41"/>
  <c r="Q11" i="41"/>
  <c r="L11" i="41"/>
  <c r="K11" i="41"/>
  <c r="F11" i="41"/>
  <c r="E11" i="41"/>
  <c r="AD10" i="41"/>
  <c r="AC10" i="41"/>
  <c r="X10" i="41"/>
  <c r="W10" i="41"/>
  <c r="R10" i="41"/>
  <c r="Q10" i="41"/>
  <c r="L10" i="41"/>
  <c r="K10" i="41"/>
  <c r="E10" i="41"/>
  <c r="AD9" i="41"/>
  <c r="AC9" i="41"/>
  <c r="X9" i="41"/>
  <c r="W9" i="41"/>
  <c r="R9" i="41"/>
  <c r="Q9" i="41"/>
  <c r="L9" i="41"/>
  <c r="K9" i="41"/>
  <c r="E9" i="41"/>
  <c r="AD8" i="41"/>
  <c r="AC8" i="41"/>
  <c r="X8" i="41"/>
  <c r="W8" i="41"/>
  <c r="R8" i="41"/>
  <c r="Q8" i="41"/>
  <c r="L8" i="41"/>
  <c r="K8" i="41"/>
  <c r="E8" i="41"/>
  <c r="B49" i="40"/>
  <c r="E44" i="41" s="1"/>
  <c r="B48" i="40"/>
  <c r="E43" i="41" s="1"/>
  <c r="F42" i="41"/>
  <c r="B47" i="40"/>
  <c r="E42" i="41" s="1"/>
  <c r="B46" i="40"/>
  <c r="E41" i="41" s="1"/>
  <c r="E40" i="40"/>
  <c r="E16" i="40"/>
  <c r="E12" i="40"/>
  <c r="F12" i="40" s="1"/>
  <c r="G18" i="41" s="1"/>
  <c r="E11" i="40"/>
  <c r="F11" i="40" s="1"/>
  <c r="G17" i="41" s="1"/>
  <c r="H141" i="39"/>
  <c r="H142" i="39" s="1"/>
  <c r="H143" i="39" s="1"/>
  <c r="G46" i="41" s="1"/>
  <c r="G141" i="39"/>
  <c r="G142" i="39" s="1"/>
  <c r="G143" i="39" s="1"/>
  <c r="F132" i="39"/>
  <c r="F133" i="39" s="1"/>
  <c r="F134" i="39" s="1"/>
  <c r="F135" i="39" s="1"/>
  <c r="F136" i="39" s="1"/>
  <c r="F137" i="39" s="1"/>
  <c r="F138" i="39" s="1"/>
  <c r="F139" i="39" s="1"/>
  <c r="F140" i="39" s="1"/>
  <c r="F141" i="39" s="1"/>
  <c r="F142" i="39" s="1"/>
  <c r="F143" i="39" s="1"/>
  <c r="L74" i="39"/>
  <c r="L73" i="39"/>
  <c r="L72" i="39"/>
  <c r="L71" i="39"/>
  <c r="L70" i="39"/>
  <c r="E63" i="39"/>
  <c r="E28" i="39"/>
  <c r="D28" i="39"/>
  <c r="S10" i="39"/>
  <c r="S9" i="39"/>
  <c r="S8" i="39"/>
  <c r="S7" i="39"/>
  <c r="S6" i="39"/>
  <c r="B68" i="38"/>
  <c r="B63" i="38"/>
  <c r="E62" i="38"/>
  <c r="D65" i="38" s="1"/>
  <c r="B62" i="38"/>
  <c r="D51" i="38"/>
  <c r="D50" i="38"/>
  <c r="E43" i="38"/>
  <c r="C43" i="38"/>
  <c r="B43" i="38"/>
  <c r="F42" i="38"/>
  <c r="G42" i="38" s="1"/>
  <c r="D42" i="38"/>
  <c r="F41" i="38"/>
  <c r="G41" i="38" s="1"/>
  <c r="D41" i="38"/>
  <c r="F40" i="38"/>
  <c r="G40" i="38" s="1"/>
  <c r="D40" i="38"/>
  <c r="F39" i="38"/>
  <c r="G39" i="38" s="1"/>
  <c r="D39" i="38"/>
  <c r="G38" i="38"/>
  <c r="F38" i="38"/>
  <c r="D38" i="38"/>
  <c r="G37" i="38"/>
  <c r="F37" i="38"/>
  <c r="D37" i="38"/>
  <c r="G36" i="38"/>
  <c r="F36" i="38"/>
  <c r="D36" i="38"/>
  <c r="F35" i="38"/>
  <c r="G35" i="38" s="1"/>
  <c r="D35" i="38"/>
  <c r="F34" i="38"/>
  <c r="G34" i="38" s="1"/>
  <c r="D34" i="38"/>
  <c r="F33" i="38"/>
  <c r="G33" i="38" s="1"/>
  <c r="D33" i="38"/>
  <c r="F32" i="38"/>
  <c r="G32" i="38" s="1"/>
  <c r="D32" i="38"/>
  <c r="F31" i="38"/>
  <c r="G31" i="38" s="1"/>
  <c r="D31" i="38"/>
  <c r="G30" i="38"/>
  <c r="F30" i="38"/>
  <c r="D30" i="38"/>
  <c r="G29" i="38"/>
  <c r="F29" i="38"/>
  <c r="D29" i="38"/>
  <c r="G28" i="38"/>
  <c r="F28" i="38"/>
  <c r="D28" i="38"/>
  <c r="F27" i="38"/>
  <c r="G27" i="38" s="1"/>
  <c r="D27" i="38"/>
  <c r="F26" i="38"/>
  <c r="G26" i="38" s="1"/>
  <c r="D26" i="38"/>
  <c r="F25" i="38"/>
  <c r="G25" i="38" s="1"/>
  <c r="D25" i="38"/>
  <c r="F24" i="38"/>
  <c r="G24" i="38" s="1"/>
  <c r="D24" i="38"/>
  <c r="F23" i="38"/>
  <c r="G23" i="38" s="1"/>
  <c r="D23" i="38"/>
  <c r="G22" i="38"/>
  <c r="F22" i="38"/>
  <c r="D22" i="38"/>
  <c r="G21" i="38"/>
  <c r="F21" i="38"/>
  <c r="D21" i="38"/>
  <c r="G20" i="38"/>
  <c r="F20" i="38"/>
  <c r="D20" i="38"/>
  <c r="F19" i="38"/>
  <c r="G19" i="38" s="1"/>
  <c r="D19" i="38"/>
  <c r="F18" i="38"/>
  <c r="G18" i="38" s="1"/>
  <c r="D18" i="38"/>
  <c r="F17" i="38"/>
  <c r="G17" i="38" s="1"/>
  <c r="D17" i="38"/>
  <c r="F16" i="38"/>
  <c r="G16" i="38" s="1"/>
  <c r="D16" i="38"/>
  <c r="F15" i="38"/>
  <c r="G15" i="38" s="1"/>
  <c r="D15" i="38"/>
  <c r="G14" i="38"/>
  <c r="F14" i="38"/>
  <c r="D14" i="38"/>
  <c r="G13" i="38"/>
  <c r="F13" i="38"/>
  <c r="D13" i="38"/>
  <c r="G12" i="38"/>
  <c r="F12" i="38"/>
  <c r="D12" i="38"/>
  <c r="F11" i="38"/>
  <c r="G11" i="38" s="1"/>
  <c r="D11" i="38"/>
  <c r="F10" i="38"/>
  <c r="G10" i="38" s="1"/>
  <c r="D10" i="38"/>
  <c r="F9" i="38"/>
  <c r="G9" i="38" s="1"/>
  <c r="D9" i="38"/>
  <c r="F8" i="38"/>
  <c r="G8" i="38" s="1"/>
  <c r="D8" i="38"/>
  <c r="F7" i="38"/>
  <c r="G7" i="38" s="1"/>
  <c r="D7" i="38"/>
  <c r="G6" i="38"/>
  <c r="F6" i="38"/>
  <c r="D6" i="38"/>
  <c r="G5" i="38"/>
  <c r="F5" i="38"/>
  <c r="F43" i="38" s="1"/>
  <c r="D5" i="38"/>
  <c r="D43" i="38" s="1"/>
  <c r="E63" i="40" l="1"/>
  <c r="G63" i="40"/>
  <c r="E41" i="40"/>
  <c r="G41" i="40" s="1"/>
  <c r="J37" i="40"/>
  <c r="L37" i="40" s="1"/>
  <c r="M36" i="40"/>
  <c r="M33" i="40"/>
  <c r="M63" i="40"/>
  <c r="M12" i="40"/>
  <c r="D62" i="38"/>
  <c r="M35" i="40"/>
  <c r="D66" i="38"/>
  <c r="D57" i="38"/>
  <c r="F57" i="38" s="1"/>
  <c r="D58" i="38"/>
  <c r="F58" i="38" s="1"/>
  <c r="D59" i="38"/>
  <c r="F59" i="38" s="1"/>
  <c r="D63" i="38"/>
  <c r="D64" i="38"/>
  <c r="D67" i="38"/>
  <c r="D68" i="38"/>
  <c r="E17" i="40"/>
  <c r="J20" i="40"/>
  <c r="K21" i="40" s="1"/>
  <c r="J28" i="40"/>
  <c r="K34" i="40" s="1"/>
  <c r="M34" i="40" s="1"/>
  <c r="M48" i="40"/>
  <c r="AF57" i="41"/>
  <c r="AF61" i="41" s="1"/>
  <c r="AG61" i="41" s="1"/>
  <c r="L24" i="40"/>
  <c r="K18" i="40"/>
  <c r="M16" i="40"/>
  <c r="M17" i="40" s="1"/>
  <c r="M40" i="40"/>
  <c r="J52" i="40"/>
  <c r="K52" i="40" s="1"/>
  <c r="K24" i="40"/>
  <c r="K14" i="40"/>
  <c r="M11" i="40"/>
  <c r="K63" i="40"/>
  <c r="K46" i="40"/>
  <c r="L30" i="40"/>
  <c r="L32" i="40"/>
  <c r="L16" i="40"/>
  <c r="T57" i="41"/>
  <c r="T61" i="41" s="1"/>
  <c r="U61" i="41" s="1"/>
  <c r="F32" i="40"/>
  <c r="Z61" i="41"/>
  <c r="AA61" i="41" s="1"/>
  <c r="K46" i="41"/>
  <c r="D37" i="40"/>
  <c r="F37" i="40" s="1"/>
  <c r="N57" i="41"/>
  <c r="N61" i="41" s="1"/>
  <c r="O61" i="41" s="1"/>
  <c r="Q48" i="41"/>
  <c r="W50" i="41"/>
  <c r="E18" i="40"/>
  <c r="G12" i="40"/>
  <c r="H18" i="41" s="1"/>
  <c r="G16" i="40"/>
  <c r="G17" i="40" s="1"/>
  <c r="H19" i="41" s="1"/>
  <c r="F24" i="40"/>
  <c r="D13" i="40"/>
  <c r="H59" i="41"/>
  <c r="G39" i="40"/>
  <c r="F20" i="41"/>
  <c r="E21" i="40"/>
  <c r="G20" i="40"/>
  <c r="G21" i="40" s="1"/>
  <c r="W43" i="41"/>
  <c r="K43" i="41"/>
  <c r="AC43" i="41"/>
  <c r="Q43" i="41"/>
  <c r="AC44" i="41"/>
  <c r="Q44" i="41"/>
  <c r="W44" i="41"/>
  <c r="K44" i="41"/>
  <c r="G43" i="38"/>
  <c r="B49" i="38" s="1"/>
  <c r="G51" i="40"/>
  <c r="G43" i="41"/>
  <c r="F48" i="40"/>
  <c r="G48" i="40" s="1"/>
  <c r="W41" i="41"/>
  <c r="K41" i="41"/>
  <c r="AC41" i="41"/>
  <c r="Q41" i="41"/>
  <c r="F43" i="41"/>
  <c r="AC42" i="41"/>
  <c r="Q42" i="41"/>
  <c r="W42" i="41"/>
  <c r="K42" i="41"/>
  <c r="G11" i="40"/>
  <c r="F18" i="41"/>
  <c r="F46" i="41"/>
  <c r="D49" i="40"/>
  <c r="D52" i="40" s="1"/>
  <c r="E52" i="40" s="1"/>
  <c r="F17" i="41"/>
  <c r="D28" i="40"/>
  <c r="E34" i="40" s="1"/>
  <c r="G34" i="40" s="1"/>
  <c r="AC50" i="41"/>
  <c r="E28" i="40"/>
  <c r="F30" i="40" s="1"/>
  <c r="F8" i="41"/>
  <c r="Q45" i="41"/>
  <c r="AC45" i="41"/>
  <c r="W46" i="41"/>
  <c r="F28" i="40"/>
  <c r="E33" i="40" s="1"/>
  <c r="F41" i="41"/>
  <c r="W48" i="41"/>
  <c r="K50" i="41"/>
  <c r="F16" i="40"/>
  <c r="G19" i="41" s="1"/>
  <c r="D60" i="38"/>
  <c r="F60" i="38" s="1"/>
  <c r="K48" i="41"/>
  <c r="K45" i="41"/>
  <c r="Q46" i="41"/>
  <c r="M13" i="40" l="1"/>
  <c r="M20" i="40"/>
  <c r="M21" i="40" s="1"/>
  <c r="M24" i="40" s="1"/>
  <c r="N41" i="40" s="1"/>
  <c r="G33" i="40"/>
  <c r="G40" i="40" s="1"/>
  <c r="H29" i="41"/>
  <c r="H37" i="41"/>
  <c r="H34" i="41"/>
  <c r="H28" i="41"/>
  <c r="L38" i="40"/>
  <c r="M37" i="40"/>
  <c r="G37" i="40"/>
  <c r="G32" i="41" s="1"/>
  <c r="F32" i="41"/>
  <c r="M30" i="40"/>
  <c r="K31" i="40"/>
  <c r="M31" i="40" s="1"/>
  <c r="M27" i="40" s="1"/>
  <c r="K47" i="40"/>
  <c r="L46" i="40"/>
  <c r="M46" i="40" s="1"/>
  <c r="F12" i="41"/>
  <c r="F38" i="40"/>
  <c r="G30" i="40"/>
  <c r="G25" i="41" s="1"/>
  <c r="E13" i="40"/>
  <c r="E14" i="40" s="1"/>
  <c r="H43" i="41"/>
  <c r="B52" i="38"/>
  <c r="D52" i="38" s="1"/>
  <c r="B55" i="38"/>
  <c r="D49" i="38"/>
  <c r="B53" i="38"/>
  <c r="D53" i="38" s="1"/>
  <c r="H17" i="41"/>
  <c r="G13" i="40"/>
  <c r="H20" i="41"/>
  <c r="H46" i="41"/>
  <c r="F25" i="41"/>
  <c r="E31" i="40"/>
  <c r="G31" i="40" s="1"/>
  <c r="F44" i="41"/>
  <c r="E47" i="40"/>
  <c r="G41" i="41"/>
  <c r="F46" i="40"/>
  <c r="G46" i="40" s="1"/>
  <c r="G27" i="40" l="1"/>
  <c r="H26" i="41"/>
  <c r="H24" i="41"/>
  <c r="L63" i="40"/>
  <c r="M60" i="40"/>
  <c r="N40" i="40"/>
  <c r="N37" i="40"/>
  <c r="N13" i="40"/>
  <c r="N30" i="40"/>
  <c r="N46" i="40"/>
  <c r="L47" i="40"/>
  <c r="M47" i="40" s="1"/>
  <c r="N31" i="40"/>
  <c r="M54" i="40"/>
  <c r="N48" i="40"/>
  <c r="N36" i="40"/>
  <c r="N51" i="40"/>
  <c r="N33" i="40"/>
  <c r="N32" i="40"/>
  <c r="N35" i="40"/>
  <c r="N17" i="40"/>
  <c r="N39" i="40"/>
  <c r="N63" i="40"/>
  <c r="N34" i="40"/>
  <c r="E24" i="40"/>
  <c r="H41" i="41"/>
  <c r="G24" i="40"/>
  <c r="H41" i="40" s="1"/>
  <c r="H21" i="41"/>
  <c r="F47" i="40"/>
  <c r="G47" i="40" s="1"/>
  <c r="K49" i="40"/>
  <c r="K50" i="40" s="1"/>
  <c r="G42" i="41"/>
  <c r="B56" i="38"/>
  <c r="D56" i="38" s="1"/>
  <c r="D55" i="38"/>
  <c r="B54" i="38"/>
  <c r="D54" i="38" s="1"/>
  <c r="H34" i="40" l="1"/>
  <c r="N60" i="40"/>
  <c r="N21" i="40"/>
  <c r="N47" i="40"/>
  <c r="N54" i="40"/>
  <c r="L55" i="40"/>
  <c r="N27" i="40"/>
  <c r="M50" i="40"/>
  <c r="N50" i="40" s="1"/>
  <c r="L49" i="40"/>
  <c r="M49" i="40" s="1"/>
  <c r="H32" i="40"/>
  <c r="H13" i="40"/>
  <c r="H42" i="41"/>
  <c r="H47" i="40"/>
  <c r="H27" i="40"/>
  <c r="H40" i="40"/>
  <c r="H31" i="40"/>
  <c r="G60" i="40"/>
  <c r="G54" i="40"/>
  <c r="H39" i="40"/>
  <c r="H17" i="40"/>
  <c r="H36" i="40"/>
  <c r="H35" i="40"/>
  <c r="H63" i="40"/>
  <c r="H37" i="40"/>
  <c r="H33" i="40"/>
  <c r="H51" i="40"/>
  <c r="H48" i="40"/>
  <c r="H21" i="40"/>
  <c r="F63" i="40"/>
  <c r="H46" i="40"/>
  <c r="H30" i="40"/>
  <c r="H38" i="41"/>
  <c r="E50" i="40"/>
  <c r="F49" i="40"/>
  <c r="G49" i="40" s="1"/>
  <c r="G44" i="41"/>
  <c r="N49" i="40" l="1"/>
  <c r="M44" i="40"/>
  <c r="M57" i="40" s="1"/>
  <c r="H49" i="40"/>
  <c r="H44" i="41"/>
  <c r="H55" i="41"/>
  <c r="H60" i="40"/>
  <c r="G50" i="40"/>
  <c r="G45" i="41"/>
  <c r="H48" i="41"/>
  <c r="F55" i="40"/>
  <c r="H54" i="40"/>
  <c r="L52" i="40" l="1"/>
  <c r="N44" i="40"/>
  <c r="H45" i="41"/>
  <c r="H50" i="40"/>
  <c r="G44" i="40"/>
  <c r="G57" i="40" s="1"/>
  <c r="N57" i="40" l="1"/>
  <c r="M59" i="40"/>
  <c r="M66" i="40" s="1"/>
  <c r="N66" i="40" s="1"/>
  <c r="F52" i="40"/>
  <c r="H40" i="41"/>
  <c r="H44" i="40"/>
  <c r="M62" i="40" l="1"/>
  <c r="M64" i="40" s="1"/>
  <c r="N59" i="40"/>
  <c r="H57" i="40"/>
  <c r="H50" i="41"/>
  <c r="G59" i="40"/>
  <c r="G66" i="40" s="1"/>
  <c r="H66" i="40" s="1"/>
  <c r="N64" i="40" l="1"/>
  <c r="L64" i="40"/>
  <c r="J26" i="40"/>
  <c r="N62" i="40"/>
  <c r="H59" i="40"/>
  <c r="H53" i="41"/>
  <c r="H57" i="41" s="1"/>
  <c r="G62" i="40"/>
  <c r="G64" i="40" s="1"/>
  <c r="F64" i="40" l="1"/>
  <c r="H64" i="40"/>
  <c r="M26" i="40"/>
  <c r="N26" i="40" s="1"/>
  <c r="D26" i="40"/>
  <c r="H62" i="40"/>
  <c r="H61" i="41"/>
  <c r="I61" i="41" s="1"/>
  <c r="I57" i="41"/>
  <c r="G26" i="40" l="1"/>
  <c r="H26" i="40" s="1"/>
  <c r="C209" i="31" l="1"/>
  <c r="C137" i="31" s="1"/>
  <c r="E208" i="31"/>
  <c r="E207" i="31"/>
  <c r="C141" i="31" s="1"/>
  <c r="E206" i="31"/>
  <c r="C142" i="31" s="1"/>
  <c r="E205" i="31"/>
  <c r="E204" i="31"/>
  <c r="E203" i="31"/>
  <c r="E202" i="31"/>
  <c r="E201" i="31"/>
  <c r="E200" i="31"/>
  <c r="E199" i="31"/>
  <c r="C138" i="31" s="1"/>
  <c r="E198" i="31"/>
  <c r="C196" i="31"/>
  <c r="C131" i="31" s="1"/>
  <c r="E195" i="31"/>
  <c r="E194" i="31"/>
  <c r="C136" i="31" s="1"/>
  <c r="E193" i="31"/>
  <c r="C135" i="31" s="1"/>
  <c r="E192" i="31"/>
  <c r="E191" i="31"/>
  <c r="E190" i="31"/>
  <c r="E189" i="31"/>
  <c r="E188" i="31"/>
  <c r="C187" i="31"/>
  <c r="E187" i="31" s="1"/>
  <c r="E186" i="31"/>
  <c r="E185" i="31"/>
  <c r="C183" i="31"/>
  <c r="C126" i="31" s="1"/>
  <c r="E182" i="31"/>
  <c r="E181" i="31"/>
  <c r="E180" i="31"/>
  <c r="E179" i="31"/>
  <c r="E178" i="31"/>
  <c r="E177" i="31"/>
  <c r="E176" i="31"/>
  <c r="E175" i="31"/>
  <c r="C173" i="31"/>
  <c r="C174" i="31" s="1"/>
  <c r="E174" i="31" s="1"/>
  <c r="E172" i="31"/>
  <c r="C170" i="31"/>
  <c r="C121" i="31" s="1"/>
  <c r="E169" i="31"/>
  <c r="E168" i="31"/>
  <c r="E167" i="31"/>
  <c r="E166" i="31"/>
  <c r="E165" i="31"/>
  <c r="E164" i="31"/>
  <c r="E163" i="31"/>
  <c r="E162" i="31"/>
  <c r="C161" i="31"/>
  <c r="E161" i="31" s="1"/>
  <c r="E160" i="31"/>
  <c r="E159" i="31"/>
  <c r="C157" i="31"/>
  <c r="C116" i="31" s="1"/>
  <c r="E156" i="31"/>
  <c r="E155" i="31"/>
  <c r="E154" i="31"/>
  <c r="E153" i="31"/>
  <c r="E152" i="31"/>
  <c r="E151" i="31"/>
  <c r="E150" i="31"/>
  <c r="E149" i="31"/>
  <c r="C148" i="31"/>
  <c r="E148" i="31" s="1"/>
  <c r="E147" i="31"/>
  <c r="E146" i="31"/>
  <c r="A137" i="31"/>
  <c r="A131" i="31"/>
  <c r="A126" i="31"/>
  <c r="A121" i="31"/>
  <c r="A116" i="31"/>
  <c r="D90" i="31"/>
  <c r="D72" i="31" s="1"/>
  <c r="F77" i="31"/>
  <c r="D64" i="31"/>
  <c r="D26" i="31"/>
  <c r="D35" i="31" s="1"/>
  <c r="D20" i="31"/>
  <c r="D90" i="30"/>
  <c r="D72" i="30"/>
  <c r="E179" i="30"/>
  <c r="D84" i="30"/>
  <c r="E203" i="30"/>
  <c r="E190" i="30"/>
  <c r="E177" i="30"/>
  <c r="E164" i="30"/>
  <c r="E151" i="30"/>
  <c r="C142" i="30"/>
  <c r="A137" i="30"/>
  <c r="A131" i="30"/>
  <c r="A126" i="30"/>
  <c r="A121" i="30"/>
  <c r="A116" i="30"/>
  <c r="C173" i="30"/>
  <c r="C174" i="30" s="1"/>
  <c r="C209" i="30"/>
  <c r="C137" i="30" s="1"/>
  <c r="E208" i="30"/>
  <c r="E207" i="30"/>
  <c r="E206" i="30"/>
  <c r="E205" i="30"/>
  <c r="E204" i="30"/>
  <c r="E202" i="30"/>
  <c r="E201" i="30"/>
  <c r="E200" i="30"/>
  <c r="E199" i="30"/>
  <c r="C138" i="30" s="1"/>
  <c r="E198" i="30"/>
  <c r="C196" i="30"/>
  <c r="C131" i="30" s="1"/>
  <c r="E195" i="30"/>
  <c r="E194" i="30"/>
  <c r="C136" i="30" s="1"/>
  <c r="E193" i="30"/>
  <c r="C135" i="30" s="1"/>
  <c r="E192" i="30"/>
  <c r="E191" i="30"/>
  <c r="E189" i="30"/>
  <c r="E188" i="30"/>
  <c r="C134" i="30" s="1"/>
  <c r="C187" i="30"/>
  <c r="E187" i="30" s="1"/>
  <c r="E186" i="30"/>
  <c r="E185" i="30"/>
  <c r="C161" i="30"/>
  <c r="E148" i="30"/>
  <c r="E147" i="30"/>
  <c r="D64" i="30"/>
  <c r="C132" i="31" l="1"/>
  <c r="C117" i="31"/>
  <c r="C122" i="31"/>
  <c r="C128" i="31"/>
  <c r="C133" i="31"/>
  <c r="C139" i="31"/>
  <c r="C125" i="31"/>
  <c r="D41" i="31"/>
  <c r="D42" i="31" s="1"/>
  <c r="E183" i="31"/>
  <c r="C118" i="31"/>
  <c r="C123" i="31"/>
  <c r="C129" i="31"/>
  <c r="C124" i="31"/>
  <c r="E157" i="31"/>
  <c r="C140" i="31"/>
  <c r="E26" i="31"/>
  <c r="C120" i="31"/>
  <c r="E170" i="31"/>
  <c r="C130" i="31"/>
  <c r="D39" i="31"/>
  <c r="E39" i="31" s="1"/>
  <c r="C134" i="31"/>
  <c r="C119" i="31"/>
  <c r="E196" i="31"/>
  <c r="E209" i="31"/>
  <c r="C114" i="31"/>
  <c r="E173" i="31"/>
  <c r="C127" i="31" s="1"/>
  <c r="E209" i="30"/>
  <c r="C117" i="30"/>
  <c r="C140" i="30"/>
  <c r="C132" i="30"/>
  <c r="C139" i="30"/>
  <c r="C133" i="30"/>
  <c r="E196" i="30"/>
  <c r="D26" i="30"/>
  <c r="E26" i="30" s="1"/>
  <c r="C183" i="30"/>
  <c r="C126" i="30" s="1"/>
  <c r="E182" i="30"/>
  <c r="E181" i="30"/>
  <c r="E180" i="30"/>
  <c r="E178" i="30"/>
  <c r="E176" i="30"/>
  <c r="E175" i="30"/>
  <c r="E174" i="30"/>
  <c r="E173" i="30"/>
  <c r="C127" i="30" s="1"/>
  <c r="E172" i="30"/>
  <c r="C170" i="30"/>
  <c r="C121" i="30" s="1"/>
  <c r="C157" i="30"/>
  <c r="C116" i="30" s="1"/>
  <c r="E169" i="30"/>
  <c r="E168" i="30"/>
  <c r="E167" i="30"/>
  <c r="E166" i="30"/>
  <c r="E165" i="30"/>
  <c r="E163" i="30"/>
  <c r="E162" i="30"/>
  <c r="E161" i="30"/>
  <c r="E160" i="30"/>
  <c r="C122" i="30" s="1"/>
  <c r="E159" i="30"/>
  <c r="E153" i="30"/>
  <c r="E152" i="30"/>
  <c r="E150" i="30"/>
  <c r="E149" i="30"/>
  <c r="D137" i="31" l="1"/>
  <c r="F137" i="31" s="1"/>
  <c r="D131" i="31"/>
  <c r="F131" i="31" s="1"/>
  <c r="C110" i="31"/>
  <c r="D44" i="31" s="1"/>
  <c r="D121" i="31"/>
  <c r="F121" i="31" s="1"/>
  <c r="C111" i="31"/>
  <c r="D43" i="31" s="1"/>
  <c r="D38" i="31"/>
  <c r="C112" i="31"/>
  <c r="D46" i="31" s="1"/>
  <c r="D86" i="31" s="1"/>
  <c r="D116" i="31"/>
  <c r="F116" i="31" s="1"/>
  <c r="D126" i="31"/>
  <c r="F126" i="31" s="1"/>
  <c r="C109" i="31"/>
  <c r="D137" i="30"/>
  <c r="F137" i="30" s="1"/>
  <c r="C124" i="30"/>
  <c r="C125" i="30"/>
  <c r="C123" i="30"/>
  <c r="D121" i="30" s="1"/>
  <c r="C128" i="30"/>
  <c r="C129" i="30"/>
  <c r="E170" i="30"/>
  <c r="E183" i="30"/>
  <c r="C109" i="30"/>
  <c r="D131" i="30"/>
  <c r="F131" i="30" s="1"/>
  <c r="D41" i="30"/>
  <c r="C130" i="30"/>
  <c r="C119" i="30"/>
  <c r="F77" i="30"/>
  <c r="F108" i="31" l="1"/>
  <c r="E100" i="31"/>
  <c r="D100" i="31" s="1"/>
  <c r="C107" i="31"/>
  <c r="D33" i="31" s="1"/>
  <c r="D96" i="31" s="1"/>
  <c r="E96" i="31" s="1"/>
  <c r="F121" i="30"/>
  <c r="C111" i="30"/>
  <c r="D43" i="30" s="1"/>
  <c r="D126" i="30"/>
  <c r="F126" i="30" s="1"/>
  <c r="D97" i="31" l="1"/>
  <c r="E97" i="31" s="1"/>
  <c r="D50" i="31" s="1"/>
  <c r="D54" i="31"/>
  <c r="D34" i="31"/>
  <c r="D27" i="31" s="1"/>
  <c r="D53" i="31"/>
  <c r="C113" i="31"/>
  <c r="D49" i="31"/>
  <c r="D95" i="31"/>
  <c r="E95" i="31" s="1"/>
  <c r="D48" i="31"/>
  <c r="D44" i="30"/>
  <c r="E100" i="30" s="1"/>
  <c r="D100" i="30" s="1"/>
  <c r="D81" i="31" l="1"/>
  <c r="D56" i="31" s="1"/>
  <c r="D75" i="31"/>
  <c r="D59" i="31"/>
  <c r="D79" i="31" s="1"/>
  <c r="D60" i="31"/>
  <c r="D78" i="31" s="1"/>
  <c r="D77" i="31" s="1"/>
  <c r="D61" i="31"/>
  <c r="D28" i="31" s="1"/>
  <c r="D55" i="31"/>
  <c r="E56" i="31"/>
  <c r="E27" i="31"/>
  <c r="D47" i="31"/>
  <c r="D45" i="31" s="1"/>
  <c r="D83" i="31"/>
  <c r="D87" i="31" s="1"/>
  <c r="D20" i="30"/>
  <c r="E60" i="31" l="1"/>
  <c r="F60" i="31" s="1"/>
  <c r="E59" i="31"/>
  <c r="E61" i="31"/>
  <c r="F61" i="31" s="1"/>
  <c r="D80" i="31"/>
  <c r="D74" i="31" s="1"/>
  <c r="D65" i="31"/>
  <c r="D71" i="31"/>
  <c r="E28" i="31"/>
  <c r="D88" i="31"/>
  <c r="D92" i="31"/>
  <c r="C108" i="31" s="1"/>
  <c r="D103" i="31"/>
  <c r="D67" i="31"/>
  <c r="E99" i="31"/>
  <c r="D99" i="31" s="1"/>
  <c r="D68" i="31"/>
  <c r="D29" i="31"/>
  <c r="D42" i="30"/>
  <c r="E156" i="30"/>
  <c r="E155" i="30"/>
  <c r="E154" i="30"/>
  <c r="E146" i="30"/>
  <c r="D70" i="31" l="1"/>
  <c r="D69" i="31"/>
  <c r="D94" i="31"/>
  <c r="E91" i="31"/>
  <c r="D89" i="31"/>
  <c r="E89" i="31" s="1"/>
  <c r="E90" i="31"/>
  <c r="E157" i="30"/>
  <c r="D39" i="30"/>
  <c r="D38" i="30" s="1"/>
  <c r="C120" i="30"/>
  <c r="C112" i="30" s="1"/>
  <c r="E94" i="31" l="1"/>
  <c r="D98" i="31"/>
  <c r="D101" i="31" s="1"/>
  <c r="D116" i="30"/>
  <c r="F116" i="30" s="1"/>
  <c r="E39" i="30"/>
  <c r="C115" i="31" l="1"/>
  <c r="D31" i="31" s="1"/>
  <c r="E101" i="31"/>
  <c r="D51" i="31"/>
  <c r="E98" i="31"/>
  <c r="D33" i="30"/>
  <c r="D46" i="30"/>
  <c r="D86" i="30" s="1"/>
  <c r="D35" i="30"/>
  <c r="D32" i="31" l="1"/>
  <c r="E35" i="31"/>
  <c r="E97" i="30"/>
  <c r="E96" i="30"/>
  <c r="D34" i="30"/>
  <c r="D55" i="30" l="1"/>
  <c r="D50" i="30"/>
  <c r="D27" i="30"/>
  <c r="E27" i="30" s="1"/>
  <c r="D61" i="30"/>
  <c r="D65" i="30" s="1"/>
  <c r="D60" i="30"/>
  <c r="F60" i="30" s="1"/>
  <c r="E59" i="30"/>
  <c r="E61" i="30" l="1"/>
  <c r="F61" i="30" s="1"/>
  <c r="D28" i="30"/>
  <c r="D71" i="30" s="1"/>
  <c r="E56" i="30" l="1"/>
  <c r="D81" i="30"/>
  <c r="D56" i="30" s="1"/>
  <c r="D95" i="30"/>
  <c r="E95" i="30" s="1"/>
  <c r="E28" i="30"/>
  <c r="D29" i="30"/>
  <c r="D83" i="30" l="1"/>
  <c r="D85" i="30" s="1"/>
  <c r="D87" i="30" s="1"/>
  <c r="D92" i="30" s="1"/>
  <c r="D45" i="30"/>
  <c r="E99" i="30" s="1"/>
  <c r="D99" i="30" s="1"/>
  <c r="C108" i="30" l="1"/>
  <c r="D103" i="30"/>
  <c r="D68" i="30"/>
  <c r="D69" i="30" s="1"/>
  <c r="D67" i="30"/>
  <c r="D88" i="30"/>
  <c r="D70" i="30" l="1"/>
  <c r="E91" i="30"/>
  <c r="D89" i="30"/>
  <c r="E89" i="30" s="1"/>
  <c r="D94" i="30"/>
  <c r="D98" i="30" s="1"/>
  <c r="E90" i="30"/>
  <c r="C115" i="30" l="1"/>
  <c r="E101" i="30"/>
  <c r="E94" i="30"/>
  <c r="D51" i="30" s="1"/>
  <c r="D31" i="30" l="1"/>
  <c r="D32" i="30" s="1"/>
  <c r="E98" i="30"/>
  <c r="E35" i="3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<sst xmlns="http://schemas.openxmlformats.org/spreadsheetml/2006/main" count="1023" uniqueCount="450">
  <si>
    <t>%</t>
  </si>
  <si>
    <t>M2</t>
  </si>
  <si>
    <t>Área total construida</t>
  </si>
  <si>
    <t>Has</t>
  </si>
  <si>
    <t>USOS</t>
  </si>
  <si>
    <t>No. PISOS</t>
  </si>
  <si>
    <t>ÁREA *PISOS</t>
  </si>
  <si>
    <t>ÁREA</t>
  </si>
  <si>
    <t>Viviendas/Hectárea útil</t>
  </si>
  <si>
    <t>COP</t>
  </si>
  <si>
    <t>Identificador único de la manzana</t>
  </si>
  <si>
    <t>COD.</t>
  </si>
  <si>
    <t>UND</t>
  </si>
  <si>
    <t xml:space="preserve">Tipología arquitectónica </t>
  </si>
  <si>
    <t>Número de pisos promedio</t>
  </si>
  <si>
    <t xml:space="preserve">ESTACIONAMIENTOS </t>
  </si>
  <si>
    <t>Área del Predio - AT</t>
  </si>
  <si>
    <t>EQUIPAMIENTO COMUNAL PRIVADO</t>
  </si>
  <si>
    <t>UPL</t>
  </si>
  <si>
    <t xml:space="preserve">Número de apartamentos VIS (42m2)                                                    </t>
  </si>
  <si>
    <t xml:space="preserve">Número de apartamentos VIP  (42m2) </t>
  </si>
  <si>
    <t xml:space="preserve">APORTE TOTAL EN DINERO </t>
  </si>
  <si>
    <t>TEUSAQUILLO</t>
  </si>
  <si>
    <t>Incentivos reactivación económica Post-COVID 19 AAEND</t>
  </si>
  <si>
    <t>Incentivos reactivación económica Post-COVID 19 AAGSM</t>
  </si>
  <si>
    <t xml:space="preserve">UPL </t>
  </si>
  <si>
    <t>TORCA</t>
  </si>
  <si>
    <t>TOBERÍN</t>
  </si>
  <si>
    <t>BRITALIA</t>
  </si>
  <si>
    <t>SUBA</t>
  </si>
  <si>
    <t>TIBABUYES</t>
  </si>
  <si>
    <t>RINCÓN DE SUBA</t>
  </si>
  <si>
    <t>NIZA</t>
  </si>
  <si>
    <t>USAQUÉN</t>
  </si>
  <si>
    <t>CHAPINERO</t>
  </si>
  <si>
    <t>BARRIOS UNIDOS</t>
  </si>
  <si>
    <t>TABORA</t>
  </si>
  <si>
    <t>FONTIBÓN</t>
  </si>
  <si>
    <t>SALITRE</t>
  </si>
  <si>
    <t xml:space="preserve">TINTAL </t>
  </si>
  <si>
    <t>PUENTE ARANDA</t>
  </si>
  <si>
    <t>CENTRO HISTÓRICO</t>
  </si>
  <si>
    <t>KENNEDY</t>
  </si>
  <si>
    <t>PATIO BONITO</t>
  </si>
  <si>
    <t>PORVENIR</t>
  </si>
  <si>
    <t>EDÉN</t>
  </si>
  <si>
    <t>BOSA</t>
  </si>
  <si>
    <t>ARBORIZADORA</t>
  </si>
  <si>
    <t>TUNJUELITO</t>
  </si>
  <si>
    <t xml:space="preserve">RESTREPO </t>
  </si>
  <si>
    <t>SAN CRISTÓBAL</t>
  </si>
  <si>
    <t>ENTRENUBES</t>
  </si>
  <si>
    <t>RAFAEL URIBE</t>
  </si>
  <si>
    <t>LUCERO</t>
  </si>
  <si>
    <t xml:space="preserve">USME </t>
  </si>
  <si>
    <t>SUMAPAZ</t>
  </si>
  <si>
    <t>ÁREA DE ACTIVIDAD</t>
  </si>
  <si>
    <t>No. MODELACIÓN</t>
  </si>
  <si>
    <t>TRATAMIENTO DE RENOVACIÓN URBANA</t>
  </si>
  <si>
    <t xml:space="preserve">REVITALIZACIÓN POR LICENCIAMIENTO </t>
  </si>
  <si>
    <t xml:space="preserve">REVITALIZACIÓN POR PLAN PARCIAL </t>
  </si>
  <si>
    <t>RENOVACIÓN URBANA</t>
  </si>
  <si>
    <t>Área de Actividad Grandes Servicios Metropolitanos - AAGSM</t>
  </si>
  <si>
    <t>Área de Actividad Estructurante - AAE - Receptora de actividades económicas</t>
  </si>
  <si>
    <t>Área de Actividad Estructurante - AAE - Receptora de vivienda de interés social</t>
  </si>
  <si>
    <t>Área de Actividad de Proximidad - AAP - Receptora de soportes urbanos</t>
  </si>
  <si>
    <t>Área de Actividad de Proximidad - AAP- Generadora de soportes urbanos</t>
  </si>
  <si>
    <t xml:space="preserve">Malla vial </t>
  </si>
  <si>
    <t>ÁREA CONSTRUIDA</t>
  </si>
  <si>
    <t>Vivienda NO VIS/VIP</t>
  </si>
  <si>
    <t>Número de habitantes aproximados</t>
  </si>
  <si>
    <t>Residencial NO VIS/VIP</t>
  </si>
  <si>
    <t>Residencial  NO VIS/VIP</t>
  </si>
  <si>
    <t>TOTAL ÁREA EQUIPAMIENTO COMUNAL</t>
  </si>
  <si>
    <t>Zonas verdes y recreativas en áreas libres</t>
  </si>
  <si>
    <t>Servicios comunales en áreas construidas</t>
  </si>
  <si>
    <t xml:space="preserve">TOTAL ESTACIONAMIENTOS </t>
  </si>
  <si>
    <t>**NÚMERO SÓTANOS</t>
  </si>
  <si>
    <t>Dirección</t>
  </si>
  <si>
    <t>Loteo con antejardín</t>
  </si>
  <si>
    <t xml:space="preserve">Número de apartamentos NO VIS/VIP (42m2) </t>
  </si>
  <si>
    <t>Índice de Ocupación I.O</t>
  </si>
  <si>
    <t xml:space="preserve">No. </t>
  </si>
  <si>
    <t>Englobe (número de lotes)</t>
  </si>
  <si>
    <t xml:space="preserve">Moradores iniciales aproximados  </t>
  </si>
  <si>
    <t>(IDECA 2020)</t>
  </si>
  <si>
    <t xml:space="preserve">Número de predios incluidos en el proyectos </t>
  </si>
  <si>
    <t>GESTIÓN INTEGRAL DE RESIDUOS</t>
  </si>
  <si>
    <t xml:space="preserve">Sistema de gestión integral de residuos </t>
  </si>
  <si>
    <t>ENGATIVÁ</t>
  </si>
  <si>
    <t>No</t>
  </si>
  <si>
    <t>ÁREA INTEGRADORA MULTIMODAL -AIM</t>
  </si>
  <si>
    <t xml:space="preserve">Espacio público a reconfigurar </t>
  </si>
  <si>
    <t xml:space="preserve">Afectación o reserva vial </t>
  </si>
  <si>
    <t>Factor de cálculo para pago compensatorio en dinero (Fd)</t>
  </si>
  <si>
    <t>Área útil resultante</t>
  </si>
  <si>
    <t>Índice de Construcción total</t>
  </si>
  <si>
    <t>Índice básico de Construcción (IC base)</t>
  </si>
  <si>
    <t>Índice Efectivo ICe</t>
  </si>
  <si>
    <t>Artículo 266</t>
  </si>
  <si>
    <t>Artículo 311  </t>
  </si>
  <si>
    <t>Valor comercial de referencia del predio (Vref)</t>
  </si>
  <si>
    <t>Artículo 309</t>
  </si>
  <si>
    <t xml:space="preserve">Obligación e incentivos
Artículo 314 </t>
  </si>
  <si>
    <t>D43*0,4 (Art .316)</t>
  </si>
  <si>
    <t>D43*0,25 (Art .316)</t>
  </si>
  <si>
    <t>Área del predio para cálculo de la obligaciones urbanísticas</t>
  </si>
  <si>
    <t>Factor de cálculo de la cesión en suelo para espacio público en sitio (Fep)</t>
  </si>
  <si>
    <t>Factor de cálculo para obligación en suelo (Fs)</t>
  </si>
  <si>
    <t>Artículo 310_6  </t>
  </si>
  <si>
    <t>Artículo 310_7</t>
  </si>
  <si>
    <t>APORTES EN DINERO</t>
  </si>
  <si>
    <t xml:space="preserve">Control ambiental </t>
  </si>
  <si>
    <t xml:space="preserve">Área de encuentro </t>
  </si>
  <si>
    <t>Área a ceder en suelo para equipamiento PP (ACES)</t>
  </si>
  <si>
    <t>Área a ceder en suelo para espacio público (CS)</t>
  </si>
  <si>
    <t>IC &gt; 6,0 - 7.0 pasa a PP</t>
  </si>
  <si>
    <t>OBLIGACIÓN VIS/VIP</t>
  </si>
  <si>
    <t>Artículo 314</t>
  </si>
  <si>
    <t>Porcentajes obligatorios para la construcción de VIS (15%)</t>
  </si>
  <si>
    <t>Porcentajes obligatorios para la construcción de VIP (10%)</t>
  </si>
  <si>
    <t>Aporte compensatorio en Dinero - CSp (Fd)</t>
  </si>
  <si>
    <t>Aporte en dinero de espacio público con destinación específica (EP)</t>
  </si>
  <si>
    <t>Aporte en dinero para redes de servicios públicos locales (OSP)</t>
  </si>
  <si>
    <t>Compra de derechos fiduciarios en los portafolios (VIS/VIP)</t>
  </si>
  <si>
    <t>Artículo 315_4</t>
  </si>
  <si>
    <t>Traslado a UPL (VIS/VIP)</t>
  </si>
  <si>
    <t>Artículo 315_3</t>
  </si>
  <si>
    <t>Área total obligación VIS/VIP en sitio</t>
  </si>
  <si>
    <t>Valor comercial de referencia del predio traslado VIS/VIP (Vref)</t>
  </si>
  <si>
    <t xml:space="preserve">Área total obligación VIS/VIP </t>
  </si>
  <si>
    <t>OBLIGACIÓN CESIONES ESPACIO PÚBLICO</t>
  </si>
  <si>
    <t>Artículo 158</t>
  </si>
  <si>
    <t>A2/L6/L7 (Artículo 158)</t>
  </si>
  <si>
    <t>Artículo 413</t>
  </si>
  <si>
    <t>USO</t>
  </si>
  <si>
    <t xml:space="preserve">Primer nivel </t>
  </si>
  <si>
    <t xml:space="preserve">comercio </t>
  </si>
  <si>
    <t xml:space="preserve">servicios </t>
  </si>
  <si>
    <t>ÁREA DEL PREDIO</t>
  </si>
  <si>
    <t>ÍNDICES DE CONSTRUCCIÓN</t>
  </si>
  <si>
    <t>Equipamiento comunal privado (incluye acceso)</t>
  </si>
  <si>
    <t xml:space="preserve">segundo nivel </t>
  </si>
  <si>
    <t>PRODUCTOS INMOBILIARIOS Y COMERCIALES</t>
  </si>
  <si>
    <t xml:space="preserve">Número total de apartamentos (42m2) </t>
  </si>
  <si>
    <t>Área comercial vendible (aprox)</t>
  </si>
  <si>
    <t>Área servicios vendible (aprox)</t>
  </si>
  <si>
    <t>Altura en pisos por torre</t>
  </si>
  <si>
    <t>Pisos habitables por torre</t>
  </si>
  <si>
    <t>Artículo 409</t>
  </si>
  <si>
    <t xml:space="preserve">Número de apartamentos  VIS/VIP (42m2) </t>
  </si>
  <si>
    <t>RESUMEN ÁREAS POR TORRE</t>
  </si>
  <si>
    <t>ÁREA TOTAL CONSTRUIDO USOS PARA ICe</t>
  </si>
  <si>
    <t>Residencial  VIS/VIP</t>
  </si>
  <si>
    <t>Patios interiores</t>
  </si>
  <si>
    <t xml:space="preserve">cubiertas </t>
  </si>
  <si>
    <t xml:space="preserve">Vivienda VIS/VIP hasta 150 unidades </t>
  </si>
  <si>
    <t>Artículo 408</t>
  </si>
  <si>
    <t>Estacionamientos adicionales para visitantes (art. 409)</t>
  </si>
  <si>
    <t>ÁREA TOTAL CONSTRUIDA TORRES</t>
  </si>
  <si>
    <t>Sótanos</t>
  </si>
  <si>
    <t>Equipamiento comunal privado</t>
  </si>
  <si>
    <t>Edificabilidad efectiva (ICe)</t>
  </si>
  <si>
    <t>Edificabilidad base (Ic base)</t>
  </si>
  <si>
    <t>Área ocupada primer piso</t>
  </si>
  <si>
    <t>ÍNDICE DE OCUPACIÓN  I.O</t>
  </si>
  <si>
    <t>INDICADORES DE ESPACIO PÚBLICO Y DENSIDAD</t>
  </si>
  <si>
    <t xml:space="preserve">Espacio público producto de la cesión urbanística </t>
  </si>
  <si>
    <t>Espacio privado afecto al uso público - APAUP</t>
  </si>
  <si>
    <t>M3</t>
  </si>
  <si>
    <t>Indicador de espacio público por habitante (público)</t>
  </si>
  <si>
    <t>Indicadores de espacio público total y efectivo  (privado + público)</t>
  </si>
  <si>
    <t>Artículo 132</t>
  </si>
  <si>
    <t>Estacionamientos % área mínima (art. 424)</t>
  </si>
  <si>
    <t>Estacionamientos % área máxima (art. 424)</t>
  </si>
  <si>
    <t>Estacionamientos % área adicional (art. 424)</t>
  </si>
  <si>
    <t>Artículo 425_1  </t>
  </si>
  <si>
    <t xml:space="preserve">pago compensatorio por m2 adicional destinado a estacionamientos </t>
  </si>
  <si>
    <t xml:space="preserve">Número de estacionamientos privados vendibles </t>
  </si>
  <si>
    <t>obligación vis/vip sobre el %</t>
  </si>
  <si>
    <t>Medidas para el fomento del uso de la bici vivienda (art.426)</t>
  </si>
  <si>
    <t>Medidas para el fomento del uso de la bici otros usos (art.426)</t>
  </si>
  <si>
    <t>Artículo 193</t>
  </si>
  <si>
    <t>APROVECHAMIENTO POR TORRE</t>
  </si>
  <si>
    <t>Residencial  VIS/VIP (obligación)</t>
  </si>
  <si>
    <t>CL 72 C 15</t>
  </si>
  <si>
    <t>2 a 4</t>
  </si>
  <si>
    <t xml:space="preserve">Control ambiental para epacio público </t>
  </si>
  <si>
    <t>TORRE A</t>
  </si>
  <si>
    <t>TORRE B</t>
  </si>
  <si>
    <t>TORRE C</t>
  </si>
  <si>
    <t>TORRE D</t>
  </si>
  <si>
    <t>TORRE E</t>
  </si>
  <si>
    <t>Residencial VIS/VIP</t>
  </si>
  <si>
    <t>Residencial   VIS/VIP</t>
  </si>
  <si>
    <t>TOTAL ÁREA CONSTRUIDA TORRE A</t>
  </si>
  <si>
    <t>TOTAL ÁREA CONSTRUIDA TORRE B</t>
  </si>
  <si>
    <t>TOTAL ÁREA CONSTRUIDA TORRE C</t>
  </si>
  <si>
    <t>TOTAL ÁREA CONSTRUIDA TORRE D</t>
  </si>
  <si>
    <t>TOTAL ÁREA CONSTRUIDA TORRE E</t>
  </si>
  <si>
    <t xml:space="preserve">Servicios </t>
  </si>
  <si>
    <t xml:space="preserve">Comercio </t>
  </si>
  <si>
    <t>Equipamiento comunal privado (OBLIGACIÓN)</t>
  </si>
  <si>
    <t>Residencial  VIS/VIP (TORRE D - E)</t>
  </si>
  <si>
    <t xml:space="preserve">Número de estacionamientos comunales no vendibles </t>
  </si>
  <si>
    <t xml:space="preserve">Vivienda VIS/VIP más 150 unidades </t>
  </si>
  <si>
    <t>Total unidades de vivienda VIS/VIP</t>
  </si>
  <si>
    <t>Equipamiento comunal privado cubierto  (TORRES)</t>
  </si>
  <si>
    <t xml:space="preserve">Antejardines, zonas verdes privadas o plazoletas </t>
  </si>
  <si>
    <t>1a</t>
  </si>
  <si>
    <t>Artículo 435/625</t>
  </si>
  <si>
    <t xml:space="preserve">Incentivo </t>
  </si>
  <si>
    <t>RESOLUCION 244 DE 2020</t>
  </si>
  <si>
    <t xml:space="preserve">Area Construida </t>
  </si>
  <si>
    <t xml:space="preserve">CAPITULOS </t>
  </si>
  <si>
    <t>ETAPA 1</t>
  </si>
  <si>
    <t>Indexacion 2019</t>
  </si>
  <si>
    <t xml:space="preserve">Ppto Base </t>
  </si>
  <si>
    <t xml:space="preserve">Ppto Proyectado </t>
  </si>
  <si>
    <t xml:space="preserve">Diferencia </t>
  </si>
  <si>
    <t>Valor Capitulo Et 2</t>
  </si>
  <si>
    <t xml:space="preserve">Valor M2 </t>
  </si>
  <si>
    <t>CAPITULO No. 2  OBRAS PRELIMINARES</t>
  </si>
  <si>
    <t>CAPITULO No. 3  MOVIMIENTO DE TIERRAS</t>
  </si>
  <si>
    <t>CAPITULO No. 4  CIMENTACION</t>
  </si>
  <si>
    <t>CAPITULO No. 5  ESTRUCTURA</t>
  </si>
  <si>
    <t>CAPITULO No. 6  CUBIERTAS</t>
  </si>
  <si>
    <t>CAPITULO No. 7  MAMPOSTERIA</t>
  </si>
  <si>
    <t>CAPITULO No. 9  INSTALACIONES HIDROSANITARIAS - GAS</t>
  </si>
  <si>
    <t>CAPITULO No. 10  INSTALACIONES ELECTRICAS</t>
  </si>
  <si>
    <t>CAPITULO No. 11  VENTILACION MECANICA - SISTEMAS EXTRACCION</t>
  </si>
  <si>
    <t>CAPITULO No. 12  PAÑETES - REVOQUES</t>
  </si>
  <si>
    <t>CAPITULO No. 13  ENCHAPES - PORCELANATOS</t>
  </si>
  <si>
    <t>CAPITULO No. 14  PISOS ACABADOS</t>
  </si>
  <si>
    <t>CAPITULO No. 15  CARPINTERIA MADERA</t>
  </si>
  <si>
    <t>CAPITULO No. 16  CARPINTERIA METALICA</t>
  </si>
  <si>
    <t>CAPITULO No. 17  RESANES (OW)</t>
  </si>
  <si>
    <t>CAPITULO No. 18  EQUIPOS SERVICIO - GAS y ELECTRO-DOMESTICOS</t>
  </si>
  <si>
    <t>CAPITULO No. 19  APARATOS SANITARIOS Y GRIFERIAS</t>
  </si>
  <si>
    <t>CAPITULO No. 20  EQUIPOS ESPECIALES</t>
  </si>
  <si>
    <t>CAPITULO No. 21  PINTURA</t>
  </si>
  <si>
    <t>CAPITULO No. 22  IMPERMEABILIZACIONES</t>
  </si>
  <si>
    <t>CAPITULO No. 23  VIDRIOS - ESPEJOS</t>
  </si>
  <si>
    <t>CAPITULO No. 24  CERRADURAS - HERRAJES</t>
  </si>
  <si>
    <t>CAPITULO No. 25  CUBIERTA VERDE - PAISAJISMO</t>
  </si>
  <si>
    <t>CAPITULO No. 26  GIMNASIO</t>
  </si>
  <si>
    <t>CAPITULO No. 27  DOTACION SALA VISITAS - ZONAS COMUNES</t>
  </si>
  <si>
    <t>CAPITULO No. 28  ESPACIO INFANTIL - DOTACIONALES</t>
  </si>
  <si>
    <t>CAPITULO No. 29  URBANISMO - EXTERIORES</t>
  </si>
  <si>
    <t>CAPITULO No. 30  ASEO</t>
  </si>
  <si>
    <t>CAPITULO No. 31  EQUIPOS OBRA</t>
  </si>
  <si>
    <t>CAPITULO No. 32  GASTOS GENERALES</t>
  </si>
  <si>
    <t>CAPITULO No. 33  TRANSPORTES</t>
  </si>
  <si>
    <t>CAPITULO No. 34  ENTREGA APARTAMENTOS</t>
  </si>
  <si>
    <t>CAPITULO No. 38  PRUEBAS LABORATORIO</t>
  </si>
  <si>
    <t>CAPITULO No. 39  PERSONAL TEMPORAL</t>
  </si>
  <si>
    <t>CAPITULO No. 42  GASTOS PERSONAL</t>
  </si>
  <si>
    <t>CAPITULO No. 45  IMPREVISTOS - DIRECTOS</t>
  </si>
  <si>
    <t>CAPITULO No. 46  MODIFICACIONES</t>
  </si>
  <si>
    <t>CAPITULO No. 217  DEPRECIACIÓN</t>
  </si>
  <si>
    <t xml:space="preserve">Descripcion </t>
  </si>
  <si>
    <t xml:space="preserve">Valor Unitario </t>
  </si>
  <si>
    <t xml:space="preserve">AIU 15% + Interventoria de obra </t>
  </si>
  <si>
    <t xml:space="preserve">CD+ AIU </t>
  </si>
  <si>
    <t>Vivienda con Sotano</t>
  </si>
  <si>
    <t xml:space="preserve">Vivienda Sin Sotano </t>
  </si>
  <si>
    <t xml:space="preserve">Plataforma sin Sotano </t>
  </si>
  <si>
    <t xml:space="preserve">Comercio Zonal con sotano </t>
  </si>
  <si>
    <t xml:space="preserve">Comercio Vecinal sotano </t>
  </si>
  <si>
    <t xml:space="preserve">Bodegas con sotano </t>
  </si>
  <si>
    <t xml:space="preserve">Oficinas con sotano </t>
  </si>
  <si>
    <t xml:space="preserve">Servicio Automotriz con sotano </t>
  </si>
  <si>
    <t>Vlr m2 SOTANOS (1 NIVELES)</t>
  </si>
  <si>
    <t>Vlr m2 SOTANOS (2 NIVELES)</t>
  </si>
  <si>
    <t>Vlr m2 SOTANOS (3 NIVELES)</t>
  </si>
  <si>
    <t>Vlr m2 SOTANOS (4 NIVELES)</t>
  </si>
  <si>
    <t>Vivienda sin  Sotano</t>
  </si>
  <si>
    <t xml:space="preserve">Comercio Zonal sin sotano </t>
  </si>
  <si>
    <t xml:space="preserve">Comercio Vecinal sin sotano </t>
  </si>
  <si>
    <t>Bodegas sin sotano</t>
  </si>
  <si>
    <t xml:space="preserve">Oficinas sin sotano </t>
  </si>
  <si>
    <t xml:space="preserve">Servicio Automotriz </t>
  </si>
  <si>
    <t>SMMLV</t>
  </si>
  <si>
    <t>&lt;= 1000 m2</t>
  </si>
  <si>
    <t>&gt; 1000 m2</t>
  </si>
  <si>
    <t>OBLIGACION Y APORTE EDIFICABILIDAD PARA ESPACIO PUBLICO</t>
  </si>
  <si>
    <t>Ic</t>
  </si>
  <si>
    <r>
      <t xml:space="preserve">Factor suelo </t>
    </r>
    <r>
      <rPr>
        <b/>
        <sz val="11"/>
        <color theme="1"/>
        <rFont val="Calibri"/>
        <family val="2"/>
        <scheme val="minor"/>
      </rPr>
      <t>Fs</t>
    </r>
  </si>
  <si>
    <r>
      <t xml:space="preserve">Factor dinero </t>
    </r>
    <r>
      <rPr>
        <b/>
        <sz val="11"/>
        <color theme="1"/>
        <rFont val="Calibri"/>
        <family val="2"/>
        <scheme val="minor"/>
      </rPr>
      <t>Fd</t>
    </r>
  </si>
  <si>
    <t>APORTE EN SITIO EQUIPAMENTO EN PP</t>
  </si>
  <si>
    <t>IC</t>
  </si>
  <si>
    <t>APORTE</t>
  </si>
  <si>
    <t>CONSOLIDACION</t>
  </si>
  <si>
    <t xml:space="preserve">INCENTIVOS </t>
  </si>
  <si>
    <t>AAGSM</t>
  </si>
  <si>
    <t>AAEND</t>
  </si>
  <si>
    <t>REACTIVACION ECONOMICA POST COVID</t>
  </si>
  <si>
    <t>actividad de grandes servicios metropolitano</t>
  </si>
  <si>
    <t>ACTIVIDAD CONDICION DE SEGURIDAD</t>
  </si>
  <si>
    <t>actividad estructurante no deficitaria</t>
  </si>
  <si>
    <t>OBLIGACION VIP / VIS</t>
  </si>
  <si>
    <t>Vlr Catastral</t>
  </si>
  <si>
    <t>Vlr Comercial</t>
  </si>
  <si>
    <t>En sitio</t>
  </si>
  <si>
    <t>Traslado</t>
  </si>
  <si>
    <t>Pago</t>
  </si>
  <si>
    <t>PAQUETE VOLUNTARIO_ECOURBANISMO</t>
  </si>
  <si>
    <t>VIP</t>
  </si>
  <si>
    <t>VIS</t>
  </si>
  <si>
    <t>NO VIS 3-4</t>
  </si>
  <si>
    <t>NO VIS 5 - 6</t>
  </si>
  <si>
    <t>OFICINAS</t>
  </si>
  <si>
    <t>C_COMERCIALES</t>
  </si>
  <si>
    <t xml:space="preserve">HOTELES </t>
  </si>
  <si>
    <t>COLEGIOS</t>
  </si>
  <si>
    <t>HOSPITALES</t>
  </si>
  <si>
    <t>INCENTIVO</t>
  </si>
  <si>
    <t>HISTORICO SMMLV</t>
  </si>
  <si>
    <t>A1</t>
  </si>
  <si>
    <t>A2</t>
  </si>
  <si>
    <t>A1 X V1/V2</t>
  </si>
  <si>
    <t>V1</t>
  </si>
  <si>
    <t>V2</t>
  </si>
  <si>
    <t>4.5%</t>
  </si>
  <si>
    <t>4.6%</t>
  </si>
  <si>
    <t>7.0%</t>
  </si>
  <si>
    <t>PROMEDIO ULTIMOS 5 AÑOS</t>
  </si>
  <si>
    <t>AÑO</t>
  </si>
  <si>
    <t>INFLACIÓN</t>
  </si>
  <si>
    <t>INFINITUM 58 - OIKOS</t>
  </si>
  <si>
    <t>PRATTO</t>
  </si>
  <si>
    <t>VISSANI - INGEURBE</t>
  </si>
  <si>
    <t>PARAMETROS</t>
  </si>
  <si>
    <t>Av / Ac =</t>
  </si>
  <si>
    <t>Area del predio:</t>
  </si>
  <si>
    <t>A vivienda VIS/VIP</t>
  </si>
  <si>
    <t>Area Construida (Ic):</t>
  </si>
  <si>
    <t>A vivienda NO VIS</t>
  </si>
  <si>
    <t>&gt; Vlr Suelo:</t>
  </si>
  <si>
    <t>Valor ref. suelo</t>
  </si>
  <si>
    <t>APROVECHAMIENTOS</t>
  </si>
  <si>
    <t>UNIDADES</t>
  </si>
  <si>
    <t>VLR / Und</t>
  </si>
  <si>
    <t>VLR / M2</t>
  </si>
  <si>
    <t xml:space="preserve">VLR </t>
  </si>
  <si>
    <t>No VIS</t>
  </si>
  <si>
    <t>Comercio</t>
  </si>
  <si>
    <r>
      <t xml:space="preserve">1. </t>
    </r>
    <r>
      <rPr>
        <b/>
        <sz val="12"/>
        <color theme="4" tint="-0.249977111117893"/>
        <rFont val="Calibri (Cuerpo)"/>
      </rPr>
      <t>TOTAL APROVECHAMIENTO</t>
    </r>
  </si>
  <si>
    <t>COSTOS</t>
  </si>
  <si>
    <t>OBLIGACION Y APORTE POR EDIFICABILIDAD</t>
  </si>
  <si>
    <t>FACTORES</t>
  </si>
  <si>
    <t>Dotación Espacio Público</t>
  </si>
  <si>
    <t>UTILIDAD</t>
  </si>
  <si>
    <t>Obligación VIP</t>
  </si>
  <si>
    <t xml:space="preserve">Obligación VIS </t>
  </si>
  <si>
    <t>INCENTIVOS</t>
  </si>
  <si>
    <t>*AD</t>
  </si>
  <si>
    <t xml:space="preserve">Incentivos reactivación económica Post-COVID 19 </t>
  </si>
  <si>
    <t>COSTO DIRECTO</t>
  </si>
  <si>
    <t>&gt; Valor Ecourbanismo</t>
  </si>
  <si>
    <t>Equipamiento</t>
  </si>
  <si>
    <t>Sotano</t>
  </si>
  <si>
    <t>COSTOS INDIRECTOS</t>
  </si>
  <si>
    <t xml:space="preserve">Vts. / Hon. / Imp. / Fin. / </t>
  </si>
  <si>
    <t>2. TOTAL COSTOS</t>
  </si>
  <si>
    <r>
      <t xml:space="preserve">3. DIFERENCIA </t>
    </r>
    <r>
      <rPr>
        <b/>
        <sz val="11"/>
        <color theme="1"/>
        <rFont val="Calibri (Cuerpo)"/>
      </rPr>
      <t>(1 - 2)</t>
    </r>
  </si>
  <si>
    <t>4. UTILIDAD MÍNIMA</t>
  </si>
  <si>
    <t>5. VALOR SUELO (3 - 4)</t>
  </si>
  <si>
    <t>TABLA RESUMEN</t>
  </si>
  <si>
    <t>MODELACION 1A</t>
  </si>
  <si>
    <t>MODELACION 2A</t>
  </si>
  <si>
    <t>MODELACION 3B</t>
  </si>
  <si>
    <t>MODELACION 4B</t>
  </si>
  <si>
    <t>MODELACION 5A</t>
  </si>
  <si>
    <t>Ic :</t>
  </si>
  <si>
    <t>VLR M2</t>
  </si>
  <si>
    <t>INGRESO</t>
  </si>
  <si>
    <t>Viv VIP</t>
  </si>
  <si>
    <t>Viv VIS</t>
  </si>
  <si>
    <t>Viv NO VIS</t>
  </si>
  <si>
    <t>COMERCIO</t>
  </si>
  <si>
    <t>TOTAL</t>
  </si>
  <si>
    <t>OBLIGACIONES</t>
  </si>
  <si>
    <t>MARGEN DE UTILIDAD</t>
  </si>
  <si>
    <t>VLR RESIDUAL SUELO</t>
  </si>
  <si>
    <t>VLR REFERENCIA SUELO</t>
  </si>
  <si>
    <t>DIFERENCIA</t>
  </si>
  <si>
    <t>Fep</t>
  </si>
  <si>
    <t>Ind. Construcción</t>
  </si>
  <si>
    <r>
      <rPr>
        <b/>
        <sz val="11"/>
        <color theme="1"/>
        <rFont val="Calibri"/>
        <family val="2"/>
        <scheme val="minor"/>
      </rPr>
      <t xml:space="preserve">(CSs) </t>
    </r>
    <r>
      <rPr>
        <sz val="11"/>
        <color theme="1"/>
        <rFont val="Calibri"/>
        <family val="2"/>
        <scheme val="minor"/>
      </rPr>
      <t>Cesión suelo Espacio Público</t>
    </r>
  </si>
  <si>
    <t>AT x Fep =</t>
  </si>
  <si>
    <r>
      <rPr>
        <b/>
        <sz val="11"/>
        <color theme="1"/>
        <rFont val="Calibri"/>
        <family val="2"/>
        <scheme val="minor"/>
      </rPr>
      <t xml:space="preserve">(PD) </t>
    </r>
    <r>
      <rPr>
        <sz val="11"/>
        <color theme="1"/>
        <rFont val="Calibri"/>
        <family val="2"/>
        <scheme val="minor"/>
      </rPr>
      <t>Pago compensatorio en dinero</t>
    </r>
  </si>
  <si>
    <t>ART. 306</t>
  </si>
  <si>
    <t>ART. 307 -1</t>
  </si>
  <si>
    <t>ART. 307 -5</t>
  </si>
  <si>
    <t>(Vcomp) Valor Comp. CSs</t>
  </si>
  <si>
    <t>NO</t>
  </si>
  <si>
    <t>TRU 22JUL</t>
  </si>
  <si>
    <t>ART 311, ES EL 10% Y EL 20%</t>
  </si>
  <si>
    <t>ART. 307 -6</t>
  </si>
  <si>
    <r>
      <rPr>
        <b/>
        <sz val="11"/>
        <color theme="1"/>
        <rFont val="Calibri"/>
        <family val="2"/>
        <scheme val="minor"/>
      </rPr>
      <t xml:space="preserve">(OSP) </t>
    </r>
    <r>
      <rPr>
        <sz val="11"/>
        <color theme="1"/>
        <rFont val="Calibri"/>
        <family val="2"/>
        <scheme val="minor"/>
      </rPr>
      <t>Obligación redes servicios públicos EAAB</t>
    </r>
  </si>
  <si>
    <t>ART. 308</t>
  </si>
  <si>
    <r>
      <rPr>
        <b/>
        <sz val="11"/>
        <color theme="1"/>
        <rFont val="Calibri"/>
        <family val="2"/>
        <scheme val="minor"/>
      </rPr>
      <t xml:space="preserve">(ACES) </t>
    </r>
    <r>
      <rPr>
        <sz val="11"/>
        <color theme="1"/>
        <rFont val="Calibri"/>
        <family val="2"/>
        <scheme val="minor"/>
      </rPr>
      <t xml:space="preserve">Aporte en sitio equip en PP </t>
    </r>
  </si>
  <si>
    <t>ART. 310</t>
  </si>
  <si>
    <t>ART. 419</t>
  </si>
  <si>
    <t>Pago Compensatorio Parq. Adicionales</t>
  </si>
  <si>
    <t>CSp= AT x Fd =</t>
  </si>
  <si>
    <t>CS = AT x Fs =</t>
  </si>
  <si>
    <t>ART. 311</t>
  </si>
  <si>
    <t>FEDERMAN SQUARE</t>
  </si>
  <si>
    <t>Avaluo Catastral</t>
  </si>
  <si>
    <t>BURANO 54</t>
  </si>
  <si>
    <t>LIFE 72</t>
  </si>
  <si>
    <t>https://arquitecturayconcreto.com/proyectos/cundinamarca/life-72-apartamentos/?utm_source=FACEBOOK&amp;utm_medium=LG&amp;utm_campaign=LIFE-72_CLIENTES-POTENCIALES_DIC-2016_BOGOTA</t>
  </si>
  <si>
    <t>VOU BOGOTA</t>
  </si>
  <si>
    <t>https://www.edificiovou.com/apartamentos/#</t>
  </si>
  <si>
    <t>https://www.burano54.urban-living.com.co/</t>
  </si>
  <si>
    <t>GALERIAS</t>
  </si>
  <si>
    <t>EX VIURE</t>
  </si>
  <si>
    <t>https://eix.com.co/vivienda/viure/?utm_source=Facebook&amp;utm_medium=cpc&amp;utm_campaign=apartamentos&amp;fbclid=PAAaY3jijVLi61xKz7kxkw6Z59IWPN18Rk1anFq25jODtxAQB9VZ4VIw2CWtU</t>
  </si>
  <si>
    <t>https://www.lahaus.com/nuevo/reserva-central/bogota</t>
  </si>
  <si>
    <t>LAHAUS</t>
  </si>
  <si>
    <t>https://owly.com.co/tours/central/</t>
  </si>
  <si>
    <t>RESERVA CENTRAL</t>
  </si>
  <si>
    <t>https://www.udarapolo.com/</t>
  </si>
  <si>
    <t>Q</t>
  </si>
  <si>
    <t>QUINTA PAREDES</t>
  </si>
  <si>
    <t>CHICO</t>
  </si>
  <si>
    <t>EL POLO SOBRE LA SUBA</t>
  </si>
  <si>
    <t>UDARA</t>
  </si>
  <si>
    <t>CIUDAD SALITRE</t>
  </si>
  <si>
    <t>GREGAL</t>
  </si>
  <si>
    <t>MONTEVIDEO</t>
  </si>
  <si>
    <t>https://cusezar.com/proyectos/gregal-cuatro-vientos/</t>
  </si>
  <si>
    <t>Valor Com suelo</t>
  </si>
  <si>
    <t>VENTA VIS</t>
  </si>
  <si>
    <t xml:space="preserve">175 SMMLV </t>
  </si>
  <si>
    <t>90 SMMLV</t>
  </si>
  <si>
    <t>NO VIS</t>
  </si>
  <si>
    <t>Av: 42 M2</t>
  </si>
  <si>
    <t>Av: 25 M2</t>
  </si>
  <si>
    <t>$ 10.000 m2</t>
  </si>
  <si>
    <t>$ 9.000 m2</t>
  </si>
  <si>
    <t>$8.500 m2</t>
  </si>
  <si>
    <t>$ 11.000 m2</t>
  </si>
  <si>
    <t>DEMOLICIONES</t>
  </si>
  <si>
    <t>7. Diferencia Vlr  RESIDUAL - COMERCIAL  (5 - 6)</t>
  </si>
  <si>
    <t>Margen (7 / 6)</t>
  </si>
  <si>
    <t>8. UTILIDAD - PAGANDO SUELO  VLR COMERCIAL  (3 - 6)</t>
  </si>
  <si>
    <t xml:space="preserve">6. VALOR COMERCIAL PROYECTADO SUELO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</si>
</sst>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$&quot;#,##0;[Red]\-&quot;$&quot;#,##0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_-;\-* #,##0.0_-;_-* &quot;-&quot;_-;_-@_-"/>
    <numFmt numFmtId="165" formatCode="_-* #,##0.0_-;\-* #,##0.0_-;_-* &quot;-&quot;?_-;_-@_-"/>
    <numFmt numFmtId="166" formatCode="0.0"/>
    <numFmt numFmtId="167" formatCode="_-* #,##0.00_-;\-* #,##0.00_-;_-* &quot;-&quot;_-;_-@_-"/>
    <numFmt numFmtId="168" formatCode="_-* #,##0.00_-;\-* #,##0.00_-;_-* &quot;-&quot;?_-;_-@_-"/>
    <numFmt numFmtId="169" formatCode="_-* #,##0_-;\-* #,##0_-;_-* &quot;-&quot;??_-;_-@_-"/>
    <numFmt numFmtId="170" formatCode="_-&quot;$&quot;* #,##0_-;\-&quot;$&quot;* #,##0_-;_-&quot;$&quot;* &quot;-&quot;??_-;_-@_-"/>
    <numFmt numFmtId="171" formatCode="&quot;$&quot;\ \ #,##0\ &quot;m²&quot;"/>
    <numFmt numFmtId="172" formatCode="&quot;$&quot;\ #,##0;[Red]\-&quot;$&quot;\ #,##0"/>
    <numFmt numFmtId="173" formatCode="0.0%"/>
    <numFmt numFmtId="174" formatCode="#,##0\ &quot;m²&quot;"/>
    <numFmt numFmtId="175" formatCode="&quot;$&quot;\ #,##0;\-&quot;$&quot;#,##0"/>
    <numFmt numFmtId="176" formatCode="&quot;Av: &quot;#,##0\ &quot;m²&quot;"/>
    <numFmt numFmtId="177" formatCode="&quot;Ac: &quot;#,##0\ &quot;m²&quot;"/>
    <numFmt numFmtId="178" formatCode="&quot;Av: &quot;0\ &quot;m²&quot;"/>
    <numFmt numFmtId="179" formatCode="&quot;Av/Ac =&quot;\ 0.00%"/>
    <numFmt numFmtId="180" formatCode="#,##0.00\ &quot;m²&quot;"/>
    <numFmt numFmtId="181" formatCode="&quot;Ic= &quot;0.00"/>
    <numFmt numFmtId="182" formatCode="&quot;Fs : &quot;\ 0%"/>
    <numFmt numFmtId="183" formatCode="&quot;Fd : &quot;\ 0%"/>
    <numFmt numFmtId="184" formatCode="&quot;Vr: &quot;&quot;$&quot;\ #,##0\ &quot;m²&quot;"/>
    <numFmt numFmtId="185" formatCode="&quot;$&quot;\ \ #,##0.0\ &quot;m²&quot;"/>
    <numFmt numFmtId="186" formatCode="0%\ &quot;Ventas&quot;"/>
    <numFmt numFmtId="187" formatCode="0\ &quot;unds&quot;"/>
    <numFmt numFmtId="188" formatCode="&quot;Fep : &quot;\ 0%"/>
    <numFmt numFmtId="189" formatCode="&quot;*&quot;\ 0%\ &quot;* V_ref&quot;"/>
    <numFmt numFmtId="190" formatCode="&quot;$&quot;\ #,##0\ &quot;m²&quot;"/>
  </numFmts>
  <fonts count="6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Franklin Gothic Book"/>
      <family val="2"/>
    </font>
    <font>
      <b/>
      <sz val="10"/>
      <color theme="1"/>
      <name val="Franklin Gothic Book"/>
      <family val="2"/>
    </font>
    <font>
      <sz val="11"/>
      <color rgb="FF9C0006"/>
      <name val="Calibri"/>
      <family val="2"/>
      <scheme val="minor"/>
    </font>
    <font>
      <sz val="10"/>
      <color rgb="FF9C0006"/>
      <name val="Franklin Gothic Book"/>
      <family val="2"/>
    </font>
    <font>
      <b/>
      <sz val="10"/>
      <color theme="0"/>
      <name val="Franklin Gothic Book"/>
      <family val="2"/>
    </font>
    <font>
      <b/>
      <sz val="10"/>
      <color rgb="FFFFFF00"/>
      <name val="Franklin Gothic Book"/>
      <family val="2"/>
    </font>
    <font>
      <b/>
      <sz val="10"/>
      <color theme="9" tint="-0.249977111117893"/>
      <name val="Franklin Gothic Book"/>
      <family val="2"/>
    </font>
    <font>
      <b/>
      <sz val="10"/>
      <color rgb="FF0000FF"/>
      <name val="Franklin Gothic Book"/>
      <family val="2"/>
    </font>
    <font>
      <b/>
      <sz val="10"/>
      <color rgb="FF7030A0"/>
      <name val="Franklin Gothic Book"/>
      <family val="2"/>
    </font>
    <font>
      <sz val="10"/>
      <color rgb="FFFFFF00"/>
      <name val="Franklin Gothic Book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3"/>
      <color rgb="FF202122"/>
      <name val="Arial"/>
      <family val="2"/>
    </font>
    <font>
      <sz val="10"/>
      <color theme="0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432FF"/>
      <name val="Calibri"/>
      <family val="2"/>
      <scheme val="minor"/>
    </font>
    <font>
      <b/>
      <sz val="10"/>
      <color rgb="FF0432FF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 (Cuerpo)"/>
    </font>
    <font>
      <b/>
      <sz val="11"/>
      <color theme="4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1"/>
      <name val="Calibri (Cuerpo)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2"/>
      <color rgb="FF0432FF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7CE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lightUp">
        <fgColor rgb="FFC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hair">
        <color theme="7" tint="-0.499984740745262"/>
      </left>
      <right style="hair">
        <color theme="7" tint="-0.499984740745262"/>
      </right>
      <top style="hair">
        <color theme="7" tint="-0.499984740745262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24994659260841701"/>
      </bottom>
      <diagonal/>
    </border>
    <border>
      <left style="hair">
        <color theme="7" tint="-0.499984740745262"/>
      </left>
      <right style="hair">
        <color theme="7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7" tint="-0.499984740745262"/>
      </left>
      <right style="hair">
        <color theme="7" tint="-0.499984740745262"/>
      </right>
      <top style="thin">
        <color theme="0" tint="-0.24994659260841701"/>
      </top>
      <bottom style="hair">
        <color theme="7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12" borderId="0" applyNumberFormat="0" applyBorder="0" applyAlignment="0" applyProtection="0"/>
    <xf numFmtId="9" fontId="3" fillId="0" borderId="0" applyFont="0" applyFill="0" applyBorder="0" applyAlignment="0" applyProtection="0"/>
    <xf numFmtId="0" fontId="56" fillId="0" borderId="0" applyNumberFormat="0" applyFill="0" applyBorder="0" applyAlignment="0" applyProtection="0"/>
  </cellStyleXfs>
  <cellXfs count="726">
    <xf numFmtId="0" fontId="0" fillId="0" borderId="0" xfId="0"/>
    <xf numFmtId="164" fontId="0" fillId="0" borderId="1" xfId="1" applyNumberFormat="1" applyFont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3" borderId="4" xfId="0" applyFont="1" applyFill="1" applyBorder="1" applyAlignment="1">
      <alignment horizontal="right" vertical="center"/>
    </xf>
    <xf numFmtId="0" fontId="4" fillId="6" borderId="14" xfId="0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center" vertical="center"/>
    </xf>
    <xf numFmtId="1" fontId="5" fillId="5" borderId="10" xfId="0" applyNumberFormat="1" applyFont="1" applyFill="1" applyBorder="1" applyAlignment="1">
      <alignment horizontal="right" vertical="center" wrapText="1"/>
    </xf>
    <xf numFmtId="16" fontId="0" fillId="0" borderId="1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3" fillId="0" borderId="26" xfId="1" applyNumberFormat="1" applyFont="1" applyFill="1" applyBorder="1" applyAlignment="1">
      <alignment horizontal="right" vertical="center"/>
    </xf>
    <xf numFmtId="1" fontId="0" fillId="9" borderId="1" xfId="0" applyNumberFormat="1" applyFont="1" applyFill="1" applyBorder="1" applyAlignment="1">
      <alignment horizontal="right" vertical="center"/>
    </xf>
    <xf numFmtId="165" fontId="0" fillId="0" borderId="0" xfId="0" applyNumberFormat="1"/>
    <xf numFmtId="0" fontId="2" fillId="5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164" fontId="4" fillId="7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/>
    </xf>
    <xf numFmtId="4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4" fontId="0" fillId="0" borderId="2" xfId="1" applyNumberFormat="1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41" fontId="0" fillId="5" borderId="2" xfId="1" applyFont="1" applyFill="1" applyBorder="1" applyAlignment="1">
      <alignment horizontal="center" vertical="center"/>
    </xf>
    <xf numFmtId="41" fontId="0" fillId="0" borderId="0" xfId="0" applyNumberFormat="1" applyFont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9" xfId="0" applyFont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164" fontId="0" fillId="5" borderId="7" xfId="1" applyNumberFormat="1" applyFont="1" applyFill="1" applyBorder="1" applyAlignment="1">
      <alignment horizontal="right" vertical="center"/>
    </xf>
    <xf numFmtId="164" fontId="0" fillId="5" borderId="10" xfId="1" applyNumberFormat="1" applyFont="1" applyFill="1" applyBorder="1" applyAlignment="1">
      <alignment horizontal="right" vertical="center"/>
    </xf>
    <xf numFmtId="164" fontId="4" fillId="4" borderId="7" xfId="1" applyNumberFormat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center" vertical="center"/>
    </xf>
    <xf numFmtId="41" fontId="0" fillId="0" borderId="0" xfId="0" applyNumberForma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18" xfId="0" applyFont="1" applyFill="1" applyBorder="1" applyAlignment="1">
      <alignment wrapText="1"/>
    </xf>
    <xf numFmtId="0" fontId="7" fillId="0" borderId="18" xfId="0" applyFont="1" applyFill="1" applyBorder="1" applyAlignment="1"/>
    <xf numFmtId="0" fontId="2" fillId="5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164" fontId="0" fillId="0" borderId="3" xfId="1" applyNumberFormat="1" applyFont="1" applyBorder="1" applyAlignment="1">
      <alignment horizontal="center" vertical="center"/>
    </xf>
    <xf numFmtId="164" fontId="0" fillId="5" borderId="9" xfId="1" applyNumberFormat="1" applyFont="1" applyFill="1" applyBorder="1" applyAlignment="1">
      <alignment horizontal="right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5" borderId="5" xfId="1" applyNumberFormat="1" applyFont="1" applyFill="1" applyBorder="1" applyAlignment="1">
      <alignment horizontal="right" vertical="center"/>
    </xf>
    <xf numFmtId="164" fontId="0" fillId="5" borderId="15" xfId="1" applyNumberFormat="1" applyFont="1" applyFill="1" applyBorder="1" applyAlignment="1">
      <alignment horizontal="right" vertical="center"/>
    </xf>
    <xf numFmtId="164" fontId="0" fillId="4" borderId="26" xfId="1" applyNumberFormat="1" applyFont="1" applyFill="1" applyBorder="1" applyAlignment="1">
      <alignment horizontal="right" vertical="center"/>
    </xf>
    <xf numFmtId="167" fontId="0" fillId="5" borderId="1" xfId="1" applyNumberFormat="1" applyFont="1" applyFill="1" applyBorder="1" applyAlignment="1">
      <alignment horizontal="center" vertical="center"/>
    </xf>
    <xf numFmtId="167" fontId="4" fillId="7" borderId="1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4" fontId="4" fillId="8" borderId="1" xfId="1" applyNumberFormat="1" applyFont="1" applyFill="1" applyBorder="1" applyAlignment="1">
      <alignment horizontal="center" vertical="center"/>
    </xf>
    <xf numFmtId="9" fontId="2" fillId="0" borderId="7" xfId="2" applyFont="1" applyFill="1" applyBorder="1" applyAlignment="1">
      <alignment horizontal="right" vertical="center"/>
    </xf>
    <xf numFmtId="9" fontId="5" fillId="0" borderId="10" xfId="2" applyFont="1" applyFill="1" applyBorder="1" applyAlignment="1">
      <alignment horizontal="right" vertical="center"/>
    </xf>
    <xf numFmtId="164" fontId="5" fillId="5" borderId="1" xfId="1" applyNumberFormat="1" applyFont="1" applyFill="1" applyBorder="1" applyAlignment="1">
      <alignment horizontal="center" vertical="center"/>
    </xf>
    <xf numFmtId="9" fontId="4" fillId="0" borderId="7" xfId="2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9" fontId="2" fillId="8" borderId="10" xfId="2" applyFont="1" applyFill="1" applyBorder="1" applyAlignment="1">
      <alignment vertical="center"/>
    </xf>
    <xf numFmtId="9" fontId="5" fillId="0" borderId="7" xfId="2" applyFont="1" applyFill="1" applyBorder="1" applyAlignment="1">
      <alignment horizontal="right" vertical="center"/>
    </xf>
    <xf numFmtId="164" fontId="2" fillId="5" borderId="1" xfId="1" applyNumberFormat="1" applyFont="1" applyFill="1" applyBorder="1" applyAlignment="1">
      <alignment horizontal="center" vertical="center"/>
    </xf>
    <xf numFmtId="41" fontId="2" fillId="5" borderId="1" xfId="1" applyFont="1" applyFill="1" applyBorder="1" applyAlignment="1">
      <alignment horizontal="center" vertical="center"/>
    </xf>
    <xf numFmtId="9" fontId="2" fillId="8" borderId="16" xfId="2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41" fontId="2" fillId="7" borderId="1" xfId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1" fontId="5" fillId="7" borderId="1" xfId="1" applyNumberFormat="1" applyFont="1" applyFill="1" applyBorder="1" applyAlignment="1">
      <alignment horizontal="center" vertical="center"/>
    </xf>
    <xf numFmtId="166" fontId="8" fillId="0" borderId="7" xfId="0" applyNumberFormat="1" applyFont="1" applyFill="1" applyBorder="1" applyAlignment="1">
      <alignment horizontal="right" vertical="center" wrapText="1" readingOrder="1"/>
    </xf>
    <xf numFmtId="0" fontId="8" fillId="0" borderId="7" xfId="0" applyFont="1" applyFill="1" applyBorder="1" applyAlignment="1">
      <alignment horizontal="right" vertical="center" wrapText="1" readingOrder="1"/>
    </xf>
    <xf numFmtId="41" fontId="2" fillId="7" borderId="11" xfId="1" applyFont="1" applyFill="1" applyBorder="1" applyAlignment="1">
      <alignment horizontal="center" vertical="center"/>
    </xf>
    <xf numFmtId="168" fontId="2" fillId="5" borderId="1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5" borderId="3" xfId="0" applyFont="1" applyFill="1" applyBorder="1" applyAlignment="1">
      <alignment horizontal="center" vertical="center"/>
    </xf>
    <xf numFmtId="41" fontId="2" fillId="5" borderId="3" xfId="1" applyFont="1" applyFill="1" applyBorder="1" applyAlignment="1">
      <alignment horizontal="right" vertical="center"/>
    </xf>
    <xf numFmtId="164" fontId="2" fillId="0" borderId="7" xfId="1" applyNumberFormat="1" applyFont="1" applyFill="1" applyBorder="1" applyAlignment="1">
      <alignment horizontal="right" vertical="center"/>
    </xf>
    <xf numFmtId="0" fontId="5" fillId="7" borderId="12" xfId="0" applyFont="1" applyFill="1" applyBorder="1" applyAlignment="1">
      <alignment horizontal="center" vertical="center"/>
    </xf>
    <xf numFmtId="164" fontId="2" fillId="7" borderId="11" xfId="1" applyNumberFormat="1" applyFont="1" applyFill="1" applyBorder="1" applyAlignment="1">
      <alignment horizontal="right" vertical="center"/>
    </xf>
    <xf numFmtId="41" fontId="5" fillId="7" borderId="1" xfId="0" applyNumberFormat="1" applyFont="1" applyFill="1" applyBorder="1" applyAlignment="1">
      <alignment horizontal="center" vertical="center"/>
    </xf>
    <xf numFmtId="9" fontId="2" fillId="0" borderId="7" xfId="2" applyFont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8" fillId="0" borderId="30" xfId="0" applyFont="1" applyFill="1" applyBorder="1" applyAlignment="1">
      <alignment horizontal="right" vertical="center" wrapText="1" readingOrder="1"/>
    </xf>
    <xf numFmtId="41" fontId="2" fillId="5" borderId="11" xfId="1" applyFont="1" applyFill="1" applyBorder="1" applyAlignment="1">
      <alignment horizontal="center" vertical="center"/>
    </xf>
    <xf numFmtId="41" fontId="2" fillId="5" borderId="37" xfId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center" vertical="center"/>
    </xf>
    <xf numFmtId="167" fontId="2" fillId="7" borderId="37" xfId="1" applyNumberFormat="1" applyFont="1" applyFill="1" applyBorder="1" applyAlignment="1">
      <alignment horizontal="right" vertical="center"/>
    </xf>
    <xf numFmtId="41" fontId="2" fillId="5" borderId="3" xfId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164" fontId="2" fillId="7" borderId="1" xfId="1" applyNumberFormat="1" applyFont="1" applyFill="1" applyBorder="1" applyAlignment="1">
      <alignment horizontal="center" vertical="center"/>
    </xf>
    <xf numFmtId="41" fontId="2" fillId="7" borderId="2" xfId="1" applyNumberFormat="1" applyFont="1" applyFill="1" applyBorder="1" applyAlignment="1">
      <alignment horizontal="left" vertical="center" indent="1"/>
    </xf>
    <xf numFmtId="41" fontId="2" fillId="7" borderId="2" xfId="1" applyNumberFormat="1" applyFont="1" applyFill="1" applyBorder="1" applyAlignment="1">
      <alignment horizontal="center" vertical="center"/>
    </xf>
    <xf numFmtId="41" fontId="4" fillId="7" borderId="2" xfId="1" applyFont="1" applyFill="1" applyBorder="1" applyAlignment="1">
      <alignment horizontal="center" vertical="center"/>
    </xf>
    <xf numFmtId="1" fontId="5" fillId="7" borderId="10" xfId="0" applyNumberFormat="1" applyFont="1" applyFill="1" applyBorder="1" applyAlignment="1">
      <alignment horizontal="right" vertical="center" wrapText="1"/>
    </xf>
    <xf numFmtId="41" fontId="4" fillId="7" borderId="8" xfId="1" applyFont="1" applyFill="1" applyBorder="1" applyAlignment="1">
      <alignment horizontal="center" vertical="center"/>
    </xf>
    <xf numFmtId="166" fontId="4" fillId="7" borderId="15" xfId="0" applyNumberFormat="1" applyFont="1" applyFill="1" applyBorder="1" applyAlignment="1">
      <alignment horizontal="right" vertical="center"/>
    </xf>
    <xf numFmtId="41" fontId="0" fillId="5" borderId="1" xfId="1" applyFont="1" applyFill="1" applyBorder="1" applyAlignment="1">
      <alignment horizontal="center" vertical="center"/>
    </xf>
    <xf numFmtId="164" fontId="5" fillId="8" borderId="1" xfId="1" applyNumberFormat="1" applyFont="1" applyFill="1" applyBorder="1" applyAlignment="1">
      <alignment horizontal="center" vertical="center"/>
    </xf>
    <xf numFmtId="9" fontId="0" fillId="0" borderId="0" xfId="2" applyFont="1"/>
    <xf numFmtId="164" fontId="2" fillId="0" borderId="1" xfId="1" applyNumberFormat="1" applyFont="1" applyFill="1" applyBorder="1" applyAlignment="1">
      <alignment horizontal="right" vertical="center"/>
    </xf>
    <xf numFmtId="0" fontId="0" fillId="5" borderId="4" xfId="0" applyFont="1" applyFill="1" applyBorder="1" applyAlignment="1">
      <alignment horizontal="center" vertical="center"/>
    </xf>
    <xf numFmtId="164" fontId="0" fillId="5" borderId="39" xfId="1" applyNumberFormat="1" applyFont="1" applyFill="1" applyBorder="1" applyAlignment="1">
      <alignment horizontal="right" vertical="center"/>
    </xf>
    <xf numFmtId="0" fontId="0" fillId="10" borderId="18" xfId="0" applyFill="1" applyBorder="1" applyAlignment="1">
      <alignment vertical="center"/>
    </xf>
    <xf numFmtId="164" fontId="2" fillId="7" borderId="1" xfId="1" applyNumberFormat="1" applyFont="1" applyFill="1" applyBorder="1" applyAlignment="1">
      <alignment horizontal="right" vertical="center"/>
    </xf>
    <xf numFmtId="41" fontId="5" fillId="7" borderId="1" xfId="0" applyNumberFormat="1" applyFont="1" applyFill="1" applyBorder="1" applyAlignment="1">
      <alignment vertical="center"/>
    </xf>
    <xf numFmtId="164" fontId="2" fillId="5" borderId="0" xfId="1" applyNumberFormat="1" applyFont="1" applyFill="1" applyAlignment="1">
      <alignment horizontal="right" vertic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/>
    </xf>
    <xf numFmtId="165" fontId="0" fillId="0" borderId="0" xfId="0" applyNumberFormat="1" applyFill="1"/>
    <xf numFmtId="41" fontId="0" fillId="0" borderId="0" xfId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41" fontId="2" fillId="5" borderId="1" xfId="1" applyNumberFormat="1" applyFont="1" applyFill="1" applyBorder="1" applyAlignment="1">
      <alignment horizontal="left" vertical="center" indent="2"/>
    </xf>
    <xf numFmtId="41" fontId="2" fillId="7" borderId="1" xfId="1" applyNumberFormat="1" applyFont="1" applyFill="1" applyBorder="1" applyAlignment="1">
      <alignment horizontal="left" vertical="center" indent="1"/>
    </xf>
    <xf numFmtId="0" fontId="5" fillId="0" borderId="41" xfId="0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0" fillId="10" borderId="0" xfId="0" applyFill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right" vertical="center"/>
    </xf>
    <xf numFmtId="164" fontId="0" fillId="4" borderId="7" xfId="1" applyNumberFormat="1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164" fontId="4" fillId="4" borderId="8" xfId="1" applyNumberFormat="1" applyFont="1" applyFill="1" applyBorder="1" applyAlignment="1">
      <alignment horizontal="right" vertical="center"/>
    </xf>
    <xf numFmtId="164" fontId="0" fillId="4" borderId="15" xfId="1" applyNumberFormat="1" applyFont="1" applyFill="1" applyBorder="1" applyAlignment="1">
      <alignment horizontal="right" vertical="center"/>
    </xf>
    <xf numFmtId="164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3" fillId="0" borderId="0" xfId="3"/>
    <xf numFmtId="0" fontId="10" fillId="0" borderId="0" xfId="3" applyFont="1"/>
    <xf numFmtId="169" fontId="10" fillId="0" borderId="43" xfId="4" applyNumberFormat="1" applyFont="1" applyBorder="1"/>
    <xf numFmtId="169" fontId="10" fillId="0" borderId="43" xfId="5" applyNumberFormat="1" applyFont="1" applyBorder="1"/>
    <xf numFmtId="169" fontId="10" fillId="0" borderId="0" xfId="5" applyNumberFormat="1" applyFont="1"/>
    <xf numFmtId="44" fontId="10" fillId="0" borderId="0" xfId="4" applyFont="1"/>
    <xf numFmtId="0" fontId="10" fillId="0" borderId="3" xfId="3" applyFont="1" applyBorder="1"/>
    <xf numFmtId="0" fontId="10" fillId="0" borderId="1" xfId="3" applyFont="1" applyBorder="1"/>
    <xf numFmtId="169" fontId="11" fillId="0" borderId="6" xfId="4" applyNumberFormat="1" applyFont="1" applyBorder="1" applyAlignment="1">
      <alignment horizontal="center"/>
    </xf>
    <xf numFmtId="169" fontId="11" fillId="0" borderId="1" xfId="4" applyNumberFormat="1" applyFont="1" applyBorder="1" applyAlignment="1">
      <alignment horizontal="center"/>
    </xf>
    <xf numFmtId="169" fontId="11" fillId="0" borderId="7" xfId="4" applyNumberFormat="1" applyFont="1" applyBorder="1" applyAlignment="1">
      <alignment horizontal="center"/>
    </xf>
    <xf numFmtId="44" fontId="11" fillId="0" borderId="12" xfId="4" applyFont="1" applyBorder="1" applyAlignment="1">
      <alignment horizontal="center"/>
    </xf>
    <xf numFmtId="0" fontId="10" fillId="0" borderId="1" xfId="3" applyFont="1" applyBorder="1" applyAlignment="1">
      <alignment horizontal="center" vertical="center"/>
    </xf>
    <xf numFmtId="9" fontId="10" fillId="0" borderId="0" xfId="3" applyNumberFormat="1" applyFont="1"/>
    <xf numFmtId="0" fontId="10" fillId="0" borderId="33" xfId="3" applyFont="1" applyBorder="1" applyAlignment="1">
      <alignment wrapText="1"/>
    </xf>
    <xf numFmtId="169" fontId="10" fillId="0" borderId="6" xfId="4" applyNumberFormat="1" applyFont="1" applyBorder="1" applyAlignment="1">
      <alignment wrapText="1"/>
    </xf>
    <xf numFmtId="169" fontId="10" fillId="0" borderId="1" xfId="4" applyNumberFormat="1" applyFont="1" applyBorder="1" applyAlignment="1">
      <alignment wrapText="1"/>
    </xf>
    <xf numFmtId="169" fontId="10" fillId="0" borderId="7" xfId="4" applyNumberFormat="1" applyFont="1" applyBorder="1" applyAlignment="1">
      <alignment wrapText="1"/>
    </xf>
    <xf numFmtId="44" fontId="10" fillId="0" borderId="12" xfId="4" applyFont="1" applyBorder="1" applyAlignment="1">
      <alignment wrapText="1"/>
    </xf>
    <xf numFmtId="44" fontId="10" fillId="0" borderId="1" xfId="4" applyFont="1" applyBorder="1" applyAlignment="1">
      <alignment wrapText="1"/>
    </xf>
    <xf numFmtId="44" fontId="10" fillId="0" borderId="0" xfId="3" applyNumberFormat="1" applyFont="1"/>
    <xf numFmtId="169" fontId="13" fillId="12" borderId="7" xfId="6" applyNumberFormat="1" applyFont="1" applyBorder="1" applyAlignment="1">
      <alignment wrapText="1"/>
    </xf>
    <xf numFmtId="169" fontId="10" fillId="0" borderId="6" xfId="4" applyNumberFormat="1" applyFont="1" applyFill="1" applyBorder="1" applyAlignment="1">
      <alignment wrapText="1"/>
    </xf>
    <xf numFmtId="169" fontId="10" fillId="0" borderId="1" xfId="4" applyNumberFormat="1" applyFont="1" applyFill="1" applyBorder="1" applyAlignment="1">
      <alignment wrapText="1"/>
    </xf>
    <xf numFmtId="169" fontId="13" fillId="0" borderId="7" xfId="6" applyNumberFormat="1" applyFont="1" applyFill="1" applyBorder="1" applyAlignment="1">
      <alignment wrapText="1"/>
    </xf>
    <xf numFmtId="44" fontId="10" fillId="0" borderId="12" xfId="4" applyFont="1" applyFill="1" applyBorder="1" applyAlignment="1">
      <alignment wrapText="1"/>
    </xf>
    <xf numFmtId="44" fontId="10" fillId="0" borderId="1" xfId="4" applyFont="1" applyFill="1" applyBorder="1" applyAlignment="1">
      <alignment wrapText="1"/>
    </xf>
    <xf numFmtId="169" fontId="10" fillId="0" borderId="42" xfId="4" applyNumberFormat="1" applyFont="1" applyBorder="1" applyAlignment="1">
      <alignment wrapText="1"/>
    </xf>
    <xf numFmtId="169" fontId="10" fillId="0" borderId="8" xfId="4" applyNumberFormat="1" applyFont="1" applyBorder="1" applyAlignment="1">
      <alignment wrapText="1"/>
    </xf>
    <xf numFmtId="169" fontId="10" fillId="0" borderId="15" xfId="4" applyNumberFormat="1" applyFont="1" applyBorder="1" applyAlignment="1">
      <alignment wrapText="1"/>
    </xf>
    <xf numFmtId="169" fontId="11" fillId="0" borderId="0" xfId="4" applyNumberFormat="1" applyFont="1"/>
    <xf numFmtId="44" fontId="11" fillId="0" borderId="0" xfId="4" applyFont="1"/>
    <xf numFmtId="170" fontId="11" fillId="0" borderId="0" xfId="3" applyNumberFormat="1" applyFont="1"/>
    <xf numFmtId="0" fontId="14" fillId="13" borderId="0" xfId="3" applyFont="1" applyFill="1" applyAlignment="1">
      <alignment horizontal="center" vertical="center" wrapText="1"/>
    </xf>
    <xf numFmtId="169" fontId="14" fillId="13" borderId="0" xfId="3" applyNumberFormat="1" applyFont="1" applyFill="1" applyAlignment="1">
      <alignment horizontal="center" vertical="center" wrapText="1"/>
    </xf>
    <xf numFmtId="169" fontId="14" fillId="13" borderId="0" xfId="4" applyNumberFormat="1" applyFont="1" applyFill="1" applyAlignment="1">
      <alignment horizontal="center" vertical="center" wrapText="1"/>
    </xf>
    <xf numFmtId="44" fontId="10" fillId="0" borderId="0" xfId="4" applyFont="1" applyAlignment="1">
      <alignment wrapText="1"/>
    </xf>
    <xf numFmtId="0" fontId="10" fillId="0" borderId="0" xfId="3" applyFont="1" applyAlignment="1">
      <alignment wrapText="1"/>
    </xf>
    <xf numFmtId="0" fontId="15" fillId="7" borderId="1" xfId="3" applyFont="1" applyFill="1" applyBorder="1"/>
    <xf numFmtId="170" fontId="15" fillId="7" borderId="1" xfId="4" applyNumberFormat="1" applyFont="1" applyFill="1" applyBorder="1"/>
    <xf numFmtId="9" fontId="15" fillId="7" borderId="1" xfId="7" applyFont="1" applyFill="1" applyBorder="1"/>
    <xf numFmtId="0" fontId="10" fillId="14" borderId="1" xfId="3" applyFont="1" applyFill="1" applyBorder="1"/>
    <xf numFmtId="170" fontId="10" fillId="14" borderId="1" xfId="4" applyNumberFormat="1" applyFont="1" applyFill="1" applyBorder="1"/>
    <xf numFmtId="9" fontId="10" fillId="14" borderId="1" xfId="7" applyFont="1" applyFill="1" applyBorder="1"/>
    <xf numFmtId="0" fontId="16" fillId="14" borderId="1" xfId="3" applyFont="1" applyFill="1" applyBorder="1"/>
    <xf numFmtId="170" fontId="16" fillId="14" borderId="1" xfId="4" applyNumberFormat="1" applyFont="1" applyFill="1" applyBorder="1"/>
    <xf numFmtId="9" fontId="16" fillId="14" borderId="1" xfId="7" applyFont="1" applyFill="1" applyBorder="1"/>
    <xf numFmtId="0" fontId="17" fillId="14" borderId="1" xfId="3" applyFont="1" applyFill="1" applyBorder="1"/>
    <xf numFmtId="170" fontId="17" fillId="14" borderId="1" xfId="4" applyNumberFormat="1" applyFont="1" applyFill="1" applyBorder="1"/>
    <xf numFmtId="9" fontId="17" fillId="14" borderId="1" xfId="7" applyFont="1" applyFill="1" applyBorder="1"/>
    <xf numFmtId="4" fontId="18" fillId="14" borderId="1" xfId="3" applyNumberFormat="1" applyFont="1" applyFill="1" applyBorder="1"/>
    <xf numFmtId="170" fontId="18" fillId="14" borderId="1" xfId="4" applyNumberFormat="1" applyFont="1" applyFill="1" applyBorder="1"/>
    <xf numFmtId="9" fontId="18" fillId="14" borderId="1" xfId="7" applyFont="1" applyFill="1" applyBorder="1"/>
    <xf numFmtId="0" fontId="10" fillId="15" borderId="1" xfId="3" applyFont="1" applyFill="1" applyBorder="1"/>
    <xf numFmtId="170" fontId="10" fillId="15" borderId="1" xfId="4" applyNumberFormat="1" applyFont="1" applyFill="1" applyBorder="1"/>
    <xf numFmtId="9" fontId="10" fillId="15" borderId="1" xfId="7" applyFont="1" applyFill="1" applyBorder="1"/>
    <xf numFmtId="0" fontId="10" fillId="0" borderId="1" xfId="4" applyNumberFormat="1" applyFont="1" applyBorder="1" applyAlignment="1">
      <alignment horizontal="center"/>
    </xf>
    <xf numFmtId="6" fontId="10" fillId="0" borderId="1" xfId="3" applyNumberFormat="1" applyFont="1" applyBorder="1" applyAlignment="1">
      <alignment horizontal="center"/>
    </xf>
    <xf numFmtId="169" fontId="10" fillId="0" borderId="0" xfId="3" applyNumberFormat="1" applyFont="1"/>
    <xf numFmtId="0" fontId="19" fillId="16" borderId="1" xfId="3" applyFont="1" applyFill="1" applyBorder="1"/>
    <xf numFmtId="6" fontId="19" fillId="16" borderId="1" xfId="4" applyNumberFormat="1" applyFont="1" applyFill="1" applyBorder="1"/>
    <xf numFmtId="9" fontId="19" fillId="16" borderId="1" xfId="7" applyFont="1" applyFill="1" applyBorder="1"/>
    <xf numFmtId="10" fontId="10" fillId="0" borderId="0" xfId="4" applyNumberFormat="1" applyFont="1"/>
    <xf numFmtId="6" fontId="10" fillId="14" borderId="1" xfId="4" applyNumberFormat="1" applyFont="1" applyFill="1" applyBorder="1"/>
    <xf numFmtId="6" fontId="16" fillId="14" borderId="1" xfId="4" applyNumberFormat="1" applyFont="1" applyFill="1" applyBorder="1"/>
    <xf numFmtId="6" fontId="17" fillId="14" borderId="1" xfId="4" applyNumberFormat="1" applyFont="1" applyFill="1" applyBorder="1"/>
    <xf numFmtId="6" fontId="18" fillId="14" borderId="1" xfId="4" applyNumberFormat="1" applyFont="1" applyFill="1" applyBorder="1"/>
    <xf numFmtId="169" fontId="10" fillId="0" borderId="0" xfId="4" applyNumberFormat="1" applyFont="1"/>
    <xf numFmtId="0" fontId="20" fillId="0" borderId="1" xfId="3" applyFont="1" applyBorder="1"/>
    <xf numFmtId="6" fontId="20" fillId="0" borderId="1" xfId="3" applyNumberFormat="1" applyFont="1" applyBorder="1" applyAlignment="1">
      <alignment horizontal="right" indent="1"/>
    </xf>
    <xf numFmtId="9" fontId="3" fillId="0" borderId="0" xfId="3" applyNumberFormat="1"/>
    <xf numFmtId="0" fontId="21" fillId="17" borderId="0" xfId="3" applyFont="1" applyFill="1" applyAlignment="1">
      <alignment horizontal="left" vertical="center"/>
    </xf>
    <xf numFmtId="0" fontId="3" fillId="4" borderId="0" xfId="3" applyFill="1" applyAlignment="1">
      <alignment horizontal="center"/>
    </xf>
    <xf numFmtId="0" fontId="3" fillId="4" borderId="0" xfId="3" applyFill="1"/>
    <xf numFmtId="0" fontId="3" fillId="0" borderId="1" xfId="3" applyBorder="1" applyAlignment="1">
      <alignment horizontal="center"/>
    </xf>
    <xf numFmtId="0" fontId="3" fillId="10" borderId="1" xfId="3" applyFill="1" applyBorder="1" applyAlignment="1">
      <alignment horizontal="center"/>
    </xf>
    <xf numFmtId="9" fontId="3" fillId="0" borderId="1" xfId="3" applyNumberFormat="1" applyBorder="1" applyAlignment="1">
      <alignment horizontal="center"/>
    </xf>
    <xf numFmtId="9" fontId="3" fillId="10" borderId="1" xfId="3" applyNumberFormat="1" applyFill="1" applyBorder="1" applyAlignment="1">
      <alignment horizontal="center"/>
    </xf>
    <xf numFmtId="0" fontId="3" fillId="0" borderId="1" xfId="3" applyBorder="1" applyAlignment="1">
      <alignment horizontal="center" vertical="center"/>
    </xf>
    <xf numFmtId="9" fontId="3" fillId="0" borderId="1" xfId="3" applyNumberForma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/>
    <xf numFmtId="0" fontId="21" fillId="18" borderId="0" xfId="3" applyFont="1" applyFill="1" applyAlignment="1">
      <alignment horizontal="left" vertical="center"/>
    </xf>
    <xf numFmtId="0" fontId="3" fillId="0" borderId="1" xfId="3" applyBorder="1" applyAlignment="1">
      <alignment vertical="center"/>
    </xf>
    <xf numFmtId="0" fontId="22" fillId="0" borderId="0" xfId="3" applyFont="1" applyAlignment="1">
      <alignment horizontal="left" vertical="center"/>
    </xf>
    <xf numFmtId="0" fontId="3" fillId="0" borderId="0" xfId="3" applyAlignment="1">
      <alignment horizontal="center"/>
    </xf>
    <xf numFmtId="0" fontId="23" fillId="0" borderId="0" xfId="3" applyFont="1" applyAlignment="1">
      <alignment horizontal="center"/>
    </xf>
    <xf numFmtId="0" fontId="21" fillId="17" borderId="0" xfId="3" applyFont="1" applyFill="1" applyAlignment="1">
      <alignment horizontal="center" vertical="center"/>
    </xf>
    <xf numFmtId="0" fontId="4" fillId="0" borderId="0" xfId="3" applyFont="1" applyAlignment="1">
      <alignment horizontal="center" vertical="center"/>
    </xf>
    <xf numFmtId="171" fontId="3" fillId="8" borderId="1" xfId="3" applyNumberFormat="1" applyFill="1" applyBorder="1" applyAlignment="1">
      <alignment horizontal="center" vertical="center"/>
    </xf>
    <xf numFmtId="0" fontId="4" fillId="4" borderId="0" xfId="3" applyFont="1" applyFill="1" applyAlignment="1">
      <alignment horizontal="center" vertical="center"/>
    </xf>
    <xf numFmtId="10" fontId="0" fillId="0" borderId="1" xfId="7" applyNumberFormat="1" applyFont="1" applyBorder="1" applyAlignment="1">
      <alignment horizontal="center"/>
    </xf>
    <xf numFmtId="10" fontId="3" fillId="0" borderId="1" xfId="3" applyNumberFormat="1" applyBorder="1" applyAlignment="1">
      <alignment horizontal="center"/>
    </xf>
    <xf numFmtId="10" fontId="3" fillId="19" borderId="1" xfId="3" applyNumberFormat="1" applyFill="1" applyBorder="1" applyAlignment="1">
      <alignment horizontal="center"/>
    </xf>
    <xf numFmtId="9" fontId="3" fillId="20" borderId="0" xfId="3" applyNumberFormat="1" applyFill="1" applyAlignment="1">
      <alignment horizontal="center"/>
    </xf>
    <xf numFmtId="10" fontId="0" fillId="19" borderId="1" xfId="7" applyNumberFormat="1" applyFont="1" applyFill="1" applyBorder="1" applyAlignment="1">
      <alignment horizontal="center"/>
    </xf>
    <xf numFmtId="10" fontId="0" fillId="0" borderId="0" xfId="7" applyNumberFormat="1" applyFont="1"/>
    <xf numFmtId="172" fontId="3" fillId="0" borderId="1" xfId="3" applyNumberFormat="1" applyBorder="1" applyAlignment="1">
      <alignment horizontal="center" vertical="center"/>
    </xf>
    <xf numFmtId="10" fontId="3" fillId="0" borderId="1" xfId="3" applyNumberFormat="1" applyBorder="1" applyAlignment="1">
      <alignment horizontal="center" vertical="center"/>
    </xf>
    <xf numFmtId="172" fontId="3" fillId="0" borderId="1" xfId="3" applyNumberFormat="1" applyBorder="1" applyAlignment="1">
      <alignment horizontal="center"/>
    </xf>
    <xf numFmtId="173" fontId="0" fillId="14" borderId="1" xfId="7" applyNumberFormat="1" applyFont="1" applyFill="1" applyBorder="1" applyAlignment="1">
      <alignment horizontal="center"/>
    </xf>
    <xf numFmtId="173" fontId="0" fillId="14" borderId="1" xfId="7" applyNumberFormat="1" applyFont="1" applyFill="1" applyBorder="1" applyAlignment="1">
      <alignment horizontal="center" vertical="center"/>
    </xf>
    <xf numFmtId="172" fontId="3" fillId="0" borderId="38" xfId="3" applyNumberFormat="1" applyBorder="1" applyAlignment="1">
      <alignment horizontal="center" vertical="center"/>
    </xf>
    <xf numFmtId="172" fontId="3" fillId="0" borderId="0" xfId="3" applyNumberFormat="1"/>
    <xf numFmtId="10" fontId="4" fillId="14" borderId="0" xfId="3" applyNumberFormat="1" applyFont="1" applyFill="1" applyAlignment="1">
      <alignment horizontal="center" vertical="center"/>
    </xf>
    <xf numFmtId="0" fontId="24" fillId="0" borderId="0" xfId="3" applyFont="1"/>
    <xf numFmtId="6" fontId="3" fillId="0" borderId="0" xfId="3" applyNumberFormat="1"/>
    <xf numFmtId="0" fontId="25" fillId="0" borderId="0" xfId="3" applyFont="1"/>
    <xf numFmtId="0" fontId="20" fillId="0" borderId="0" xfId="3" applyFont="1"/>
    <xf numFmtId="9" fontId="20" fillId="10" borderId="1" xfId="3" applyNumberFormat="1" applyFont="1" applyFill="1" applyBorder="1" applyAlignment="1">
      <alignment horizontal="right" indent="1"/>
    </xf>
    <xf numFmtId="0" fontId="20" fillId="0" borderId="1" xfId="3" applyFont="1" applyBorder="1" applyAlignment="1">
      <alignment horizontal="left"/>
    </xf>
    <xf numFmtId="174" fontId="20" fillId="9" borderId="1" xfId="3" applyNumberFormat="1" applyFont="1" applyFill="1" applyBorder="1" applyAlignment="1">
      <alignment horizontal="center" vertical="center"/>
    </xf>
    <xf numFmtId="174" fontId="20" fillId="0" borderId="1" xfId="3" applyNumberFormat="1" applyFont="1" applyBorder="1" applyAlignment="1">
      <alignment horizontal="right" vertical="center" indent="1"/>
    </xf>
    <xf numFmtId="0" fontId="20" fillId="0" borderId="1" xfId="3" applyFont="1" applyBorder="1" applyAlignment="1">
      <alignment horizontal="left" shrinkToFit="1"/>
    </xf>
    <xf numFmtId="9" fontId="20" fillId="9" borderId="1" xfId="3" applyNumberFormat="1" applyFont="1" applyFill="1" applyBorder="1" applyAlignment="1">
      <alignment horizontal="right" indent="1"/>
    </xf>
    <xf numFmtId="171" fontId="20" fillId="10" borderId="1" xfId="3" applyNumberFormat="1" applyFont="1" applyFill="1" applyBorder="1" applyAlignment="1">
      <alignment horizontal="right" vertical="center" indent="1"/>
    </xf>
    <xf numFmtId="171" fontId="20" fillId="0" borderId="1" xfId="3" applyNumberFormat="1" applyFont="1" applyBorder="1" applyAlignment="1">
      <alignment horizontal="right" vertical="center" indent="1"/>
    </xf>
    <xf numFmtId="0" fontId="26" fillId="0" borderId="38" xfId="3" applyFont="1" applyBorder="1" applyAlignment="1">
      <alignment horizontal="right"/>
    </xf>
    <xf numFmtId="171" fontId="26" fillId="0" borderId="38" xfId="3" applyNumberFormat="1" applyFont="1" applyBorder="1" applyAlignment="1">
      <alignment horizontal="right" vertical="center" indent="1"/>
    </xf>
    <xf numFmtId="0" fontId="27" fillId="0" borderId="0" xfId="3" applyFont="1"/>
    <xf numFmtId="0" fontId="28" fillId="0" borderId="0" xfId="3" applyFont="1"/>
    <xf numFmtId="1" fontId="29" fillId="0" borderId="0" xfId="3" applyNumberFormat="1" applyFont="1"/>
    <xf numFmtId="0" fontId="9" fillId="0" borderId="0" xfId="3" applyFont="1"/>
    <xf numFmtId="0" fontId="30" fillId="0" borderId="0" xfId="3" applyFont="1" applyAlignment="1">
      <alignment horizontal="center"/>
    </xf>
    <xf numFmtId="0" fontId="31" fillId="0" borderId="0" xfId="3" applyFont="1"/>
    <xf numFmtId="0" fontId="27" fillId="0" borderId="0" xfId="3" applyFont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21" borderId="44" xfId="3" applyFont="1" applyFill="1" applyBorder="1" applyAlignment="1">
      <alignment horizontal="center" vertical="center"/>
    </xf>
    <xf numFmtId="0" fontId="4" fillId="21" borderId="38" xfId="3" applyFont="1" applyFill="1" applyBorder="1" applyAlignment="1">
      <alignment horizontal="right" vertical="center" indent="1"/>
    </xf>
    <xf numFmtId="0" fontId="4" fillId="21" borderId="38" xfId="3" applyFont="1" applyFill="1" applyBorder="1" applyAlignment="1">
      <alignment horizontal="center" vertical="center"/>
    </xf>
    <xf numFmtId="0" fontId="4" fillId="21" borderId="32" xfId="3" applyFont="1" applyFill="1" applyBorder="1" applyAlignment="1">
      <alignment horizontal="center" vertical="center"/>
    </xf>
    <xf numFmtId="0" fontId="3" fillId="0" borderId="45" xfId="3" applyBorder="1" applyAlignment="1">
      <alignment horizontal="left" indent="2"/>
    </xf>
    <xf numFmtId="1" fontId="32" fillId="9" borderId="46" xfId="3" applyNumberFormat="1" applyFont="1" applyFill="1" applyBorder="1" applyAlignment="1">
      <alignment horizontal="center"/>
    </xf>
    <xf numFmtId="175" fontId="32" fillId="0" borderId="47" xfId="3" applyNumberFormat="1" applyFont="1" applyBorder="1" applyAlignment="1">
      <alignment horizontal="right" indent="1"/>
    </xf>
    <xf numFmtId="3" fontId="32" fillId="0" borderId="47" xfId="3" applyNumberFormat="1" applyFont="1" applyBorder="1" applyAlignment="1">
      <alignment horizontal="right" indent="1"/>
    </xf>
    <xf numFmtId="175" fontId="32" fillId="0" borderId="47" xfId="3" applyNumberFormat="1" applyFont="1" applyBorder="1"/>
    <xf numFmtId="0" fontId="33" fillId="9" borderId="48" xfId="3" applyFont="1" applyFill="1" applyBorder="1" applyAlignment="1">
      <alignment horizontal="center"/>
    </xf>
    <xf numFmtId="0" fontId="3" fillId="0" borderId="49" xfId="3" applyBorder="1" applyAlignment="1">
      <alignment horizontal="left" indent="2"/>
    </xf>
    <xf numFmtId="1" fontId="32" fillId="9" borderId="50" xfId="3" applyNumberFormat="1" applyFont="1" applyFill="1" applyBorder="1" applyAlignment="1">
      <alignment horizontal="center"/>
    </xf>
    <xf numFmtId="175" fontId="32" fillId="0" borderId="51" xfId="3" applyNumberFormat="1" applyFont="1" applyBorder="1" applyAlignment="1">
      <alignment horizontal="right" indent="1"/>
    </xf>
    <xf numFmtId="3" fontId="32" fillId="0" borderId="51" xfId="3" applyNumberFormat="1" applyFont="1" applyBorder="1" applyAlignment="1">
      <alignment horizontal="right" indent="1"/>
    </xf>
    <xf numFmtId="175" fontId="32" fillId="0" borderId="51" xfId="3" applyNumberFormat="1" applyFont="1" applyBorder="1"/>
    <xf numFmtId="0" fontId="33" fillId="9" borderId="52" xfId="3" applyFont="1" applyFill="1" applyBorder="1" applyAlignment="1">
      <alignment horizontal="center"/>
    </xf>
    <xf numFmtId="2" fontId="25" fillId="0" borderId="0" xfId="3" applyNumberFormat="1" applyFont="1"/>
    <xf numFmtId="0" fontId="3" fillId="0" borderId="43" xfId="3" applyBorder="1" applyAlignment="1">
      <alignment horizontal="left" indent="2"/>
    </xf>
    <xf numFmtId="1" fontId="3" fillId="0" borderId="44" xfId="3" applyNumberFormat="1" applyBorder="1" applyAlignment="1">
      <alignment horizontal="center"/>
    </xf>
    <xf numFmtId="176" fontId="34" fillId="0" borderId="53" xfId="3" applyNumberFormat="1" applyFont="1" applyBorder="1" applyAlignment="1">
      <alignment horizontal="right" vertical="center" indent="1"/>
    </xf>
    <xf numFmtId="177" fontId="34" fillId="9" borderId="53" xfId="3" applyNumberFormat="1" applyFont="1" applyFill="1" applyBorder="1" applyAlignment="1">
      <alignment horizontal="right" vertical="center" indent="1"/>
    </xf>
    <xf numFmtId="6" fontId="3" fillId="0" borderId="38" xfId="3" applyNumberFormat="1" applyBorder="1"/>
    <xf numFmtId="0" fontId="4" fillId="0" borderId="54" xfId="3" applyFont="1" applyBorder="1"/>
    <xf numFmtId="9" fontId="3" fillId="0" borderId="55" xfId="3" applyNumberFormat="1" applyBorder="1" applyAlignment="1">
      <alignment horizontal="center"/>
    </xf>
    <xf numFmtId="179" fontId="34" fillId="0" borderId="0" xfId="3" applyNumberFormat="1" applyFont="1" applyAlignment="1">
      <alignment horizontal="right" vertical="center" indent="1" shrinkToFit="1"/>
    </xf>
    <xf numFmtId="0" fontId="3" fillId="0" borderId="0" xfId="3" applyAlignment="1">
      <alignment horizontal="right" indent="1"/>
    </xf>
    <xf numFmtId="0" fontId="27" fillId="0" borderId="0" xfId="3" applyFont="1" applyAlignment="1">
      <alignment horizontal="center"/>
    </xf>
    <xf numFmtId="1" fontId="3" fillId="0" borderId="55" xfId="3" applyNumberFormat="1" applyBorder="1" applyAlignment="1">
      <alignment horizontal="center"/>
    </xf>
    <xf numFmtId="4" fontId="25" fillId="0" borderId="0" xfId="3" applyNumberFormat="1" applyFont="1"/>
    <xf numFmtId="6" fontId="32" fillId="0" borderId="47" xfId="3" applyNumberFormat="1" applyFont="1" applyBorder="1" applyAlignment="1">
      <alignment horizontal="right" indent="1"/>
    </xf>
    <xf numFmtId="6" fontId="32" fillId="0" borderId="0" xfId="3" applyNumberFormat="1" applyFont="1"/>
    <xf numFmtId="10" fontId="32" fillId="0" borderId="55" xfId="3" applyNumberFormat="1" applyFont="1" applyBorder="1" applyAlignment="1">
      <alignment horizontal="center"/>
    </xf>
    <xf numFmtId="0" fontId="3" fillId="0" borderId="54" xfId="3" applyBorder="1"/>
    <xf numFmtId="0" fontId="3" fillId="0" borderId="55" xfId="3" applyBorder="1"/>
    <xf numFmtId="174" fontId="3" fillId="0" borderId="46" xfId="3" applyNumberFormat="1" applyBorder="1" applyAlignment="1">
      <alignment horizontal="center" vertical="center"/>
    </xf>
    <xf numFmtId="6" fontId="33" fillId="9" borderId="47" xfId="3" applyNumberFormat="1" applyFont="1" applyFill="1" applyBorder="1" applyAlignment="1">
      <alignment horizontal="right" indent="1"/>
    </xf>
    <xf numFmtId="0" fontId="32" fillId="0" borderId="43" xfId="3" applyFont="1" applyBorder="1"/>
    <xf numFmtId="0" fontId="32" fillId="0" borderId="55" xfId="3" applyFont="1" applyBorder="1"/>
    <xf numFmtId="177" fontId="34" fillId="0" borderId="53" xfId="3" applyNumberFormat="1" applyFont="1" applyBorder="1" applyAlignment="1">
      <alignment horizontal="right" vertical="center" indent="1"/>
    </xf>
    <xf numFmtId="179" fontId="34" fillId="9" borderId="0" xfId="3" applyNumberFormat="1" applyFont="1" applyFill="1" applyAlignment="1">
      <alignment horizontal="right" vertical="center" indent="1" shrinkToFit="1"/>
    </xf>
    <xf numFmtId="0" fontId="3" fillId="0" borderId="43" xfId="3" applyBorder="1"/>
    <xf numFmtId="178" fontId="34" fillId="0" borderId="0" xfId="3" applyNumberFormat="1" applyFont="1" applyAlignment="1">
      <alignment horizontal="right" vertical="center" indent="1"/>
    </xf>
    <xf numFmtId="0" fontId="3" fillId="0" borderId="56" xfId="3" applyBorder="1"/>
    <xf numFmtId="0" fontId="35" fillId="0" borderId="0" xfId="3" applyFont="1" applyAlignment="1">
      <alignment vertical="center"/>
    </xf>
    <xf numFmtId="0" fontId="36" fillId="14" borderId="1" xfId="3" applyFont="1" applyFill="1" applyBorder="1" applyAlignment="1">
      <alignment horizontal="left" vertical="center" indent="2"/>
    </xf>
    <xf numFmtId="0" fontId="38" fillId="0" borderId="0" xfId="3" applyFont="1"/>
    <xf numFmtId="0" fontId="36" fillId="14" borderId="33" xfId="3" applyFont="1" applyFill="1" applyBorder="1" applyAlignment="1">
      <alignment horizontal="center" vertical="center"/>
    </xf>
    <xf numFmtId="176" fontId="34" fillId="14" borderId="11" xfId="3" applyNumberFormat="1" applyFont="1" applyFill="1" applyBorder="1" applyAlignment="1">
      <alignment horizontal="right" vertical="center" indent="1"/>
    </xf>
    <xf numFmtId="177" fontId="34" fillId="14" borderId="11" xfId="3" applyNumberFormat="1" applyFont="1" applyFill="1" applyBorder="1" applyAlignment="1">
      <alignment horizontal="right" vertical="center" indent="1"/>
    </xf>
    <xf numFmtId="175" fontId="36" fillId="14" borderId="11" xfId="3" applyNumberFormat="1" applyFont="1" applyFill="1" applyBorder="1" applyAlignment="1">
      <alignment horizontal="center" vertical="center"/>
    </xf>
    <xf numFmtId="9" fontId="36" fillId="14" borderId="57" xfId="3" applyNumberFormat="1" applyFont="1" applyFill="1" applyBorder="1" applyAlignment="1">
      <alignment horizontal="center" vertical="center"/>
    </xf>
    <xf numFmtId="0" fontId="38" fillId="0" borderId="0" xfId="3" applyFont="1" applyAlignment="1">
      <alignment vertical="center"/>
    </xf>
    <xf numFmtId="0" fontId="3" fillId="0" borderId="38" xfId="3" applyBorder="1" applyAlignment="1">
      <alignment horizontal="right"/>
    </xf>
    <xf numFmtId="0" fontId="3" fillId="0" borderId="38" xfId="3" applyBorder="1"/>
    <xf numFmtId="2" fontId="3" fillId="0" borderId="38" xfId="3" applyNumberFormat="1" applyBorder="1"/>
    <xf numFmtId="0" fontId="32" fillId="0" borderId="0" xfId="3" applyFont="1"/>
    <xf numFmtId="173" fontId="32" fillId="0" borderId="0" xfId="3" applyNumberFormat="1" applyFont="1"/>
    <xf numFmtId="0" fontId="1" fillId="0" borderId="0" xfId="3" applyFont="1"/>
    <xf numFmtId="0" fontId="25" fillId="0" borderId="0" xfId="3" applyFont="1" applyAlignment="1">
      <alignment vertical="center"/>
    </xf>
    <xf numFmtId="0" fontId="4" fillId="3" borderId="2" xfId="3" applyFont="1" applyFill="1" applyBorder="1" applyAlignment="1">
      <alignment vertical="center"/>
    </xf>
    <xf numFmtId="0" fontId="3" fillId="3" borderId="44" xfId="3" applyFill="1" applyBorder="1" applyAlignment="1">
      <alignment vertical="center"/>
    </xf>
    <xf numFmtId="0" fontId="3" fillId="3" borderId="38" xfId="3" applyFill="1" applyBorder="1" applyAlignment="1">
      <alignment vertical="center"/>
    </xf>
    <xf numFmtId="6" fontId="4" fillId="3" borderId="58" xfId="3" applyNumberFormat="1" applyFont="1" applyFill="1" applyBorder="1" applyAlignment="1">
      <alignment vertical="center"/>
    </xf>
    <xf numFmtId="10" fontId="4" fillId="3" borderId="59" xfId="3" applyNumberFormat="1" applyFont="1" applyFill="1" applyBorder="1" applyAlignment="1">
      <alignment horizontal="center" vertical="center"/>
    </xf>
    <xf numFmtId="0" fontId="3" fillId="0" borderId="0" xfId="3" applyAlignment="1">
      <alignment vertical="center"/>
    </xf>
    <xf numFmtId="0" fontId="39" fillId="0" borderId="0" xfId="3" applyFont="1" applyAlignment="1">
      <alignment vertical="center"/>
    </xf>
    <xf numFmtId="0" fontId="4" fillId="0" borderId="45" xfId="3" applyFont="1" applyBorder="1" applyAlignment="1">
      <alignment horizontal="left" vertical="center" indent="1"/>
    </xf>
    <xf numFmtId="181" fontId="38" fillId="0" borderId="46" xfId="3" applyNumberFormat="1" applyFont="1" applyBorder="1" applyAlignment="1">
      <alignment horizontal="center" vertical="center"/>
    </xf>
    <xf numFmtId="182" fontId="38" fillId="0" borderId="47" xfId="3" applyNumberFormat="1" applyFont="1" applyBorder="1" applyAlignment="1">
      <alignment horizontal="center" vertical="center"/>
    </xf>
    <xf numFmtId="183" fontId="38" fillId="0" borderId="47" xfId="3" applyNumberFormat="1" applyFont="1" applyBorder="1" applyAlignment="1">
      <alignment horizontal="center" vertical="center"/>
    </xf>
    <xf numFmtId="6" fontId="4" fillId="0" borderId="60" xfId="3" applyNumberFormat="1" applyFont="1" applyBorder="1" applyAlignment="1">
      <alignment vertical="center"/>
    </xf>
    <xf numFmtId="10" fontId="4" fillId="0" borderId="61" xfId="3" applyNumberFormat="1" applyFont="1" applyBorder="1" applyAlignment="1">
      <alignment horizontal="center" vertical="center"/>
    </xf>
    <xf numFmtId="0" fontId="3" fillId="0" borderId="49" xfId="3" applyBorder="1" applyAlignment="1">
      <alignment horizontal="left" vertical="center" indent="1"/>
    </xf>
    <xf numFmtId="181" fontId="3" fillId="0" borderId="62" xfId="3" applyNumberFormat="1" applyBorder="1" applyAlignment="1">
      <alignment horizontal="center" vertical="center"/>
    </xf>
    <xf numFmtId="6" fontId="41" fillId="0" borderId="63" xfId="3" applyNumberFormat="1" applyFont="1" applyBorder="1" applyAlignment="1">
      <alignment vertical="center"/>
    </xf>
    <xf numFmtId="10" fontId="41" fillId="0" borderId="64" xfId="3" applyNumberFormat="1" applyFont="1" applyBorder="1" applyAlignment="1">
      <alignment horizontal="center" vertical="center"/>
    </xf>
    <xf numFmtId="0" fontId="22" fillId="0" borderId="0" xfId="3" applyFont="1" applyAlignment="1">
      <alignment vertical="center"/>
    </xf>
    <xf numFmtId="0" fontId="42" fillId="0" borderId="49" xfId="3" applyFont="1" applyBorder="1" applyAlignment="1">
      <alignment horizontal="left" vertical="center" indent="3"/>
    </xf>
    <xf numFmtId="6" fontId="3" fillId="0" borderId="63" xfId="3" applyNumberFormat="1" applyBorder="1" applyAlignment="1">
      <alignment vertical="center"/>
    </xf>
    <xf numFmtId="10" fontId="3" fillId="0" borderId="64" xfId="3" applyNumberFormat="1" applyBorder="1" applyAlignment="1">
      <alignment horizontal="center" vertical="center"/>
    </xf>
    <xf numFmtId="0" fontId="3" fillId="0" borderId="62" xfId="3" applyBorder="1" applyAlignment="1">
      <alignment horizontal="center" vertical="center"/>
    </xf>
    <xf numFmtId="0" fontId="3" fillId="0" borderId="50" xfId="3" applyBorder="1" applyAlignment="1">
      <alignment horizontal="center" vertical="center"/>
    </xf>
    <xf numFmtId="0" fontId="41" fillId="0" borderId="0" xfId="3" applyFont="1" applyAlignment="1">
      <alignment vertical="center"/>
    </xf>
    <xf numFmtId="0" fontId="41" fillId="8" borderId="49" xfId="3" applyFont="1" applyFill="1" applyBorder="1" applyAlignment="1">
      <alignment horizontal="left" vertical="center" indent="1"/>
    </xf>
    <xf numFmtId="0" fontId="41" fillId="0" borderId="0" xfId="3" applyFont="1"/>
    <xf numFmtId="0" fontId="41" fillId="0" borderId="50" xfId="3" applyFont="1" applyBorder="1" applyAlignment="1">
      <alignment vertical="center"/>
    </xf>
    <xf numFmtId="0" fontId="3" fillId="0" borderId="51" xfId="3" applyBorder="1" applyAlignment="1">
      <alignment horizontal="center" vertical="center"/>
    </xf>
    <xf numFmtId="0" fontId="41" fillId="0" borderId="53" xfId="3" applyFont="1" applyBorder="1" applyAlignment="1">
      <alignment vertical="center"/>
    </xf>
    <xf numFmtId="0" fontId="41" fillId="0" borderId="65" xfId="3" applyFont="1" applyBorder="1" applyAlignment="1">
      <alignment vertical="center"/>
    </xf>
    <xf numFmtId="0" fontId="41" fillId="0" borderId="66" xfId="3" applyFont="1" applyBorder="1" applyAlignment="1">
      <alignment vertical="center"/>
    </xf>
    <xf numFmtId="0" fontId="41" fillId="0" borderId="62" xfId="3" applyFont="1" applyBorder="1" applyAlignment="1">
      <alignment vertical="center"/>
    </xf>
    <xf numFmtId="0" fontId="3" fillId="0" borderId="67" xfId="3" applyBorder="1" applyAlignment="1">
      <alignment horizontal="left" vertical="center" indent="1"/>
    </xf>
    <xf numFmtId="0" fontId="41" fillId="0" borderId="72" xfId="3" applyFont="1" applyBorder="1" applyAlignment="1">
      <alignment vertical="center"/>
    </xf>
    <xf numFmtId="0" fontId="3" fillId="0" borderId="0" xfId="3" applyAlignment="1">
      <alignment vertical="top"/>
    </xf>
    <xf numFmtId="0" fontId="3" fillId="0" borderId="38" xfId="3" applyBorder="1" applyAlignment="1">
      <alignment vertical="top"/>
    </xf>
    <xf numFmtId="9" fontId="43" fillId="0" borderId="51" xfId="3" applyNumberFormat="1" applyFont="1" applyBorder="1" applyAlignment="1">
      <alignment horizontal="right" vertical="center"/>
    </xf>
    <xf numFmtId="180" fontId="43" fillId="0" borderId="51" xfId="3" applyNumberFormat="1" applyFont="1" applyBorder="1" applyAlignment="1">
      <alignment horizontal="left" vertical="center"/>
    </xf>
    <xf numFmtId="6" fontId="43" fillId="0" borderId="75" xfId="3" applyNumberFormat="1" applyFont="1" applyBorder="1" applyAlignment="1">
      <alignment vertical="center"/>
    </xf>
    <xf numFmtId="10" fontId="3" fillId="0" borderId="52" xfId="3" applyNumberFormat="1" applyBorder="1" applyAlignment="1">
      <alignment horizontal="center" vertical="center"/>
    </xf>
    <xf numFmtId="0" fontId="43" fillId="0" borderId="49" xfId="3" applyFont="1" applyBorder="1" applyAlignment="1">
      <alignment horizontal="left" vertical="center" shrinkToFit="1"/>
    </xf>
    <xf numFmtId="0" fontId="43" fillId="9" borderId="62" xfId="3" applyFont="1" applyFill="1" applyBorder="1" applyAlignment="1">
      <alignment horizontal="right" vertical="center"/>
    </xf>
    <xf numFmtId="0" fontId="3" fillId="0" borderId="43" xfId="3" applyBorder="1" applyAlignment="1">
      <alignment horizontal="left" vertical="center" indent="1"/>
    </xf>
    <xf numFmtId="174" fontId="40" fillId="0" borderId="55" xfId="3" applyNumberFormat="1" applyFont="1" applyBorder="1" applyAlignment="1">
      <alignment horizontal="right" vertical="center"/>
    </xf>
    <xf numFmtId="174" fontId="40" fillId="0" borderId="0" xfId="3" applyNumberFormat="1" applyFont="1" applyAlignment="1">
      <alignment horizontal="right" vertical="center"/>
    </xf>
    <xf numFmtId="174" fontId="45" fillId="0" borderId="0" xfId="3" applyNumberFormat="1" applyFont="1" applyAlignment="1">
      <alignment horizontal="center" vertical="center" shrinkToFit="1"/>
    </xf>
    <xf numFmtId="174" fontId="40" fillId="0" borderId="76" xfId="3" applyNumberFormat="1" applyFont="1" applyBorder="1" applyAlignment="1">
      <alignment horizontal="right" vertical="center"/>
    </xf>
    <xf numFmtId="10" fontId="3" fillId="0" borderId="54" xfId="3" applyNumberFormat="1" applyBorder="1" applyAlignment="1">
      <alignment horizontal="center" vertical="center"/>
    </xf>
    <xf numFmtId="0" fontId="3" fillId="0" borderId="45" xfId="3" applyBorder="1" applyAlignment="1">
      <alignment horizontal="left" vertical="center" indent="1"/>
    </xf>
    <xf numFmtId="174" fontId="40" fillId="0" borderId="46" xfId="3" applyNumberFormat="1" applyFont="1" applyBorder="1" applyAlignment="1">
      <alignment horizontal="right" vertical="center"/>
    </xf>
    <xf numFmtId="171" fontId="40" fillId="9" borderId="47" xfId="3" applyNumberFormat="1" applyFont="1" applyFill="1" applyBorder="1" applyAlignment="1">
      <alignment horizontal="center" vertical="center"/>
    </xf>
    <xf numFmtId="185" fontId="32" fillId="0" borderId="77" xfId="3" applyNumberFormat="1" applyFont="1" applyBorder="1" applyAlignment="1">
      <alignment horizontal="center" vertical="center"/>
    </xf>
    <xf numFmtId="6" fontId="3" fillId="0" borderId="78" xfId="3" applyNumberFormat="1" applyBorder="1" applyAlignment="1">
      <alignment vertical="center"/>
    </xf>
    <xf numFmtId="10" fontId="3" fillId="0" borderId="48" xfId="3" applyNumberFormat="1" applyBorder="1" applyAlignment="1">
      <alignment horizontal="center" vertical="center"/>
    </xf>
    <xf numFmtId="171" fontId="40" fillId="0" borderId="51" xfId="3" applyNumberFormat="1" applyFont="1" applyBorder="1" applyAlignment="1">
      <alignment horizontal="center" vertical="center"/>
    </xf>
    <xf numFmtId="185" fontId="32" fillId="0" borderId="79" xfId="3" applyNumberFormat="1" applyFont="1" applyBorder="1" applyAlignment="1">
      <alignment horizontal="center" vertical="center"/>
    </xf>
    <xf numFmtId="174" fontId="40" fillId="0" borderId="62" xfId="3" applyNumberFormat="1" applyFont="1" applyBorder="1" applyAlignment="1">
      <alignment horizontal="right" vertical="center"/>
    </xf>
    <xf numFmtId="171" fontId="40" fillId="9" borderId="51" xfId="3" applyNumberFormat="1" applyFont="1" applyFill="1" applyBorder="1" applyAlignment="1">
      <alignment horizontal="center" vertical="center"/>
    </xf>
    <xf numFmtId="185" fontId="32" fillId="0" borderId="80" xfId="3" applyNumberFormat="1" applyFont="1" applyBorder="1" applyAlignment="1">
      <alignment horizontal="center" vertical="center"/>
    </xf>
    <xf numFmtId="171" fontId="40" fillId="8" borderId="51" xfId="3" applyNumberFormat="1" applyFont="1" applyFill="1" applyBorder="1" applyAlignment="1">
      <alignment horizontal="center" vertical="center"/>
    </xf>
    <xf numFmtId="171" fontId="40" fillId="8" borderId="47" xfId="3" applyNumberFormat="1" applyFont="1" applyFill="1" applyBorder="1" applyAlignment="1">
      <alignment horizontal="center" vertical="center"/>
    </xf>
    <xf numFmtId="6" fontId="3" fillId="0" borderId="81" xfId="3" applyNumberFormat="1" applyBorder="1" applyAlignment="1">
      <alignment vertical="center"/>
    </xf>
    <xf numFmtId="0" fontId="3" fillId="0" borderId="71" xfId="3" applyBorder="1" applyAlignment="1">
      <alignment horizontal="left" vertical="center" indent="1"/>
    </xf>
    <xf numFmtId="177" fontId="38" fillId="0" borderId="72" xfId="3" applyNumberFormat="1" applyFont="1" applyBorder="1" applyAlignment="1">
      <alignment horizontal="center" vertical="center"/>
    </xf>
    <xf numFmtId="177" fontId="38" fillId="0" borderId="73" xfId="3" applyNumberFormat="1" applyFont="1" applyBorder="1" applyAlignment="1">
      <alignment horizontal="center" vertical="center"/>
    </xf>
    <xf numFmtId="171" fontId="38" fillId="8" borderId="73" xfId="3" applyNumberFormat="1" applyFont="1" applyFill="1" applyBorder="1" applyAlignment="1">
      <alignment horizontal="center" vertical="center"/>
    </xf>
    <xf numFmtId="0" fontId="4" fillId="0" borderId="82" xfId="3" applyFont="1" applyBorder="1"/>
    <xf numFmtId="0" fontId="4" fillId="0" borderId="83" xfId="3" applyFont="1" applyBorder="1"/>
    <xf numFmtId="0" fontId="4" fillId="0" borderId="38" xfId="3" applyFont="1" applyBorder="1" applyAlignment="1">
      <alignment horizontal="right" vertical="top"/>
    </xf>
    <xf numFmtId="0" fontId="3" fillId="3" borderId="68" xfId="3" applyFill="1" applyBorder="1" applyAlignment="1">
      <alignment vertical="center"/>
    </xf>
    <xf numFmtId="186" fontId="3" fillId="9" borderId="69" xfId="3" applyNumberFormat="1" applyFill="1" applyBorder="1" applyAlignment="1">
      <alignment vertical="center"/>
    </xf>
    <xf numFmtId="0" fontId="3" fillId="3" borderId="69" xfId="3" applyFill="1" applyBorder="1" applyAlignment="1">
      <alignment vertical="center"/>
    </xf>
    <xf numFmtId="6" fontId="4" fillId="3" borderId="84" xfId="3" applyNumberFormat="1" applyFont="1" applyFill="1" applyBorder="1" applyAlignment="1">
      <alignment vertical="center"/>
    </xf>
    <xf numFmtId="10" fontId="4" fillId="3" borderId="85" xfId="3" applyNumberFormat="1" applyFont="1" applyFill="1" applyBorder="1" applyAlignment="1">
      <alignment horizontal="center" vertical="center"/>
    </xf>
    <xf numFmtId="0" fontId="20" fillId="0" borderId="3" xfId="3" applyFont="1" applyBorder="1" applyAlignment="1">
      <alignment horizontal="left" indent="2"/>
    </xf>
    <xf numFmtId="0" fontId="3" fillId="0" borderId="86" xfId="3" applyBorder="1"/>
    <xf numFmtId="0" fontId="4" fillId="0" borderId="37" xfId="3" applyFont="1" applyBorder="1"/>
    <xf numFmtId="0" fontId="4" fillId="0" borderId="87" xfId="3" applyFont="1" applyBorder="1"/>
    <xf numFmtId="0" fontId="4" fillId="0" borderId="88" xfId="3" applyFont="1" applyBorder="1"/>
    <xf numFmtId="10" fontId="36" fillId="14" borderId="57" xfId="3" applyNumberFormat="1" applyFont="1" applyFill="1" applyBorder="1" applyAlignment="1">
      <alignment horizontal="center" vertical="center"/>
    </xf>
    <xf numFmtId="0" fontId="9" fillId="14" borderId="90" xfId="3" applyFont="1" applyFill="1" applyBorder="1" applyAlignment="1">
      <alignment horizontal="center" vertical="center"/>
    </xf>
    <xf numFmtId="0" fontId="9" fillId="14" borderId="91" xfId="3" applyFont="1" applyFill="1" applyBorder="1" applyAlignment="1">
      <alignment horizontal="center" vertical="center"/>
    </xf>
    <xf numFmtId="6" fontId="9" fillId="14" borderId="91" xfId="3" applyNumberFormat="1" applyFont="1" applyFill="1" applyBorder="1" applyAlignment="1">
      <alignment horizontal="center" vertical="center"/>
    </xf>
    <xf numFmtId="173" fontId="9" fillId="14" borderId="92" xfId="3" applyNumberFormat="1" applyFont="1" applyFill="1" applyBorder="1" applyAlignment="1">
      <alignment horizontal="center" vertical="center"/>
    </xf>
    <xf numFmtId="0" fontId="9" fillId="14" borderId="94" xfId="3" applyFont="1" applyFill="1" applyBorder="1" applyAlignment="1">
      <alignment horizontal="center" vertical="center"/>
    </xf>
    <xf numFmtId="9" fontId="1" fillId="9" borderId="95" xfId="3" applyNumberFormat="1" applyFont="1" applyFill="1" applyBorder="1" applyAlignment="1">
      <alignment horizontal="center" vertical="center"/>
    </xf>
    <xf numFmtId="0" fontId="9" fillId="14" borderId="95" xfId="3" applyFont="1" applyFill="1" applyBorder="1" applyAlignment="1">
      <alignment horizontal="center" vertical="center"/>
    </xf>
    <xf numFmtId="6" fontId="9" fillId="14" borderId="95" xfId="3" applyNumberFormat="1" applyFont="1" applyFill="1" applyBorder="1" applyAlignment="1">
      <alignment horizontal="center" vertical="center"/>
    </xf>
    <xf numFmtId="173" fontId="9" fillId="14" borderId="96" xfId="3" applyNumberFormat="1" applyFont="1" applyFill="1" applyBorder="1" applyAlignment="1">
      <alignment horizontal="center" vertical="center"/>
    </xf>
    <xf numFmtId="0" fontId="9" fillId="23" borderId="68" xfId="3" applyFont="1" applyFill="1" applyBorder="1" applyAlignment="1">
      <alignment horizontal="center" vertical="center"/>
    </xf>
    <xf numFmtId="0" fontId="9" fillId="23" borderId="69" xfId="3" applyFont="1" applyFill="1" applyBorder="1" applyAlignment="1">
      <alignment horizontal="center" vertical="center"/>
    </xf>
    <xf numFmtId="6" fontId="9" fillId="23" borderId="98" xfId="3" applyNumberFormat="1" applyFont="1" applyFill="1" applyBorder="1" applyAlignment="1">
      <alignment horizontal="center" vertical="center"/>
    </xf>
    <xf numFmtId="173" fontId="9" fillId="23" borderId="70" xfId="3" applyNumberFormat="1" applyFont="1" applyFill="1" applyBorder="1" applyAlignment="1">
      <alignment horizontal="center" vertical="center"/>
    </xf>
    <xf numFmtId="0" fontId="9" fillId="23" borderId="72" xfId="3" applyFont="1" applyFill="1" applyBorder="1" applyAlignment="1">
      <alignment horizontal="center" vertical="center"/>
    </xf>
    <xf numFmtId="6" fontId="9" fillId="23" borderId="99" xfId="3" applyNumberFormat="1" applyFont="1" applyFill="1" applyBorder="1" applyAlignment="1">
      <alignment horizontal="center" vertical="center"/>
    </xf>
    <xf numFmtId="9" fontId="9" fillId="23" borderId="99" xfId="7" applyFont="1" applyFill="1" applyBorder="1" applyAlignment="1">
      <alignment horizontal="center" vertical="center"/>
    </xf>
    <xf numFmtId="173" fontId="9" fillId="23" borderId="74" xfId="3" applyNumberFormat="1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9" fontId="20" fillId="0" borderId="1" xfId="3" applyNumberFormat="1" applyFont="1" applyBorder="1" applyAlignment="1">
      <alignment horizontal="right" vertical="center" indent="1"/>
    </xf>
    <xf numFmtId="16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vertical="center"/>
    </xf>
    <xf numFmtId="187" fontId="0" fillId="0" borderId="1" xfId="0" applyNumberFormat="1" applyBorder="1" applyAlignment="1">
      <alignment vertical="center"/>
    </xf>
    <xf numFmtId="171" fontId="20" fillId="0" borderId="1" xfId="3" applyNumberFormat="1" applyFont="1" applyBorder="1" applyAlignment="1">
      <alignment horizontal="right" vertical="center"/>
    </xf>
    <xf numFmtId="6" fontId="0" fillId="0" borderId="1" xfId="0" applyNumberFormat="1" applyBorder="1" applyAlignment="1">
      <alignment vertical="center"/>
    </xf>
    <xf numFmtId="174" fontId="20" fillId="0" borderId="1" xfId="3" applyNumberFormat="1" applyFont="1" applyBorder="1" applyAlignment="1">
      <alignment horizontal="right" vertical="center"/>
    </xf>
    <xf numFmtId="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6" fontId="4" fillId="0" borderId="0" xfId="0" applyNumberFormat="1" applyFont="1"/>
    <xf numFmtId="180" fontId="20" fillId="0" borderId="1" xfId="3" applyNumberFormat="1" applyFont="1" applyBorder="1" applyAlignment="1">
      <alignment horizontal="right" vertical="center" indent="1"/>
    </xf>
    <xf numFmtId="0" fontId="0" fillId="0" borderId="1" xfId="0" applyBorder="1"/>
    <xf numFmtId="6" fontId="0" fillId="0" borderId="1" xfId="0" applyNumberFormat="1" applyBorder="1"/>
    <xf numFmtId="6" fontId="0" fillId="0" borderId="0" xfId="0" applyNumberFormat="1"/>
    <xf numFmtId="0" fontId="0" fillId="0" borderId="33" xfId="0" applyBorder="1"/>
    <xf numFmtId="0" fontId="0" fillId="0" borderId="11" xfId="0" applyBorder="1"/>
    <xf numFmtId="6" fontId="0" fillId="0" borderId="11" xfId="0" applyNumberFormat="1" applyBorder="1"/>
    <xf numFmtId="6" fontId="0" fillId="0" borderId="12" xfId="0" applyNumberFormat="1" applyBorder="1"/>
    <xf numFmtId="0" fontId="47" fillId="0" borderId="1" xfId="0" applyFont="1" applyBorder="1" applyAlignment="1">
      <alignment vertical="center"/>
    </xf>
    <xf numFmtId="0" fontId="48" fillId="0" borderId="1" xfId="0" applyFont="1" applyBorder="1"/>
    <xf numFmtId="6" fontId="48" fillId="0" borderId="1" xfId="0" applyNumberFormat="1" applyFont="1" applyBorder="1"/>
    <xf numFmtId="0" fontId="4" fillId="0" borderId="1" xfId="0" applyFont="1" applyBorder="1" applyAlignment="1">
      <alignment vertical="center"/>
    </xf>
    <xf numFmtId="186" fontId="0" fillId="9" borderId="1" xfId="3" applyNumberFormat="1" applyFont="1" applyFill="1" applyBorder="1" applyAlignment="1">
      <alignment vertical="center"/>
    </xf>
    <xf numFmtId="6" fontId="4" fillId="0" borderId="1" xfId="0" applyNumberFormat="1" applyFont="1" applyBorder="1"/>
    <xf numFmtId="0" fontId="4" fillId="0" borderId="1" xfId="0" applyFont="1" applyBorder="1"/>
    <xf numFmtId="9" fontId="4" fillId="0" borderId="0" xfId="0" applyNumberFormat="1" applyFont="1"/>
    <xf numFmtId="10" fontId="4" fillId="0" borderId="0" xfId="0" applyNumberFormat="1" applyFont="1"/>
    <xf numFmtId="0" fontId="4" fillId="4" borderId="0" xfId="3" applyFont="1" applyFill="1" applyAlignment="1">
      <alignment horizontal="center"/>
    </xf>
    <xf numFmtId="181" fontId="20" fillId="0" borderId="1" xfId="3" applyNumberFormat="1" applyFont="1" applyBorder="1" applyAlignment="1">
      <alignment horizontal="center" vertical="center"/>
    </xf>
    <xf numFmtId="173" fontId="49" fillId="0" borderId="54" xfId="3" applyNumberFormat="1" applyFont="1" applyBorder="1" applyAlignment="1">
      <alignment horizontal="center"/>
    </xf>
    <xf numFmtId="0" fontId="0" fillId="0" borderId="49" xfId="3" applyFont="1" applyBorder="1" applyAlignment="1">
      <alignment horizontal="left" vertical="center" indent="1"/>
    </xf>
    <xf numFmtId="0" fontId="4" fillId="0" borderId="49" xfId="3" applyFont="1" applyBorder="1" applyAlignment="1">
      <alignment horizontal="left" vertical="center" indent="1"/>
    </xf>
    <xf numFmtId="41" fontId="0" fillId="24" borderId="0" xfId="0" applyNumberFormat="1" applyFont="1" applyFill="1" applyAlignment="1">
      <alignment horizontal="center"/>
    </xf>
    <xf numFmtId="41" fontId="7" fillId="0" borderId="18" xfId="0" applyNumberFormat="1" applyFont="1" applyFill="1" applyBorder="1" applyAlignment="1">
      <alignment wrapText="1"/>
    </xf>
    <xf numFmtId="1" fontId="33" fillId="9" borderId="48" xfId="3" applyNumberFormat="1" applyFont="1" applyFill="1" applyBorder="1" applyAlignment="1">
      <alignment horizontal="center"/>
    </xf>
    <xf numFmtId="0" fontId="3" fillId="0" borderId="49" xfId="3" applyFont="1" applyBorder="1" applyAlignment="1">
      <alignment horizontal="left" vertical="center" indent="1"/>
    </xf>
    <xf numFmtId="41" fontId="2" fillId="24" borderId="1" xfId="1" applyFont="1" applyFill="1" applyBorder="1" applyAlignment="1">
      <alignment horizontal="center" vertical="center"/>
    </xf>
    <xf numFmtId="174" fontId="50" fillId="0" borderId="51" xfId="3" applyNumberFormat="1" applyFont="1" applyBorder="1" applyAlignment="1">
      <alignment horizontal="center" vertical="center"/>
    </xf>
    <xf numFmtId="174" fontId="50" fillId="0" borderId="53" xfId="3" applyNumberFormat="1" applyFont="1" applyBorder="1" applyAlignment="1">
      <alignment horizontal="center" vertical="center"/>
    </xf>
    <xf numFmtId="174" fontId="48" fillId="0" borderId="53" xfId="3" applyNumberFormat="1" applyFont="1" applyBorder="1" applyAlignment="1">
      <alignment horizontal="center" vertical="center"/>
    </xf>
    <xf numFmtId="2" fontId="3" fillId="0" borderId="62" xfId="3" applyNumberFormat="1" applyFont="1" applyBorder="1" applyAlignment="1">
      <alignment horizontal="center" vertical="center"/>
    </xf>
    <xf numFmtId="9" fontId="22" fillId="0" borderId="53" xfId="3" applyNumberFormat="1" applyFont="1" applyBorder="1" applyAlignment="1">
      <alignment horizontal="center" vertical="top"/>
    </xf>
    <xf numFmtId="41" fontId="0" fillId="24" borderId="2" xfId="1" applyFont="1" applyFill="1" applyBorder="1" applyAlignment="1">
      <alignment horizontal="center" vertical="center"/>
    </xf>
    <xf numFmtId="189" fontId="3" fillId="9" borderId="51" xfId="3" applyNumberFormat="1" applyFill="1" applyBorder="1" applyAlignment="1">
      <alignment horizontal="center" vertical="center"/>
    </xf>
    <xf numFmtId="174" fontId="50" fillId="0" borderId="51" xfId="3" applyNumberFormat="1" applyFont="1" applyFill="1" applyBorder="1" applyAlignment="1">
      <alignment horizontal="right" vertical="center"/>
    </xf>
    <xf numFmtId="41" fontId="2" fillId="22" borderId="1" xfId="1" applyFont="1" applyFill="1" applyBorder="1" applyAlignment="1">
      <alignment horizontal="center" vertical="center"/>
    </xf>
    <xf numFmtId="9" fontId="51" fillId="3" borderId="51" xfId="3" applyNumberFormat="1" applyFont="1" applyFill="1" applyBorder="1" applyAlignment="1">
      <alignment horizontal="right" vertical="center"/>
    </xf>
    <xf numFmtId="174" fontId="51" fillId="3" borderId="51" xfId="3" applyNumberFormat="1" applyFont="1" applyFill="1" applyBorder="1" applyAlignment="1">
      <alignment horizontal="left" vertical="center"/>
    </xf>
    <xf numFmtId="182" fontId="4" fillId="0" borderId="46" xfId="3" applyNumberFormat="1" applyFont="1" applyBorder="1" applyAlignment="1">
      <alignment horizontal="center" vertical="center"/>
    </xf>
    <xf numFmtId="188" fontId="4" fillId="0" borderId="47" xfId="3" applyNumberFormat="1" applyFont="1" applyBorder="1" applyAlignment="1">
      <alignment horizontal="center" vertical="center"/>
    </xf>
    <xf numFmtId="183" fontId="4" fillId="0" borderId="47" xfId="3" applyNumberFormat="1" applyFont="1" applyBorder="1" applyAlignment="1">
      <alignment horizontal="center" vertical="center"/>
    </xf>
    <xf numFmtId="174" fontId="52" fillId="0" borderId="51" xfId="3" applyNumberFormat="1" applyFont="1" applyBorder="1" applyAlignment="1">
      <alignment horizontal="right" vertical="center"/>
    </xf>
    <xf numFmtId="171" fontId="48" fillId="9" borderId="51" xfId="3" applyNumberFormat="1" applyFont="1" applyFill="1" applyBorder="1" applyAlignment="1">
      <alignment horizontal="center" vertical="center"/>
    </xf>
    <xf numFmtId="9" fontId="52" fillId="3" borderId="62" xfId="3" applyNumberFormat="1" applyFont="1" applyFill="1" applyBorder="1" applyAlignment="1">
      <alignment horizontal="right" vertical="center"/>
    </xf>
    <xf numFmtId="174" fontId="52" fillId="3" borderId="51" xfId="3" applyNumberFormat="1" applyFont="1" applyFill="1" applyBorder="1" applyAlignment="1">
      <alignment horizontal="left" vertical="center" indent="1"/>
    </xf>
    <xf numFmtId="184" fontId="3" fillId="0" borderId="51" xfId="3" applyNumberFormat="1" applyFont="1" applyBorder="1" applyAlignment="1">
      <alignment horizontal="center" vertical="center"/>
    </xf>
    <xf numFmtId="0" fontId="52" fillId="9" borderId="51" xfId="3" applyFont="1" applyFill="1" applyBorder="1" applyAlignment="1">
      <alignment horizontal="center" vertical="center"/>
    </xf>
    <xf numFmtId="171" fontId="3" fillId="9" borderId="51" xfId="3" applyNumberFormat="1" applyFont="1" applyFill="1" applyBorder="1" applyAlignment="1">
      <alignment horizontal="center" vertical="center"/>
    </xf>
    <xf numFmtId="174" fontId="52" fillId="9" borderId="51" xfId="3" applyNumberFormat="1" applyFont="1" applyFill="1" applyBorder="1" applyAlignment="1">
      <alignment horizontal="right" vertical="center"/>
    </xf>
    <xf numFmtId="41" fontId="7" fillId="7" borderId="1" xfId="1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171" fontId="32" fillId="22" borderId="47" xfId="3" applyNumberFormat="1" applyFont="1" applyFill="1" applyBorder="1" applyAlignment="1">
      <alignment horizontal="right"/>
    </xf>
    <xf numFmtId="0" fontId="0" fillId="0" borderId="0" xfId="0" applyBorder="1"/>
    <xf numFmtId="6" fontId="0" fillId="0" borderId="0" xfId="0" applyNumberFormat="1" applyBorder="1"/>
    <xf numFmtId="0" fontId="0" fillId="0" borderId="0" xfId="0" applyBorder="1" applyAlignment="1">
      <alignment vertical="center"/>
    </xf>
    <xf numFmtId="174" fontId="0" fillId="0" borderId="1" xfId="0" applyNumberFormat="1" applyFont="1" applyBorder="1"/>
    <xf numFmtId="0" fontId="3" fillId="0" borderId="45" xfId="3" applyFont="1" applyBorder="1" applyAlignment="1">
      <alignment horizontal="left" vertical="center" indent="1"/>
    </xf>
    <xf numFmtId="0" fontId="0" fillId="0" borderId="1" xfId="3" applyFont="1" applyBorder="1" applyAlignment="1">
      <alignment horizontal="left" vertical="center" indent="1"/>
    </xf>
    <xf numFmtId="0" fontId="42" fillId="0" borderId="1" xfId="3" applyFont="1" applyBorder="1" applyAlignment="1">
      <alignment horizontal="left" vertical="center" indent="3"/>
    </xf>
    <xf numFmtId="0" fontId="4" fillId="0" borderId="1" xfId="3" applyFont="1" applyBorder="1" applyAlignment="1">
      <alignment horizontal="left" vertical="center" indent="1"/>
    </xf>
    <xf numFmtId="0" fontId="3" fillId="0" borderId="1" xfId="3" applyBorder="1" applyAlignment="1">
      <alignment horizontal="left" vertical="center" indent="1"/>
    </xf>
    <xf numFmtId="0" fontId="3" fillId="0" borderId="1" xfId="3" applyFont="1" applyBorder="1" applyAlignment="1">
      <alignment horizontal="left" vertical="center" indent="1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6" fontId="4" fillId="2" borderId="0" xfId="0" applyNumberFormat="1" applyFont="1" applyFill="1"/>
    <xf numFmtId="6" fontId="53" fillId="0" borderId="1" xfId="0" applyNumberFormat="1" applyFont="1" applyBorder="1"/>
    <xf numFmtId="0" fontId="53" fillId="0" borderId="1" xfId="0" applyFont="1" applyBorder="1"/>
    <xf numFmtId="0" fontId="54" fillId="2" borderId="0" xfId="0" applyFont="1" applyFill="1"/>
    <xf numFmtId="174" fontId="55" fillId="0" borderId="1" xfId="3" applyNumberFormat="1" applyFont="1" applyBorder="1" applyAlignment="1">
      <alignment horizontal="right" vertical="center" indent="1"/>
    </xf>
    <xf numFmtId="174" fontId="53" fillId="0" borderId="1" xfId="0" applyNumberFormat="1" applyFont="1" applyBorder="1"/>
    <xf numFmtId="0" fontId="3" fillId="9" borderId="51" xfId="3" applyFill="1" applyBorder="1" applyAlignment="1">
      <alignment horizontal="center" vertical="center"/>
    </xf>
    <xf numFmtId="164" fontId="2" fillId="10" borderId="7" xfId="1" applyNumberFormat="1" applyFont="1" applyFill="1" applyBorder="1" applyAlignment="1">
      <alignment horizontal="right" vertical="center"/>
    </xf>
    <xf numFmtId="167" fontId="0" fillId="22" borderId="1" xfId="1" applyNumberFormat="1" applyFont="1" applyFill="1" applyBorder="1" applyAlignment="1">
      <alignment horizontal="center" vertical="center"/>
    </xf>
    <xf numFmtId="0" fontId="3" fillId="0" borderId="1" xfId="3" applyBorder="1"/>
    <xf numFmtId="6" fontId="3" fillId="0" borderId="1" xfId="3" applyNumberFormat="1" applyBorder="1"/>
    <xf numFmtId="0" fontId="3" fillId="0" borderId="37" xfId="3" applyBorder="1" applyAlignment="1">
      <alignment vertical="top"/>
    </xf>
    <xf numFmtId="177" fontId="44" fillId="0" borderId="37" xfId="3" applyNumberFormat="1" applyFont="1" applyBorder="1" applyAlignment="1">
      <alignment horizontal="center"/>
    </xf>
    <xf numFmtId="0" fontId="3" fillId="0" borderId="0" xfId="3" applyBorder="1"/>
    <xf numFmtId="0" fontId="3" fillId="0" borderId="0" xfId="3" applyBorder="1" applyAlignment="1">
      <alignment vertical="top"/>
    </xf>
    <xf numFmtId="0" fontId="56" fillId="0" borderId="0" xfId="8"/>
    <xf numFmtId="41" fontId="26" fillId="0" borderId="38" xfId="3" applyNumberFormat="1" applyFont="1" applyBorder="1" applyAlignment="1">
      <alignment horizontal="right"/>
    </xf>
    <xf numFmtId="171" fontId="20" fillId="0" borderId="0" xfId="3" applyNumberFormat="1" applyFont="1"/>
    <xf numFmtId="0" fontId="3" fillId="0" borderId="2" xfId="3" applyBorder="1"/>
    <xf numFmtId="0" fontId="3" fillId="0" borderId="2" xfId="3" applyBorder="1" applyAlignment="1">
      <alignment horizontal="right"/>
    </xf>
    <xf numFmtId="0" fontId="3" fillId="0" borderId="3" xfId="3" applyBorder="1"/>
    <xf numFmtId="0" fontId="3" fillId="0" borderId="3" xfId="3" applyBorder="1" applyAlignment="1">
      <alignment horizontal="right"/>
    </xf>
    <xf numFmtId="0" fontId="3" fillId="0" borderId="43" xfId="3" applyBorder="1" applyAlignment="1">
      <alignment horizontal="right"/>
    </xf>
    <xf numFmtId="6" fontId="3" fillId="5" borderId="0" xfId="3" applyNumberFormat="1" applyFill="1"/>
    <xf numFmtId="166" fontId="4" fillId="0" borderId="0" xfId="3" applyNumberFormat="1" applyFont="1" applyAlignment="1">
      <alignment horizontal="center"/>
    </xf>
    <xf numFmtId="6" fontId="4" fillId="0" borderId="0" xfId="3" applyNumberFormat="1" applyFont="1" applyAlignment="1">
      <alignment horizontal="center"/>
    </xf>
    <xf numFmtId="171" fontId="57" fillId="9" borderId="51" xfId="3" applyNumberFormat="1" applyFont="1" applyFill="1" applyBorder="1" applyAlignment="1">
      <alignment horizontal="center" vertical="center"/>
    </xf>
    <xf numFmtId="171" fontId="57" fillId="8" borderId="51" xfId="3" applyNumberFormat="1" applyFont="1" applyFill="1" applyBorder="1" applyAlignment="1">
      <alignment horizontal="center" vertical="center"/>
    </xf>
    <xf numFmtId="190" fontId="3" fillId="0" borderId="73" xfId="3" applyNumberFormat="1" applyFont="1" applyBorder="1" applyAlignment="1">
      <alignment vertical="center"/>
    </xf>
    <xf numFmtId="174" fontId="3" fillId="0" borderId="73" xfId="3" applyNumberFormat="1" applyFont="1" applyBorder="1" applyAlignment="1">
      <alignment vertical="center"/>
    </xf>
    <xf numFmtId="0" fontId="3" fillId="0" borderId="71" xfId="3" applyFont="1" applyBorder="1" applyAlignment="1">
      <alignment horizontal="left" vertical="center" indent="3"/>
    </xf>
    <xf numFmtId="10" fontId="23" fillId="0" borderId="74" xfId="3" applyNumberFormat="1" applyFont="1" applyBorder="1" applyAlignment="1">
      <alignment horizontal="center" vertical="center"/>
    </xf>
    <xf numFmtId="9" fontId="31" fillId="0" borderId="0" xfId="3" applyNumberFormat="1" applyFont="1"/>
    <xf numFmtId="0" fontId="5" fillId="7" borderId="17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64" fontId="2" fillId="7" borderId="33" xfId="1" applyNumberFormat="1" applyFont="1" applyFill="1" applyBorder="1" applyAlignment="1">
      <alignment horizontal="center" vertical="center"/>
    </xf>
    <xf numFmtId="164" fontId="2" fillId="7" borderId="12" xfId="1" applyNumberFormat="1" applyFont="1" applyFill="1" applyBorder="1" applyAlignment="1">
      <alignment horizontal="center" vertical="center"/>
    </xf>
    <xf numFmtId="164" fontId="2" fillId="5" borderId="33" xfId="1" applyNumberFormat="1" applyFont="1" applyFill="1" applyBorder="1" applyAlignment="1">
      <alignment horizontal="right" vertical="center"/>
    </xf>
    <xf numFmtId="164" fontId="2" fillId="5" borderId="12" xfId="1" applyNumberFormat="1" applyFont="1" applyFill="1" applyBorder="1" applyAlignment="1">
      <alignment horizontal="right" vertical="center"/>
    </xf>
    <xf numFmtId="164" fontId="2" fillId="5" borderId="33" xfId="1" applyNumberFormat="1" applyFont="1" applyFill="1" applyBorder="1" applyAlignment="1">
      <alignment horizontal="center" vertical="center"/>
    </xf>
    <xf numFmtId="164" fontId="2" fillId="5" borderId="12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164" fontId="5" fillId="7" borderId="33" xfId="1" applyNumberFormat="1" applyFont="1" applyFill="1" applyBorder="1" applyAlignment="1">
      <alignment horizontal="center" vertical="center"/>
    </xf>
    <xf numFmtId="164" fontId="5" fillId="7" borderId="12" xfId="1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33" xfId="0" applyFont="1" applyBorder="1" applyAlignment="1">
      <alignment horizontal="right" vertical="center"/>
    </xf>
    <xf numFmtId="0" fontId="0" fillId="0" borderId="12" xfId="0" applyFont="1" applyBorder="1" applyAlignment="1">
      <alignment horizontal="right" vertical="center"/>
    </xf>
    <xf numFmtId="164" fontId="0" fillId="0" borderId="33" xfId="0" applyNumberFormat="1" applyFont="1" applyBorder="1" applyAlignment="1">
      <alignment horizontal="right" vertical="center"/>
    </xf>
    <xf numFmtId="0" fontId="0" fillId="5" borderId="13" xfId="0" applyFont="1" applyFill="1" applyBorder="1" applyAlignment="1">
      <alignment horizontal="left" vertical="center"/>
    </xf>
    <xf numFmtId="0" fontId="0" fillId="5" borderId="4" xfId="0" applyFont="1" applyFill="1" applyBorder="1" applyAlignment="1">
      <alignment horizontal="left" vertical="center"/>
    </xf>
    <xf numFmtId="164" fontId="0" fillId="0" borderId="33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66" fontId="0" fillId="0" borderId="33" xfId="0" applyNumberFormat="1" applyFont="1" applyBorder="1" applyAlignment="1">
      <alignment horizontal="right" vertical="center"/>
    </xf>
    <xf numFmtId="166" fontId="0" fillId="0" borderId="12" xfId="0" applyNumberFormat="1" applyFont="1" applyBorder="1" applyAlignment="1">
      <alignment horizontal="right" vertical="center"/>
    </xf>
    <xf numFmtId="164" fontId="0" fillId="0" borderId="33" xfId="0" applyNumberFormat="1" applyFont="1" applyBorder="1" applyAlignment="1">
      <alignment horizontal="left" vertical="center"/>
    </xf>
    <xf numFmtId="164" fontId="0" fillId="0" borderId="36" xfId="1" applyNumberFormat="1" applyFont="1" applyFill="1" applyBorder="1" applyAlignment="1">
      <alignment horizontal="left" vertical="center"/>
    </xf>
    <xf numFmtId="164" fontId="0" fillId="0" borderId="29" xfId="1" applyNumberFormat="1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  <xf numFmtId="0" fontId="2" fillId="5" borderId="17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2" fillId="7" borderId="11" xfId="0" applyFont="1" applyFill="1" applyBorder="1" applyAlignment="1">
      <alignment horizontal="left" vertical="center"/>
    </xf>
    <xf numFmtId="0" fontId="2" fillId="5" borderId="31" xfId="0" applyFont="1" applyFill="1" applyBorder="1" applyAlignment="1">
      <alignment horizontal="left" vertical="center"/>
    </xf>
    <xf numFmtId="0" fontId="2" fillId="5" borderId="32" xfId="0" applyFont="1" applyFill="1" applyBorder="1" applyAlignment="1">
      <alignment horizontal="left" vertical="center"/>
    </xf>
    <xf numFmtId="0" fontId="0" fillId="5" borderId="31" xfId="0" applyFont="1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0" fillId="5" borderId="11" xfId="0" applyFont="1" applyFill="1" applyBorder="1" applyAlignment="1">
      <alignment horizontal="left" vertical="center"/>
    </xf>
    <xf numFmtId="0" fontId="0" fillId="5" borderId="12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1" fontId="0" fillId="0" borderId="10" xfId="2" applyNumberFormat="1" applyFont="1" applyFill="1" applyBorder="1" applyAlignment="1">
      <alignment horizontal="center" vertical="center"/>
    </xf>
    <xf numFmtId="1" fontId="0" fillId="0" borderId="9" xfId="2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29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center" vertical="center"/>
    </xf>
    <xf numFmtId="0" fontId="0" fillId="5" borderId="17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0" fillId="0" borderId="10" xfId="0" applyFont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9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5" fillId="7" borderId="6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0" fillId="5" borderId="6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41" fontId="0" fillId="0" borderId="10" xfId="1" applyFont="1" applyBorder="1" applyAlignment="1">
      <alignment horizontal="right" vertical="center" wrapText="1"/>
    </xf>
    <xf numFmtId="41" fontId="0" fillId="0" borderId="9" xfId="1" applyFont="1" applyBorder="1" applyAlignment="1">
      <alignment horizontal="righ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right" vertical="center"/>
    </xf>
    <xf numFmtId="0" fontId="2" fillId="5" borderId="11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 vertical="center" wrapText="1" readingOrder="1"/>
    </xf>
    <xf numFmtId="0" fontId="2" fillId="5" borderId="31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0" borderId="33" xfId="0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center"/>
    </xf>
    <xf numFmtId="0" fontId="4" fillId="7" borderId="27" xfId="0" applyFont="1" applyFill="1" applyBorder="1" applyAlignment="1">
      <alignment horizontal="left" vertical="center"/>
    </xf>
    <xf numFmtId="0" fontId="4" fillId="7" borderId="28" xfId="0" applyFont="1" applyFill="1" applyBorder="1" applyAlignment="1">
      <alignment horizontal="left" vertical="center"/>
    </xf>
    <xf numFmtId="0" fontId="4" fillId="7" borderId="29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left" vertical="center"/>
    </xf>
    <xf numFmtId="0" fontId="4" fillId="7" borderId="1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 wrapText="1" readingOrder="1"/>
    </xf>
    <xf numFmtId="0" fontId="8" fillId="0" borderId="19" xfId="0" applyFont="1" applyFill="1" applyBorder="1" applyAlignment="1">
      <alignment horizontal="center" vertical="center" wrapText="1" readingOrder="1"/>
    </xf>
    <xf numFmtId="0" fontId="8" fillId="0" borderId="40" xfId="0" applyFont="1" applyFill="1" applyBorder="1" applyAlignment="1">
      <alignment horizontal="center" vertical="center" wrapText="1" readingOrder="1"/>
    </xf>
    <xf numFmtId="164" fontId="2" fillId="24" borderId="33" xfId="1" applyNumberFormat="1" applyFont="1" applyFill="1" applyBorder="1" applyAlignment="1">
      <alignment horizontal="center" vertical="center"/>
    </xf>
    <xf numFmtId="164" fontId="2" fillId="24" borderId="12" xfId="1" applyNumberFormat="1" applyFont="1" applyFill="1" applyBorder="1" applyAlignment="1">
      <alignment horizontal="center" vertical="center"/>
    </xf>
    <xf numFmtId="164" fontId="7" fillId="5" borderId="33" xfId="1" applyNumberFormat="1" applyFont="1" applyFill="1" applyBorder="1" applyAlignment="1">
      <alignment horizontal="center" vertical="center"/>
    </xf>
    <xf numFmtId="164" fontId="7" fillId="5" borderId="12" xfId="1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4" fillId="11" borderId="17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41" fontId="0" fillId="0" borderId="36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164" fontId="0" fillId="0" borderId="33" xfId="1" applyNumberFormat="1" applyFont="1" applyFill="1" applyBorder="1" applyAlignment="1">
      <alignment horizontal="right" vertical="center"/>
    </xf>
    <xf numFmtId="164" fontId="0" fillId="0" borderId="12" xfId="1" applyNumberFormat="1" applyFont="1" applyFill="1" applyBorder="1" applyAlignment="1">
      <alignment horizontal="right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16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2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left" vertical="center"/>
    </xf>
    <xf numFmtId="164" fontId="0" fillId="0" borderId="8" xfId="1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right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right" vertical="center"/>
    </xf>
    <xf numFmtId="41" fontId="0" fillId="0" borderId="8" xfId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right" vertical="center"/>
    </xf>
    <xf numFmtId="164" fontId="0" fillId="0" borderId="1" xfId="1" applyNumberFormat="1" applyFont="1" applyFill="1" applyBorder="1" applyAlignment="1">
      <alignment horizontal="right" vertical="center"/>
    </xf>
    <xf numFmtId="0" fontId="4" fillId="4" borderId="42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164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44" fontId="11" fillId="0" borderId="33" xfId="4" applyFont="1" applyBorder="1" applyAlignment="1">
      <alignment horizontal="center"/>
    </xf>
    <xf numFmtId="44" fontId="11" fillId="0" borderId="11" xfId="4" applyFont="1" applyBorder="1" applyAlignment="1">
      <alignment horizontal="center"/>
    </xf>
    <xf numFmtId="44" fontId="11" fillId="0" borderId="12" xfId="4" applyFont="1" applyBorder="1" applyAlignment="1">
      <alignment horizontal="center"/>
    </xf>
    <xf numFmtId="0" fontId="10" fillId="0" borderId="19" xfId="3" applyFont="1" applyBorder="1" applyAlignment="1">
      <alignment horizontal="center" vertical="center"/>
    </xf>
    <xf numFmtId="0" fontId="10" fillId="0" borderId="40" xfId="3" applyFont="1" applyBorder="1" applyAlignment="1">
      <alignment horizontal="center" vertical="center"/>
    </xf>
    <xf numFmtId="169" fontId="10" fillId="0" borderId="13" xfId="4" applyNumberFormat="1" applyFont="1" applyBorder="1" applyAlignment="1">
      <alignment horizontal="center"/>
    </xf>
    <xf numFmtId="169" fontId="10" fillId="0" borderId="4" xfId="4" applyNumberFormat="1" applyFont="1" applyBorder="1" applyAlignment="1">
      <alignment horizontal="center"/>
    </xf>
    <xf numFmtId="169" fontId="10" fillId="0" borderId="5" xfId="4" applyNumberFormat="1" applyFont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0" fontId="4" fillId="0" borderId="38" xfId="3" applyFont="1" applyBorder="1" applyAlignment="1">
      <alignment horizontal="center" vertical="center"/>
    </xf>
    <xf numFmtId="0" fontId="3" fillId="0" borderId="55" xfId="3" applyBorder="1" applyAlignment="1">
      <alignment horizontal="center"/>
    </xf>
    <xf numFmtId="0" fontId="9" fillId="7" borderId="1" xfId="3" applyFont="1" applyFill="1" applyBorder="1" applyAlignment="1">
      <alignment vertical="center"/>
    </xf>
    <xf numFmtId="0" fontId="9" fillId="7" borderId="33" xfId="3" applyFont="1" applyFill="1" applyBorder="1" applyAlignment="1">
      <alignment horizontal="left" vertical="center"/>
    </xf>
    <xf numFmtId="6" fontId="58" fillId="7" borderId="100" xfId="3" applyNumberFormat="1" applyFont="1" applyFill="1" applyBorder="1" applyAlignment="1">
      <alignment horizontal="center" vertical="center"/>
    </xf>
    <xf numFmtId="173" fontId="58" fillId="7" borderId="100" xfId="7" applyNumberFormat="1" applyFont="1" applyFill="1" applyBorder="1" applyAlignment="1">
      <alignment horizontal="center" vertical="center"/>
    </xf>
    <xf numFmtId="6" fontId="9" fillId="7" borderId="100" xfId="3" applyNumberFormat="1" applyFont="1" applyFill="1" applyBorder="1" applyAlignment="1">
      <alignment horizontal="center" vertical="center"/>
    </xf>
    <xf numFmtId="173" fontId="9" fillId="7" borderId="101" xfId="3" applyNumberFormat="1" applyFont="1" applyFill="1" applyBorder="1" applyAlignment="1">
      <alignment horizontal="center" vertical="center"/>
    </xf>
    <xf numFmtId="0" fontId="9" fillId="7" borderId="33" xfId="3" applyFont="1" applyFill="1" applyBorder="1" applyAlignment="1">
      <alignment horizontal="center" vertical="center"/>
    </xf>
    <xf numFmtId="0" fontId="4" fillId="7" borderId="1" xfId="3" applyFont="1" applyFill="1" applyBorder="1" applyAlignment="1">
      <alignment vertical="center" wrapText="1"/>
    </xf>
    <xf numFmtId="173" fontId="59" fillId="7" borderId="100" xfId="7" applyNumberFormat="1" applyFont="1" applyFill="1" applyBorder="1" applyAlignment="1">
      <alignment horizontal="center" vertical="center"/>
    </xf>
    <xf numFmtId="0" fontId="9" fillId="14" borderId="89" xfId="3" applyFont="1" applyFill="1" applyBorder="1" applyAlignment="1">
      <alignment vertical="center"/>
    </xf>
    <xf numFmtId="0" fontId="9" fillId="14" borderId="93" xfId="3" applyFont="1" applyFill="1" applyBorder="1" applyAlignment="1">
      <alignment vertical="center"/>
    </xf>
    <xf numFmtId="0" fontId="25" fillId="0" borderId="0" xfId="3" applyFont="1" applyAlignment="1"/>
    <xf numFmtId="0" fontId="9" fillId="23" borderId="97" xfId="3" applyFont="1" applyFill="1" applyBorder="1" applyAlignment="1">
      <alignment vertical="center"/>
    </xf>
    <xf numFmtId="0" fontId="9" fillId="23" borderId="71" xfId="3" applyFont="1" applyFill="1" applyBorder="1" applyAlignment="1">
      <alignment vertical="center"/>
    </xf>
  </cellXfs>
  <cellStyles count="9">
    <cellStyle name="Hipervínculo" xfId="8" builtinId="8"/>
    <cellStyle name="Incorrecto 2" xfId="6" xr:uid="{DA23D1D2-4EA8-374E-9433-4377041D83BB}"/>
    <cellStyle name="Millares [0]" xfId="1" builtinId="6"/>
    <cellStyle name="Millares 2" xfId="5" xr:uid="{384BA19A-CAAF-5D46-BCCA-8C5036EEDD1B}"/>
    <cellStyle name="Moneda 2" xfId="4" xr:uid="{C92AEA75-3255-2944-AA84-B4CB68ED242D}"/>
    <cellStyle name="Normal" xfId="0" builtinId="0"/>
    <cellStyle name="Normal 2" xfId="3" xr:uid="{F98B64C3-682D-004A-B564-5CD27C2F45EC}"/>
    <cellStyle name="Porcentaje" xfId="2" builtinId="5"/>
    <cellStyle name="Porcentaje 2" xfId="7" xr:uid="{E4E60A23-1BB0-E340-A538-DB9283C4AF6C}"/>
  </cellStyles>
  <dxfs count="2">
    <dxf>
      <font>
        <color theme="0"/>
      </font>
      <fill>
        <patternFill patternType="lightUp">
          <fgColor theme="0" tint="-0.24994659260841701"/>
        </patternFill>
      </fill>
    </dxf>
    <dxf>
      <font>
        <color theme="0"/>
      </font>
      <fill>
        <patternFill patternType="lightUp">
          <fgColor theme="0" tint="-0.24994659260841701"/>
        </patternFill>
      </fill>
    </dxf>
  </dxfs>
  <tableStyles count="0" defaultTableStyle="TableStyleMedium2" defaultPivotStyle="PivotStyleLight16"/>
  <colors>
    <mruColors>
      <color rgb="FF0432FF"/>
      <color rgb="FFDFDDDD"/>
      <color rgb="FFFDE2C7"/>
      <color rgb="FFFDDCBB"/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5" Type="http://schemas.openxmlformats.org/officeDocument/2006/relationships/image" Target="../media/image20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117661</xdr:colOff>
      <xdr:row>2</xdr:row>
      <xdr:rowOff>75360</xdr:rowOff>
    </xdr:from>
    <xdr:to>
      <xdr:col>4</xdr:col>
      <xdr:colOff>1660711</xdr:colOff>
      <xdr:row>10</xdr:row>
      <xdr:rowOff>257176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3B5C84-6BD0-4459-A5D9-25A6C4CEDB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50" r="18283"/>
        <a:stretch/>
      </xdr:blipFill>
      <xdr:spPr>
        <a:xfrm>
          <a:off x="4364690" y="1016654"/>
          <a:ext cx="4355727" cy="301690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0</xdr:col>
      <xdr:colOff>28575</xdr:colOff>
      <xdr:row>2</xdr:row>
      <xdr:rowOff>78203</xdr:rowOff>
    </xdr:from>
    <xdr:to>
      <xdr:col>2</xdr:col>
      <xdr:colOff>28273</xdr:colOff>
      <xdr:row>10</xdr:row>
      <xdr:rowOff>263909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6F4A2F-B85A-43AD-8A4E-CE78063134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62" r="19641"/>
        <a:stretch/>
      </xdr:blipFill>
      <xdr:spPr>
        <a:xfrm>
          <a:off x="28575" y="1011653"/>
          <a:ext cx="4238323" cy="3024156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54431</xdr:colOff>
      <xdr:row>2</xdr:row>
      <xdr:rowOff>258533</xdr:rowOff>
    </xdr:from>
    <xdr:to>
      <xdr:col>2</xdr:col>
      <xdr:colOff>353708</xdr:colOff>
      <xdr:row>10</xdr:row>
      <xdr:rowOff>184691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A9ABA3-53F5-4C9A-93DA-902BDF9FB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465" r="14139" b="10328"/>
        <a:stretch/>
      </xdr:blipFill>
      <xdr:spPr>
        <a:xfrm>
          <a:off x="54431" y="1183819"/>
          <a:ext cx="4544706" cy="272922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2</xdr:col>
      <xdr:colOff>435429</xdr:colOff>
      <xdr:row>2</xdr:row>
      <xdr:rowOff>259180</xdr:rowOff>
    </xdr:from>
    <xdr:to>
      <xdr:col>4</xdr:col>
      <xdr:colOff>1660072</xdr:colOff>
      <xdr:row>10</xdr:row>
      <xdr:rowOff>193753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030143D-F347-4AAF-B4A9-0BD1C3BB70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04" r="19649"/>
        <a:stretch/>
      </xdr:blipFill>
      <xdr:spPr>
        <a:xfrm>
          <a:off x="4680858" y="1184466"/>
          <a:ext cx="4027714" cy="273764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420745</xdr:colOff>
      <xdr:row>65</xdr:row>
      <xdr:rowOff>22086</xdr:rowOff>
    </xdr:from>
    <xdr:ext cx="6243262" cy="8574272"/>
    <xdr:pic>
      <xdr:nvPicPr>
        <xdr:cNvPr id="5" name="Imagen 4">
          <a:extLst>
            <a:ext uri="{FF2B5EF4-FFF2-40B4-BE49-F238E27FC236}">
              <a16:creationId xmlns:a16="http://schemas.microsoft.com/office/drawing/2014/main" id="{E2731383-F5FF-2F4D-B521-535A366AC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745" y="12831569"/>
          <a:ext cx="6243262" cy="8574272"/>
        </a:xfrm>
        <a:prstGeom prst="rect">
          <a:avLst/>
        </a:prstGeom>
      </xdr:spPr>
    </xdr:pic>
    <xdr:clientData/>
  </xdr:oneCellAnchor>
  <xdr:twoCellAnchor editAs="oneCell">
    <xdr:from>
      <xdr:col>0</xdr:col>
      <xdr:colOff>397104</xdr:colOff>
      <xdr:row>114</xdr:row>
      <xdr:rowOff>90704</xdr:rowOff>
    </xdr:from>
    <xdr:to>
      <xdr:col>3</xdr:col>
      <xdr:colOff>3957851</xdr:colOff>
      <xdr:row>134</xdr:row>
      <xdr:rowOff>324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F64E511-E291-1542-A3EA-5E8A96BC4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7104" y="21539593"/>
          <a:ext cx="5724451" cy="3672583"/>
        </a:xfrm>
        <a:prstGeom prst="rect">
          <a:avLst/>
        </a:prstGeom>
      </xdr:spPr>
    </xdr:pic>
    <xdr:clientData/>
  </xdr:twoCellAnchor>
  <xdr:twoCellAnchor editAs="oneCell">
    <xdr:from>
      <xdr:col>3</xdr:col>
      <xdr:colOff>5737639</xdr:colOff>
      <xdr:row>0</xdr:row>
      <xdr:rowOff>174116</xdr:rowOff>
    </xdr:from>
    <xdr:to>
      <xdr:col>10</xdr:col>
      <xdr:colOff>490320</xdr:colOff>
      <xdr:row>43</xdr:row>
      <xdr:rowOff>180298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0F17C6C-003D-4E48-AA6E-73D985BF3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05398" y="174116"/>
          <a:ext cx="6401646" cy="8480148"/>
        </a:xfrm>
        <a:prstGeom prst="rect">
          <a:avLst/>
        </a:prstGeom>
      </xdr:spPr>
    </xdr:pic>
    <xdr:clientData/>
  </xdr:twoCellAnchor>
  <xdr:twoCellAnchor editAs="oneCell">
    <xdr:from>
      <xdr:col>43</xdr:col>
      <xdr:colOff>810173</xdr:colOff>
      <xdr:row>12</xdr:row>
      <xdr:rowOff>128480</xdr:rowOff>
    </xdr:from>
    <xdr:to>
      <xdr:col>54</xdr:col>
      <xdr:colOff>334378</xdr:colOff>
      <xdr:row>42</xdr:row>
      <xdr:rowOff>82783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0B48AEE-3DCD-C34D-8152-E356F5A12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085173" y="2493308"/>
          <a:ext cx="8676964" cy="5866372"/>
        </a:xfrm>
        <a:prstGeom prst="rect">
          <a:avLst/>
        </a:prstGeom>
      </xdr:spPr>
    </xdr:pic>
    <xdr:clientData/>
  </xdr:twoCellAnchor>
  <xdr:twoCellAnchor editAs="oneCell">
    <xdr:from>
      <xdr:col>0</xdr:col>
      <xdr:colOff>416777</xdr:colOff>
      <xdr:row>1</xdr:row>
      <xdr:rowOff>64634</xdr:rowOff>
    </xdr:from>
    <xdr:to>
      <xdr:col>3</xdr:col>
      <xdr:colOff>5538818</xdr:colOff>
      <xdr:row>25</xdr:row>
      <xdr:rowOff>84779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A90B6C1-2D26-3E4C-820B-A222FE348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6777" y="261703"/>
          <a:ext cx="7289800" cy="4749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22640</xdr:colOff>
      <xdr:row>0</xdr:row>
      <xdr:rowOff>196013</xdr:rowOff>
    </xdr:from>
    <xdr:to>
      <xdr:col>17</xdr:col>
      <xdr:colOff>503926</xdr:colOff>
      <xdr:row>28</xdr:row>
      <xdr:rowOff>12082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0919BCF-E1CE-4445-9C84-91ED64CA1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671433" y="196013"/>
          <a:ext cx="5473700" cy="5334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22640</xdr:colOff>
      <xdr:row>25</xdr:row>
      <xdr:rowOff>130323</xdr:rowOff>
    </xdr:from>
    <xdr:to>
      <xdr:col>17</xdr:col>
      <xdr:colOff>732526</xdr:colOff>
      <xdr:row>57</xdr:row>
      <xdr:rowOff>72516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90B61F3-931F-1847-8151-5039DCB08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4671433" y="5057047"/>
          <a:ext cx="5702300" cy="6248400"/>
        </a:xfrm>
        <a:prstGeom prst="rect">
          <a:avLst/>
        </a:prstGeom>
      </xdr:spPr>
    </xdr:pic>
    <xdr:clientData/>
  </xdr:twoCellAnchor>
  <xdr:twoCellAnchor editAs="oneCell">
    <xdr:from>
      <xdr:col>43</xdr:col>
      <xdr:colOff>810173</xdr:colOff>
      <xdr:row>12</xdr:row>
      <xdr:rowOff>128480</xdr:rowOff>
    </xdr:from>
    <xdr:to>
      <xdr:col>51</xdr:col>
      <xdr:colOff>3907</xdr:colOff>
      <xdr:row>22</xdr:row>
      <xdr:rowOff>88191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3565B77-1D5C-D44F-BEC5-CCDDFA35C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085173" y="2493308"/>
          <a:ext cx="5842000" cy="1930400"/>
        </a:xfrm>
        <a:prstGeom prst="rect">
          <a:avLst/>
        </a:prstGeom>
      </xdr:spPr>
    </xdr:pic>
    <xdr:clientData/>
  </xdr:twoCellAnchor>
  <xdr:twoCellAnchor editAs="oneCell">
    <xdr:from>
      <xdr:col>18</xdr:col>
      <xdr:colOff>21896</xdr:colOff>
      <xdr:row>1</xdr:row>
      <xdr:rowOff>109483</xdr:rowOff>
    </xdr:from>
    <xdr:to>
      <xdr:col>25</xdr:col>
      <xdr:colOff>39413</xdr:colOff>
      <xdr:row>11</xdr:row>
      <xdr:rowOff>69193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6053CC2-B486-D844-B85A-F70D77A35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495172" y="306552"/>
          <a:ext cx="5842000" cy="1930400"/>
        </a:xfrm>
        <a:prstGeom prst="rect">
          <a:avLst/>
        </a:prstGeom>
      </xdr:spPr>
    </xdr:pic>
    <xdr:clientData/>
  </xdr:twoCellAnchor>
  <xdr:twoCellAnchor editAs="oneCell">
    <xdr:from>
      <xdr:col>18</xdr:col>
      <xdr:colOff>109482</xdr:colOff>
      <xdr:row>13</xdr:row>
      <xdr:rowOff>21897</xdr:rowOff>
    </xdr:from>
    <xdr:to>
      <xdr:col>34</xdr:col>
      <xdr:colOff>626679</xdr:colOff>
      <xdr:row>58</xdr:row>
      <xdr:rowOff>94594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D7CDE23-AC20-BD4A-8087-859636169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582758" y="2583794"/>
          <a:ext cx="13830300" cy="8940800"/>
        </a:xfrm>
        <a:prstGeom prst="rect">
          <a:avLst/>
        </a:prstGeom>
      </xdr:spPr>
    </xdr:pic>
    <xdr:clientData/>
  </xdr:twoCellAnchor>
  <xdr:twoCellAnchor editAs="oneCell">
    <xdr:from>
      <xdr:col>27</xdr:col>
      <xdr:colOff>442892</xdr:colOff>
      <xdr:row>57</xdr:row>
      <xdr:rowOff>51678</xdr:rowOff>
    </xdr:from>
    <xdr:to>
      <xdr:col>34</xdr:col>
      <xdr:colOff>536610</xdr:colOff>
      <xdr:row>70</xdr:row>
      <xdr:rowOff>4381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290D26E-4504-864D-AE70-FC8E6E4D9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332092" y="10668878"/>
          <a:ext cx="5901851" cy="2374170"/>
        </a:xfrm>
        <a:prstGeom prst="rect">
          <a:avLst/>
        </a:prstGeom>
      </xdr:spPr>
    </xdr:pic>
    <xdr:clientData/>
  </xdr:twoCellAnchor>
  <xdr:twoCellAnchor editAs="oneCell">
    <xdr:from>
      <xdr:col>35</xdr:col>
      <xdr:colOff>83278</xdr:colOff>
      <xdr:row>3</xdr:row>
      <xdr:rowOff>83279</xdr:rowOff>
    </xdr:from>
    <xdr:to>
      <xdr:col>43</xdr:col>
      <xdr:colOff>380582</xdr:colOff>
      <xdr:row>11</xdr:row>
      <xdr:rowOff>32062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85F8009-0AFB-4844-874E-A1CC00152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4727212" y="645410"/>
          <a:ext cx="6959600" cy="1447800"/>
        </a:xfrm>
        <a:prstGeom prst="rect">
          <a:avLst/>
        </a:prstGeom>
      </xdr:spPr>
    </xdr:pic>
    <xdr:clientData/>
  </xdr:twoCellAnchor>
  <xdr:twoCellAnchor editAs="oneCell">
    <xdr:from>
      <xdr:col>35</xdr:col>
      <xdr:colOff>83279</xdr:colOff>
      <xdr:row>12</xdr:row>
      <xdr:rowOff>41639</xdr:rowOff>
    </xdr:from>
    <xdr:to>
      <xdr:col>43</xdr:col>
      <xdr:colOff>437213</xdr:colOff>
      <xdr:row>31</xdr:row>
      <xdr:rowOff>149395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B9E770E9-011C-0249-A079-79AF84997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4727213" y="2290164"/>
          <a:ext cx="7016230" cy="36679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558800</xdr:colOff>
      <xdr:row>1</xdr:row>
      <xdr:rowOff>31750</xdr:rowOff>
    </xdr:from>
    <xdr:ext cx="7974778" cy="2500769"/>
    <xdr:pic>
      <xdr:nvPicPr>
        <xdr:cNvPr id="2" name="Imagen 1">
          <a:extLst>
            <a:ext uri="{FF2B5EF4-FFF2-40B4-BE49-F238E27FC236}">
              <a16:creationId xmlns:a16="http://schemas.microsoft.com/office/drawing/2014/main" id="{9FA52115-A74C-5749-8C7A-65C2E2C15A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62" t="57243" r="40898" b="9096"/>
        <a:stretch/>
      </xdr:blipFill>
      <xdr:spPr>
        <a:xfrm>
          <a:off x="9232900" y="222250"/>
          <a:ext cx="7974778" cy="2500769"/>
        </a:xfrm>
        <a:prstGeom prst="rect">
          <a:avLst/>
        </a:prstGeom>
      </xdr:spPr>
    </xdr:pic>
    <xdr:clientData/>
  </xdr:oneCellAnchor>
  <xdr:oneCellAnchor>
    <xdr:from>
      <xdr:col>17</xdr:col>
      <xdr:colOff>1354667</xdr:colOff>
      <xdr:row>15</xdr:row>
      <xdr:rowOff>249766</xdr:rowOff>
    </xdr:from>
    <xdr:ext cx="5549900" cy="2527300"/>
    <xdr:pic>
      <xdr:nvPicPr>
        <xdr:cNvPr id="3" name="Imagen 2">
          <a:extLst>
            <a:ext uri="{FF2B5EF4-FFF2-40B4-BE49-F238E27FC236}">
              <a16:creationId xmlns:a16="http://schemas.microsoft.com/office/drawing/2014/main" id="{8A6AAF4A-B3E9-8F42-8C29-892EB8C78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75867" y="3230033"/>
          <a:ext cx="5549900" cy="2527300"/>
        </a:xfrm>
        <a:prstGeom prst="rect">
          <a:avLst/>
        </a:prstGeom>
      </xdr:spPr>
    </xdr:pic>
    <xdr:clientData/>
  </xdr:oneCellAnchor>
  <xdr:oneCellAnchor>
    <xdr:from>
      <xdr:col>11</xdr:col>
      <xdr:colOff>419100</xdr:colOff>
      <xdr:row>112</xdr:row>
      <xdr:rowOff>101600</xdr:rowOff>
    </xdr:from>
    <xdr:ext cx="7325908" cy="6300901"/>
    <xdr:pic>
      <xdr:nvPicPr>
        <xdr:cNvPr id="4" name="Imagen 3">
          <a:extLst>
            <a:ext uri="{FF2B5EF4-FFF2-40B4-BE49-F238E27FC236}">
              <a16:creationId xmlns:a16="http://schemas.microsoft.com/office/drawing/2014/main" id="{8CCE33CF-B88A-5148-8B64-3872D62CF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23800" y="24155400"/>
          <a:ext cx="7325908" cy="6300901"/>
        </a:xfrm>
        <a:prstGeom prst="rect">
          <a:avLst/>
        </a:prstGeom>
      </xdr:spPr>
    </xdr:pic>
    <xdr:clientData/>
  </xdr:oneCellAnchor>
  <xdr:twoCellAnchor editAs="oneCell">
    <xdr:from>
      <xdr:col>8</xdr:col>
      <xdr:colOff>118532</xdr:colOff>
      <xdr:row>0</xdr:row>
      <xdr:rowOff>0</xdr:rowOff>
    </xdr:from>
    <xdr:to>
      <xdr:col>15</xdr:col>
      <xdr:colOff>514450</xdr:colOff>
      <xdr:row>34</xdr:row>
      <xdr:rowOff>78032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E69F97-0014-D840-8599-F2996F331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51999" y="0"/>
          <a:ext cx="6424183" cy="8206032"/>
        </a:xfrm>
        <a:prstGeom prst="rect">
          <a:avLst/>
        </a:prstGeom>
      </xdr:spPr>
    </xdr:pic>
    <xdr:clientData/>
  </xdr:twoCellAnchor>
  <xdr:twoCellAnchor editAs="oneCell">
    <xdr:from>
      <xdr:col>8</xdr:col>
      <xdr:colOff>812800</xdr:colOff>
      <xdr:row>37</xdr:row>
      <xdr:rowOff>50801</xdr:rowOff>
    </xdr:from>
    <xdr:to>
      <xdr:col>17</xdr:col>
      <xdr:colOff>1418168</xdr:colOff>
      <xdr:row>51</xdr:row>
      <xdr:rowOff>173568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7B396B7-A462-1045-8633-22FFE7993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46267" y="8737601"/>
          <a:ext cx="8293100" cy="2730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iguelrivera/Desktop/MODELO%20ALAMEDA%2021_10_19%20v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S%20SOLER/Downloads/Parametro%20para%20modelacion%20de%20Manzana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ESING/Carlos%20(C)/00-2004/Frigosin&#250;/Informe%20Final/Caudales%20y%20Equipo%20de%20Bombe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ONT_RVV_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SUELO_UTIL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ectos previos"/>
      <sheetName val="Calculos por manzana"/>
      <sheetName val="Valores"/>
    </sheetNames>
    <sheetDataSet>
      <sheetData sheetId="0" refreshError="1"/>
      <sheetData sheetId="1" refreshError="1"/>
      <sheetData sheetId="2">
        <row r="3">
          <cell r="A3" t="str">
            <v>0 - 50</v>
          </cell>
        </row>
        <row r="4">
          <cell r="A4" t="str">
            <v>51 - 70</v>
          </cell>
        </row>
        <row r="5">
          <cell r="A5" t="str">
            <v>71 - 80</v>
          </cell>
        </row>
        <row r="6">
          <cell r="A6" t="str">
            <v>81 - 90</v>
          </cell>
        </row>
        <row r="7">
          <cell r="A7" t="str">
            <v>91 - 110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-Gráfica-Bijagual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AUXILIARES"/>
      <sheetName val="CTAS_PAG"/>
      <sheetName val="PRESUP"/>
    </sheetNames>
    <sheetDataSet>
      <sheetData sheetId="0" refreshError="1"/>
      <sheetData sheetId="1"/>
      <sheetData sheetId="2" refreshError="1">
        <row r="42">
          <cell r="A42" t="str">
            <v>EGR</v>
          </cell>
        </row>
        <row r="43">
          <cell r="A43" t="str">
            <v>EGR</v>
          </cell>
        </row>
        <row r="44">
          <cell r="A44" t="str">
            <v>EGR</v>
          </cell>
        </row>
        <row r="45">
          <cell r="A45" t="str">
            <v>EGR</v>
          </cell>
        </row>
        <row r="46">
          <cell r="A46" t="str">
            <v>EGR</v>
          </cell>
        </row>
        <row r="47">
          <cell r="A47" t="str">
            <v>EGR</v>
          </cell>
        </row>
        <row r="48">
          <cell r="A48" t="str">
            <v>EGR</v>
          </cell>
        </row>
        <row r="49">
          <cell r="A49" t="str">
            <v>EGR</v>
          </cell>
        </row>
        <row r="57">
          <cell r="A57" t="str">
            <v>ING</v>
          </cell>
        </row>
        <row r="58">
          <cell r="A58" t="str">
            <v>ING</v>
          </cell>
        </row>
        <row r="64">
          <cell r="A64" t="str">
            <v>EGR</v>
          </cell>
        </row>
        <row r="65">
          <cell r="A65" t="str">
            <v>EGR</v>
          </cell>
        </row>
        <row r="66">
          <cell r="A66" t="str">
            <v>EGR</v>
          </cell>
        </row>
        <row r="67">
          <cell r="A67" t="str">
            <v>EGR</v>
          </cell>
        </row>
        <row r="68">
          <cell r="A68" t="str">
            <v>EGR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darapolo.com/" TargetMode="External"/><Relationship Id="rId3" Type="http://schemas.openxmlformats.org/officeDocument/2006/relationships/hyperlink" Target="https://www.edificiovou.com/apartamentos/" TargetMode="External"/><Relationship Id="rId7" Type="http://schemas.openxmlformats.org/officeDocument/2006/relationships/hyperlink" Target="https://owly.com.co/tours/central/" TargetMode="External"/><Relationship Id="rId2" Type="http://schemas.openxmlformats.org/officeDocument/2006/relationships/hyperlink" Target="https://arquitecturayconcreto.com/proyectos/cundinamarca/life-72-apartamentos/?utm_source=FACEBOOK&amp;utm_medium=LG&amp;utm_campaign=LIFE-72_CLIENTES-POTENCIALES_DIC-2016_BOGOTA" TargetMode="External"/><Relationship Id="rId1" Type="http://schemas.openxmlformats.org/officeDocument/2006/relationships/hyperlink" Target="https://es.wikipedia.org/wiki/Anexo:Variaci%C3%B3n_de_la_inflaci%C3%B3n_de_Colombia_desde_1946" TargetMode="External"/><Relationship Id="rId6" Type="http://schemas.openxmlformats.org/officeDocument/2006/relationships/hyperlink" Target="https://www.lahaus.com/nuevo/reserva-central/bogota" TargetMode="External"/><Relationship Id="rId5" Type="http://schemas.openxmlformats.org/officeDocument/2006/relationships/hyperlink" Target="https://eix.com.co/vivienda/viure/?utm_source=Facebook&amp;utm_medium=cpc&amp;utm_campaign=apartamentos&amp;fbclid=PAAaY3jijVLi61xKz7kxkw6Z59IWPN18Rk1anFq25jODtxAQB9VZ4VIw2CWtU" TargetMode="External"/><Relationship Id="rId10" Type="http://schemas.openxmlformats.org/officeDocument/2006/relationships/drawing" Target="../drawings/drawing4.xml"/><Relationship Id="rId4" Type="http://schemas.openxmlformats.org/officeDocument/2006/relationships/hyperlink" Target="https://www.burano54.urban-living.com.co/" TargetMode="External"/><Relationship Id="rId9" Type="http://schemas.openxmlformats.org/officeDocument/2006/relationships/hyperlink" Target="https://cusezar.com/proyectos/gregal-cuatro-vient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3629E-850E-4309-96C6-B09038D5D231}">
  <dimension ref="A1:F33"/>
  <sheetViews>
    <sheetView zoomScale="85" zoomScaleNormal="85" workbookViewId="0">
      <selection activeCell="D20" sqref="D20"/>
    </sheetView>
  </sheetViews>
  <sheetFormatPr baseColWidth="10" defaultRowHeight="15" x14ac:dyDescent="0.2"/>
  <cols>
    <col min="1" max="1" width="5.83203125" customWidth="1"/>
    <col min="2" max="2" width="18" customWidth="1"/>
    <col min="4" max="4" width="83.1640625" customWidth="1"/>
  </cols>
  <sheetData>
    <row r="1" spans="1:6" x14ac:dyDescent="0.2">
      <c r="A1" s="11" t="s">
        <v>90</v>
      </c>
      <c r="B1" s="11" t="s">
        <v>25</v>
      </c>
      <c r="D1" s="11" t="s">
        <v>61</v>
      </c>
      <c r="E1" s="10"/>
      <c r="F1" s="10"/>
    </row>
    <row r="2" spans="1:6" x14ac:dyDescent="0.2">
      <c r="A2" s="26">
        <v>1</v>
      </c>
      <c r="B2" t="s">
        <v>55</v>
      </c>
      <c r="D2" t="s">
        <v>59</v>
      </c>
    </row>
    <row r="3" spans="1:6" x14ac:dyDescent="0.2">
      <c r="A3" s="26">
        <v>2</v>
      </c>
      <c r="B3" t="s">
        <v>54</v>
      </c>
      <c r="D3" t="s">
        <v>60</v>
      </c>
    </row>
    <row r="4" spans="1:6" x14ac:dyDescent="0.2">
      <c r="A4" s="26">
        <v>3</v>
      </c>
      <c r="B4" t="s">
        <v>53</v>
      </c>
      <c r="D4" s="10" t="s">
        <v>91</v>
      </c>
      <c r="E4" s="10"/>
      <c r="F4" s="10"/>
    </row>
    <row r="5" spans="1:6" x14ac:dyDescent="0.2">
      <c r="A5" s="26">
        <v>4</v>
      </c>
      <c r="B5" t="s">
        <v>47</v>
      </c>
      <c r="E5" s="10"/>
      <c r="F5" s="10"/>
    </row>
    <row r="6" spans="1:6" x14ac:dyDescent="0.2">
      <c r="A6" s="26">
        <v>5</v>
      </c>
      <c r="B6" t="s">
        <v>52</v>
      </c>
      <c r="D6" s="11" t="s">
        <v>56</v>
      </c>
    </row>
    <row r="7" spans="1:6" x14ac:dyDescent="0.2">
      <c r="A7" s="26">
        <v>6</v>
      </c>
      <c r="B7" t="s">
        <v>51</v>
      </c>
      <c r="D7" t="s">
        <v>62</v>
      </c>
    </row>
    <row r="8" spans="1:6" x14ac:dyDescent="0.2">
      <c r="A8" s="26">
        <v>7</v>
      </c>
      <c r="B8" t="s">
        <v>50</v>
      </c>
      <c r="D8" t="s">
        <v>63</v>
      </c>
    </row>
    <row r="9" spans="1:6" ht="16" x14ac:dyDescent="0.2">
      <c r="A9" s="26">
        <v>8</v>
      </c>
      <c r="B9" t="s">
        <v>41</v>
      </c>
      <c r="D9" s="12" t="s">
        <v>64</v>
      </c>
    </row>
    <row r="10" spans="1:6" x14ac:dyDescent="0.2">
      <c r="A10" s="26">
        <v>9</v>
      </c>
      <c r="B10" t="s">
        <v>34</v>
      </c>
      <c r="D10" t="s">
        <v>65</v>
      </c>
    </row>
    <row r="11" spans="1:6" ht="16" x14ac:dyDescent="0.2">
      <c r="A11" s="26">
        <v>10</v>
      </c>
      <c r="B11" t="s">
        <v>33</v>
      </c>
      <c r="D11" s="12" t="s">
        <v>66</v>
      </c>
    </row>
    <row r="12" spans="1:6" x14ac:dyDescent="0.2">
      <c r="A12" s="26">
        <v>11</v>
      </c>
      <c r="B12" t="s">
        <v>27</v>
      </c>
    </row>
    <row r="13" spans="1:6" x14ac:dyDescent="0.2">
      <c r="A13" s="26">
        <v>12</v>
      </c>
      <c r="B13" t="s">
        <v>26</v>
      </c>
    </row>
    <row r="14" spans="1:6" x14ac:dyDescent="0.2">
      <c r="A14" s="26">
        <v>13</v>
      </c>
      <c r="B14" t="s">
        <v>30</v>
      </c>
    </row>
    <row r="15" spans="1:6" x14ac:dyDescent="0.2">
      <c r="A15" s="26">
        <v>14</v>
      </c>
      <c r="B15" t="s">
        <v>89</v>
      </c>
    </row>
    <row r="16" spans="1:6" x14ac:dyDescent="0.2">
      <c r="A16" s="26">
        <v>15</v>
      </c>
      <c r="B16" t="s">
        <v>37</v>
      </c>
    </row>
    <row r="17" spans="1:2" x14ac:dyDescent="0.2">
      <c r="A17" s="26">
        <v>16</v>
      </c>
      <c r="B17" t="s">
        <v>39</v>
      </c>
    </row>
    <row r="18" spans="1:2" x14ac:dyDescent="0.2">
      <c r="A18" s="26">
        <v>17</v>
      </c>
      <c r="B18" t="s">
        <v>43</v>
      </c>
    </row>
    <row r="19" spans="1:2" x14ac:dyDescent="0.2">
      <c r="A19" s="26">
        <v>18</v>
      </c>
      <c r="B19" t="s">
        <v>44</v>
      </c>
    </row>
    <row r="20" spans="1:2" x14ac:dyDescent="0.2">
      <c r="A20" s="26">
        <v>19</v>
      </c>
      <c r="B20" t="s">
        <v>45</v>
      </c>
    </row>
    <row r="21" spans="1:2" x14ac:dyDescent="0.2">
      <c r="A21" s="26">
        <v>20</v>
      </c>
      <c r="B21" t="s">
        <v>46</v>
      </c>
    </row>
    <row r="22" spans="1:2" x14ac:dyDescent="0.2">
      <c r="A22" s="26">
        <v>21</v>
      </c>
      <c r="B22" t="s">
        <v>42</v>
      </c>
    </row>
    <row r="23" spans="1:2" x14ac:dyDescent="0.2">
      <c r="A23" s="26">
        <v>22</v>
      </c>
      <c r="B23" t="s">
        <v>48</v>
      </c>
    </row>
    <row r="24" spans="1:2" x14ac:dyDescent="0.2">
      <c r="A24" s="26">
        <v>23</v>
      </c>
      <c r="B24" t="s">
        <v>49</v>
      </c>
    </row>
    <row r="25" spans="1:2" x14ac:dyDescent="0.2">
      <c r="A25" s="26">
        <v>24</v>
      </c>
      <c r="B25" t="s">
        <v>40</v>
      </c>
    </row>
    <row r="26" spans="1:2" x14ac:dyDescent="0.2">
      <c r="A26" s="26">
        <v>25</v>
      </c>
      <c r="B26" t="s">
        <v>22</v>
      </c>
    </row>
    <row r="27" spans="1:2" x14ac:dyDescent="0.2">
      <c r="A27" s="26">
        <v>26</v>
      </c>
      <c r="B27" t="s">
        <v>35</v>
      </c>
    </row>
    <row r="28" spans="1:2" x14ac:dyDescent="0.2">
      <c r="A28" s="26">
        <v>27</v>
      </c>
      <c r="B28" t="s">
        <v>32</v>
      </c>
    </row>
    <row r="29" spans="1:2" x14ac:dyDescent="0.2">
      <c r="A29" s="26">
        <v>28</v>
      </c>
      <c r="B29" t="s">
        <v>28</v>
      </c>
    </row>
    <row r="30" spans="1:2" x14ac:dyDescent="0.2">
      <c r="A30" s="26">
        <v>29</v>
      </c>
      <c r="B30" t="s">
        <v>29</v>
      </c>
    </row>
    <row r="31" spans="1:2" x14ac:dyDescent="0.2">
      <c r="A31" s="26">
        <v>30</v>
      </c>
      <c r="B31" t="s">
        <v>31</v>
      </c>
    </row>
    <row r="32" spans="1:2" x14ac:dyDescent="0.2">
      <c r="A32" s="26">
        <v>31</v>
      </c>
      <c r="B32" t="s">
        <v>36</v>
      </c>
    </row>
    <row r="33" spans="1:2" x14ac:dyDescent="0.2">
      <c r="A33" s="26">
        <v>32</v>
      </c>
      <c r="B3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4A842-A2BA-4A28-A251-97991E115FA3}">
  <dimension ref="A1:Y210"/>
  <sheetViews>
    <sheetView topLeftCell="A3" zoomScale="109" zoomScaleNormal="55" workbookViewId="0">
      <selection activeCell="D32" sqref="D32"/>
    </sheetView>
  </sheetViews>
  <sheetFormatPr baseColWidth="10" defaultColWidth="11.5" defaultRowHeight="15" x14ac:dyDescent="0.2"/>
  <cols>
    <col min="1" max="1" width="4.33203125" style="47" customWidth="1"/>
    <col min="2" max="2" width="59.33203125" style="47" customWidth="1"/>
    <col min="3" max="3" width="9.5" style="21" customWidth="1"/>
    <col min="4" max="4" width="32.6640625" style="21" customWidth="1"/>
    <col min="5" max="5" width="26.5" style="50" customWidth="1"/>
    <col min="6" max="6" width="28.1640625" style="33" customWidth="1"/>
    <col min="7" max="7" width="41.5" customWidth="1"/>
    <col min="8" max="12" width="13.6640625" style="29" customWidth="1"/>
    <col min="13" max="15" width="11.5" style="29"/>
    <col min="16" max="16" width="22.6640625" style="29" bestFit="1" customWidth="1"/>
    <col min="17" max="17" width="11.5" style="29"/>
    <col min="18" max="18" width="3.5" style="29" customWidth="1"/>
    <col min="19" max="19" width="12.83203125" style="29" customWidth="1"/>
    <col min="20" max="20" width="11.5" style="29"/>
    <col min="21" max="21" width="14.83203125" style="29" customWidth="1"/>
    <col min="22" max="30" width="11.5" style="29"/>
    <col min="31" max="31" width="6.6640625" style="29" customWidth="1"/>
    <col min="32" max="32" width="7.33203125" style="29" customWidth="1"/>
    <col min="33" max="33" width="11.5" style="29"/>
    <col min="34" max="34" width="12.6640625" style="29" customWidth="1"/>
    <col min="35" max="35" width="13.5" style="29" customWidth="1"/>
    <col min="36" max="36" width="11.83203125" style="29" customWidth="1"/>
    <col min="37" max="37" width="16.5" style="29" customWidth="1"/>
    <col min="38" max="38" width="15.33203125" style="29" customWidth="1"/>
    <col min="39" max="39" width="16.5" style="29" customWidth="1"/>
    <col min="40" max="16384" width="11.5" style="29"/>
  </cols>
  <sheetData>
    <row r="1" spans="1:5" ht="27" customHeight="1" thickBot="1" x14ac:dyDescent="0.25">
      <c r="A1" s="605" t="s">
        <v>58</v>
      </c>
      <c r="B1" s="606"/>
      <c r="C1" s="607" t="s">
        <v>56</v>
      </c>
      <c r="D1" s="606"/>
      <c r="E1" s="14" t="s">
        <v>57</v>
      </c>
    </row>
    <row r="2" spans="1:5" ht="46.5" customHeight="1" x14ac:dyDescent="0.2">
      <c r="A2" s="608" t="s">
        <v>91</v>
      </c>
      <c r="B2" s="609"/>
      <c r="C2" s="610" t="s">
        <v>64</v>
      </c>
      <c r="D2" s="611"/>
      <c r="E2" s="15">
        <v>1</v>
      </c>
    </row>
    <row r="3" spans="1:5" ht="25.5" customHeight="1" x14ac:dyDescent="0.2">
      <c r="A3" s="45"/>
      <c r="B3" s="46"/>
      <c r="C3" s="44"/>
      <c r="D3" s="44"/>
      <c r="E3" s="48"/>
    </row>
    <row r="4" spans="1:5" ht="29.25" customHeight="1" x14ac:dyDescent="0.2">
      <c r="A4" s="45"/>
      <c r="B4" s="46"/>
      <c r="C4" s="44"/>
      <c r="D4" s="44"/>
      <c r="E4" s="48"/>
    </row>
    <row r="5" spans="1:5" ht="29.25" customHeight="1" x14ac:dyDescent="0.2">
      <c r="A5" s="45"/>
      <c r="B5" s="46"/>
      <c r="C5" s="44"/>
      <c r="D5" s="44"/>
      <c r="E5" s="48"/>
    </row>
    <row r="6" spans="1:5" ht="29.25" customHeight="1" x14ac:dyDescent="0.2">
      <c r="A6" s="45"/>
      <c r="B6" s="46"/>
      <c r="C6" s="44"/>
      <c r="D6" s="44"/>
      <c r="E6" s="48"/>
    </row>
    <row r="7" spans="1:5" ht="29.25" customHeight="1" x14ac:dyDescent="0.2">
      <c r="A7" s="45"/>
      <c r="B7" s="46"/>
      <c r="C7" s="44"/>
      <c r="D7" s="44"/>
      <c r="E7" s="48"/>
    </row>
    <row r="8" spans="1:5" ht="29.25" customHeight="1" x14ac:dyDescent="0.2">
      <c r="A8" s="45"/>
      <c r="B8" s="46"/>
      <c r="C8" s="44"/>
      <c r="D8" s="44"/>
      <c r="E8" s="48"/>
    </row>
    <row r="9" spans="1:5" ht="27" customHeight="1" x14ac:dyDescent="0.2">
      <c r="A9" s="45"/>
      <c r="B9" s="46"/>
      <c r="C9" s="44"/>
      <c r="D9" s="44"/>
      <c r="E9" s="48"/>
    </row>
    <row r="10" spans="1:5" ht="24.75" customHeight="1" x14ac:dyDescent="0.2">
      <c r="A10" s="45"/>
      <c r="B10" s="46"/>
      <c r="C10" s="44"/>
      <c r="D10" s="44"/>
      <c r="E10" s="48"/>
    </row>
    <row r="11" spans="1:5" ht="26.25" customHeight="1" thickBot="1" x14ac:dyDescent="0.25">
      <c r="A11" s="45"/>
      <c r="B11" s="46"/>
      <c r="C11" s="44"/>
      <c r="D11" s="44"/>
      <c r="E11" s="48"/>
    </row>
    <row r="12" spans="1:5" ht="22" customHeight="1" x14ac:dyDescent="0.2">
      <c r="A12" s="612" t="s">
        <v>18</v>
      </c>
      <c r="B12" s="613"/>
      <c r="C12" s="27">
        <v>9</v>
      </c>
      <c r="D12" s="13" t="s">
        <v>34</v>
      </c>
      <c r="E12" s="618"/>
    </row>
    <row r="13" spans="1:5" ht="22" customHeight="1" x14ac:dyDescent="0.2">
      <c r="A13" s="582" t="s">
        <v>78</v>
      </c>
      <c r="B13" s="583"/>
      <c r="C13" s="34"/>
      <c r="D13" s="17" t="s">
        <v>185</v>
      </c>
      <c r="E13" s="616"/>
    </row>
    <row r="14" spans="1:5" ht="22" customHeight="1" x14ac:dyDescent="0.2">
      <c r="A14" s="589" t="s">
        <v>13</v>
      </c>
      <c r="B14" s="550"/>
      <c r="C14" s="35"/>
      <c r="D14" s="4" t="s">
        <v>79</v>
      </c>
      <c r="E14" s="616"/>
    </row>
    <row r="15" spans="1:5" ht="22" customHeight="1" x14ac:dyDescent="0.2">
      <c r="A15" s="589" t="s">
        <v>14</v>
      </c>
      <c r="B15" s="550"/>
      <c r="C15" s="5" t="s">
        <v>12</v>
      </c>
      <c r="D15" s="17" t="s">
        <v>186</v>
      </c>
      <c r="E15" s="616"/>
    </row>
    <row r="16" spans="1:5" ht="22" customHeight="1" x14ac:dyDescent="0.2">
      <c r="A16" s="589" t="s">
        <v>101</v>
      </c>
      <c r="B16" s="550"/>
      <c r="C16" s="5" t="s">
        <v>9</v>
      </c>
      <c r="D16" s="3">
        <v>6300000</v>
      </c>
      <c r="E16" s="626" t="s">
        <v>85</v>
      </c>
    </row>
    <row r="17" spans="1:6" ht="22" customHeight="1" x14ac:dyDescent="0.2">
      <c r="A17" s="589" t="s">
        <v>129</v>
      </c>
      <c r="B17" s="550"/>
      <c r="C17" s="5" t="s">
        <v>9</v>
      </c>
      <c r="D17" s="3">
        <v>0</v>
      </c>
      <c r="E17" s="627"/>
    </row>
    <row r="18" spans="1:6" ht="22" customHeight="1" x14ac:dyDescent="0.2">
      <c r="A18" s="589" t="s">
        <v>10</v>
      </c>
      <c r="B18" s="550"/>
      <c r="C18" s="5" t="s">
        <v>11</v>
      </c>
      <c r="D18" s="9">
        <v>8306010</v>
      </c>
      <c r="E18" s="615"/>
    </row>
    <row r="19" spans="1:6" ht="22" customHeight="1" x14ac:dyDescent="0.2">
      <c r="A19" s="589" t="s">
        <v>86</v>
      </c>
      <c r="B19" s="550"/>
      <c r="C19" s="5" t="s">
        <v>12</v>
      </c>
      <c r="D19" s="142">
        <v>109</v>
      </c>
      <c r="E19" s="616"/>
    </row>
    <row r="20" spans="1:6" ht="22" customHeight="1" x14ac:dyDescent="0.2">
      <c r="A20" s="582" t="s">
        <v>84</v>
      </c>
      <c r="B20" s="583"/>
      <c r="C20" s="5" t="s">
        <v>12</v>
      </c>
      <c r="D20" s="23">
        <f>+D19*2.2</f>
        <v>239.8</v>
      </c>
      <c r="E20" s="617"/>
    </row>
    <row r="21" spans="1:6" ht="22" customHeight="1" x14ac:dyDescent="0.2">
      <c r="A21" s="577" t="s">
        <v>139</v>
      </c>
      <c r="B21" s="578"/>
      <c r="C21" s="578"/>
      <c r="D21" s="578"/>
      <c r="E21" s="579"/>
    </row>
    <row r="22" spans="1:6" ht="22" customHeight="1" x14ac:dyDescent="0.2">
      <c r="A22" s="589" t="s">
        <v>83</v>
      </c>
      <c r="B22" s="550"/>
      <c r="C22" s="8" t="s">
        <v>12</v>
      </c>
      <c r="D22" s="72">
        <v>26</v>
      </c>
      <c r="E22" s="49"/>
    </row>
    <row r="23" spans="1:6" ht="22" customHeight="1" x14ac:dyDescent="0.2">
      <c r="A23" s="619" t="s">
        <v>16</v>
      </c>
      <c r="B23" s="620"/>
      <c r="C23" s="31" t="s">
        <v>1</v>
      </c>
      <c r="D23" s="73">
        <v>16163.5</v>
      </c>
      <c r="E23" s="49"/>
    </row>
    <row r="24" spans="1:6" ht="21" customHeight="1" x14ac:dyDescent="0.2">
      <c r="A24" s="582" t="s">
        <v>93</v>
      </c>
      <c r="B24" s="583"/>
      <c r="C24" s="8" t="s">
        <v>1</v>
      </c>
      <c r="D24" s="122">
        <v>0</v>
      </c>
      <c r="E24" s="74" t="s">
        <v>210</v>
      </c>
      <c r="F24" s="143" t="s">
        <v>211</v>
      </c>
    </row>
    <row r="25" spans="1:6" ht="22" customHeight="1" x14ac:dyDescent="0.2">
      <c r="A25" s="582" t="s">
        <v>92</v>
      </c>
      <c r="B25" s="583"/>
      <c r="C25" s="8" t="s">
        <v>1</v>
      </c>
      <c r="D25" s="72">
        <v>58.6</v>
      </c>
      <c r="E25" s="49"/>
    </row>
    <row r="26" spans="1:6" ht="33" customHeight="1" x14ac:dyDescent="0.2">
      <c r="A26" s="621" t="s">
        <v>106</v>
      </c>
      <c r="B26" s="622"/>
      <c r="C26" s="31" t="s">
        <v>1</v>
      </c>
      <c r="D26" s="32">
        <f>+D23-D24-D25</f>
        <v>16104.9</v>
      </c>
      <c r="E26" s="77">
        <f>+D26/D23</f>
        <v>0.99637454759179633</v>
      </c>
      <c r="F26" s="123"/>
    </row>
    <row r="27" spans="1:6" ht="22" customHeight="1" x14ac:dyDescent="0.2">
      <c r="A27" s="587" t="s">
        <v>114</v>
      </c>
      <c r="B27" s="588"/>
      <c r="C27" s="8" t="s">
        <v>1</v>
      </c>
      <c r="D27" s="78">
        <f>+(IF(D$34&lt;=7,0,IF(D$34&lt;=44,(D33*0.03))))</f>
        <v>0</v>
      </c>
      <c r="E27" s="77">
        <f>+D27/D26</f>
        <v>0</v>
      </c>
      <c r="F27" s="123"/>
    </row>
    <row r="28" spans="1:6" ht="22" customHeight="1" x14ac:dyDescent="0.2">
      <c r="A28" s="590" t="s">
        <v>115</v>
      </c>
      <c r="B28" s="591"/>
      <c r="C28" s="8" t="s">
        <v>1</v>
      </c>
      <c r="D28" s="130">
        <f>+(IF(D$61&lt;=300,0,IF(D$61&gt;=300,(D61))))</f>
        <v>5636.7149999999992</v>
      </c>
      <c r="E28" s="77">
        <f>+D28/D26</f>
        <v>0.35</v>
      </c>
      <c r="F28" s="26"/>
    </row>
    <row r="29" spans="1:6" ht="22" customHeight="1" x14ac:dyDescent="0.2">
      <c r="A29" s="614" t="s">
        <v>95</v>
      </c>
      <c r="B29" s="614"/>
      <c r="C29" s="31"/>
      <c r="D29" s="36">
        <f>+D26-D27-D28</f>
        <v>10468.185000000001</v>
      </c>
      <c r="E29" s="77"/>
    </row>
    <row r="30" spans="1:6" ht="22" customHeight="1" x14ac:dyDescent="0.2">
      <c r="A30" s="577" t="s">
        <v>140</v>
      </c>
      <c r="B30" s="578"/>
      <c r="C30" s="578"/>
      <c r="D30" s="578"/>
      <c r="E30" s="579"/>
    </row>
    <row r="31" spans="1:6" ht="22" customHeight="1" x14ac:dyDescent="0.2">
      <c r="A31" s="582" t="s">
        <v>2</v>
      </c>
      <c r="B31" s="583"/>
      <c r="C31" s="8" t="s">
        <v>1</v>
      </c>
      <c r="D31" s="2">
        <f>+C106</f>
        <v>153879.18424999999</v>
      </c>
      <c r="E31" s="593"/>
      <c r="F31" s="37"/>
    </row>
    <row r="32" spans="1:6" ht="22" customHeight="1" x14ac:dyDescent="0.2">
      <c r="A32" s="623" t="s">
        <v>96</v>
      </c>
      <c r="B32" s="624"/>
      <c r="C32" s="8" t="s">
        <v>0</v>
      </c>
      <c r="D32" s="523">
        <f>+D31/D26</f>
        <v>9.554805323224608</v>
      </c>
      <c r="E32" s="594"/>
    </row>
    <row r="33" spans="1:8" ht="22" customHeight="1" x14ac:dyDescent="0.2">
      <c r="A33" s="619" t="s">
        <v>162</v>
      </c>
      <c r="B33" s="620"/>
      <c r="C33" s="31" t="s">
        <v>1</v>
      </c>
      <c r="D33" s="32">
        <f>+C107</f>
        <v>99815.34</v>
      </c>
      <c r="E33" s="74" t="s">
        <v>99</v>
      </c>
      <c r="F33" s="144"/>
      <c r="G33" s="145"/>
      <c r="H33" s="56"/>
    </row>
    <row r="34" spans="1:8" ht="22" customHeight="1" x14ac:dyDescent="0.2">
      <c r="A34" s="625" t="s">
        <v>98</v>
      </c>
      <c r="B34" s="614"/>
      <c r="C34" s="31" t="s">
        <v>0</v>
      </c>
      <c r="D34" s="71">
        <f>+D33/D26</f>
        <v>6.1978242646647912</v>
      </c>
      <c r="E34" s="522" t="s">
        <v>116</v>
      </c>
    </row>
    <row r="35" spans="1:8" ht="22" customHeight="1" x14ac:dyDescent="0.2">
      <c r="A35" s="589" t="s">
        <v>163</v>
      </c>
      <c r="B35" s="550"/>
      <c r="C35" s="61" t="s">
        <v>1</v>
      </c>
      <c r="D35" s="81">
        <f>+D26*D36</f>
        <v>20936.37</v>
      </c>
      <c r="E35" s="75">
        <f>+D35/D31</f>
        <v>0.13605719384361761</v>
      </c>
    </row>
    <row r="36" spans="1:8" ht="22" customHeight="1" x14ac:dyDescent="0.2">
      <c r="A36" s="589" t="s">
        <v>97</v>
      </c>
      <c r="B36" s="550"/>
      <c r="C36" s="61" t="s">
        <v>0</v>
      </c>
      <c r="D36" s="81">
        <v>1.3</v>
      </c>
      <c r="E36" s="74" t="s">
        <v>102</v>
      </c>
      <c r="F36" s="38"/>
    </row>
    <row r="37" spans="1:8" ht="22" customHeight="1" x14ac:dyDescent="0.2">
      <c r="A37" s="577" t="s">
        <v>165</v>
      </c>
      <c r="B37" s="578"/>
      <c r="C37" s="578"/>
      <c r="D37" s="578"/>
      <c r="E37" s="579"/>
    </row>
    <row r="38" spans="1:8" ht="22" customHeight="1" x14ac:dyDescent="0.2">
      <c r="A38" s="589" t="s">
        <v>81</v>
      </c>
      <c r="B38" s="550"/>
      <c r="C38" s="61" t="s">
        <v>0</v>
      </c>
      <c r="D38" s="81">
        <f>+D39/D26</f>
        <v>0.45112357108706047</v>
      </c>
      <c r="E38" s="79"/>
    </row>
    <row r="39" spans="1:8" ht="22" customHeight="1" x14ac:dyDescent="0.2">
      <c r="A39" s="589" t="s">
        <v>164</v>
      </c>
      <c r="B39" s="550"/>
      <c r="C39" s="61" t="s">
        <v>1</v>
      </c>
      <c r="D39" s="76">
        <f>+E146+E159+E172</f>
        <v>7265.3</v>
      </c>
      <c r="E39" s="80">
        <f>+D39/D26</f>
        <v>0.45112357108706047</v>
      </c>
    </row>
    <row r="40" spans="1:8" ht="22" customHeight="1" x14ac:dyDescent="0.2">
      <c r="A40" s="577" t="s">
        <v>143</v>
      </c>
      <c r="B40" s="578"/>
      <c r="C40" s="578"/>
      <c r="D40" s="578"/>
      <c r="E40" s="579"/>
    </row>
    <row r="41" spans="1:8" ht="22" customHeight="1" x14ac:dyDescent="0.2">
      <c r="A41" s="589" t="s">
        <v>147</v>
      </c>
      <c r="B41" s="550"/>
      <c r="C41" s="61" t="s">
        <v>12</v>
      </c>
      <c r="D41" s="82">
        <f>+C157</f>
        <v>25</v>
      </c>
      <c r="E41" s="83"/>
      <c r="F41" s="55"/>
    </row>
    <row r="42" spans="1:8" ht="22" customHeight="1" x14ac:dyDescent="0.2">
      <c r="A42" s="589" t="s">
        <v>148</v>
      </c>
      <c r="B42" s="550"/>
      <c r="C42" s="61" t="s">
        <v>12</v>
      </c>
      <c r="D42" s="82">
        <f>+D41-C146-C150</f>
        <v>23</v>
      </c>
      <c r="E42" s="83"/>
      <c r="F42" s="57"/>
    </row>
    <row r="43" spans="1:8" ht="22" customHeight="1" x14ac:dyDescent="0.2">
      <c r="A43" s="580" t="s">
        <v>146</v>
      </c>
      <c r="B43" s="581"/>
      <c r="C43" s="84" t="s">
        <v>1</v>
      </c>
      <c r="D43" s="85">
        <f>+(C111)*0.8</f>
        <v>4080</v>
      </c>
      <c r="E43" s="83"/>
      <c r="F43" s="57"/>
    </row>
    <row r="44" spans="1:8" ht="22" customHeight="1" x14ac:dyDescent="0.2">
      <c r="A44" s="580" t="s">
        <v>145</v>
      </c>
      <c r="B44" s="581"/>
      <c r="C44" s="84" t="s">
        <v>1</v>
      </c>
      <c r="D44" s="85">
        <f>+(C110)*0.8</f>
        <v>5492.2400000000007</v>
      </c>
      <c r="E44" s="83"/>
      <c r="F44" s="57"/>
    </row>
    <row r="45" spans="1:8" ht="22" customHeight="1" x14ac:dyDescent="0.2">
      <c r="A45" s="592" t="s">
        <v>144</v>
      </c>
      <c r="B45" s="557"/>
      <c r="C45" s="84" t="s">
        <v>12</v>
      </c>
      <c r="D45" s="87">
        <f>+D46+D47</f>
        <v>2169</v>
      </c>
      <c r="E45" s="83"/>
      <c r="F45" s="57"/>
    </row>
    <row r="46" spans="1:8" ht="22" customHeight="1" x14ac:dyDescent="0.2">
      <c r="A46" s="592" t="s">
        <v>80</v>
      </c>
      <c r="B46" s="557"/>
      <c r="C46" s="84" t="s">
        <v>12</v>
      </c>
      <c r="D46" s="115">
        <f>+ROUND(C112/52,0)</f>
        <v>1689</v>
      </c>
      <c r="E46" s="83"/>
      <c r="F46" s="57"/>
    </row>
    <row r="47" spans="1:8" ht="22" customHeight="1" x14ac:dyDescent="0.2">
      <c r="A47" s="592" t="s">
        <v>150</v>
      </c>
      <c r="B47" s="557"/>
      <c r="C47" s="84" t="s">
        <v>12</v>
      </c>
      <c r="D47" s="116">
        <f>+D48+D49</f>
        <v>480</v>
      </c>
      <c r="E47" s="83"/>
      <c r="F47" s="57"/>
    </row>
    <row r="48" spans="1:8" ht="22" customHeight="1" x14ac:dyDescent="0.2">
      <c r="A48" s="589" t="s">
        <v>19</v>
      </c>
      <c r="B48" s="550"/>
      <c r="C48" s="61" t="s">
        <v>12</v>
      </c>
      <c r="D48" s="137">
        <f>+ROUND((D57*0.6)/52,0)</f>
        <v>288</v>
      </c>
      <c r="E48" s="632" t="s">
        <v>103</v>
      </c>
      <c r="F48" s="474">
        <f>D48+D49</f>
        <v>480</v>
      </c>
    </row>
    <row r="49" spans="1:7" s="30" customFormat="1" ht="22" customHeight="1" x14ac:dyDescent="0.2">
      <c r="A49" s="589" t="s">
        <v>20</v>
      </c>
      <c r="B49" s="550"/>
      <c r="C49" s="61" t="s">
        <v>12</v>
      </c>
      <c r="D49" s="137">
        <f>+ROUND((D57*0.4)/52,0)</f>
        <v>192</v>
      </c>
      <c r="E49" s="633"/>
      <c r="F49" s="474">
        <f>F48*42</f>
        <v>20160</v>
      </c>
      <c r="G49"/>
    </row>
    <row r="50" spans="1:7" s="30" customFormat="1" ht="22" customHeight="1" x14ac:dyDescent="0.2">
      <c r="A50" s="592" t="s">
        <v>178</v>
      </c>
      <c r="B50" s="557"/>
      <c r="C50" s="84" t="s">
        <v>12</v>
      </c>
      <c r="D50" s="138">
        <f>+E96+E97</f>
        <v>1174</v>
      </c>
      <c r="E50" s="634"/>
      <c r="F50" s="58">
        <f>F49/D57</f>
        <v>0.80789185309592693</v>
      </c>
      <c r="G50"/>
    </row>
    <row r="51" spans="1:7" ht="22" customHeight="1" x14ac:dyDescent="0.2">
      <c r="A51" s="592" t="s">
        <v>204</v>
      </c>
      <c r="B51" s="557"/>
      <c r="C51" s="84" t="s">
        <v>12</v>
      </c>
      <c r="D51" s="138">
        <f>+E94</f>
        <v>222</v>
      </c>
      <c r="E51" s="635"/>
      <c r="F51" s="59"/>
    </row>
    <row r="52" spans="1:7" ht="22" customHeight="1" x14ac:dyDescent="0.2">
      <c r="A52" s="577" t="s">
        <v>117</v>
      </c>
      <c r="B52" s="578"/>
      <c r="C52" s="578"/>
      <c r="D52" s="578"/>
      <c r="E52" s="579"/>
      <c r="F52" s="43"/>
    </row>
    <row r="53" spans="1:7" ht="22" customHeight="1" x14ac:dyDescent="0.2">
      <c r="A53" s="582" t="s">
        <v>119</v>
      </c>
      <c r="B53" s="583"/>
      <c r="C53" s="61" t="s">
        <v>1</v>
      </c>
      <c r="D53" s="477">
        <f>+D33*0.15</f>
        <v>14972.300999999999</v>
      </c>
      <c r="E53" s="638" t="s">
        <v>118</v>
      </c>
      <c r="F53" s="473" t="s">
        <v>398</v>
      </c>
    </row>
    <row r="54" spans="1:7" ht="24" customHeight="1" x14ac:dyDescent="0.2">
      <c r="A54" s="582" t="s">
        <v>120</v>
      </c>
      <c r="B54" s="583"/>
      <c r="C54" s="61" t="s">
        <v>1</v>
      </c>
      <c r="D54" s="477">
        <f>+D33*0.1</f>
        <v>9981.5339999999997</v>
      </c>
      <c r="E54" s="638"/>
      <c r="F54" s="43"/>
    </row>
    <row r="55" spans="1:7" ht="22" customHeight="1" x14ac:dyDescent="0.2">
      <c r="A55" s="550" t="s">
        <v>130</v>
      </c>
      <c r="B55" s="550"/>
      <c r="C55" s="61"/>
      <c r="D55" s="82">
        <f>+D53+D54</f>
        <v>24953.834999999999</v>
      </c>
      <c r="E55" s="638"/>
      <c r="F55" s="152"/>
    </row>
    <row r="56" spans="1:7" ht="22" customHeight="1" x14ac:dyDescent="0.2">
      <c r="A56" s="580" t="s">
        <v>126</v>
      </c>
      <c r="B56" s="584"/>
      <c r="C56" s="84" t="s">
        <v>1</v>
      </c>
      <c r="D56" s="90">
        <f>IF(D$81&gt;0,0,IF(D$57&gt;0,0,IF(D$57&lt;=0,((D53+D54)*(D17/D16)))))</f>
        <v>0</v>
      </c>
      <c r="E56" s="88">
        <f>+(IF(D$57&gt;0,0,IF(D$57&lt;=0,((D53+D54)*(D17/D16)))))</f>
        <v>0</v>
      </c>
      <c r="F56" s="153"/>
    </row>
    <row r="57" spans="1:7" ht="22" customHeight="1" x14ac:dyDescent="0.2">
      <c r="A57" s="580" t="s">
        <v>128</v>
      </c>
      <c r="B57" s="581"/>
      <c r="C57" s="84" t="s">
        <v>1</v>
      </c>
      <c r="D57" s="54">
        <f>+D55</f>
        <v>24953.834999999999</v>
      </c>
      <c r="E57" s="89" t="s">
        <v>127</v>
      </c>
      <c r="F57" s="154"/>
    </row>
    <row r="58" spans="1:7" ht="22" customHeight="1" x14ac:dyDescent="0.2">
      <c r="A58" s="577" t="s">
        <v>131</v>
      </c>
      <c r="B58" s="578"/>
      <c r="C58" s="578"/>
      <c r="D58" s="578"/>
      <c r="E58" s="579"/>
      <c r="F58" s="29"/>
    </row>
    <row r="59" spans="1:7" ht="22" customHeight="1" x14ac:dyDescent="0.2">
      <c r="A59" s="585" t="s">
        <v>108</v>
      </c>
      <c r="B59" s="586"/>
      <c r="C59" s="61" t="s">
        <v>1</v>
      </c>
      <c r="D59" s="91">
        <f>+(IF($D$34&lt;=1.3,0,IF($D$34&lt;=2,0.2,IF($D$34&lt;=3,0.27,IF($D$34&lt;=4,0.38,IF($D$34&lt;=5,0.51,IF($D$34&lt;=6,0.65,IF($D$34&lt;=11,0.79)))))))*D26)</f>
        <v>12722.871000000001</v>
      </c>
      <c r="E59" s="80">
        <f>+D59/D26</f>
        <v>0.79</v>
      </c>
      <c r="F59" s="29"/>
    </row>
    <row r="60" spans="1:7" ht="22" customHeight="1" x14ac:dyDescent="0.2">
      <c r="A60" s="585" t="s">
        <v>94</v>
      </c>
      <c r="B60" s="586"/>
      <c r="C60" s="61" t="s">
        <v>1</v>
      </c>
      <c r="D60" s="91">
        <f>+(IF($D$34&lt;=1.3,0,IF($D$34&lt;=3,0.07,IF($D$34&lt;=4,0.18,IF($D$34&lt;=5,0.26,IF($D$34&lt;=6,0.35,IF($D$34&lt;=11,0.44)))))))*D26</f>
        <v>7086.1559999999999</v>
      </c>
      <c r="E60" s="80">
        <f>+D60/D26</f>
        <v>0.44</v>
      </c>
      <c r="F60" s="24">
        <f>+D26*E60-D60</f>
        <v>0</v>
      </c>
    </row>
    <row r="61" spans="1:7" ht="30" customHeight="1" x14ac:dyDescent="0.2">
      <c r="A61" s="639" t="s">
        <v>107</v>
      </c>
      <c r="B61" s="586"/>
      <c r="C61" s="61" t="s">
        <v>1</v>
      </c>
      <c r="D61" s="91">
        <f>+(IF($D$34&lt;=1.3,0,IF($D$34&lt;=2,0.2,IF($D$34&lt;=3,0.2,IF($D$34&lt;=4,0.2,IF($D$34&lt;=5,0.25,IF($D$34&lt;=6,0.3,IF($D$34&lt;=11,0.35)))))))*D26)</f>
        <v>5636.7149999999992</v>
      </c>
      <c r="E61" s="80">
        <f>+D61/D26</f>
        <v>0.35</v>
      </c>
      <c r="F61" s="24">
        <f>+D26*E61-D61</f>
        <v>0</v>
      </c>
    </row>
    <row r="62" spans="1:7" ht="22" customHeight="1" x14ac:dyDescent="0.2">
      <c r="A62" s="92">
        <v>1</v>
      </c>
      <c r="B62" s="18" t="s">
        <v>67</v>
      </c>
      <c r="C62" s="34" t="s">
        <v>1</v>
      </c>
      <c r="D62" s="124">
        <v>40.9</v>
      </c>
      <c r="E62" s="94" t="s">
        <v>133</v>
      </c>
    </row>
    <row r="63" spans="1:7" s="30" customFormat="1" ht="22" customHeight="1" x14ac:dyDescent="0.2">
      <c r="A63" s="640">
        <v>2</v>
      </c>
      <c r="B63" s="18" t="s">
        <v>112</v>
      </c>
      <c r="C63" s="34" t="s">
        <v>1</v>
      </c>
      <c r="D63" s="93">
        <v>712.2</v>
      </c>
      <c r="E63" s="94" t="s">
        <v>132</v>
      </c>
      <c r="F63" s="33"/>
      <c r="G63"/>
    </row>
    <row r="64" spans="1:7" ht="22" customHeight="1" x14ac:dyDescent="0.2">
      <c r="A64" s="641"/>
      <c r="B64" s="18" t="s">
        <v>187</v>
      </c>
      <c r="C64" s="34" t="s">
        <v>169</v>
      </c>
      <c r="D64" s="4">
        <f>+D63/2</f>
        <v>356.1</v>
      </c>
      <c r="E64" s="94"/>
      <c r="F64"/>
    </row>
    <row r="65" spans="1:8" ht="22" customHeight="1" x14ac:dyDescent="0.2">
      <c r="A65" s="60">
        <v>3</v>
      </c>
      <c r="B65" s="25" t="s">
        <v>113</v>
      </c>
      <c r="C65" s="95" t="s">
        <v>1</v>
      </c>
      <c r="D65" s="96">
        <f>+D61-D62-D64</f>
        <v>5239.7149999999992</v>
      </c>
      <c r="E65" s="94" t="s">
        <v>134</v>
      </c>
    </row>
    <row r="66" spans="1:8" s="30" customFormat="1" ht="22" customHeight="1" x14ac:dyDescent="0.2">
      <c r="A66" s="577" t="s">
        <v>166</v>
      </c>
      <c r="B66" s="578"/>
      <c r="C66" s="578"/>
      <c r="D66" s="578"/>
      <c r="E66" s="579"/>
      <c r="F66" s="33"/>
      <c r="G66"/>
    </row>
    <row r="67" spans="1:8" s="30" customFormat="1" ht="22" customHeight="1" x14ac:dyDescent="0.2">
      <c r="A67" s="589" t="s">
        <v>8</v>
      </c>
      <c r="B67" s="550"/>
      <c r="C67" s="61" t="s">
        <v>3</v>
      </c>
      <c r="D67" s="108">
        <f>D45/D26*10000</f>
        <v>1346.7950747909022</v>
      </c>
      <c r="E67" s="628"/>
      <c r="F67" s="33"/>
      <c r="G67"/>
    </row>
    <row r="68" spans="1:8" s="30" customFormat="1" ht="22" customHeight="1" x14ac:dyDescent="0.2">
      <c r="A68" s="580" t="s">
        <v>70</v>
      </c>
      <c r="B68" s="581"/>
      <c r="C68" s="84" t="s">
        <v>12</v>
      </c>
      <c r="D68" s="85">
        <f>+D45*2.2</f>
        <v>4771.8</v>
      </c>
      <c r="E68" s="629"/>
      <c r="F68" s="33"/>
      <c r="G68"/>
    </row>
    <row r="69" spans="1:8" s="30" customFormat="1" ht="22" customHeight="1" x14ac:dyDescent="0.2">
      <c r="A69" s="580" t="s">
        <v>171</v>
      </c>
      <c r="B69" s="584"/>
      <c r="C69" s="106" t="s">
        <v>1</v>
      </c>
      <c r="D69" s="107">
        <f>+(D71+D72)/D68</f>
        <v>1.8098442935579864</v>
      </c>
      <c r="E69" s="630" t="s">
        <v>172</v>
      </c>
      <c r="F69" s="33"/>
      <c r="G69"/>
    </row>
    <row r="70" spans="1:8" s="30" customFormat="1" ht="22" customHeight="1" x14ac:dyDescent="0.2">
      <c r="A70" s="580" t="s">
        <v>170</v>
      </c>
      <c r="B70" s="584"/>
      <c r="C70" s="106" t="s">
        <v>1</v>
      </c>
      <c r="D70" s="107">
        <f>+D71/D68</f>
        <v>1.1812555010687789</v>
      </c>
      <c r="E70" s="631"/>
      <c r="F70" s="33"/>
      <c r="G70"/>
    </row>
    <row r="71" spans="1:8" s="30" customFormat="1" ht="22" customHeight="1" x14ac:dyDescent="0.2">
      <c r="A71" s="582" t="s">
        <v>167</v>
      </c>
      <c r="B71" s="637"/>
      <c r="C71" s="95" t="s">
        <v>1</v>
      </c>
      <c r="D71" s="105">
        <f>+D28</f>
        <v>5636.7149999999992</v>
      </c>
      <c r="E71" s="111"/>
      <c r="F71" s="33"/>
      <c r="G71"/>
    </row>
    <row r="72" spans="1:8" s="30" customFormat="1" ht="22" customHeight="1" x14ac:dyDescent="0.2">
      <c r="A72" s="582" t="s">
        <v>168</v>
      </c>
      <c r="B72" s="637"/>
      <c r="C72" s="95" t="s">
        <v>1</v>
      </c>
      <c r="D72" s="105">
        <f>+D90</f>
        <v>2999.5</v>
      </c>
      <c r="E72" s="112"/>
      <c r="F72" s="33"/>
      <c r="G72"/>
    </row>
    <row r="73" spans="1:8" ht="22" customHeight="1" x14ac:dyDescent="0.2">
      <c r="A73" s="577" t="s">
        <v>111</v>
      </c>
      <c r="B73" s="578"/>
      <c r="C73" s="578"/>
      <c r="D73" s="578"/>
      <c r="E73" s="579"/>
    </row>
    <row r="74" spans="1:8" ht="22" customHeight="1" x14ac:dyDescent="0.2">
      <c r="A74" s="595" t="s">
        <v>21</v>
      </c>
      <c r="B74" s="596"/>
      <c r="C74" s="7" t="s">
        <v>9</v>
      </c>
      <c r="D74" s="7">
        <f>+D75-(D76+D77)+D78+D79+D80+D81</f>
        <v>44900315107.199997</v>
      </c>
      <c r="E74" s="77"/>
      <c r="F74" s="37"/>
      <c r="H74"/>
    </row>
    <row r="75" spans="1:8" ht="29.25" customHeight="1" x14ac:dyDescent="0.2">
      <c r="A75" s="602" t="s">
        <v>177</v>
      </c>
      <c r="B75" s="602"/>
      <c r="C75" s="109" t="s">
        <v>9</v>
      </c>
      <c r="D75" s="500">
        <f>+D97*(D16*0.1)</f>
        <v>6288366420</v>
      </c>
      <c r="E75" s="102" t="s">
        <v>176</v>
      </c>
      <c r="F75" s="39"/>
      <c r="H75"/>
    </row>
    <row r="76" spans="1:8" ht="21.75" customHeight="1" x14ac:dyDescent="0.2">
      <c r="A76" s="603">
        <v>1</v>
      </c>
      <c r="B76" s="25" t="s">
        <v>24</v>
      </c>
      <c r="C76" s="61" t="s">
        <v>9</v>
      </c>
      <c r="D76" s="82">
        <v>0</v>
      </c>
      <c r="E76" s="102" t="s">
        <v>104</v>
      </c>
      <c r="H76"/>
    </row>
    <row r="77" spans="1:8" ht="22" customHeight="1" x14ac:dyDescent="0.2">
      <c r="A77" s="603"/>
      <c r="B77" s="25" t="s">
        <v>23</v>
      </c>
      <c r="C77" s="61" t="s">
        <v>9</v>
      </c>
      <c r="D77" s="486">
        <f>+D78*0.25</f>
        <v>11160695700</v>
      </c>
      <c r="E77" s="102" t="s">
        <v>105</v>
      </c>
      <c r="F77" s="33">
        <f>100-75</f>
        <v>25</v>
      </c>
      <c r="H77"/>
    </row>
    <row r="78" spans="1:8" ht="22" customHeight="1" x14ac:dyDescent="0.2">
      <c r="A78" s="592" t="s">
        <v>121</v>
      </c>
      <c r="B78" s="557"/>
      <c r="C78" s="84" t="s">
        <v>9</v>
      </c>
      <c r="D78" s="500">
        <f>+D60*D16</f>
        <v>44642782800</v>
      </c>
      <c r="E78" s="102" t="s">
        <v>109</v>
      </c>
    </row>
    <row r="79" spans="1:8" ht="22" customHeight="1" x14ac:dyDescent="0.2">
      <c r="A79" s="589" t="s">
        <v>123</v>
      </c>
      <c r="B79" s="550"/>
      <c r="C79" s="61" t="s">
        <v>9</v>
      </c>
      <c r="D79" s="501">
        <f>+D59*D16*0.064</f>
        <v>5129861587.1999998</v>
      </c>
      <c r="E79" s="102" t="s">
        <v>100</v>
      </c>
    </row>
    <row r="80" spans="1:8" ht="22" customHeight="1" x14ac:dyDescent="0.2">
      <c r="A80" s="592" t="s">
        <v>122</v>
      </c>
      <c r="B80" s="557"/>
      <c r="C80" s="84" t="s">
        <v>9</v>
      </c>
      <c r="D80" s="85">
        <f>(IF(D$61&gt;=300,0,IF(D$61&lt;=299,(D$61*(D16+200000)))))</f>
        <v>0</v>
      </c>
      <c r="E80" s="103" t="s">
        <v>110</v>
      </c>
    </row>
    <row r="81" spans="1:7" ht="22" customHeight="1" x14ac:dyDescent="0.2">
      <c r="A81" s="589" t="s">
        <v>124</v>
      </c>
      <c r="B81" s="550"/>
      <c r="C81" s="61" t="s">
        <v>9</v>
      </c>
      <c r="D81" s="104">
        <f>+(IF(D$57&gt;0,0,IF(D$57&lt;=0,(0.18*(D53+D54)*D16))))</f>
        <v>0</v>
      </c>
      <c r="E81" s="103" t="s">
        <v>125</v>
      </c>
    </row>
    <row r="82" spans="1:7" ht="18" customHeight="1" x14ac:dyDescent="0.2">
      <c r="A82" s="577" t="s">
        <v>17</v>
      </c>
      <c r="B82" s="578"/>
      <c r="C82" s="578"/>
      <c r="D82" s="578"/>
      <c r="E82" s="579"/>
    </row>
    <row r="83" spans="1:7" s="30" customFormat="1" ht="18" customHeight="1" x14ac:dyDescent="0.2">
      <c r="A83" s="620" t="s">
        <v>206</v>
      </c>
      <c r="B83" s="620"/>
      <c r="C83" s="86" t="s">
        <v>12</v>
      </c>
      <c r="D83" s="100">
        <f>+D48+D49</f>
        <v>480</v>
      </c>
      <c r="E83" s="139"/>
      <c r="F83" s="33"/>
      <c r="G83"/>
    </row>
    <row r="84" spans="1:7" ht="20.25" customHeight="1" x14ac:dyDescent="0.2">
      <c r="A84" s="589" t="s">
        <v>156</v>
      </c>
      <c r="B84" s="550"/>
      <c r="C84" s="61" t="s">
        <v>1</v>
      </c>
      <c r="D84" s="81">
        <f>+(150)*6</f>
        <v>900</v>
      </c>
      <c r="E84" s="630" t="s">
        <v>149</v>
      </c>
      <c r="F84" s="38"/>
    </row>
    <row r="85" spans="1:7" s="30" customFormat="1" ht="20.25" customHeight="1" x14ac:dyDescent="0.2">
      <c r="A85" s="589" t="s">
        <v>205</v>
      </c>
      <c r="B85" s="550"/>
      <c r="C85" s="61" t="s">
        <v>1</v>
      </c>
      <c r="D85" s="81">
        <f>+(D83-150)*8.5</f>
        <v>2805</v>
      </c>
      <c r="E85" s="636"/>
      <c r="F85" s="38"/>
      <c r="G85"/>
    </row>
    <row r="86" spans="1:7" ht="22" customHeight="1" x14ac:dyDescent="0.2">
      <c r="A86" s="589" t="s">
        <v>69</v>
      </c>
      <c r="B86" s="550"/>
      <c r="C86" s="61" t="s">
        <v>1</v>
      </c>
      <c r="D86" s="81">
        <f>(D46*42)/80*10</f>
        <v>8867.25</v>
      </c>
      <c r="E86" s="636"/>
    </row>
    <row r="87" spans="1:7" ht="22" customHeight="1" x14ac:dyDescent="0.2">
      <c r="A87" s="619" t="s">
        <v>73</v>
      </c>
      <c r="B87" s="620"/>
      <c r="C87" s="100" t="s">
        <v>1</v>
      </c>
      <c r="D87" s="129">
        <f>+D86+D84+D85</f>
        <v>12572.25</v>
      </c>
      <c r="E87" s="631"/>
    </row>
    <row r="88" spans="1:7" ht="22" customHeight="1" x14ac:dyDescent="0.2">
      <c r="A88" s="592" t="s">
        <v>74</v>
      </c>
      <c r="B88" s="557"/>
      <c r="C88" s="84" t="s">
        <v>1</v>
      </c>
      <c r="D88" s="114">
        <f>+D87*0.5</f>
        <v>6286.125</v>
      </c>
      <c r="E88" s="94" t="s">
        <v>157</v>
      </c>
    </row>
    <row r="89" spans="1:7" s="30" customFormat="1" ht="22" customHeight="1" x14ac:dyDescent="0.2">
      <c r="A89" s="582" t="s">
        <v>155</v>
      </c>
      <c r="B89" s="583"/>
      <c r="C89" s="61" t="s">
        <v>1</v>
      </c>
      <c r="D89" s="81">
        <f>+D88-D90-D91</f>
        <v>3286.625</v>
      </c>
      <c r="E89" s="101">
        <f>+D89/D88</f>
        <v>0.52283799638091832</v>
      </c>
      <c r="F89" s="131"/>
    </row>
    <row r="90" spans="1:7" ht="22" customHeight="1" x14ac:dyDescent="0.2">
      <c r="A90" s="582" t="s">
        <v>208</v>
      </c>
      <c r="B90" s="583"/>
      <c r="C90" s="61" t="s">
        <v>1</v>
      </c>
      <c r="D90" s="141">
        <f>471.1+113.2+2415.2</f>
        <v>2999.5</v>
      </c>
      <c r="E90" s="101">
        <f>+D90/D88</f>
        <v>0.47716200361908173</v>
      </c>
      <c r="F90" s="38"/>
    </row>
    <row r="91" spans="1:7" ht="22" customHeight="1" x14ac:dyDescent="0.2">
      <c r="A91" s="582" t="s">
        <v>154</v>
      </c>
      <c r="B91" s="583"/>
      <c r="C91" s="61" t="s">
        <v>1</v>
      </c>
      <c r="D91" s="141">
        <v>0</v>
      </c>
      <c r="E91" s="101">
        <f>+D91/D88</f>
        <v>0</v>
      </c>
    </row>
    <row r="92" spans="1:7" ht="22" customHeight="1" x14ac:dyDescent="0.2">
      <c r="A92" s="592" t="s">
        <v>75</v>
      </c>
      <c r="B92" s="557"/>
      <c r="C92" s="84" t="s">
        <v>1</v>
      </c>
      <c r="D92" s="85">
        <f>+D87*0.2</f>
        <v>2514.4500000000003</v>
      </c>
      <c r="E92" s="94" t="s">
        <v>149</v>
      </c>
    </row>
    <row r="93" spans="1:7" ht="22" customHeight="1" x14ac:dyDescent="0.2">
      <c r="A93" s="649" t="s">
        <v>15</v>
      </c>
      <c r="B93" s="650"/>
      <c r="C93" s="6"/>
      <c r="D93" s="6" t="s">
        <v>7</v>
      </c>
      <c r="E93" s="113" t="s">
        <v>82</v>
      </c>
    </row>
    <row r="94" spans="1:7" s="30" customFormat="1" ht="22" customHeight="1" x14ac:dyDescent="0.2">
      <c r="A94" s="589" t="s">
        <v>158</v>
      </c>
      <c r="B94" s="550"/>
      <c r="C94" s="61" t="s">
        <v>1</v>
      </c>
      <c r="D94" s="82">
        <f>+D87-D88-D92</f>
        <v>3771.6749999999997</v>
      </c>
      <c r="E94" s="16">
        <f>++ROUND(D94/17,0)</f>
        <v>222</v>
      </c>
      <c r="F94" s="37"/>
    </row>
    <row r="95" spans="1:7" ht="22" customHeight="1" x14ac:dyDescent="0.2">
      <c r="A95" s="604" t="s">
        <v>173</v>
      </c>
      <c r="B95" s="591"/>
      <c r="C95" s="8" t="s">
        <v>1</v>
      </c>
      <c r="D95" s="42">
        <f>+D57*0.05</f>
        <v>1247.69175</v>
      </c>
      <c r="E95" s="16">
        <f>++ROUND(D95/17,0)</f>
        <v>73</v>
      </c>
      <c r="F95" s="127" t="s">
        <v>179</v>
      </c>
    </row>
    <row r="96" spans="1:7" ht="22" customHeight="1" x14ac:dyDescent="0.2">
      <c r="A96" s="604" t="s">
        <v>174</v>
      </c>
      <c r="B96" s="591"/>
      <c r="C96" s="8" t="s">
        <v>1</v>
      </c>
      <c r="D96" s="42">
        <f>+D33*0.1</f>
        <v>9981.5339999999997</v>
      </c>
      <c r="E96" s="16">
        <f>++ROUND(D96/17,0)</f>
        <v>587</v>
      </c>
    </row>
    <row r="97" spans="1:7" ht="22" customHeight="1" x14ac:dyDescent="0.2">
      <c r="A97" s="604" t="s">
        <v>175</v>
      </c>
      <c r="B97" s="591"/>
      <c r="C97" s="8" t="s">
        <v>1</v>
      </c>
      <c r="D97" s="483">
        <f>+D33*0.1</f>
        <v>9981.5339999999997</v>
      </c>
      <c r="E97" s="16">
        <f>++ROUND(D97/17,0)</f>
        <v>587</v>
      </c>
      <c r="F97" s="37"/>
    </row>
    <row r="98" spans="1:7" ht="22" customHeight="1" x14ac:dyDescent="0.2">
      <c r="A98" s="647" t="s">
        <v>76</v>
      </c>
      <c r="B98" s="648"/>
      <c r="C98" s="31" t="s">
        <v>1</v>
      </c>
      <c r="D98" s="117">
        <f>+D94+D96+D97</f>
        <v>23734.742999999999</v>
      </c>
      <c r="E98" s="118">
        <f>+E94+E96+E97</f>
        <v>1396</v>
      </c>
    </row>
    <row r="99" spans="1:7" ht="22" customHeight="1" x14ac:dyDescent="0.2">
      <c r="A99" s="604" t="s">
        <v>180</v>
      </c>
      <c r="B99" s="591"/>
      <c r="C99" s="8" t="s">
        <v>1</v>
      </c>
      <c r="D99" s="42">
        <f>+E99*1.25</f>
        <v>2711.25</v>
      </c>
      <c r="E99" s="16">
        <f>+D45</f>
        <v>2169</v>
      </c>
    </row>
    <row r="100" spans="1:7" ht="22" customHeight="1" x14ac:dyDescent="0.2">
      <c r="A100" s="604" t="s">
        <v>181</v>
      </c>
      <c r="B100" s="591"/>
      <c r="C100" s="8" t="s">
        <v>1</v>
      </c>
      <c r="D100" s="42">
        <f>+E100*1.25</f>
        <v>149.56625000000005</v>
      </c>
      <c r="E100" s="16">
        <f>+((D43+D44)*1.25)/100</f>
        <v>119.65300000000003</v>
      </c>
    </row>
    <row r="101" spans="1:7" ht="22" customHeight="1" thickBot="1" x14ac:dyDescent="0.25">
      <c r="A101" s="644" t="s">
        <v>77</v>
      </c>
      <c r="B101" s="645"/>
      <c r="C101" s="646"/>
      <c r="D101" s="119">
        <f>+D98+D100+D99</f>
        <v>26595.559249999998</v>
      </c>
      <c r="E101" s="120">
        <f>+D101/D29</f>
        <v>2.5406084483604365</v>
      </c>
    </row>
    <row r="102" spans="1:7" ht="22" customHeight="1" x14ac:dyDescent="0.2">
      <c r="A102" s="577" t="s">
        <v>87</v>
      </c>
      <c r="B102" s="578"/>
      <c r="C102" s="578"/>
      <c r="D102" s="578"/>
      <c r="E102" s="579"/>
    </row>
    <row r="103" spans="1:7" ht="22" customHeight="1" x14ac:dyDescent="0.2">
      <c r="A103" s="604" t="s">
        <v>88</v>
      </c>
      <c r="B103" s="591"/>
      <c r="C103" s="8" t="s">
        <v>1</v>
      </c>
      <c r="D103" s="121">
        <f>+((D45/35)*3)+2</f>
        <v>187.91428571428571</v>
      </c>
      <c r="E103" s="22" t="s">
        <v>182</v>
      </c>
    </row>
    <row r="104" spans="1:7" ht="22" customHeight="1" x14ac:dyDescent="0.2">
      <c r="A104" s="577" t="s">
        <v>4</v>
      </c>
      <c r="B104" s="578"/>
      <c r="C104" s="578"/>
      <c r="D104" s="578"/>
      <c r="E104" s="579"/>
    </row>
    <row r="105" spans="1:7" ht="22" customHeight="1" x14ac:dyDescent="0.2">
      <c r="A105" s="577" t="s">
        <v>151</v>
      </c>
      <c r="B105" s="578"/>
      <c r="C105" s="578"/>
      <c r="D105" s="578"/>
      <c r="E105" s="579"/>
    </row>
    <row r="106" spans="1:7" ht="22" customHeight="1" x14ac:dyDescent="0.2">
      <c r="A106" s="548" t="s">
        <v>159</v>
      </c>
      <c r="B106" s="549"/>
      <c r="C106" s="551">
        <f>+C108+C110+C111+C112+C113+C115</f>
        <v>153879.18424999999</v>
      </c>
      <c r="D106" s="552"/>
      <c r="E106" s="651"/>
    </row>
    <row r="107" spans="1:7" ht="22" customHeight="1" x14ac:dyDescent="0.2">
      <c r="A107" s="548" t="s">
        <v>152</v>
      </c>
      <c r="B107" s="549"/>
      <c r="C107" s="558">
        <f>+C110+C111+C112</f>
        <v>99815.34</v>
      </c>
      <c r="D107" s="559"/>
      <c r="E107" s="652"/>
    </row>
    <row r="108" spans="1:7" ht="22" customHeight="1" x14ac:dyDescent="0.2">
      <c r="A108" s="550" t="s">
        <v>202</v>
      </c>
      <c r="B108" s="550"/>
      <c r="C108" s="656">
        <f>+D92</f>
        <v>2514.4500000000003</v>
      </c>
      <c r="D108" s="657"/>
      <c r="E108" s="652"/>
      <c r="F108" s="24"/>
    </row>
    <row r="109" spans="1:7" ht="22" customHeight="1" x14ac:dyDescent="0.2">
      <c r="A109" s="550" t="s">
        <v>207</v>
      </c>
      <c r="B109" s="550"/>
      <c r="C109" s="555">
        <f>+C117+C122+C127+C132+C138</f>
        <v>2565.3000000000002</v>
      </c>
      <c r="D109" s="556"/>
      <c r="E109" s="652"/>
      <c r="F109" s="37"/>
    </row>
    <row r="110" spans="1:7" ht="22" customHeight="1" x14ac:dyDescent="0.2">
      <c r="A110" s="557" t="s">
        <v>201</v>
      </c>
      <c r="B110" s="557"/>
      <c r="C110" s="551">
        <f>+C118+C123+C128+C133+C139</f>
        <v>6865.3</v>
      </c>
      <c r="D110" s="552"/>
      <c r="E110" s="652"/>
    </row>
    <row r="111" spans="1:7" s="30" customFormat="1" ht="22" customHeight="1" x14ac:dyDescent="0.2">
      <c r="A111" s="557" t="s">
        <v>200</v>
      </c>
      <c r="B111" s="557"/>
      <c r="C111" s="551">
        <f>+C119+C124+C129+C134+C140</f>
        <v>5100</v>
      </c>
      <c r="D111" s="552"/>
      <c r="E111" s="652"/>
      <c r="F111" s="33"/>
      <c r="G111"/>
    </row>
    <row r="112" spans="1:7" s="30" customFormat="1" ht="22" customHeight="1" x14ac:dyDescent="0.2">
      <c r="A112" s="557" t="s">
        <v>72</v>
      </c>
      <c r="B112" s="557"/>
      <c r="C112" s="551">
        <f>+C120+C125+C130+C135+C141</f>
        <v>87850.04</v>
      </c>
      <c r="D112" s="552"/>
      <c r="E112" s="652"/>
      <c r="F112" s="33"/>
      <c r="G112"/>
    </row>
    <row r="113" spans="1:7" s="30" customFormat="1" ht="22" customHeight="1" x14ac:dyDescent="0.2">
      <c r="A113" s="550" t="s">
        <v>184</v>
      </c>
      <c r="B113" s="550"/>
      <c r="C113" s="654">
        <f>+D57</f>
        <v>24953.834999999999</v>
      </c>
      <c r="D113" s="655"/>
      <c r="E113" s="652"/>
      <c r="F113" s="131">
        <f>C113*0.6</f>
        <v>14972.300999999999</v>
      </c>
      <c r="G113"/>
    </row>
    <row r="114" spans="1:7" s="30" customFormat="1" ht="22" customHeight="1" x14ac:dyDescent="0.2">
      <c r="A114" s="550" t="s">
        <v>203</v>
      </c>
      <c r="B114" s="550"/>
      <c r="C114" s="555">
        <f>+C142+C136</f>
        <v>24964.959999999995</v>
      </c>
      <c r="D114" s="556"/>
      <c r="E114" s="652"/>
      <c r="F114" s="38">
        <f>C113*0.4</f>
        <v>9981.5339999999997</v>
      </c>
    </row>
    <row r="115" spans="1:7" s="30" customFormat="1" ht="22" customHeight="1" x14ac:dyDescent="0.2">
      <c r="A115" s="550" t="s">
        <v>160</v>
      </c>
      <c r="B115" s="550"/>
      <c r="C115" s="555">
        <f>+D101</f>
        <v>26595.559249999998</v>
      </c>
      <c r="D115" s="556"/>
      <c r="E115" s="652"/>
      <c r="F115" s="33"/>
      <c r="G115"/>
    </row>
    <row r="116" spans="1:7" s="30" customFormat="1" ht="22" customHeight="1" x14ac:dyDescent="0.2">
      <c r="A116" s="548" t="str">
        <f>+A157</f>
        <v>TOTAL ÁREA CONSTRUIDA TORRE A</v>
      </c>
      <c r="B116" s="549"/>
      <c r="C116" s="98">
        <f>+C157</f>
        <v>25</v>
      </c>
      <c r="D116" s="99">
        <f>+C117+C118+C119+C120</f>
        <v>18690</v>
      </c>
      <c r="E116" s="652"/>
      <c r="F116" s="38">
        <f>+D116-E157</f>
        <v>0</v>
      </c>
      <c r="G116"/>
    </row>
    <row r="117" spans="1:7" s="30" customFormat="1" ht="22" customHeight="1" x14ac:dyDescent="0.2">
      <c r="A117" s="550" t="s">
        <v>141</v>
      </c>
      <c r="B117" s="550"/>
      <c r="C117" s="553">
        <f>+E147+E151</f>
        <v>827.6</v>
      </c>
      <c r="D117" s="554"/>
      <c r="E117" s="652"/>
      <c r="F117" s="33"/>
      <c r="G117"/>
    </row>
    <row r="118" spans="1:7" s="30" customFormat="1" ht="22" customHeight="1" x14ac:dyDescent="0.2">
      <c r="A118" s="550" t="s">
        <v>137</v>
      </c>
      <c r="B118" s="550"/>
      <c r="C118" s="555">
        <f>+E148+E152</f>
        <v>667.6</v>
      </c>
      <c r="D118" s="556"/>
      <c r="E118" s="652"/>
      <c r="F118" s="33"/>
      <c r="G118"/>
    </row>
    <row r="119" spans="1:7" s="30" customFormat="1" ht="22" customHeight="1" x14ac:dyDescent="0.2">
      <c r="A119" s="550" t="s">
        <v>138</v>
      </c>
      <c r="B119" s="550"/>
      <c r="C119" s="555">
        <f>+E149+E153</f>
        <v>0</v>
      </c>
      <c r="D119" s="556"/>
      <c r="E119" s="652"/>
      <c r="F119" s="33"/>
      <c r="G119"/>
    </row>
    <row r="120" spans="1:7" s="30" customFormat="1" ht="22" customHeight="1" x14ac:dyDescent="0.2">
      <c r="A120" s="550" t="s">
        <v>72</v>
      </c>
      <c r="B120" s="550"/>
      <c r="C120" s="555">
        <f>+E154+E155+E156</f>
        <v>17194.8</v>
      </c>
      <c r="D120" s="556"/>
      <c r="E120" s="652"/>
      <c r="F120" s="33"/>
      <c r="G120"/>
    </row>
    <row r="121" spans="1:7" s="30" customFormat="1" ht="22" customHeight="1" x14ac:dyDescent="0.2">
      <c r="A121" s="548" t="str">
        <f>+A170</f>
        <v>TOTAL ÁREA CONSTRUIDA TORRE B</v>
      </c>
      <c r="B121" s="549"/>
      <c r="C121" s="98">
        <f>+C170</f>
        <v>25</v>
      </c>
      <c r="D121" s="99">
        <f>+C122+C123+C124+C125</f>
        <v>18690</v>
      </c>
      <c r="E121" s="652"/>
      <c r="F121" s="38">
        <f>+D121-E170</f>
        <v>0</v>
      </c>
      <c r="G121"/>
    </row>
    <row r="122" spans="1:7" s="30" customFormat="1" ht="22" customHeight="1" x14ac:dyDescent="0.2">
      <c r="A122" s="550" t="s">
        <v>141</v>
      </c>
      <c r="B122" s="550"/>
      <c r="C122" s="555">
        <f>+E160+E164</f>
        <v>827.6</v>
      </c>
      <c r="D122" s="556"/>
      <c r="E122" s="652"/>
      <c r="F122" s="33"/>
      <c r="G122"/>
    </row>
    <row r="123" spans="1:7" ht="22" customHeight="1" x14ac:dyDescent="0.2">
      <c r="A123" s="550" t="s">
        <v>137</v>
      </c>
      <c r="B123" s="550"/>
      <c r="C123" s="555">
        <f>+E161+E165</f>
        <v>667.6</v>
      </c>
      <c r="D123" s="556"/>
      <c r="E123" s="652"/>
    </row>
    <row r="124" spans="1:7" ht="22" customHeight="1" x14ac:dyDescent="0.2">
      <c r="A124" s="550" t="s">
        <v>138</v>
      </c>
      <c r="B124" s="550"/>
      <c r="C124" s="555">
        <f>+E166+E162</f>
        <v>0</v>
      </c>
      <c r="D124" s="556"/>
      <c r="E124" s="652"/>
    </row>
    <row r="125" spans="1:7" ht="22" customHeight="1" x14ac:dyDescent="0.2">
      <c r="A125" s="550" t="s">
        <v>72</v>
      </c>
      <c r="B125" s="550"/>
      <c r="C125" s="555">
        <f>+E167+E168+E169</f>
        <v>17194.8</v>
      </c>
      <c r="D125" s="556"/>
      <c r="E125" s="652"/>
    </row>
    <row r="126" spans="1:7" ht="22" customHeight="1" x14ac:dyDescent="0.2">
      <c r="A126" s="548" t="str">
        <f>+A183</f>
        <v>TOTAL ÁREA CONSTRUIDA TORRE C</v>
      </c>
      <c r="B126" s="549"/>
      <c r="C126" s="98">
        <f>+C183</f>
        <v>25</v>
      </c>
      <c r="D126" s="99">
        <f>+C127+C128+C129+C130</f>
        <v>55888.800000000003</v>
      </c>
      <c r="E126" s="652"/>
      <c r="F126" s="38">
        <f>+D126-E183</f>
        <v>0</v>
      </c>
    </row>
    <row r="127" spans="1:7" ht="22" customHeight="1" x14ac:dyDescent="0.2">
      <c r="A127" s="550" t="s">
        <v>141</v>
      </c>
      <c r="B127" s="550"/>
      <c r="C127" s="555">
        <f>+E173+E177</f>
        <v>910.1</v>
      </c>
      <c r="D127" s="556"/>
      <c r="E127" s="652"/>
    </row>
    <row r="128" spans="1:7" ht="22" customHeight="1" x14ac:dyDescent="0.2">
      <c r="A128" s="550" t="s">
        <v>137</v>
      </c>
      <c r="B128" s="550"/>
      <c r="C128" s="555">
        <f>+E174+E178</f>
        <v>5530.1</v>
      </c>
      <c r="D128" s="556"/>
      <c r="E128" s="652"/>
    </row>
    <row r="129" spans="1:7" ht="22" customHeight="1" x14ac:dyDescent="0.2">
      <c r="A129" s="550" t="s">
        <v>138</v>
      </c>
      <c r="B129" s="550"/>
      <c r="C129" s="555">
        <f>+E179+E175</f>
        <v>5100</v>
      </c>
      <c r="D129" s="556"/>
      <c r="E129" s="652"/>
    </row>
    <row r="130" spans="1:7" ht="22" customHeight="1" x14ac:dyDescent="0.2">
      <c r="A130" s="550" t="s">
        <v>72</v>
      </c>
      <c r="B130" s="550"/>
      <c r="C130" s="555">
        <f>+E180+E181+E182</f>
        <v>44348.6</v>
      </c>
      <c r="D130" s="556"/>
      <c r="E130" s="652"/>
    </row>
    <row r="131" spans="1:7" ht="22" customHeight="1" x14ac:dyDescent="0.2">
      <c r="A131" s="548" t="str">
        <f>+A196</f>
        <v>TOTAL ÁREA CONSTRUIDA TORRE D</v>
      </c>
      <c r="B131" s="549"/>
      <c r="C131" s="98">
        <f>+C196</f>
        <v>23</v>
      </c>
      <c r="D131" s="99">
        <f>+C132+C133+C134+C135+C136</f>
        <v>17038.399999999998</v>
      </c>
      <c r="E131" s="652"/>
      <c r="F131" s="38">
        <f>+D131-E196</f>
        <v>0</v>
      </c>
      <c r="G131" s="30"/>
    </row>
    <row r="132" spans="1:7" ht="22" customHeight="1" x14ac:dyDescent="0.2">
      <c r="A132" s="550" t="s">
        <v>141</v>
      </c>
      <c r="B132" s="550"/>
      <c r="C132" s="553">
        <f>+E186+E190</f>
        <v>0</v>
      </c>
      <c r="D132" s="554"/>
      <c r="E132" s="652"/>
      <c r="G132" s="30"/>
    </row>
    <row r="133" spans="1:7" ht="22" customHeight="1" x14ac:dyDescent="0.2">
      <c r="A133" s="550" t="s">
        <v>137</v>
      </c>
      <c r="B133" s="550"/>
      <c r="C133" s="555">
        <f>+E187+E191</f>
        <v>0</v>
      </c>
      <c r="D133" s="556"/>
      <c r="E133" s="652"/>
      <c r="G133" s="30"/>
    </row>
    <row r="134" spans="1:7" s="30" customFormat="1" ht="22" customHeight="1" x14ac:dyDescent="0.2">
      <c r="A134" s="550" t="s">
        <v>138</v>
      </c>
      <c r="B134" s="550"/>
      <c r="C134" s="555">
        <f>+E188+E192</f>
        <v>0</v>
      </c>
      <c r="D134" s="556"/>
      <c r="E134" s="652"/>
      <c r="F134" s="33"/>
    </row>
    <row r="135" spans="1:7" ht="22" customHeight="1" x14ac:dyDescent="0.2">
      <c r="A135" s="550" t="s">
        <v>72</v>
      </c>
      <c r="B135" s="550"/>
      <c r="C135" s="555">
        <f>+E193</f>
        <v>9111.84</v>
      </c>
      <c r="D135" s="556"/>
      <c r="E135" s="652"/>
      <c r="G135" s="30"/>
    </row>
    <row r="136" spans="1:7" ht="22" customHeight="1" x14ac:dyDescent="0.2">
      <c r="A136" s="550" t="s">
        <v>194</v>
      </c>
      <c r="B136" s="550"/>
      <c r="C136" s="555">
        <f>+E194</f>
        <v>7926.5599999999986</v>
      </c>
      <c r="D136" s="556"/>
      <c r="E136" s="652"/>
      <c r="G136" s="30"/>
    </row>
    <row r="137" spans="1:7" ht="22" customHeight="1" x14ac:dyDescent="0.2">
      <c r="A137" s="548" t="str">
        <f>+A209</f>
        <v>TOTAL ÁREA CONSTRUIDA TORRE E</v>
      </c>
      <c r="B137" s="549"/>
      <c r="C137" s="98">
        <f>+C209</f>
        <v>23</v>
      </c>
      <c r="D137" s="128">
        <f>+C138+C139+C140+C141+C142</f>
        <v>17038.399999999998</v>
      </c>
      <c r="E137" s="652"/>
      <c r="F137" s="38">
        <f>+D137-E209</f>
        <v>0</v>
      </c>
      <c r="G137" s="30"/>
    </row>
    <row r="138" spans="1:7" s="30" customFormat="1" ht="22" customHeight="1" x14ac:dyDescent="0.2">
      <c r="A138" s="550" t="s">
        <v>141</v>
      </c>
      <c r="B138" s="550"/>
      <c r="C138" s="555">
        <f>+E199</f>
        <v>0</v>
      </c>
      <c r="D138" s="556"/>
      <c r="E138" s="652"/>
      <c r="F138" s="33"/>
    </row>
    <row r="139" spans="1:7" ht="22" customHeight="1" x14ac:dyDescent="0.2">
      <c r="A139" s="550" t="s">
        <v>137</v>
      </c>
      <c r="B139" s="550"/>
      <c r="C139" s="555">
        <f>+E200+E204</f>
        <v>0</v>
      </c>
      <c r="D139" s="556"/>
      <c r="E139" s="652"/>
      <c r="G139" s="30"/>
    </row>
    <row r="140" spans="1:7" ht="22" customHeight="1" x14ac:dyDescent="0.2">
      <c r="A140" s="550" t="s">
        <v>138</v>
      </c>
      <c r="B140" s="550"/>
      <c r="C140" s="555">
        <f>+E205+E201</f>
        <v>0</v>
      </c>
      <c r="D140" s="556"/>
      <c r="E140" s="652"/>
      <c r="G140" s="30"/>
    </row>
    <row r="141" spans="1:7" ht="22" customHeight="1" x14ac:dyDescent="0.2">
      <c r="A141" s="550" t="s">
        <v>72</v>
      </c>
      <c r="B141" s="550"/>
      <c r="C141" s="555">
        <v>0</v>
      </c>
      <c r="D141" s="556"/>
      <c r="E141" s="652"/>
      <c r="G141" s="30"/>
    </row>
    <row r="142" spans="1:7" ht="22" customHeight="1" x14ac:dyDescent="0.2">
      <c r="A142" s="550" t="s">
        <v>153</v>
      </c>
      <c r="B142" s="550"/>
      <c r="C142" s="555">
        <f>+E206</f>
        <v>17038.399999999998</v>
      </c>
      <c r="D142" s="556"/>
      <c r="E142" s="653"/>
      <c r="G142" s="30"/>
    </row>
    <row r="143" spans="1:7" ht="22" customHeight="1" x14ac:dyDescent="0.2">
      <c r="A143" s="660" t="s">
        <v>183</v>
      </c>
      <c r="B143" s="661"/>
      <c r="C143" s="661"/>
      <c r="D143" s="661"/>
      <c r="E143" s="662"/>
    </row>
    <row r="144" spans="1:7" ht="21.75" customHeight="1" x14ac:dyDescent="0.2">
      <c r="A144" s="560" t="s">
        <v>188</v>
      </c>
      <c r="B144" s="561"/>
      <c r="C144" s="561"/>
      <c r="D144" s="561"/>
      <c r="E144" s="562"/>
      <c r="F144" s="29"/>
    </row>
    <row r="145" spans="1:6" ht="42" customHeight="1" thickBot="1" x14ac:dyDescent="0.25">
      <c r="A145" s="665" t="s">
        <v>135</v>
      </c>
      <c r="B145" s="666"/>
      <c r="C145" s="62" t="s">
        <v>5</v>
      </c>
      <c r="D145" s="62" t="s">
        <v>6</v>
      </c>
      <c r="E145" s="63" t="s">
        <v>68</v>
      </c>
      <c r="F145" s="29"/>
    </row>
    <row r="146" spans="1:6" ht="22" customHeight="1" x14ac:dyDescent="0.2">
      <c r="A146" s="568" t="s">
        <v>136</v>
      </c>
      <c r="B146" s="569"/>
      <c r="C146" s="125">
        <v>1</v>
      </c>
      <c r="D146" s="66">
        <v>747.6</v>
      </c>
      <c r="E146" s="67">
        <f>+C146*D146</f>
        <v>747.6</v>
      </c>
      <c r="F146" s="29"/>
    </row>
    <row r="147" spans="1:6" s="30" customFormat="1" ht="22" customHeight="1" x14ac:dyDescent="0.2">
      <c r="A147" s="563" t="s">
        <v>141</v>
      </c>
      <c r="B147" s="564"/>
      <c r="C147" s="572">
        <v>80</v>
      </c>
      <c r="D147" s="573"/>
      <c r="E147" s="65">
        <f>+C147</f>
        <v>80</v>
      </c>
    </row>
    <row r="148" spans="1:6" ht="22" customHeight="1" x14ac:dyDescent="0.2">
      <c r="A148" s="563" t="s">
        <v>137</v>
      </c>
      <c r="B148" s="564"/>
      <c r="C148" s="574">
        <f>+D146-C147</f>
        <v>667.6</v>
      </c>
      <c r="D148" s="564"/>
      <c r="E148" s="51">
        <f>+C148</f>
        <v>667.6</v>
      </c>
      <c r="F148" s="29"/>
    </row>
    <row r="149" spans="1:6" ht="22" customHeight="1" thickBot="1" x14ac:dyDescent="0.25">
      <c r="A149" s="597" t="s">
        <v>138</v>
      </c>
      <c r="B149" s="598"/>
      <c r="C149" s="575">
        <v>0</v>
      </c>
      <c r="D149" s="576"/>
      <c r="E149" s="126">
        <f t="shared" ref="E149" si="0">+C149</f>
        <v>0</v>
      </c>
      <c r="F149" s="29"/>
    </row>
    <row r="150" spans="1:6" ht="22" customHeight="1" x14ac:dyDescent="0.2">
      <c r="A150" s="568" t="s">
        <v>142</v>
      </c>
      <c r="B150" s="569"/>
      <c r="C150" s="125">
        <v>1</v>
      </c>
      <c r="D150" s="66">
        <v>747.6</v>
      </c>
      <c r="E150" s="67">
        <f>+C150*D150</f>
        <v>747.6</v>
      </c>
      <c r="F150" s="29"/>
    </row>
    <row r="151" spans="1:6" s="30" customFormat="1" ht="22" customHeight="1" x14ac:dyDescent="0.2">
      <c r="A151" s="563" t="s">
        <v>161</v>
      </c>
      <c r="B151" s="564"/>
      <c r="C151" s="642">
        <v>747.6</v>
      </c>
      <c r="D151" s="643"/>
      <c r="E151" s="65">
        <f>+C151</f>
        <v>747.6</v>
      </c>
    </row>
    <row r="152" spans="1:6" ht="22" customHeight="1" x14ac:dyDescent="0.2">
      <c r="A152" s="563" t="s">
        <v>137</v>
      </c>
      <c r="B152" s="564"/>
      <c r="C152" s="601"/>
      <c r="D152" s="571"/>
      <c r="E152" s="51">
        <f>+D152</f>
        <v>0</v>
      </c>
      <c r="F152" s="29"/>
    </row>
    <row r="153" spans="1:6" ht="22" customHeight="1" thickBot="1" x14ac:dyDescent="0.25">
      <c r="A153" s="597" t="s">
        <v>138</v>
      </c>
      <c r="B153" s="598"/>
      <c r="C153" s="599"/>
      <c r="D153" s="600"/>
      <c r="E153" s="68">
        <f>+D153</f>
        <v>0</v>
      </c>
      <c r="F153" s="29"/>
    </row>
    <row r="154" spans="1:6" ht="22" customHeight="1" x14ac:dyDescent="0.2">
      <c r="A154" s="663" t="s">
        <v>72</v>
      </c>
      <c r="B154" s="664"/>
      <c r="C154" s="19">
        <v>23</v>
      </c>
      <c r="D154" s="64">
        <v>747.6</v>
      </c>
      <c r="E154" s="65">
        <f>+D154*C154</f>
        <v>17194.8</v>
      </c>
      <c r="F154" s="26"/>
    </row>
    <row r="155" spans="1:6" ht="22" customHeight="1" x14ac:dyDescent="0.2">
      <c r="A155" s="658" t="s">
        <v>71</v>
      </c>
      <c r="B155" s="659"/>
      <c r="C155" s="20">
        <v>0</v>
      </c>
      <c r="D155" s="40"/>
      <c r="E155" s="52">
        <f>+D155*C155</f>
        <v>0</v>
      </c>
    </row>
    <row r="156" spans="1:6" ht="22" customHeight="1" x14ac:dyDescent="0.2">
      <c r="A156" s="658" t="s">
        <v>71</v>
      </c>
      <c r="B156" s="659"/>
      <c r="C156" s="5">
        <v>0</v>
      </c>
      <c r="D156" s="1"/>
      <c r="E156" s="51">
        <f>+C156*D156</f>
        <v>0</v>
      </c>
    </row>
    <row r="157" spans="1:6" ht="22" customHeight="1" x14ac:dyDescent="0.2">
      <c r="A157" s="667" t="s">
        <v>195</v>
      </c>
      <c r="B157" s="668"/>
      <c r="C157" s="41">
        <f>+C146+C150+C154+C155+C156</f>
        <v>25</v>
      </c>
      <c r="D157" s="53"/>
      <c r="E157" s="69">
        <f>+E146+E150+E154+E155+E156</f>
        <v>18690</v>
      </c>
    </row>
    <row r="158" spans="1:6" ht="22" customHeight="1" thickBot="1" x14ac:dyDescent="0.25">
      <c r="A158" s="560" t="s">
        <v>189</v>
      </c>
      <c r="B158" s="561"/>
      <c r="C158" s="561"/>
      <c r="D158" s="561"/>
      <c r="E158" s="562"/>
    </row>
    <row r="159" spans="1:6" ht="22" customHeight="1" x14ac:dyDescent="0.2">
      <c r="A159" s="568" t="s">
        <v>136</v>
      </c>
      <c r="B159" s="569"/>
      <c r="C159" s="125">
        <v>1</v>
      </c>
      <c r="D159" s="66">
        <v>747.6</v>
      </c>
      <c r="E159" s="67">
        <f>+C159*D159</f>
        <v>747.6</v>
      </c>
    </row>
    <row r="160" spans="1:6" ht="22" customHeight="1" x14ac:dyDescent="0.2">
      <c r="A160" s="563" t="s">
        <v>141</v>
      </c>
      <c r="B160" s="564"/>
      <c r="C160" s="565">
        <v>80</v>
      </c>
      <c r="D160" s="566"/>
      <c r="E160" s="51">
        <f>+C160</f>
        <v>80</v>
      </c>
    </row>
    <row r="161" spans="1:7" ht="22" customHeight="1" x14ac:dyDescent="0.2">
      <c r="A161" s="563" t="s">
        <v>137</v>
      </c>
      <c r="B161" s="564"/>
      <c r="C161" s="570">
        <f>+D159-C160</f>
        <v>667.6</v>
      </c>
      <c r="D161" s="571"/>
      <c r="E161" s="51">
        <f t="shared" ref="E161:E162" si="1">+C161</f>
        <v>667.6</v>
      </c>
    </row>
    <row r="162" spans="1:7" ht="22" customHeight="1" thickBot="1" x14ac:dyDescent="0.25">
      <c r="A162" s="597" t="s">
        <v>138</v>
      </c>
      <c r="B162" s="598"/>
      <c r="C162" s="599"/>
      <c r="D162" s="600"/>
      <c r="E162" s="68">
        <f t="shared" si="1"/>
        <v>0</v>
      </c>
    </row>
    <row r="163" spans="1:7" ht="22" customHeight="1" x14ac:dyDescent="0.2">
      <c r="A163" s="568" t="s">
        <v>142</v>
      </c>
      <c r="B163" s="569"/>
      <c r="C163" s="125">
        <v>1</v>
      </c>
      <c r="D163" s="66">
        <v>747.6</v>
      </c>
      <c r="E163" s="67">
        <f>+C163*D163</f>
        <v>747.6</v>
      </c>
    </row>
    <row r="164" spans="1:7" s="30" customFormat="1" ht="22" customHeight="1" x14ac:dyDescent="0.2">
      <c r="A164" s="563" t="s">
        <v>161</v>
      </c>
      <c r="B164" s="564"/>
      <c r="C164" s="642">
        <v>747.6</v>
      </c>
      <c r="D164" s="643"/>
      <c r="E164" s="65">
        <f>+C164</f>
        <v>747.6</v>
      </c>
      <c r="F164" s="33"/>
      <c r="G164"/>
    </row>
    <row r="165" spans="1:7" ht="22" customHeight="1" x14ac:dyDescent="0.2">
      <c r="A165" s="563" t="s">
        <v>137</v>
      </c>
      <c r="B165" s="564"/>
      <c r="C165" s="601"/>
      <c r="D165" s="571"/>
      <c r="E165" s="51">
        <f>+D165</f>
        <v>0</v>
      </c>
    </row>
    <row r="166" spans="1:7" ht="22" customHeight="1" thickBot="1" x14ac:dyDescent="0.25">
      <c r="A166" s="597" t="s">
        <v>138</v>
      </c>
      <c r="B166" s="598"/>
      <c r="C166" s="599"/>
      <c r="D166" s="600"/>
      <c r="E166" s="68">
        <f>+D166</f>
        <v>0</v>
      </c>
    </row>
    <row r="167" spans="1:7" ht="22" customHeight="1" x14ac:dyDescent="0.2">
      <c r="A167" s="663" t="s">
        <v>72</v>
      </c>
      <c r="B167" s="664"/>
      <c r="C167" s="19">
        <v>23</v>
      </c>
      <c r="D167" s="64">
        <v>747.6</v>
      </c>
      <c r="E167" s="65">
        <f>+D167*C167</f>
        <v>17194.8</v>
      </c>
    </row>
    <row r="168" spans="1:7" ht="22" customHeight="1" x14ac:dyDescent="0.2">
      <c r="A168" s="658" t="s">
        <v>71</v>
      </c>
      <c r="B168" s="659"/>
      <c r="C168" s="20">
        <v>0</v>
      </c>
      <c r="D168" s="40"/>
      <c r="E168" s="52">
        <f>+D168*C168</f>
        <v>0</v>
      </c>
    </row>
    <row r="169" spans="1:7" ht="22" customHeight="1" x14ac:dyDescent="0.2">
      <c r="A169" s="658" t="s">
        <v>71</v>
      </c>
      <c r="B169" s="659"/>
      <c r="C169" s="5">
        <v>0</v>
      </c>
      <c r="D169" s="1"/>
      <c r="E169" s="51">
        <f>+C169*D169</f>
        <v>0</v>
      </c>
    </row>
    <row r="170" spans="1:7" ht="22" customHeight="1" x14ac:dyDescent="0.2">
      <c r="A170" s="667" t="s">
        <v>196</v>
      </c>
      <c r="B170" s="668"/>
      <c r="C170" s="41">
        <f>+C159+C163+C167+C168+C169</f>
        <v>25</v>
      </c>
      <c r="D170" s="53"/>
      <c r="E170" s="69">
        <f>+E159+E163+E167+E168+E169</f>
        <v>18690</v>
      </c>
    </row>
    <row r="171" spans="1:7" ht="22" customHeight="1" thickBot="1" x14ac:dyDescent="0.25">
      <c r="A171" s="560" t="s">
        <v>190</v>
      </c>
      <c r="B171" s="561"/>
      <c r="C171" s="561"/>
      <c r="D171" s="561"/>
      <c r="E171" s="562"/>
    </row>
    <row r="172" spans="1:7" ht="22" customHeight="1" x14ac:dyDescent="0.2">
      <c r="A172" s="568" t="s">
        <v>136</v>
      </c>
      <c r="B172" s="569"/>
      <c r="C172" s="125">
        <v>1</v>
      </c>
      <c r="D172" s="66">
        <v>5770.1</v>
      </c>
      <c r="E172" s="67">
        <f>+C172*D172</f>
        <v>5770.1</v>
      </c>
    </row>
    <row r="173" spans="1:7" ht="22" customHeight="1" x14ac:dyDescent="0.2">
      <c r="A173" s="563" t="s">
        <v>141</v>
      </c>
      <c r="B173" s="564"/>
      <c r="C173" s="565">
        <f>80*3</f>
        <v>240</v>
      </c>
      <c r="D173" s="566"/>
      <c r="E173" s="51">
        <f>+C173</f>
        <v>240</v>
      </c>
    </row>
    <row r="174" spans="1:7" ht="22" customHeight="1" x14ac:dyDescent="0.2">
      <c r="A174" s="563" t="s">
        <v>137</v>
      </c>
      <c r="B174" s="564"/>
      <c r="C174" s="567">
        <f>+D172-C173</f>
        <v>5530.1</v>
      </c>
      <c r="D174" s="566"/>
      <c r="E174" s="51">
        <f t="shared" ref="E174:E175" si="2">+C174</f>
        <v>5530.1</v>
      </c>
    </row>
    <row r="175" spans="1:7" ht="22" customHeight="1" thickBot="1" x14ac:dyDescent="0.25">
      <c r="A175" s="597" t="s">
        <v>138</v>
      </c>
      <c r="B175" s="598"/>
      <c r="C175" s="599"/>
      <c r="D175" s="600"/>
      <c r="E175" s="68">
        <f t="shared" si="2"/>
        <v>0</v>
      </c>
    </row>
    <row r="176" spans="1:7" ht="22" customHeight="1" x14ac:dyDescent="0.2">
      <c r="A176" s="568" t="s">
        <v>142</v>
      </c>
      <c r="B176" s="569"/>
      <c r="C176" s="125">
        <v>1</v>
      </c>
      <c r="D176" s="66">
        <v>5770.1</v>
      </c>
      <c r="E176" s="67">
        <f>+C176*D176</f>
        <v>5770.1</v>
      </c>
    </row>
    <row r="177" spans="1:25" s="30" customFormat="1" ht="22" customHeight="1" x14ac:dyDescent="0.2">
      <c r="A177" s="563" t="s">
        <v>161</v>
      </c>
      <c r="B177" s="564"/>
      <c r="C177" s="671">
        <v>670.1</v>
      </c>
      <c r="D177" s="672"/>
      <c r="E177" s="65">
        <f>+C177</f>
        <v>670.1</v>
      </c>
      <c r="F177" s="33"/>
      <c r="G177"/>
    </row>
    <row r="178" spans="1:25" ht="22" customHeight="1" x14ac:dyDescent="0.2">
      <c r="A178" s="563" t="s">
        <v>137</v>
      </c>
      <c r="B178" s="564"/>
      <c r="C178" s="601"/>
      <c r="D178" s="571"/>
      <c r="E178" s="51">
        <f>+D178</f>
        <v>0</v>
      </c>
    </row>
    <row r="179" spans="1:25" ht="22" customHeight="1" thickBot="1" x14ac:dyDescent="0.25">
      <c r="A179" s="597" t="s">
        <v>138</v>
      </c>
      <c r="B179" s="598"/>
      <c r="C179" s="669">
        <v>5100</v>
      </c>
      <c r="D179" s="670"/>
      <c r="E179" s="68">
        <f>+C179</f>
        <v>5100</v>
      </c>
    </row>
    <row r="180" spans="1:25" ht="22" customHeight="1" x14ac:dyDescent="0.2">
      <c r="A180" s="663" t="s">
        <v>72</v>
      </c>
      <c r="B180" s="664"/>
      <c r="C180" s="19">
        <v>23</v>
      </c>
      <c r="D180" s="64">
        <v>1928.2</v>
      </c>
      <c r="E180" s="65">
        <f>+D180*C180</f>
        <v>44348.6</v>
      </c>
    </row>
    <row r="181" spans="1:25" ht="22" customHeight="1" x14ac:dyDescent="0.2">
      <c r="A181" s="658" t="s">
        <v>71</v>
      </c>
      <c r="B181" s="659"/>
      <c r="C181" s="20">
        <v>0</v>
      </c>
      <c r="D181" s="40"/>
      <c r="E181" s="52">
        <f>+D181*C181</f>
        <v>0</v>
      </c>
    </row>
    <row r="182" spans="1:25" ht="22" customHeight="1" x14ac:dyDescent="0.2">
      <c r="A182" s="658" t="s">
        <v>71</v>
      </c>
      <c r="B182" s="659"/>
      <c r="C182" s="5">
        <v>0</v>
      </c>
      <c r="D182" s="1"/>
      <c r="E182" s="51">
        <f>+C182*D182</f>
        <v>0</v>
      </c>
      <c r="U182" s="47"/>
      <c r="V182" s="47"/>
      <c r="W182" s="21"/>
      <c r="X182" s="21"/>
      <c r="Y182" s="50"/>
    </row>
    <row r="183" spans="1:25" ht="22" customHeight="1" x14ac:dyDescent="0.2">
      <c r="A183" s="667" t="s">
        <v>197</v>
      </c>
      <c r="B183" s="668"/>
      <c r="C183" s="41">
        <f>+C172+C176+C180+C181+C182</f>
        <v>25</v>
      </c>
      <c r="D183" s="53"/>
      <c r="E183" s="69">
        <f>+E172+E176+E180+E181+E182</f>
        <v>55888.800000000003</v>
      </c>
    </row>
    <row r="184" spans="1:25" ht="22" customHeight="1" thickBot="1" x14ac:dyDescent="0.25">
      <c r="A184" s="560" t="s">
        <v>191</v>
      </c>
      <c r="B184" s="561"/>
      <c r="C184" s="561"/>
      <c r="D184" s="561"/>
      <c r="E184" s="562"/>
    </row>
    <row r="185" spans="1:25" ht="22" customHeight="1" x14ac:dyDescent="0.2">
      <c r="A185" s="568" t="s">
        <v>136</v>
      </c>
      <c r="B185" s="569"/>
      <c r="C185" s="125">
        <v>0</v>
      </c>
      <c r="D185" s="66">
        <v>0</v>
      </c>
      <c r="E185" s="67">
        <f>+C185*D185</f>
        <v>0</v>
      </c>
      <c r="F185" s="37"/>
    </row>
    <row r="186" spans="1:25" ht="22" customHeight="1" x14ac:dyDescent="0.2">
      <c r="A186" s="563" t="s">
        <v>141</v>
      </c>
      <c r="B186" s="564"/>
      <c r="C186" s="567">
        <v>0</v>
      </c>
      <c r="D186" s="566"/>
      <c r="E186" s="51">
        <f>+C186</f>
        <v>0</v>
      </c>
      <c r="F186" s="37"/>
    </row>
    <row r="187" spans="1:25" ht="22" customHeight="1" x14ac:dyDescent="0.2">
      <c r="A187" s="563" t="s">
        <v>137</v>
      </c>
      <c r="B187" s="564"/>
      <c r="C187" s="567">
        <f>+D185-C186</f>
        <v>0</v>
      </c>
      <c r="D187" s="566"/>
      <c r="E187" s="51">
        <f t="shared" ref="E187:E188" si="3">+C187</f>
        <v>0</v>
      </c>
    </row>
    <row r="188" spans="1:25" ht="22" customHeight="1" thickBot="1" x14ac:dyDescent="0.25">
      <c r="A188" s="597" t="s">
        <v>138</v>
      </c>
      <c r="B188" s="598"/>
      <c r="C188" s="599"/>
      <c r="D188" s="600"/>
      <c r="E188" s="68">
        <f t="shared" si="3"/>
        <v>0</v>
      </c>
    </row>
    <row r="189" spans="1:25" ht="22" customHeight="1" x14ac:dyDescent="0.2">
      <c r="A189" s="568" t="s">
        <v>142</v>
      </c>
      <c r="B189" s="569"/>
      <c r="C189" s="125">
        <v>0</v>
      </c>
      <c r="D189" s="66">
        <v>0</v>
      </c>
      <c r="E189" s="67">
        <f>+C189*D189</f>
        <v>0</v>
      </c>
    </row>
    <row r="190" spans="1:25" ht="18" customHeight="1" x14ac:dyDescent="0.2">
      <c r="A190" s="563" t="s">
        <v>161</v>
      </c>
      <c r="B190" s="564"/>
      <c r="C190" s="567">
        <v>0</v>
      </c>
      <c r="D190" s="566"/>
      <c r="E190" s="65">
        <f>+C190</f>
        <v>0</v>
      </c>
    </row>
    <row r="191" spans="1:25" ht="22" customHeight="1" x14ac:dyDescent="0.2">
      <c r="A191" s="563" t="s">
        <v>137</v>
      </c>
      <c r="B191" s="564"/>
      <c r="C191" s="601"/>
      <c r="D191" s="571"/>
      <c r="E191" s="51">
        <f>+D191</f>
        <v>0</v>
      </c>
    </row>
    <row r="192" spans="1:25" ht="22" customHeight="1" thickBot="1" x14ac:dyDescent="0.25">
      <c r="A192" s="597" t="s">
        <v>138</v>
      </c>
      <c r="B192" s="598"/>
      <c r="C192" s="599"/>
      <c r="D192" s="600"/>
      <c r="E192" s="68">
        <f>+D192</f>
        <v>0</v>
      </c>
      <c r="F192" s="57"/>
      <c r="G192" s="132"/>
      <c r="H192" s="56"/>
      <c r="I192" s="56"/>
      <c r="J192" s="56"/>
    </row>
    <row r="193" spans="1:10" ht="22" customHeight="1" x14ac:dyDescent="0.2">
      <c r="A193" s="663" t="s">
        <v>71</v>
      </c>
      <c r="B193" s="664"/>
      <c r="C193" s="19">
        <v>12.3</v>
      </c>
      <c r="D193" s="64">
        <v>740.8</v>
      </c>
      <c r="E193" s="65">
        <f>+D193*C193</f>
        <v>9111.84</v>
      </c>
      <c r="F193" s="133"/>
      <c r="G193" s="132"/>
      <c r="H193" s="56"/>
      <c r="I193" s="56"/>
      <c r="J193" s="56"/>
    </row>
    <row r="194" spans="1:10" ht="22" customHeight="1" x14ac:dyDescent="0.2">
      <c r="A194" s="658" t="s">
        <v>193</v>
      </c>
      <c r="B194" s="659"/>
      <c r="C194" s="20">
        <v>10.7</v>
      </c>
      <c r="D194" s="40">
        <v>740.8</v>
      </c>
      <c r="E194" s="52">
        <f>+D194*C194</f>
        <v>7926.5599999999986</v>
      </c>
      <c r="F194" s="133"/>
      <c r="G194" s="132"/>
      <c r="H194" s="56"/>
      <c r="I194" s="56"/>
      <c r="J194" s="56"/>
    </row>
    <row r="195" spans="1:10" ht="22" customHeight="1" x14ac:dyDescent="0.2">
      <c r="A195" s="658" t="s">
        <v>71</v>
      </c>
      <c r="B195" s="659"/>
      <c r="C195" s="5">
        <v>0</v>
      </c>
      <c r="D195" s="1"/>
      <c r="E195" s="51">
        <f>+C195*D195</f>
        <v>0</v>
      </c>
      <c r="F195" s="140"/>
      <c r="G195" s="132"/>
      <c r="H195" s="56"/>
      <c r="I195" s="56"/>
      <c r="J195" s="56"/>
    </row>
    <row r="196" spans="1:10" ht="22" customHeight="1" x14ac:dyDescent="0.2">
      <c r="A196" s="667" t="s">
        <v>198</v>
      </c>
      <c r="B196" s="668"/>
      <c r="C196" s="41">
        <f>+C185+C189+C193+C194+C195</f>
        <v>23</v>
      </c>
      <c r="D196" s="53"/>
      <c r="E196" s="69">
        <f>+E185+E189+E193+E194+E195</f>
        <v>17038.399999999998</v>
      </c>
      <c r="F196" s="57"/>
      <c r="G196" s="134"/>
      <c r="H196" s="56"/>
      <c r="I196" s="56"/>
      <c r="J196" s="56"/>
    </row>
    <row r="197" spans="1:10" ht="22" customHeight="1" thickBot="1" x14ac:dyDescent="0.25">
      <c r="A197" s="560" t="s">
        <v>192</v>
      </c>
      <c r="B197" s="561"/>
      <c r="C197" s="561"/>
      <c r="D197" s="561"/>
      <c r="E197" s="562"/>
      <c r="F197" s="56"/>
      <c r="G197" s="134"/>
      <c r="H197" s="56"/>
      <c r="I197" s="56"/>
      <c r="J197" s="56"/>
    </row>
    <row r="198" spans="1:10" ht="22" customHeight="1" x14ac:dyDescent="0.2">
      <c r="A198" s="568" t="s">
        <v>136</v>
      </c>
      <c r="B198" s="569"/>
      <c r="C198" s="125">
        <v>0</v>
      </c>
      <c r="D198" s="66">
        <v>0</v>
      </c>
      <c r="E198" s="67">
        <f>+C198*D198</f>
        <v>0</v>
      </c>
      <c r="F198" s="57"/>
      <c r="G198" s="132"/>
      <c r="H198" s="56"/>
      <c r="I198" s="56"/>
      <c r="J198" s="56"/>
    </row>
    <row r="199" spans="1:10" ht="21" customHeight="1" x14ac:dyDescent="0.2">
      <c r="A199" s="563" t="s">
        <v>141</v>
      </c>
      <c r="B199" s="564"/>
      <c r="C199" s="567">
        <v>0</v>
      </c>
      <c r="D199" s="566"/>
      <c r="E199" s="51">
        <f>+C199</f>
        <v>0</v>
      </c>
      <c r="F199" s="57"/>
      <c r="G199" s="132"/>
      <c r="H199" s="56"/>
      <c r="I199" s="56"/>
      <c r="J199" s="56"/>
    </row>
    <row r="200" spans="1:10" ht="22.5" customHeight="1" x14ac:dyDescent="0.2">
      <c r="A200" s="563" t="s">
        <v>137</v>
      </c>
      <c r="B200" s="564"/>
      <c r="C200" s="567">
        <v>0</v>
      </c>
      <c r="D200" s="566"/>
      <c r="E200" s="51">
        <f t="shared" ref="E200:E201" si="4">+C200</f>
        <v>0</v>
      </c>
      <c r="F200" s="55"/>
      <c r="G200" s="132"/>
      <c r="H200" s="56"/>
      <c r="I200" s="56"/>
      <c r="J200" s="56"/>
    </row>
    <row r="201" spans="1:10" ht="22.5" customHeight="1" thickBot="1" x14ac:dyDescent="0.25">
      <c r="A201" s="597" t="s">
        <v>138</v>
      </c>
      <c r="B201" s="598"/>
      <c r="C201" s="567">
        <v>0</v>
      </c>
      <c r="D201" s="566"/>
      <c r="E201" s="68">
        <f t="shared" si="4"/>
        <v>0</v>
      </c>
      <c r="F201" s="135"/>
      <c r="G201" s="132"/>
      <c r="H201" s="56"/>
      <c r="I201" s="56"/>
      <c r="J201" s="56"/>
    </row>
    <row r="202" spans="1:10" ht="22.5" customHeight="1" x14ac:dyDescent="0.2">
      <c r="A202" s="568" t="s">
        <v>142</v>
      </c>
      <c r="B202" s="569"/>
      <c r="C202" s="125">
        <v>0</v>
      </c>
      <c r="D202" s="66">
        <v>0</v>
      </c>
      <c r="E202" s="67">
        <f>+C202*D202</f>
        <v>0</v>
      </c>
      <c r="F202" s="136"/>
      <c r="G202" s="132"/>
      <c r="H202" s="56"/>
      <c r="I202" s="56"/>
      <c r="J202" s="56"/>
    </row>
    <row r="203" spans="1:10" ht="22.5" customHeight="1" x14ac:dyDescent="0.2">
      <c r="A203" s="563" t="s">
        <v>161</v>
      </c>
      <c r="B203" s="564"/>
      <c r="C203" s="567"/>
      <c r="D203" s="566"/>
      <c r="E203" s="65">
        <f>+C203</f>
        <v>0</v>
      </c>
      <c r="F203" s="57"/>
      <c r="G203" s="132"/>
      <c r="H203" s="56"/>
      <c r="I203" s="56"/>
      <c r="J203" s="56"/>
    </row>
    <row r="204" spans="1:10" ht="22.5" customHeight="1" x14ac:dyDescent="0.2">
      <c r="A204" s="563" t="s">
        <v>137</v>
      </c>
      <c r="B204" s="564"/>
      <c r="C204" s="601"/>
      <c r="D204" s="571"/>
      <c r="E204" s="51">
        <f>+D204</f>
        <v>0</v>
      </c>
      <c r="F204" s="55"/>
      <c r="G204" s="132"/>
      <c r="H204" s="56"/>
      <c r="I204" s="56"/>
      <c r="J204" s="56"/>
    </row>
    <row r="205" spans="1:10" ht="22.5" customHeight="1" thickBot="1" x14ac:dyDescent="0.25">
      <c r="A205" s="597" t="s">
        <v>138</v>
      </c>
      <c r="B205" s="598"/>
      <c r="C205" s="599"/>
      <c r="D205" s="600"/>
      <c r="E205" s="68">
        <f>+D205</f>
        <v>0</v>
      </c>
    </row>
    <row r="206" spans="1:10" ht="23.25" customHeight="1" x14ac:dyDescent="0.2">
      <c r="A206" s="663" t="s">
        <v>194</v>
      </c>
      <c r="B206" s="664"/>
      <c r="C206" s="19">
        <v>23</v>
      </c>
      <c r="D206" s="64">
        <v>740.8</v>
      </c>
      <c r="E206" s="65">
        <f>+D206*C206</f>
        <v>17038.399999999998</v>
      </c>
    </row>
    <row r="207" spans="1:10" ht="24.75" customHeight="1" x14ac:dyDescent="0.2">
      <c r="A207" s="658" t="s">
        <v>71</v>
      </c>
      <c r="B207" s="659"/>
      <c r="C207" s="20">
        <v>0</v>
      </c>
      <c r="D207" s="40"/>
      <c r="E207" s="52">
        <f>+D207*C207</f>
        <v>0</v>
      </c>
    </row>
    <row r="208" spans="1:10" ht="18.75" customHeight="1" x14ac:dyDescent="0.2">
      <c r="A208" s="658" t="s">
        <v>71</v>
      </c>
      <c r="B208" s="659"/>
      <c r="C208" s="5">
        <v>0</v>
      </c>
      <c r="D208" s="1"/>
      <c r="E208" s="51">
        <f>+C208*D208</f>
        <v>0</v>
      </c>
    </row>
    <row r="209" spans="1:5" ht="21.75" customHeight="1" x14ac:dyDescent="0.2">
      <c r="A209" s="667" t="s">
        <v>199</v>
      </c>
      <c r="B209" s="668"/>
      <c r="C209" s="41">
        <f>+C198+C202+C206+C207+C208</f>
        <v>23</v>
      </c>
      <c r="D209" s="53"/>
      <c r="E209" s="69">
        <f>+E198+E202+E206+E207+E208</f>
        <v>17038.399999999998</v>
      </c>
    </row>
    <row r="210" spans="1:5" x14ac:dyDescent="0.2">
      <c r="A210" s="29"/>
      <c r="B210" s="29"/>
      <c r="C210" s="29"/>
      <c r="D210" s="29"/>
      <c r="E210" s="29"/>
    </row>
  </sheetData>
  <mergeCells count="271">
    <mergeCell ref="A205:B205"/>
    <mergeCell ref="C205:D205"/>
    <mergeCell ref="A206:B206"/>
    <mergeCell ref="A207:B207"/>
    <mergeCell ref="A208:B208"/>
    <mergeCell ref="A209:B209"/>
    <mergeCell ref="A131:B131"/>
    <mergeCell ref="A132:B132"/>
    <mergeCell ref="C132:D132"/>
    <mergeCell ref="A133:B133"/>
    <mergeCell ref="C133:D133"/>
    <mergeCell ref="A134:B134"/>
    <mergeCell ref="C134:D134"/>
    <mergeCell ref="A135:B135"/>
    <mergeCell ref="C135:D135"/>
    <mergeCell ref="A137:B137"/>
    <mergeCell ref="A138:B138"/>
    <mergeCell ref="C138:D138"/>
    <mergeCell ref="A139:B139"/>
    <mergeCell ref="C139:D139"/>
    <mergeCell ref="A140:B140"/>
    <mergeCell ref="C140:D140"/>
    <mergeCell ref="A180:B180"/>
    <mergeCell ref="A181:B181"/>
    <mergeCell ref="A204:B204"/>
    <mergeCell ref="C204:D204"/>
    <mergeCell ref="A182:B182"/>
    <mergeCell ref="A157:B157"/>
    <mergeCell ref="A170:B170"/>
    <mergeCell ref="A183:B183"/>
    <mergeCell ref="A175:B175"/>
    <mergeCell ref="C175:D175"/>
    <mergeCell ref="A176:B176"/>
    <mergeCell ref="A178:B178"/>
    <mergeCell ref="A200:B200"/>
    <mergeCell ref="C200:D200"/>
    <mergeCell ref="A172:B172"/>
    <mergeCell ref="A167:B167"/>
    <mergeCell ref="A168:B168"/>
    <mergeCell ref="A169:B169"/>
    <mergeCell ref="C178:D178"/>
    <mergeCell ref="A179:B179"/>
    <mergeCell ref="C179:D179"/>
    <mergeCell ref="A177:B177"/>
    <mergeCell ref="C177:D177"/>
    <mergeCell ref="A201:B201"/>
    <mergeCell ref="C201:D201"/>
    <mergeCell ref="A202:B202"/>
    <mergeCell ref="A188:B188"/>
    <mergeCell ref="C188:D188"/>
    <mergeCell ref="A189:B189"/>
    <mergeCell ref="A203:B203"/>
    <mergeCell ref="C203:D203"/>
    <mergeCell ref="A192:B192"/>
    <mergeCell ref="C192:D192"/>
    <mergeCell ref="A193:B193"/>
    <mergeCell ref="A194:B194"/>
    <mergeCell ref="A195:B195"/>
    <mergeCell ref="A196:B196"/>
    <mergeCell ref="A197:E197"/>
    <mergeCell ref="A198:B198"/>
    <mergeCell ref="A199:B199"/>
    <mergeCell ref="C199:D199"/>
    <mergeCell ref="A190:B190"/>
    <mergeCell ref="C190:D190"/>
    <mergeCell ref="A191:B191"/>
    <mergeCell ref="C191:D191"/>
    <mergeCell ref="A156:B156"/>
    <mergeCell ref="A143:E143"/>
    <mergeCell ref="A148:B148"/>
    <mergeCell ref="A149:B149"/>
    <mergeCell ref="A151:B151"/>
    <mergeCell ref="A150:B150"/>
    <mergeCell ref="A152:B152"/>
    <mergeCell ref="C152:D152"/>
    <mergeCell ref="C153:D153"/>
    <mergeCell ref="A155:B155"/>
    <mergeCell ref="A153:B153"/>
    <mergeCell ref="A154:B154"/>
    <mergeCell ref="A145:B145"/>
    <mergeCell ref="A146:B146"/>
    <mergeCell ref="A184:E184"/>
    <mergeCell ref="A185:B185"/>
    <mergeCell ref="A186:B186"/>
    <mergeCell ref="C186:D186"/>
    <mergeCell ref="A187:B187"/>
    <mergeCell ref="C187:D187"/>
    <mergeCell ref="A136:B136"/>
    <mergeCell ref="C136:D136"/>
    <mergeCell ref="A144:E144"/>
    <mergeCell ref="E106:E142"/>
    <mergeCell ref="C114:D114"/>
    <mergeCell ref="A130:B130"/>
    <mergeCell ref="A106:B106"/>
    <mergeCell ref="C113:D113"/>
    <mergeCell ref="C130:D130"/>
    <mergeCell ref="C108:D108"/>
    <mergeCell ref="C110:D110"/>
    <mergeCell ref="C111:D111"/>
    <mergeCell ref="C112:D112"/>
    <mergeCell ref="A112:B112"/>
    <mergeCell ref="C124:D124"/>
    <mergeCell ref="A114:B114"/>
    <mergeCell ref="A142:B142"/>
    <mergeCell ref="C142:D142"/>
    <mergeCell ref="A109:B109"/>
    <mergeCell ref="C109:D109"/>
    <mergeCell ref="A124:B124"/>
    <mergeCell ref="A127:B127"/>
    <mergeCell ref="A61:B61"/>
    <mergeCell ref="A89:B89"/>
    <mergeCell ref="A108:B108"/>
    <mergeCell ref="A99:B99"/>
    <mergeCell ref="A63:A64"/>
    <mergeCell ref="C151:D151"/>
    <mergeCell ref="A147:B147"/>
    <mergeCell ref="A164:B164"/>
    <mergeCell ref="C164:D164"/>
    <mergeCell ref="A66:E66"/>
    <mergeCell ref="A69:B69"/>
    <mergeCell ref="A71:B71"/>
    <mergeCell ref="A100:B100"/>
    <mergeCell ref="A101:C101"/>
    <mergeCell ref="A96:B96"/>
    <mergeCell ref="A98:B98"/>
    <mergeCell ref="A92:B92"/>
    <mergeCell ref="A93:B93"/>
    <mergeCell ref="A94:B94"/>
    <mergeCell ref="A97:B97"/>
    <mergeCell ref="A95:B95"/>
    <mergeCell ref="A90:B90"/>
    <mergeCell ref="A91:B91"/>
    <mergeCell ref="A88:B88"/>
    <mergeCell ref="A23:B23"/>
    <mergeCell ref="A26:B26"/>
    <mergeCell ref="A33:B33"/>
    <mergeCell ref="A32:B32"/>
    <mergeCell ref="A34:B34"/>
    <mergeCell ref="E16:E17"/>
    <mergeCell ref="A85:B85"/>
    <mergeCell ref="A83:B83"/>
    <mergeCell ref="A70:B70"/>
    <mergeCell ref="E67:E68"/>
    <mergeCell ref="E69:E70"/>
    <mergeCell ref="E48:E49"/>
    <mergeCell ref="A50:B50"/>
    <mergeCell ref="A51:B51"/>
    <mergeCell ref="E50:E51"/>
    <mergeCell ref="A84:B84"/>
    <mergeCell ref="A82:E82"/>
    <mergeCell ref="E84:E87"/>
    <mergeCell ref="A87:B87"/>
    <mergeCell ref="A86:B86"/>
    <mergeCell ref="A53:B53"/>
    <mergeCell ref="A72:B72"/>
    <mergeCell ref="E53:E55"/>
    <mergeCell ref="A58:E58"/>
    <mergeCell ref="A1:B1"/>
    <mergeCell ref="C1:D1"/>
    <mergeCell ref="A2:B2"/>
    <mergeCell ref="C2:D2"/>
    <mergeCell ref="A12:B12"/>
    <mergeCell ref="A38:B38"/>
    <mergeCell ref="A19:B19"/>
    <mergeCell ref="A20:B20"/>
    <mergeCell ref="A25:B25"/>
    <mergeCell ref="A24:B24"/>
    <mergeCell ref="A29:B29"/>
    <mergeCell ref="A17:B17"/>
    <mergeCell ref="A30:E30"/>
    <mergeCell ref="A31:B31"/>
    <mergeCell ref="A37:E37"/>
    <mergeCell ref="E18:E20"/>
    <mergeCell ref="E12:E15"/>
    <mergeCell ref="A13:B13"/>
    <mergeCell ref="A14:B14"/>
    <mergeCell ref="A15:B15"/>
    <mergeCell ref="A16:B16"/>
    <mergeCell ref="A18:B18"/>
    <mergeCell ref="A21:E21"/>
    <mergeCell ref="A22:B22"/>
    <mergeCell ref="A68:B68"/>
    <mergeCell ref="A67:B67"/>
    <mergeCell ref="A73:E73"/>
    <mergeCell ref="A74:B74"/>
    <mergeCell ref="A81:B81"/>
    <mergeCell ref="A104:E104"/>
    <mergeCell ref="A166:B166"/>
    <mergeCell ref="C166:D166"/>
    <mergeCell ref="A162:B162"/>
    <mergeCell ref="C162:D162"/>
    <mergeCell ref="A163:B163"/>
    <mergeCell ref="A165:B165"/>
    <mergeCell ref="C165:D165"/>
    <mergeCell ref="A75:B75"/>
    <mergeCell ref="A76:A77"/>
    <mergeCell ref="A78:B78"/>
    <mergeCell ref="A79:B79"/>
    <mergeCell ref="A80:B80"/>
    <mergeCell ref="A105:E105"/>
    <mergeCell ref="A102:E102"/>
    <mergeCell ref="A103:B103"/>
    <mergeCell ref="A118:B118"/>
    <mergeCell ref="A119:B119"/>
    <mergeCell ref="A120:B120"/>
    <mergeCell ref="A40:E40"/>
    <mergeCell ref="A44:B44"/>
    <mergeCell ref="A43:B43"/>
    <mergeCell ref="A52:E52"/>
    <mergeCell ref="A54:B54"/>
    <mergeCell ref="A57:B57"/>
    <mergeCell ref="A56:B56"/>
    <mergeCell ref="A60:B60"/>
    <mergeCell ref="A27:B27"/>
    <mergeCell ref="A35:B35"/>
    <mergeCell ref="A36:B36"/>
    <mergeCell ref="A28:B28"/>
    <mergeCell ref="A48:B48"/>
    <mergeCell ref="A47:B47"/>
    <mergeCell ref="A49:B49"/>
    <mergeCell ref="A41:B41"/>
    <mergeCell ref="A42:B42"/>
    <mergeCell ref="A45:B45"/>
    <mergeCell ref="E31:E32"/>
    <mergeCell ref="A46:B46"/>
    <mergeCell ref="A55:B55"/>
    <mergeCell ref="A59:B59"/>
    <mergeCell ref="A39:B39"/>
    <mergeCell ref="A128:B128"/>
    <mergeCell ref="A129:B129"/>
    <mergeCell ref="A125:B125"/>
    <mergeCell ref="A171:E171"/>
    <mergeCell ref="A173:B173"/>
    <mergeCell ref="C173:D173"/>
    <mergeCell ref="A174:B174"/>
    <mergeCell ref="C174:D174"/>
    <mergeCell ref="C125:D125"/>
    <mergeCell ref="A158:E158"/>
    <mergeCell ref="A159:B159"/>
    <mergeCell ref="A160:B160"/>
    <mergeCell ref="A126:B126"/>
    <mergeCell ref="C127:D127"/>
    <mergeCell ref="C128:D128"/>
    <mergeCell ref="C129:D129"/>
    <mergeCell ref="C160:D160"/>
    <mergeCell ref="A161:B161"/>
    <mergeCell ref="C161:D161"/>
    <mergeCell ref="C147:D147"/>
    <mergeCell ref="C148:D148"/>
    <mergeCell ref="C149:D149"/>
    <mergeCell ref="A141:B141"/>
    <mergeCell ref="C141:D141"/>
    <mergeCell ref="A107:B107"/>
    <mergeCell ref="A113:B113"/>
    <mergeCell ref="C106:D106"/>
    <mergeCell ref="C117:D117"/>
    <mergeCell ref="C118:D118"/>
    <mergeCell ref="C119:D119"/>
    <mergeCell ref="C120:D120"/>
    <mergeCell ref="C122:D122"/>
    <mergeCell ref="C123:D123"/>
    <mergeCell ref="A110:B110"/>
    <mergeCell ref="A111:B111"/>
    <mergeCell ref="A121:B121"/>
    <mergeCell ref="A122:B122"/>
    <mergeCell ref="A123:B123"/>
    <mergeCell ref="A116:B116"/>
    <mergeCell ref="A117:B117"/>
    <mergeCell ref="C107:D107"/>
    <mergeCell ref="A115:B115"/>
    <mergeCell ref="C115:D115"/>
  </mergeCells>
  <phoneticPr fontId="6" type="noConversion"/>
  <pageMargins left="0.7" right="0.7" top="0.75" bottom="0.75" header="0.3" footer="0.3"/>
  <pageSetup orientation="portrait" horizontalDpi="1200" verticalDpi="1200" r:id="rId1"/>
  <ignoredErrors>
    <ignoredError sqref="D46" formula="1"/>
    <ignoredError sqref="D42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35091603-96C2-40DA-96F5-9E02D8F94F27}">
          <x14:formula1>
            <xm:f>'DATOS '!$D$2:$D$4</xm:f>
          </x14:formula1>
          <xm:sqref>A2</xm:sqref>
        </x14:dataValidation>
        <x14:dataValidation type="list" allowBlank="1" showInputMessage="1" showErrorMessage="1" xr:uid="{C6EE0520-90A5-4172-A524-C299E907D124}">
          <x14:formula1>
            <xm:f>'DATOS '!$D$7:$D$11</xm:f>
          </x14:formula1>
          <xm:sqref>C2:D2</xm:sqref>
        </x14:dataValidation>
        <x14:dataValidation type="list" allowBlank="1" showInputMessage="1" showErrorMessage="1" xr:uid="{92926877-BFF5-48CA-8875-EE691BFE41BF}">
          <x14:formula1>
            <xm:f>'DATOS '!$B$2:$B$33</xm:f>
          </x14:formula1>
          <xm:sqref>D12</xm:sqref>
        </x14:dataValidation>
        <x14:dataValidation type="list" allowBlank="1" showInputMessage="1" showErrorMessage="1" xr:uid="{F9D0E55F-475A-4F08-9289-61685C4BCB54}">
          <x14:formula1>
            <xm:f>'DATOS '!$A$2:$A$33</xm:f>
          </x14:formula1>
          <xm:sqref>C12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D687-E16C-4CC2-B275-1EF7BB908FD1}">
  <dimension ref="A1:Y210"/>
  <sheetViews>
    <sheetView topLeftCell="A91" zoomScale="112" zoomScaleNormal="85" workbookViewId="0">
      <selection activeCell="C115" sqref="C115:D115"/>
    </sheetView>
  </sheetViews>
  <sheetFormatPr baseColWidth="10" defaultColWidth="11.5" defaultRowHeight="15" x14ac:dyDescent="0.2"/>
  <cols>
    <col min="1" max="1" width="4.33203125" style="47" customWidth="1"/>
    <col min="2" max="2" width="59.33203125" style="47" customWidth="1"/>
    <col min="3" max="3" width="9.5" style="21" customWidth="1"/>
    <col min="4" max="4" width="32.6640625" style="21" customWidth="1"/>
    <col min="5" max="5" width="26.5" style="50" customWidth="1"/>
    <col min="6" max="6" width="28.1640625" style="33" customWidth="1"/>
    <col min="7" max="7" width="41.5" customWidth="1"/>
    <col min="8" max="12" width="13.6640625" style="30" customWidth="1"/>
    <col min="13" max="15" width="11.5" style="30"/>
    <col min="16" max="16" width="22.6640625" style="30" bestFit="1" customWidth="1"/>
    <col min="17" max="17" width="11.5" style="30"/>
    <col min="18" max="18" width="3.5" style="30" customWidth="1"/>
    <col min="19" max="19" width="12.83203125" style="30" customWidth="1"/>
    <col min="20" max="20" width="11.5" style="30"/>
    <col min="21" max="21" width="14.83203125" style="30" customWidth="1"/>
    <col min="22" max="30" width="11.5" style="30"/>
    <col min="31" max="31" width="6.6640625" style="30" customWidth="1"/>
    <col min="32" max="32" width="7.33203125" style="30" customWidth="1"/>
    <col min="33" max="33" width="11.5" style="30"/>
    <col min="34" max="34" width="12.6640625" style="30" customWidth="1"/>
    <col min="35" max="35" width="13.5" style="30" customWidth="1"/>
    <col min="36" max="36" width="11.83203125" style="30" customWidth="1"/>
    <col min="37" max="37" width="16.5" style="30" customWidth="1"/>
    <col min="38" max="38" width="15.33203125" style="30" customWidth="1"/>
    <col min="39" max="39" width="16.5" style="30" customWidth="1"/>
    <col min="40" max="16384" width="11.5" style="30"/>
  </cols>
  <sheetData>
    <row r="1" spans="1:5" ht="27" customHeight="1" thickBot="1" x14ac:dyDescent="0.25">
      <c r="A1" s="605" t="s">
        <v>58</v>
      </c>
      <c r="B1" s="606"/>
      <c r="C1" s="607" t="s">
        <v>56</v>
      </c>
      <c r="D1" s="606"/>
      <c r="E1" s="14" t="s">
        <v>57</v>
      </c>
    </row>
    <row r="2" spans="1:5" ht="46.5" customHeight="1" x14ac:dyDescent="0.2">
      <c r="A2" s="608" t="s">
        <v>91</v>
      </c>
      <c r="B2" s="609"/>
      <c r="C2" s="610" t="s">
        <v>64</v>
      </c>
      <c r="D2" s="611"/>
      <c r="E2" s="15" t="s">
        <v>209</v>
      </c>
    </row>
    <row r="3" spans="1:5" ht="25.5" customHeight="1" x14ac:dyDescent="0.2">
      <c r="A3" s="45"/>
      <c r="B3" s="46"/>
      <c r="C3" s="44"/>
      <c r="D3" s="44"/>
      <c r="E3" s="48"/>
    </row>
    <row r="4" spans="1:5" ht="29.25" customHeight="1" x14ac:dyDescent="0.2">
      <c r="A4" s="45"/>
      <c r="B4" s="46"/>
      <c r="C4" s="44"/>
      <c r="D4" s="44"/>
      <c r="E4" s="48"/>
    </row>
    <row r="5" spans="1:5" ht="29.25" customHeight="1" x14ac:dyDescent="0.2">
      <c r="A5" s="45"/>
      <c r="B5" s="46"/>
      <c r="C5" s="44"/>
      <c r="D5" s="44"/>
      <c r="E5" s="48"/>
    </row>
    <row r="6" spans="1:5" ht="29.25" customHeight="1" x14ac:dyDescent="0.2">
      <c r="A6" s="45"/>
      <c r="B6" s="46"/>
      <c r="C6" s="44"/>
      <c r="D6" s="44"/>
      <c r="E6" s="48"/>
    </row>
    <row r="7" spans="1:5" ht="29.25" customHeight="1" x14ac:dyDescent="0.2">
      <c r="A7" s="45"/>
      <c r="B7" s="46"/>
      <c r="C7" s="44"/>
      <c r="D7" s="44"/>
      <c r="E7" s="48"/>
    </row>
    <row r="8" spans="1:5" ht="29.25" customHeight="1" x14ac:dyDescent="0.2">
      <c r="A8" s="45"/>
      <c r="B8" s="46"/>
      <c r="C8" s="44"/>
      <c r="D8" s="44"/>
      <c r="E8" s="48"/>
    </row>
    <row r="9" spans="1:5" ht="21.75" customHeight="1" x14ac:dyDescent="0.2">
      <c r="A9" s="45"/>
      <c r="B9" s="46"/>
      <c r="C9" s="44"/>
      <c r="D9" s="44"/>
      <c r="E9" s="48"/>
    </row>
    <row r="10" spans="1:5" ht="29.25" customHeight="1" x14ac:dyDescent="0.2">
      <c r="A10" s="45"/>
      <c r="B10" s="46"/>
      <c r="C10" s="44"/>
      <c r="D10" s="44"/>
      <c r="E10" s="48"/>
    </row>
    <row r="11" spans="1:5" ht="30" customHeight="1" thickBot="1" x14ac:dyDescent="0.25">
      <c r="A11" s="45"/>
      <c r="B11" s="46"/>
      <c r="C11" s="44"/>
      <c r="D11" s="44"/>
      <c r="E11" s="48"/>
    </row>
    <row r="12" spans="1:5" ht="22" customHeight="1" x14ac:dyDescent="0.2">
      <c r="A12" s="612" t="s">
        <v>18</v>
      </c>
      <c r="B12" s="613"/>
      <c r="C12" s="27">
        <v>9</v>
      </c>
      <c r="D12" s="13" t="s">
        <v>34</v>
      </c>
      <c r="E12" s="618"/>
    </row>
    <row r="13" spans="1:5" ht="22" customHeight="1" x14ac:dyDescent="0.2">
      <c r="A13" s="582" t="s">
        <v>78</v>
      </c>
      <c r="B13" s="583"/>
      <c r="C13" s="34"/>
      <c r="D13" s="17" t="s">
        <v>185</v>
      </c>
      <c r="E13" s="616"/>
    </row>
    <row r="14" spans="1:5" ht="22" customHeight="1" x14ac:dyDescent="0.2">
      <c r="A14" s="589" t="s">
        <v>13</v>
      </c>
      <c r="B14" s="550"/>
      <c r="C14" s="35"/>
      <c r="D14" s="4" t="s">
        <v>79</v>
      </c>
      <c r="E14" s="616"/>
    </row>
    <row r="15" spans="1:5" ht="22" customHeight="1" x14ac:dyDescent="0.2">
      <c r="A15" s="589" t="s">
        <v>14</v>
      </c>
      <c r="B15" s="550"/>
      <c r="C15" s="5" t="s">
        <v>12</v>
      </c>
      <c r="D15" s="17" t="s">
        <v>186</v>
      </c>
      <c r="E15" s="616"/>
    </row>
    <row r="16" spans="1:5" ht="22" customHeight="1" x14ac:dyDescent="0.2">
      <c r="A16" s="589" t="s">
        <v>101</v>
      </c>
      <c r="B16" s="550"/>
      <c r="C16" s="5" t="s">
        <v>9</v>
      </c>
      <c r="D16" s="3">
        <v>6300000</v>
      </c>
      <c r="E16" s="626" t="s">
        <v>85</v>
      </c>
    </row>
    <row r="17" spans="1:6" ht="22" customHeight="1" x14ac:dyDescent="0.2">
      <c r="A17" s="589" t="s">
        <v>129</v>
      </c>
      <c r="B17" s="550"/>
      <c r="C17" s="5" t="s">
        <v>9</v>
      </c>
      <c r="D17" s="3">
        <v>0</v>
      </c>
      <c r="E17" s="627"/>
    </row>
    <row r="18" spans="1:6" ht="22" customHeight="1" x14ac:dyDescent="0.2">
      <c r="A18" s="589" t="s">
        <v>10</v>
      </c>
      <c r="B18" s="550"/>
      <c r="C18" s="5" t="s">
        <v>11</v>
      </c>
      <c r="D18" s="9">
        <v>8306010</v>
      </c>
      <c r="E18" s="615"/>
    </row>
    <row r="19" spans="1:6" ht="22" customHeight="1" x14ac:dyDescent="0.2">
      <c r="A19" s="589" t="s">
        <v>86</v>
      </c>
      <c r="B19" s="550"/>
      <c r="C19" s="5" t="s">
        <v>12</v>
      </c>
      <c r="D19" s="142">
        <v>109</v>
      </c>
      <c r="E19" s="616"/>
    </row>
    <row r="20" spans="1:6" ht="22" customHeight="1" x14ac:dyDescent="0.2">
      <c r="A20" s="582" t="s">
        <v>84</v>
      </c>
      <c r="B20" s="583"/>
      <c r="C20" s="5" t="s">
        <v>12</v>
      </c>
      <c r="D20" s="23">
        <f>+D19*2.2</f>
        <v>239.8</v>
      </c>
      <c r="E20" s="617"/>
    </row>
    <row r="21" spans="1:6" ht="22" customHeight="1" x14ac:dyDescent="0.2">
      <c r="A21" s="577" t="s">
        <v>139</v>
      </c>
      <c r="B21" s="578"/>
      <c r="C21" s="578"/>
      <c r="D21" s="578"/>
      <c r="E21" s="579"/>
    </row>
    <row r="22" spans="1:6" ht="22" customHeight="1" x14ac:dyDescent="0.2">
      <c r="A22" s="589" t="s">
        <v>83</v>
      </c>
      <c r="B22" s="550"/>
      <c r="C22" s="8" t="s">
        <v>12</v>
      </c>
      <c r="D22" s="72">
        <v>26</v>
      </c>
      <c r="E22" s="49"/>
    </row>
    <row r="23" spans="1:6" ht="22" customHeight="1" x14ac:dyDescent="0.2">
      <c r="A23" s="619" t="s">
        <v>16</v>
      </c>
      <c r="B23" s="620"/>
      <c r="C23" s="31" t="s">
        <v>1</v>
      </c>
      <c r="D23" s="73">
        <v>16163.5</v>
      </c>
      <c r="E23" s="49"/>
    </row>
    <row r="24" spans="1:6" ht="21" customHeight="1" x14ac:dyDescent="0.2">
      <c r="A24" s="582" t="s">
        <v>93</v>
      </c>
      <c r="B24" s="583"/>
      <c r="C24" s="8" t="s">
        <v>1</v>
      </c>
      <c r="D24" s="122">
        <v>0</v>
      </c>
      <c r="E24" s="74" t="s">
        <v>210</v>
      </c>
      <c r="F24" s="143" t="s">
        <v>211</v>
      </c>
    </row>
    <row r="25" spans="1:6" ht="22" customHeight="1" x14ac:dyDescent="0.2">
      <c r="A25" s="582" t="s">
        <v>92</v>
      </c>
      <c r="B25" s="583"/>
      <c r="C25" s="8" t="s">
        <v>1</v>
      </c>
      <c r="D25" s="72">
        <v>58.6</v>
      </c>
      <c r="E25" s="49"/>
    </row>
    <row r="26" spans="1:6" ht="33" customHeight="1" x14ac:dyDescent="0.2">
      <c r="A26" s="621" t="s">
        <v>106</v>
      </c>
      <c r="B26" s="622"/>
      <c r="C26" s="31" t="s">
        <v>1</v>
      </c>
      <c r="D26" s="32">
        <f>+D23-D24-D25</f>
        <v>16104.9</v>
      </c>
      <c r="E26" s="77">
        <f>+D26/D23</f>
        <v>0.99637454759179633</v>
      </c>
      <c r="F26" s="123"/>
    </row>
    <row r="27" spans="1:6" ht="22" customHeight="1" x14ac:dyDescent="0.2">
      <c r="A27" s="587" t="s">
        <v>114</v>
      </c>
      <c r="B27" s="588"/>
      <c r="C27" s="8" t="s">
        <v>1</v>
      </c>
      <c r="D27" s="78">
        <f>+(IF(D$34&lt;=11,0,IF(D$34&lt;=44,(D33*0.03))))</f>
        <v>0</v>
      </c>
      <c r="E27" s="77">
        <f>+D27/D26</f>
        <v>0</v>
      </c>
      <c r="F27" s="123"/>
    </row>
    <row r="28" spans="1:6" ht="22" customHeight="1" x14ac:dyDescent="0.2">
      <c r="A28" s="590" t="s">
        <v>115</v>
      </c>
      <c r="B28" s="591"/>
      <c r="C28" s="8" t="s">
        <v>1</v>
      </c>
      <c r="D28" s="130">
        <f>+(IF(D$61&lt;=300,0,IF(D$61&gt;=300,(D61))))</f>
        <v>5636.7149999999992</v>
      </c>
      <c r="E28" s="77">
        <f>+D28/D26</f>
        <v>0.35</v>
      </c>
      <c r="F28" s="26"/>
    </row>
    <row r="29" spans="1:6" ht="22" customHeight="1" x14ac:dyDescent="0.2">
      <c r="A29" s="614" t="s">
        <v>95</v>
      </c>
      <c r="B29" s="614"/>
      <c r="C29" s="31"/>
      <c r="D29" s="36">
        <f>+D26-D27-D28</f>
        <v>10468.185000000001</v>
      </c>
      <c r="E29" s="77"/>
    </row>
    <row r="30" spans="1:6" ht="22" customHeight="1" x14ac:dyDescent="0.2">
      <c r="A30" s="577" t="s">
        <v>140</v>
      </c>
      <c r="B30" s="578"/>
      <c r="C30" s="578"/>
      <c r="D30" s="578"/>
      <c r="E30" s="579"/>
    </row>
    <row r="31" spans="1:6" ht="22" customHeight="1" x14ac:dyDescent="0.2">
      <c r="A31" s="582" t="s">
        <v>2</v>
      </c>
      <c r="B31" s="583"/>
      <c r="C31" s="8" t="s">
        <v>1</v>
      </c>
      <c r="D31" s="2">
        <f>+C106</f>
        <v>158537.17624999999</v>
      </c>
      <c r="E31" s="593"/>
      <c r="F31" s="37"/>
    </row>
    <row r="32" spans="1:6" ht="22" customHeight="1" x14ac:dyDescent="0.2">
      <c r="A32" s="623" t="s">
        <v>96</v>
      </c>
      <c r="B32" s="624"/>
      <c r="C32" s="8" t="s">
        <v>0</v>
      </c>
      <c r="D32" s="70">
        <f>+D31/D26</f>
        <v>9.8440335705282234</v>
      </c>
      <c r="E32" s="594"/>
    </row>
    <row r="33" spans="1:7" ht="22" customHeight="1" x14ac:dyDescent="0.2">
      <c r="A33" s="619" t="s">
        <v>162</v>
      </c>
      <c r="B33" s="620"/>
      <c r="C33" s="31" t="s">
        <v>1</v>
      </c>
      <c r="D33" s="32">
        <f>+C107</f>
        <v>124980.29999999999</v>
      </c>
      <c r="E33" s="74" t="s">
        <v>99</v>
      </c>
      <c r="F33" s="144"/>
      <c r="G33" s="145"/>
    </row>
    <row r="34" spans="1:7" ht="22" customHeight="1" x14ac:dyDescent="0.2">
      <c r="A34" s="625" t="s">
        <v>98</v>
      </c>
      <c r="B34" s="614"/>
      <c r="C34" s="31" t="s">
        <v>0</v>
      </c>
      <c r="D34" s="71">
        <f>+D33/D26</f>
        <v>7.7603896950617512</v>
      </c>
      <c r="E34" s="97" t="s">
        <v>116</v>
      </c>
      <c r="F34" s="39"/>
    </row>
    <row r="35" spans="1:7" ht="22" customHeight="1" x14ac:dyDescent="0.2">
      <c r="A35" s="589" t="s">
        <v>163</v>
      </c>
      <c r="B35" s="550"/>
      <c r="C35" s="61" t="s">
        <v>1</v>
      </c>
      <c r="D35" s="81">
        <f>+D26*D36</f>
        <v>20936.37</v>
      </c>
      <c r="E35" s="75">
        <f>+D35/D31</f>
        <v>0.13205968779830593</v>
      </c>
    </row>
    <row r="36" spans="1:7" ht="22" customHeight="1" x14ac:dyDescent="0.2">
      <c r="A36" s="589" t="s">
        <v>97</v>
      </c>
      <c r="B36" s="550"/>
      <c r="C36" s="61" t="s">
        <v>0</v>
      </c>
      <c r="D36" s="81">
        <v>1.3</v>
      </c>
      <c r="E36" s="74" t="s">
        <v>102</v>
      </c>
      <c r="F36" s="38"/>
    </row>
    <row r="37" spans="1:7" ht="22" customHeight="1" x14ac:dyDescent="0.2">
      <c r="A37" s="577" t="s">
        <v>165</v>
      </c>
      <c r="B37" s="578"/>
      <c r="C37" s="578"/>
      <c r="D37" s="578"/>
      <c r="E37" s="579"/>
    </row>
    <row r="38" spans="1:7" ht="22" customHeight="1" x14ac:dyDescent="0.2">
      <c r="A38" s="589" t="s">
        <v>81</v>
      </c>
      <c r="B38" s="550"/>
      <c r="C38" s="61" t="s">
        <v>0</v>
      </c>
      <c r="D38" s="81">
        <f>+D39/D26</f>
        <v>0.45112357108706047</v>
      </c>
      <c r="E38" s="79"/>
    </row>
    <row r="39" spans="1:7" ht="22" customHeight="1" x14ac:dyDescent="0.2">
      <c r="A39" s="589" t="s">
        <v>164</v>
      </c>
      <c r="B39" s="550"/>
      <c r="C39" s="61" t="s">
        <v>1</v>
      </c>
      <c r="D39" s="76">
        <f>+E146+E159+E172</f>
        <v>7265.3</v>
      </c>
      <c r="E39" s="80">
        <f>+D39/D26</f>
        <v>0.45112357108706047</v>
      </c>
    </row>
    <row r="40" spans="1:7" ht="22" customHeight="1" x14ac:dyDescent="0.2">
      <c r="A40" s="577" t="s">
        <v>143</v>
      </c>
      <c r="B40" s="578"/>
      <c r="C40" s="578"/>
      <c r="D40" s="578"/>
      <c r="E40" s="579"/>
    </row>
    <row r="41" spans="1:7" ht="22" customHeight="1" x14ac:dyDescent="0.2">
      <c r="A41" s="589" t="s">
        <v>147</v>
      </c>
      <c r="B41" s="550"/>
      <c r="C41" s="61" t="s">
        <v>12</v>
      </c>
      <c r="D41" s="82">
        <f>+C157</f>
        <v>25</v>
      </c>
      <c r="E41" s="83"/>
      <c r="F41" s="55"/>
    </row>
    <row r="42" spans="1:7" ht="22" customHeight="1" x14ac:dyDescent="0.2">
      <c r="A42" s="589" t="s">
        <v>148</v>
      </c>
      <c r="B42" s="550"/>
      <c r="C42" s="61" t="s">
        <v>12</v>
      </c>
      <c r="D42" s="82">
        <f>+D41-C146-C150</f>
        <v>23</v>
      </c>
      <c r="E42" s="83"/>
      <c r="F42" s="57"/>
    </row>
    <row r="43" spans="1:7" ht="22" customHeight="1" x14ac:dyDescent="0.2">
      <c r="A43" s="580" t="s">
        <v>146</v>
      </c>
      <c r="B43" s="581"/>
      <c r="C43" s="84" t="s">
        <v>1</v>
      </c>
      <c r="D43" s="85">
        <f>+(C111)*0.8</f>
        <v>4240</v>
      </c>
      <c r="E43" s="83"/>
      <c r="F43" s="57"/>
    </row>
    <row r="44" spans="1:7" ht="22" customHeight="1" x14ac:dyDescent="0.2">
      <c r="A44" s="580" t="s">
        <v>145</v>
      </c>
      <c r="B44" s="581"/>
      <c r="C44" s="84" t="s">
        <v>1</v>
      </c>
      <c r="D44" s="85">
        <f>+(C110)*0.8</f>
        <v>5492.2400000000007</v>
      </c>
      <c r="E44" s="83"/>
      <c r="F44" s="57"/>
    </row>
    <row r="45" spans="1:7" ht="22" customHeight="1" x14ac:dyDescent="0.2">
      <c r="A45" s="592" t="s">
        <v>144</v>
      </c>
      <c r="B45" s="557"/>
      <c r="C45" s="84" t="s">
        <v>12</v>
      </c>
      <c r="D45" s="87">
        <f>+D46+D47</f>
        <v>2170</v>
      </c>
      <c r="E45" s="83"/>
      <c r="F45" s="57"/>
    </row>
    <row r="46" spans="1:7" ht="22" customHeight="1" x14ac:dyDescent="0.2">
      <c r="A46" s="592" t="s">
        <v>80</v>
      </c>
      <c r="B46" s="557"/>
      <c r="C46" s="84" t="s">
        <v>12</v>
      </c>
      <c r="D46" s="115">
        <f>+ROUND(C112/52,0)</f>
        <v>2170</v>
      </c>
      <c r="E46" s="83"/>
      <c r="F46" s="57"/>
    </row>
    <row r="47" spans="1:7" ht="22" customHeight="1" x14ac:dyDescent="0.2">
      <c r="A47" s="592" t="s">
        <v>150</v>
      </c>
      <c r="B47" s="557"/>
      <c r="C47" s="84" t="s">
        <v>12</v>
      </c>
      <c r="D47" s="116">
        <f>+D48+D49</f>
        <v>0</v>
      </c>
      <c r="E47" s="83"/>
      <c r="F47" s="57"/>
    </row>
    <row r="48" spans="1:7" ht="22" customHeight="1" x14ac:dyDescent="0.2">
      <c r="A48" s="589" t="s">
        <v>19</v>
      </c>
      <c r="B48" s="550"/>
      <c r="C48" s="61" t="s">
        <v>12</v>
      </c>
      <c r="D48" s="137">
        <f>+ROUND((D57*0.6)/52,0)</f>
        <v>0</v>
      </c>
      <c r="E48" s="632" t="s">
        <v>103</v>
      </c>
      <c r="F48" s="58"/>
    </row>
    <row r="49" spans="1:6" ht="22" customHeight="1" x14ac:dyDescent="0.2">
      <c r="A49" s="589" t="s">
        <v>20</v>
      </c>
      <c r="B49" s="550"/>
      <c r="C49" s="61" t="s">
        <v>12</v>
      </c>
      <c r="D49" s="137">
        <f>+ROUND((D57*0.4)/52,0)</f>
        <v>0</v>
      </c>
      <c r="E49" s="633"/>
      <c r="F49" s="58"/>
    </row>
    <row r="50" spans="1:6" ht="22" customHeight="1" x14ac:dyDescent="0.2">
      <c r="A50" s="592" t="s">
        <v>178</v>
      </c>
      <c r="B50" s="557"/>
      <c r="C50" s="84" t="s">
        <v>12</v>
      </c>
      <c r="D50" s="138">
        <f>+E96+E97</f>
        <v>1470</v>
      </c>
      <c r="E50" s="634"/>
      <c r="F50" s="58"/>
    </row>
    <row r="51" spans="1:6" ht="22" customHeight="1" x14ac:dyDescent="0.2">
      <c r="A51" s="592" t="s">
        <v>204</v>
      </c>
      <c r="B51" s="557"/>
      <c r="C51" s="84" t="s">
        <v>12</v>
      </c>
      <c r="D51" s="138">
        <f>+E94</f>
        <v>201</v>
      </c>
      <c r="E51" s="635"/>
      <c r="F51" s="59"/>
    </row>
    <row r="52" spans="1:6" ht="22" customHeight="1" x14ac:dyDescent="0.2">
      <c r="A52" s="577" t="s">
        <v>117</v>
      </c>
      <c r="B52" s="578"/>
      <c r="C52" s="578"/>
      <c r="D52" s="578"/>
      <c r="E52" s="579"/>
      <c r="F52" s="43"/>
    </row>
    <row r="53" spans="1:6" ht="22" customHeight="1" x14ac:dyDescent="0.2">
      <c r="A53" s="582" t="s">
        <v>119</v>
      </c>
      <c r="B53" s="583"/>
      <c r="C53" s="61" t="s">
        <v>1</v>
      </c>
      <c r="D53" s="82">
        <f>+D33*0.15</f>
        <v>18747.044999999998</v>
      </c>
      <c r="E53" s="638" t="s">
        <v>118</v>
      </c>
      <c r="F53" s="43"/>
    </row>
    <row r="54" spans="1:6" ht="24" customHeight="1" x14ac:dyDescent="0.2">
      <c r="A54" s="582" t="s">
        <v>120</v>
      </c>
      <c r="B54" s="583"/>
      <c r="C54" s="61" t="s">
        <v>1</v>
      </c>
      <c r="D54" s="82">
        <f>+D33*0.1</f>
        <v>12498.029999999999</v>
      </c>
      <c r="E54" s="638"/>
      <c r="F54" s="43"/>
    </row>
    <row r="55" spans="1:6" ht="22" customHeight="1" x14ac:dyDescent="0.2">
      <c r="A55" s="550" t="s">
        <v>130</v>
      </c>
      <c r="B55" s="550"/>
      <c r="C55" s="61"/>
      <c r="D55" s="82">
        <f>+D53+D54</f>
        <v>31245.074999999997</v>
      </c>
      <c r="E55" s="638"/>
      <c r="F55" s="30"/>
    </row>
    <row r="56" spans="1:6" ht="22" customHeight="1" x14ac:dyDescent="0.2">
      <c r="A56" s="580" t="s">
        <v>126</v>
      </c>
      <c r="B56" s="584"/>
      <c r="C56" s="84" t="s">
        <v>1</v>
      </c>
      <c r="D56" s="90">
        <f>IF(D$81&gt;0,0,IF(D$57&gt;0,0,IF(D$57&lt;=0,((D53+D54)*(D17/D16)))))</f>
        <v>0</v>
      </c>
      <c r="E56" s="88">
        <f>+(IF(D$57&gt;0,0,IF(D$57&lt;=0,((D53+D54)*(D17/D16)))))</f>
        <v>0</v>
      </c>
      <c r="F56" s="30"/>
    </row>
    <row r="57" spans="1:6" ht="22" customHeight="1" x14ac:dyDescent="0.2">
      <c r="A57" s="580" t="s">
        <v>128</v>
      </c>
      <c r="B57" s="581"/>
      <c r="C57" s="84" t="s">
        <v>1</v>
      </c>
      <c r="D57" s="54">
        <v>0</v>
      </c>
      <c r="E57" s="89" t="s">
        <v>127</v>
      </c>
      <c r="F57" s="30"/>
    </row>
    <row r="58" spans="1:6" ht="22" customHeight="1" x14ac:dyDescent="0.2">
      <c r="A58" s="577" t="s">
        <v>131</v>
      </c>
      <c r="B58" s="578"/>
      <c r="C58" s="578"/>
      <c r="D58" s="578"/>
      <c r="E58" s="579"/>
      <c r="F58" s="30"/>
    </row>
    <row r="59" spans="1:6" ht="22" customHeight="1" x14ac:dyDescent="0.2">
      <c r="A59" s="585" t="s">
        <v>108</v>
      </c>
      <c r="B59" s="586"/>
      <c r="C59" s="61" t="s">
        <v>1</v>
      </c>
      <c r="D59" s="91">
        <f>+(IF($D$34&lt;=1.3,0,IF($D$34&lt;=2,0.2,IF($D$34&lt;=3,0.27,IF($D$34&lt;=4,0.38,IF($D$34&lt;=5,0.51,IF($D$34&lt;=6,0.65,IF($D$34&lt;=11,0.79)))))))*D26)</f>
        <v>12722.871000000001</v>
      </c>
      <c r="E59" s="80">
        <f>+D59/D26</f>
        <v>0.79</v>
      </c>
      <c r="F59" s="30"/>
    </row>
    <row r="60" spans="1:6" ht="22" customHeight="1" x14ac:dyDescent="0.2">
      <c r="A60" s="585" t="s">
        <v>94</v>
      </c>
      <c r="B60" s="586"/>
      <c r="C60" s="61" t="s">
        <v>1</v>
      </c>
      <c r="D60" s="91">
        <f>+(IF($D$34&lt;=1.3,0,IF($D$34&lt;=3,0.07,IF($D$34&lt;=4,0.18,IF($D$34&lt;=5,0.26,IF($D$34&lt;=6,0.35,IF($D$34&lt;=11,0.44)))))))*D26</f>
        <v>7086.1559999999999</v>
      </c>
      <c r="E60" s="80">
        <f>+D60/D26</f>
        <v>0.44</v>
      </c>
      <c r="F60" s="24">
        <f>+D26*E60-D60</f>
        <v>0</v>
      </c>
    </row>
    <row r="61" spans="1:6" ht="30" customHeight="1" x14ac:dyDescent="0.2">
      <c r="A61" s="639" t="s">
        <v>107</v>
      </c>
      <c r="B61" s="586"/>
      <c r="C61" s="61" t="s">
        <v>1</v>
      </c>
      <c r="D61" s="91">
        <f>+(IF($D$34&lt;=1.3,0,IF($D$34&lt;=2,0.2,IF($D$34&lt;=3,0.2,IF($D$34&lt;=4,0.2,IF($D$34&lt;=5,0.25,IF($D$34&lt;=6,0.3,IF($D$34&lt;=11,0.35)))))))*D26)</f>
        <v>5636.7149999999992</v>
      </c>
      <c r="E61" s="80">
        <f>+D61/D26</f>
        <v>0.35</v>
      </c>
      <c r="F61" s="24">
        <f>+D26*E61-D61</f>
        <v>0</v>
      </c>
    </row>
    <row r="62" spans="1:6" ht="22" customHeight="1" x14ac:dyDescent="0.2">
      <c r="A62" s="92">
        <v>1</v>
      </c>
      <c r="B62" s="18" t="s">
        <v>67</v>
      </c>
      <c r="C62" s="34" t="s">
        <v>1</v>
      </c>
      <c r="D62" s="124">
        <v>40.9</v>
      </c>
      <c r="E62" s="94" t="s">
        <v>133</v>
      </c>
    </row>
    <row r="63" spans="1:6" ht="22" customHeight="1" x14ac:dyDescent="0.2">
      <c r="A63" s="640">
        <v>2</v>
      </c>
      <c r="B63" s="18" t="s">
        <v>112</v>
      </c>
      <c r="C63" s="34" t="s">
        <v>1</v>
      </c>
      <c r="D63" s="93">
        <v>712.2</v>
      </c>
      <c r="E63" s="94" t="s">
        <v>132</v>
      </c>
    </row>
    <row r="64" spans="1:6" ht="22" customHeight="1" x14ac:dyDescent="0.2">
      <c r="A64" s="641"/>
      <c r="B64" s="18" t="s">
        <v>187</v>
      </c>
      <c r="C64" s="34" t="s">
        <v>169</v>
      </c>
      <c r="D64" s="4">
        <f>+D63/2</f>
        <v>356.1</v>
      </c>
      <c r="E64" s="94"/>
      <c r="F64"/>
    </row>
    <row r="65" spans="1:8" ht="22" customHeight="1" x14ac:dyDescent="0.2">
      <c r="A65" s="60">
        <v>3</v>
      </c>
      <c r="B65" s="28" t="s">
        <v>113</v>
      </c>
      <c r="C65" s="95" t="s">
        <v>1</v>
      </c>
      <c r="D65" s="96">
        <f>+D61-D62-D64</f>
        <v>5239.7149999999992</v>
      </c>
      <c r="E65" s="94" t="s">
        <v>134</v>
      </c>
    </row>
    <row r="66" spans="1:8" ht="22" customHeight="1" x14ac:dyDescent="0.2">
      <c r="A66" s="577" t="s">
        <v>166</v>
      </c>
      <c r="B66" s="578"/>
      <c r="C66" s="578"/>
      <c r="D66" s="578"/>
      <c r="E66" s="579"/>
    </row>
    <row r="67" spans="1:8" ht="22" customHeight="1" x14ac:dyDescent="0.2">
      <c r="A67" s="589" t="s">
        <v>8</v>
      </c>
      <c r="B67" s="550"/>
      <c r="C67" s="61" t="s">
        <v>3</v>
      </c>
      <c r="D67" s="108">
        <f>D45/D26*10000</f>
        <v>1347.4160038249229</v>
      </c>
      <c r="E67" s="628"/>
    </row>
    <row r="68" spans="1:8" ht="22" customHeight="1" x14ac:dyDescent="0.2">
      <c r="A68" s="580" t="s">
        <v>70</v>
      </c>
      <c r="B68" s="581"/>
      <c r="C68" s="84" t="s">
        <v>12</v>
      </c>
      <c r="D68" s="85">
        <f>+D45*2.2</f>
        <v>4774</v>
      </c>
      <c r="E68" s="629"/>
    </row>
    <row r="69" spans="1:8" ht="22" customHeight="1" x14ac:dyDescent="0.2">
      <c r="A69" s="580" t="s">
        <v>171</v>
      </c>
      <c r="B69" s="584"/>
      <c r="C69" s="106" t="s">
        <v>1</v>
      </c>
      <c r="D69" s="107">
        <f>+(D71+D72)/D68</f>
        <v>1.8090102639296188</v>
      </c>
      <c r="E69" s="630" t="s">
        <v>172</v>
      </c>
    </row>
    <row r="70" spans="1:8" ht="22" customHeight="1" x14ac:dyDescent="0.2">
      <c r="A70" s="580" t="s">
        <v>170</v>
      </c>
      <c r="B70" s="584"/>
      <c r="C70" s="106" t="s">
        <v>1</v>
      </c>
      <c r="D70" s="107">
        <f>+D71/D68</f>
        <v>1.1807111436950144</v>
      </c>
      <c r="E70" s="631"/>
    </row>
    <row r="71" spans="1:8" ht="22" customHeight="1" x14ac:dyDescent="0.2">
      <c r="A71" s="582" t="s">
        <v>167</v>
      </c>
      <c r="B71" s="637"/>
      <c r="C71" s="95" t="s">
        <v>1</v>
      </c>
      <c r="D71" s="105">
        <f>+D28</f>
        <v>5636.7149999999992</v>
      </c>
      <c r="E71" s="111"/>
    </row>
    <row r="72" spans="1:8" ht="22" customHeight="1" x14ac:dyDescent="0.2">
      <c r="A72" s="582" t="s">
        <v>168</v>
      </c>
      <c r="B72" s="637"/>
      <c r="C72" s="95" t="s">
        <v>1</v>
      </c>
      <c r="D72" s="105">
        <f>+D90</f>
        <v>2999.5</v>
      </c>
      <c r="E72" s="112"/>
    </row>
    <row r="73" spans="1:8" ht="22" customHeight="1" x14ac:dyDescent="0.2">
      <c r="A73" s="577" t="s">
        <v>111</v>
      </c>
      <c r="B73" s="578"/>
      <c r="C73" s="578"/>
      <c r="D73" s="578"/>
      <c r="E73" s="579"/>
    </row>
    <row r="74" spans="1:8" ht="22" customHeight="1" x14ac:dyDescent="0.2">
      <c r="A74" s="595" t="s">
        <v>21</v>
      </c>
      <c r="B74" s="596"/>
      <c r="C74" s="7" t="s">
        <v>9</v>
      </c>
      <c r="D74" s="7">
        <f>+D75-(D76+D77)+D78+D79+D80+D81</f>
        <v>79685483497.199997</v>
      </c>
      <c r="E74" s="77"/>
      <c r="F74" s="37"/>
      <c r="H74"/>
    </row>
    <row r="75" spans="1:8" ht="29.25" customHeight="1" x14ac:dyDescent="0.2">
      <c r="A75" s="602" t="s">
        <v>177</v>
      </c>
      <c r="B75" s="602"/>
      <c r="C75" s="109" t="s">
        <v>9</v>
      </c>
      <c r="D75" s="110">
        <f>+D97*(D16*0.1)</f>
        <v>7873758899.999999</v>
      </c>
      <c r="E75" s="102" t="s">
        <v>176</v>
      </c>
      <c r="F75" s="39"/>
      <c r="H75"/>
    </row>
    <row r="76" spans="1:8" ht="21.75" customHeight="1" x14ac:dyDescent="0.2">
      <c r="A76" s="603">
        <v>1</v>
      </c>
      <c r="B76" s="28" t="s">
        <v>24</v>
      </c>
      <c r="C76" s="61" t="s">
        <v>9</v>
      </c>
      <c r="D76" s="82">
        <v>0</v>
      </c>
      <c r="E76" s="102" t="s">
        <v>104</v>
      </c>
      <c r="H76"/>
    </row>
    <row r="77" spans="1:8" ht="22" customHeight="1" x14ac:dyDescent="0.2">
      <c r="A77" s="603"/>
      <c r="B77" s="28" t="s">
        <v>23</v>
      </c>
      <c r="C77" s="61" t="s">
        <v>9</v>
      </c>
      <c r="D77" s="82">
        <f>+D78*0.3</f>
        <v>13392834840</v>
      </c>
      <c r="E77" s="102" t="s">
        <v>105</v>
      </c>
      <c r="F77" s="33">
        <f>100-75</f>
        <v>25</v>
      </c>
      <c r="H77"/>
    </row>
    <row r="78" spans="1:8" ht="22" customHeight="1" x14ac:dyDescent="0.2">
      <c r="A78" s="592" t="s">
        <v>121</v>
      </c>
      <c r="B78" s="557"/>
      <c r="C78" s="84" t="s">
        <v>9</v>
      </c>
      <c r="D78" s="85">
        <f>+D60*D16</f>
        <v>44642782800</v>
      </c>
      <c r="E78" s="102" t="s">
        <v>109</v>
      </c>
    </row>
    <row r="79" spans="1:8" ht="22" customHeight="1" x14ac:dyDescent="0.2">
      <c r="A79" s="589" t="s">
        <v>123</v>
      </c>
      <c r="B79" s="550"/>
      <c r="C79" s="61" t="s">
        <v>9</v>
      </c>
      <c r="D79" s="82">
        <f>+D59*D16*0.064</f>
        <v>5129861587.1999998</v>
      </c>
      <c r="E79" s="102" t="s">
        <v>100</v>
      </c>
    </row>
    <row r="80" spans="1:8" ht="22" customHeight="1" x14ac:dyDescent="0.2">
      <c r="A80" s="592" t="s">
        <v>122</v>
      </c>
      <c r="B80" s="557"/>
      <c r="C80" s="84" t="s">
        <v>9</v>
      </c>
      <c r="D80" s="85">
        <f>(IF(D$61&gt;=300,0,IF(D$61&lt;=299,(D$61*(D16+200000)))))</f>
        <v>0</v>
      </c>
      <c r="E80" s="103" t="s">
        <v>110</v>
      </c>
    </row>
    <row r="81" spans="1:7" ht="22" customHeight="1" x14ac:dyDescent="0.2">
      <c r="A81" s="589" t="s">
        <v>124</v>
      </c>
      <c r="B81" s="550"/>
      <c r="C81" s="61" t="s">
        <v>9</v>
      </c>
      <c r="D81" s="104">
        <f>+(IF(D$57&gt;0,0,IF(D$57&lt;=0,(0.18*(D53+D54)*D16))))</f>
        <v>35431915050</v>
      </c>
      <c r="E81" s="103" t="s">
        <v>125</v>
      </c>
    </row>
    <row r="82" spans="1:7" ht="18" customHeight="1" x14ac:dyDescent="0.2">
      <c r="A82" s="577" t="s">
        <v>17</v>
      </c>
      <c r="B82" s="578"/>
      <c r="C82" s="578"/>
      <c r="D82" s="578"/>
      <c r="E82" s="579"/>
    </row>
    <row r="83" spans="1:7" ht="18" customHeight="1" x14ac:dyDescent="0.2">
      <c r="A83" s="620" t="s">
        <v>206</v>
      </c>
      <c r="B83" s="620"/>
      <c r="C83" s="86" t="s">
        <v>12</v>
      </c>
      <c r="D83" s="100">
        <f>+D48+D49</f>
        <v>0</v>
      </c>
      <c r="E83" s="139"/>
    </row>
    <row r="84" spans="1:7" ht="20.25" customHeight="1" x14ac:dyDescent="0.2">
      <c r="A84" s="589" t="s">
        <v>156</v>
      </c>
      <c r="B84" s="550"/>
      <c r="C84" s="61" t="s">
        <v>1</v>
      </c>
      <c r="D84" s="81">
        <v>0</v>
      </c>
      <c r="E84" s="630" t="s">
        <v>149</v>
      </c>
      <c r="F84" s="38"/>
    </row>
    <row r="85" spans="1:7" ht="20.25" customHeight="1" x14ac:dyDescent="0.2">
      <c r="A85" s="589" t="s">
        <v>205</v>
      </c>
      <c r="B85" s="550"/>
      <c r="C85" s="61" t="s">
        <v>1</v>
      </c>
      <c r="D85" s="81">
        <v>0</v>
      </c>
      <c r="E85" s="636"/>
      <c r="F85" s="38"/>
    </row>
    <row r="86" spans="1:7" ht="22" customHeight="1" x14ac:dyDescent="0.2">
      <c r="A86" s="589" t="s">
        <v>69</v>
      </c>
      <c r="B86" s="550"/>
      <c r="C86" s="61" t="s">
        <v>1</v>
      </c>
      <c r="D86" s="81">
        <f>(D46*42)/80*10</f>
        <v>11392.5</v>
      </c>
      <c r="E86" s="636"/>
    </row>
    <row r="87" spans="1:7" ht="22" customHeight="1" x14ac:dyDescent="0.2">
      <c r="A87" s="619" t="s">
        <v>73</v>
      </c>
      <c r="B87" s="620"/>
      <c r="C87" s="100" t="s">
        <v>1</v>
      </c>
      <c r="D87" s="129">
        <f>+D86+D84+D85</f>
        <v>11392.5</v>
      </c>
      <c r="E87" s="631"/>
    </row>
    <row r="88" spans="1:7" ht="22" customHeight="1" x14ac:dyDescent="0.2">
      <c r="A88" s="592" t="s">
        <v>74</v>
      </c>
      <c r="B88" s="557"/>
      <c r="C88" s="84" t="s">
        <v>1</v>
      </c>
      <c r="D88" s="114">
        <f>+D87*0.5</f>
        <v>5696.25</v>
      </c>
      <c r="E88" s="94" t="s">
        <v>157</v>
      </c>
    </row>
    <row r="89" spans="1:7" ht="22" customHeight="1" x14ac:dyDescent="0.2">
      <c r="A89" s="582" t="s">
        <v>155</v>
      </c>
      <c r="B89" s="583"/>
      <c r="C89" s="61" t="s">
        <v>1</v>
      </c>
      <c r="D89" s="81">
        <f>+D88-D90-D91</f>
        <v>2696.75</v>
      </c>
      <c r="E89" s="101">
        <f>+D89/D88</f>
        <v>0.47342549923195082</v>
      </c>
      <c r="F89" s="131"/>
      <c r="G89" s="30"/>
    </row>
    <row r="90" spans="1:7" ht="22" customHeight="1" x14ac:dyDescent="0.2">
      <c r="A90" s="582" t="s">
        <v>208</v>
      </c>
      <c r="B90" s="583"/>
      <c r="C90" s="61" t="s">
        <v>1</v>
      </c>
      <c r="D90" s="141">
        <f>471.1+113.2+2415.2</f>
        <v>2999.5</v>
      </c>
      <c r="E90" s="101">
        <f>+D90/D88</f>
        <v>0.52657450076804913</v>
      </c>
      <c r="F90" s="38"/>
    </row>
    <row r="91" spans="1:7" ht="22" customHeight="1" x14ac:dyDescent="0.2">
      <c r="A91" s="582" t="s">
        <v>154</v>
      </c>
      <c r="B91" s="583"/>
      <c r="C91" s="61" t="s">
        <v>1</v>
      </c>
      <c r="D91" s="141">
        <v>0</v>
      </c>
      <c r="E91" s="101">
        <f>+D91/D88</f>
        <v>0</v>
      </c>
    </row>
    <row r="92" spans="1:7" ht="22" customHeight="1" x14ac:dyDescent="0.2">
      <c r="A92" s="592" t="s">
        <v>75</v>
      </c>
      <c r="B92" s="557"/>
      <c r="C92" s="84" t="s">
        <v>1</v>
      </c>
      <c r="D92" s="85">
        <f>+D87*0.2</f>
        <v>2278.5</v>
      </c>
      <c r="E92" s="94" t="s">
        <v>149</v>
      </c>
    </row>
    <row r="93" spans="1:7" ht="22" customHeight="1" x14ac:dyDescent="0.2">
      <c r="A93" s="649" t="s">
        <v>15</v>
      </c>
      <c r="B93" s="650"/>
      <c r="C93" s="6"/>
      <c r="D93" s="6" t="s">
        <v>7</v>
      </c>
      <c r="E93" s="113" t="s">
        <v>82</v>
      </c>
    </row>
    <row r="94" spans="1:7" ht="22" customHeight="1" x14ac:dyDescent="0.2">
      <c r="A94" s="589" t="s">
        <v>158</v>
      </c>
      <c r="B94" s="550"/>
      <c r="C94" s="61" t="s">
        <v>1</v>
      </c>
      <c r="D94" s="82">
        <f>+D87-D88-D92</f>
        <v>3417.75</v>
      </c>
      <c r="E94" s="16">
        <f>++ROUND(D94/17,0)</f>
        <v>201</v>
      </c>
      <c r="F94" s="37"/>
      <c r="G94" s="30"/>
    </row>
    <row r="95" spans="1:7" ht="22" customHeight="1" x14ac:dyDescent="0.2">
      <c r="A95" s="604" t="s">
        <v>173</v>
      </c>
      <c r="B95" s="591"/>
      <c r="C95" s="8" t="s">
        <v>1</v>
      </c>
      <c r="D95" s="42">
        <f>+D57*0.05</f>
        <v>0</v>
      </c>
      <c r="E95" s="16">
        <f>++ROUND(D95/17,0)</f>
        <v>0</v>
      </c>
      <c r="F95" s="127" t="s">
        <v>179</v>
      </c>
    </row>
    <row r="96" spans="1:7" ht="22" customHeight="1" x14ac:dyDescent="0.2">
      <c r="A96" s="604" t="s">
        <v>174</v>
      </c>
      <c r="B96" s="591"/>
      <c r="C96" s="8" t="s">
        <v>1</v>
      </c>
      <c r="D96" s="42">
        <f>+D33*0.1</f>
        <v>12498.029999999999</v>
      </c>
      <c r="E96" s="16">
        <f>++ROUND(D96/17,0)</f>
        <v>735</v>
      </c>
    </row>
    <row r="97" spans="1:6" ht="22" customHeight="1" x14ac:dyDescent="0.2">
      <c r="A97" s="604" t="s">
        <v>175</v>
      </c>
      <c r="B97" s="591"/>
      <c r="C97" s="8" t="s">
        <v>1</v>
      </c>
      <c r="D97" s="42">
        <f>+D33*0.1</f>
        <v>12498.029999999999</v>
      </c>
      <c r="E97" s="16">
        <f>++ROUND(D97/17,0)</f>
        <v>735</v>
      </c>
      <c r="F97" s="37"/>
    </row>
    <row r="98" spans="1:6" ht="22" customHeight="1" x14ac:dyDescent="0.2">
      <c r="A98" s="647" t="s">
        <v>76</v>
      </c>
      <c r="B98" s="648"/>
      <c r="C98" s="31" t="s">
        <v>1</v>
      </c>
      <c r="D98" s="117">
        <f>+D94+D96+D97</f>
        <v>28413.809999999998</v>
      </c>
      <c r="E98" s="118">
        <f>+E94+E96+E97</f>
        <v>1671</v>
      </c>
    </row>
    <row r="99" spans="1:6" ht="22" customHeight="1" x14ac:dyDescent="0.2">
      <c r="A99" s="604" t="s">
        <v>180</v>
      </c>
      <c r="B99" s="591"/>
      <c r="C99" s="8" t="s">
        <v>1</v>
      </c>
      <c r="D99" s="42">
        <f>+E99*1.25</f>
        <v>2712.5</v>
      </c>
      <c r="E99" s="16">
        <f>+D45</f>
        <v>2170</v>
      </c>
    </row>
    <row r="100" spans="1:6" ht="22" customHeight="1" x14ac:dyDescent="0.2">
      <c r="A100" s="604" t="s">
        <v>181</v>
      </c>
      <c r="B100" s="591"/>
      <c r="C100" s="8" t="s">
        <v>1</v>
      </c>
      <c r="D100" s="42">
        <f>+E100*1.25</f>
        <v>152.06625000000005</v>
      </c>
      <c r="E100" s="16">
        <f>+((D43+D44)*1.25)/100</f>
        <v>121.65300000000003</v>
      </c>
    </row>
    <row r="101" spans="1:6" ht="22" customHeight="1" thickBot="1" x14ac:dyDescent="0.25">
      <c r="A101" s="644" t="s">
        <v>77</v>
      </c>
      <c r="B101" s="645"/>
      <c r="C101" s="646"/>
      <c r="D101" s="119">
        <f>+D98+D100+D99</f>
        <v>31278.376249999998</v>
      </c>
      <c r="E101" s="120">
        <f>+D101/D29</f>
        <v>2.9879464539459319</v>
      </c>
    </row>
    <row r="102" spans="1:6" ht="22" customHeight="1" x14ac:dyDescent="0.2">
      <c r="A102" s="577" t="s">
        <v>87</v>
      </c>
      <c r="B102" s="578"/>
      <c r="C102" s="578"/>
      <c r="D102" s="578"/>
      <c r="E102" s="579"/>
    </row>
    <row r="103" spans="1:6" ht="22" customHeight="1" x14ac:dyDescent="0.2">
      <c r="A103" s="604" t="s">
        <v>88</v>
      </c>
      <c r="B103" s="591"/>
      <c r="C103" s="8" t="s">
        <v>1</v>
      </c>
      <c r="D103" s="121">
        <f>+((D45/35)*3)+2</f>
        <v>188</v>
      </c>
      <c r="E103" s="22" t="s">
        <v>182</v>
      </c>
    </row>
    <row r="104" spans="1:6" ht="22" customHeight="1" x14ac:dyDescent="0.2">
      <c r="A104" s="577" t="s">
        <v>4</v>
      </c>
      <c r="B104" s="578"/>
      <c r="C104" s="578"/>
      <c r="D104" s="578"/>
      <c r="E104" s="579"/>
    </row>
    <row r="105" spans="1:6" ht="22" customHeight="1" x14ac:dyDescent="0.2">
      <c r="A105" s="577" t="s">
        <v>151</v>
      </c>
      <c r="B105" s="578"/>
      <c r="C105" s="578"/>
      <c r="D105" s="578"/>
      <c r="E105" s="579"/>
    </row>
    <row r="106" spans="1:6" ht="22" customHeight="1" x14ac:dyDescent="0.2">
      <c r="A106" s="548" t="s">
        <v>159</v>
      </c>
      <c r="B106" s="549"/>
      <c r="C106" s="551">
        <f>+C108+C110+C111+C112+C113+C115</f>
        <v>158537.17624999999</v>
      </c>
      <c r="D106" s="552"/>
      <c r="E106" s="651"/>
    </row>
    <row r="107" spans="1:6" ht="22" customHeight="1" x14ac:dyDescent="0.2">
      <c r="A107" s="548" t="s">
        <v>152</v>
      </c>
      <c r="B107" s="549"/>
      <c r="C107" s="558">
        <f>+C110+C111+C112</f>
        <v>124980.29999999999</v>
      </c>
      <c r="D107" s="559"/>
      <c r="E107" s="652"/>
    </row>
    <row r="108" spans="1:6" ht="22" customHeight="1" x14ac:dyDescent="0.2">
      <c r="A108" s="550" t="s">
        <v>202</v>
      </c>
      <c r="B108" s="550"/>
      <c r="C108" s="555">
        <f>+D92</f>
        <v>2278.5</v>
      </c>
      <c r="D108" s="556"/>
      <c r="E108" s="652"/>
      <c r="F108" s="24">
        <f>+C109+C110</f>
        <v>9230.6</v>
      </c>
    </row>
    <row r="109" spans="1:6" ht="22" customHeight="1" x14ac:dyDescent="0.2">
      <c r="A109" s="550" t="s">
        <v>207</v>
      </c>
      <c r="B109" s="550"/>
      <c r="C109" s="555">
        <f>+C117+C122+C127+C132+C138</f>
        <v>2365.3000000000002</v>
      </c>
      <c r="D109" s="556"/>
      <c r="E109" s="652"/>
      <c r="F109" s="37"/>
    </row>
    <row r="110" spans="1:6" ht="22" customHeight="1" x14ac:dyDescent="0.2">
      <c r="A110" s="557" t="s">
        <v>201</v>
      </c>
      <c r="B110" s="557"/>
      <c r="C110" s="551">
        <f>+C118+C123+C128+C133+C139</f>
        <v>6865.3</v>
      </c>
      <c r="D110" s="552"/>
      <c r="E110" s="652"/>
    </row>
    <row r="111" spans="1:6" ht="22" customHeight="1" x14ac:dyDescent="0.2">
      <c r="A111" s="557" t="s">
        <v>200</v>
      </c>
      <c r="B111" s="557"/>
      <c r="C111" s="551">
        <f>+C119+C124+C129+C134+C140</f>
        <v>5300</v>
      </c>
      <c r="D111" s="552"/>
      <c r="E111" s="652"/>
    </row>
    <row r="112" spans="1:6" ht="22" customHeight="1" x14ac:dyDescent="0.2">
      <c r="A112" s="557" t="s">
        <v>72</v>
      </c>
      <c r="B112" s="557"/>
      <c r="C112" s="551">
        <f>+C120+C125+C130+C135+C141</f>
        <v>112814.99999999999</v>
      </c>
      <c r="D112" s="552"/>
      <c r="E112" s="652"/>
    </row>
    <row r="113" spans="1:7" ht="22" customHeight="1" x14ac:dyDescent="0.2">
      <c r="A113" s="550" t="s">
        <v>184</v>
      </c>
      <c r="B113" s="550"/>
      <c r="C113" s="555">
        <f>+D57</f>
        <v>0</v>
      </c>
      <c r="D113" s="556"/>
      <c r="E113" s="652"/>
      <c r="F113" s="131"/>
    </row>
    <row r="114" spans="1:7" ht="22" customHeight="1" x14ac:dyDescent="0.2">
      <c r="A114" s="550" t="s">
        <v>203</v>
      </c>
      <c r="B114" s="550"/>
      <c r="C114" s="555">
        <f>+C142+C136</f>
        <v>0</v>
      </c>
      <c r="D114" s="556"/>
      <c r="E114" s="652"/>
      <c r="F114" s="38"/>
      <c r="G114" s="30"/>
    </row>
    <row r="115" spans="1:7" ht="22" customHeight="1" x14ac:dyDescent="0.2">
      <c r="A115" s="550" t="s">
        <v>160</v>
      </c>
      <c r="B115" s="550"/>
      <c r="C115" s="555">
        <f>+D101</f>
        <v>31278.376249999998</v>
      </c>
      <c r="D115" s="556"/>
      <c r="E115" s="652"/>
    </row>
    <row r="116" spans="1:7" ht="22" customHeight="1" x14ac:dyDescent="0.2">
      <c r="A116" s="548" t="str">
        <f>+A157</f>
        <v>TOTAL ÁREA CONSTRUIDA TORRE A</v>
      </c>
      <c r="B116" s="549"/>
      <c r="C116" s="98">
        <f>+C157</f>
        <v>25</v>
      </c>
      <c r="D116" s="99">
        <f>+C117+C118+C119+C120</f>
        <v>18690</v>
      </c>
      <c r="E116" s="652"/>
      <c r="F116" s="38">
        <f>+D116-E157</f>
        <v>0</v>
      </c>
    </row>
    <row r="117" spans="1:7" ht="22" customHeight="1" x14ac:dyDescent="0.2">
      <c r="A117" s="550" t="s">
        <v>141</v>
      </c>
      <c r="B117" s="550"/>
      <c r="C117" s="553">
        <f>+E147+E151</f>
        <v>827.6</v>
      </c>
      <c r="D117" s="554"/>
      <c r="E117" s="652"/>
    </row>
    <row r="118" spans="1:7" ht="22" customHeight="1" x14ac:dyDescent="0.2">
      <c r="A118" s="550" t="s">
        <v>137</v>
      </c>
      <c r="B118" s="550"/>
      <c r="C118" s="555">
        <f>+E148+E152</f>
        <v>667.6</v>
      </c>
      <c r="D118" s="556"/>
      <c r="E118" s="652"/>
    </row>
    <row r="119" spans="1:7" ht="22" customHeight="1" x14ac:dyDescent="0.2">
      <c r="A119" s="550" t="s">
        <v>138</v>
      </c>
      <c r="B119" s="550"/>
      <c r="C119" s="555">
        <f>+E149+E153</f>
        <v>0</v>
      </c>
      <c r="D119" s="556"/>
      <c r="E119" s="652"/>
    </row>
    <row r="120" spans="1:7" ht="22" customHeight="1" x14ac:dyDescent="0.2">
      <c r="A120" s="550" t="s">
        <v>72</v>
      </c>
      <c r="B120" s="550"/>
      <c r="C120" s="555">
        <f>+E154+E155+E156</f>
        <v>17194.8</v>
      </c>
      <c r="D120" s="556"/>
      <c r="E120" s="652"/>
    </row>
    <row r="121" spans="1:7" ht="22" customHeight="1" x14ac:dyDescent="0.2">
      <c r="A121" s="548" t="str">
        <f>+A170</f>
        <v>TOTAL ÁREA CONSTRUIDA TORRE B</v>
      </c>
      <c r="B121" s="549"/>
      <c r="C121" s="98">
        <f>+C170</f>
        <v>25</v>
      </c>
      <c r="D121" s="99">
        <f>+C122+C123+C124+C125</f>
        <v>18690</v>
      </c>
      <c r="E121" s="652"/>
      <c r="F121" s="38">
        <f>+D121-E170</f>
        <v>0</v>
      </c>
    </row>
    <row r="122" spans="1:7" ht="22" customHeight="1" x14ac:dyDescent="0.2">
      <c r="A122" s="550" t="s">
        <v>141</v>
      </c>
      <c r="B122" s="550"/>
      <c r="C122" s="555">
        <f>+E160+E164</f>
        <v>827.6</v>
      </c>
      <c r="D122" s="556"/>
      <c r="E122" s="652"/>
    </row>
    <row r="123" spans="1:7" ht="22" customHeight="1" x14ac:dyDescent="0.2">
      <c r="A123" s="550" t="s">
        <v>137</v>
      </c>
      <c r="B123" s="550"/>
      <c r="C123" s="555">
        <f>+E161+E165</f>
        <v>667.6</v>
      </c>
      <c r="D123" s="556"/>
      <c r="E123" s="652"/>
    </row>
    <row r="124" spans="1:7" ht="22" customHeight="1" x14ac:dyDescent="0.2">
      <c r="A124" s="550" t="s">
        <v>138</v>
      </c>
      <c r="B124" s="550"/>
      <c r="C124" s="555">
        <f>+E166+E162</f>
        <v>0</v>
      </c>
      <c r="D124" s="556"/>
      <c r="E124" s="652"/>
    </row>
    <row r="125" spans="1:7" ht="22" customHeight="1" x14ac:dyDescent="0.2">
      <c r="A125" s="550" t="s">
        <v>72</v>
      </c>
      <c r="B125" s="550"/>
      <c r="C125" s="555">
        <f>+E167+E168+E169</f>
        <v>17194.8</v>
      </c>
      <c r="D125" s="556"/>
      <c r="E125" s="652"/>
    </row>
    <row r="126" spans="1:7" ht="22" customHeight="1" x14ac:dyDescent="0.2">
      <c r="A126" s="548" t="str">
        <f>+A183</f>
        <v>TOTAL ÁREA CONSTRUIDA TORRE C</v>
      </c>
      <c r="B126" s="549"/>
      <c r="C126" s="98">
        <f>+C183</f>
        <v>25</v>
      </c>
      <c r="D126" s="99">
        <f>+C127+C128+C129+C130</f>
        <v>55888.800000000003</v>
      </c>
      <c r="E126" s="652"/>
      <c r="F126" s="38">
        <f>+D126-E183</f>
        <v>0</v>
      </c>
    </row>
    <row r="127" spans="1:7" ht="22" customHeight="1" x14ac:dyDescent="0.2">
      <c r="A127" s="550" t="s">
        <v>141</v>
      </c>
      <c r="B127" s="550"/>
      <c r="C127" s="555">
        <f>+E173+E177</f>
        <v>710.1</v>
      </c>
      <c r="D127" s="556"/>
      <c r="E127" s="652"/>
    </row>
    <row r="128" spans="1:7" ht="22" customHeight="1" x14ac:dyDescent="0.2">
      <c r="A128" s="550" t="s">
        <v>137</v>
      </c>
      <c r="B128" s="550"/>
      <c r="C128" s="555">
        <f>+E174+E178</f>
        <v>5530.1</v>
      </c>
      <c r="D128" s="556"/>
      <c r="E128" s="652"/>
    </row>
    <row r="129" spans="1:7" ht="22" customHeight="1" x14ac:dyDescent="0.2">
      <c r="A129" s="550" t="s">
        <v>138</v>
      </c>
      <c r="B129" s="550"/>
      <c r="C129" s="555">
        <f>+E179+E175</f>
        <v>5300</v>
      </c>
      <c r="D129" s="556"/>
      <c r="E129" s="652"/>
    </row>
    <row r="130" spans="1:7" ht="22" customHeight="1" x14ac:dyDescent="0.2">
      <c r="A130" s="550" t="s">
        <v>72</v>
      </c>
      <c r="B130" s="550"/>
      <c r="C130" s="555">
        <f>+E180+E181+E182</f>
        <v>44348.6</v>
      </c>
      <c r="D130" s="556"/>
      <c r="E130" s="652"/>
    </row>
    <row r="131" spans="1:7" ht="22" customHeight="1" x14ac:dyDescent="0.2">
      <c r="A131" s="548" t="str">
        <f>+A196</f>
        <v>TOTAL ÁREA CONSTRUIDA TORRE D</v>
      </c>
      <c r="B131" s="549"/>
      <c r="C131" s="98">
        <f>+C196</f>
        <v>23</v>
      </c>
      <c r="D131" s="99">
        <f>+C132+C133+C134+C135+C136</f>
        <v>17038.399999999998</v>
      </c>
      <c r="E131" s="652"/>
      <c r="F131" s="38">
        <f>+D131-E196</f>
        <v>0</v>
      </c>
      <c r="G131" s="30"/>
    </row>
    <row r="132" spans="1:7" ht="22" customHeight="1" x14ac:dyDescent="0.2">
      <c r="A132" s="550" t="s">
        <v>141</v>
      </c>
      <c r="B132" s="550"/>
      <c r="C132" s="553">
        <f>+E186+E190</f>
        <v>0</v>
      </c>
      <c r="D132" s="554"/>
      <c r="E132" s="652"/>
      <c r="G132" s="30"/>
    </row>
    <row r="133" spans="1:7" ht="22" customHeight="1" x14ac:dyDescent="0.2">
      <c r="A133" s="550" t="s">
        <v>137</v>
      </c>
      <c r="B133" s="550"/>
      <c r="C133" s="555">
        <f>+E187+E191</f>
        <v>0</v>
      </c>
      <c r="D133" s="556"/>
      <c r="E133" s="652"/>
      <c r="G133" s="30"/>
    </row>
    <row r="134" spans="1:7" ht="22" customHeight="1" x14ac:dyDescent="0.2">
      <c r="A134" s="550" t="s">
        <v>138</v>
      </c>
      <c r="B134" s="550"/>
      <c r="C134" s="555">
        <f>+E188+E192</f>
        <v>0</v>
      </c>
      <c r="D134" s="556"/>
      <c r="E134" s="652"/>
      <c r="G134" s="30"/>
    </row>
    <row r="135" spans="1:7" ht="22" customHeight="1" x14ac:dyDescent="0.2">
      <c r="A135" s="550" t="s">
        <v>72</v>
      </c>
      <c r="B135" s="550"/>
      <c r="C135" s="555">
        <f>+E193</f>
        <v>17038.399999999998</v>
      </c>
      <c r="D135" s="556"/>
      <c r="E135" s="652"/>
      <c r="G135" s="30"/>
    </row>
    <row r="136" spans="1:7" ht="22" customHeight="1" x14ac:dyDescent="0.2">
      <c r="A136" s="550" t="s">
        <v>194</v>
      </c>
      <c r="B136" s="550"/>
      <c r="C136" s="555">
        <f>+E194</f>
        <v>0</v>
      </c>
      <c r="D136" s="556"/>
      <c r="E136" s="652"/>
      <c r="G136" s="30"/>
    </row>
    <row r="137" spans="1:7" ht="22" customHeight="1" x14ac:dyDescent="0.2">
      <c r="A137" s="548" t="str">
        <f>+A209</f>
        <v>TOTAL ÁREA CONSTRUIDA TORRE E</v>
      </c>
      <c r="B137" s="549"/>
      <c r="C137" s="98">
        <f>+C209</f>
        <v>23</v>
      </c>
      <c r="D137" s="128">
        <f>+C138+C139+C140+C141+C142</f>
        <v>17038.399999999998</v>
      </c>
      <c r="E137" s="652"/>
      <c r="F137" s="38">
        <f>+D137-E209</f>
        <v>0</v>
      </c>
      <c r="G137" s="30"/>
    </row>
    <row r="138" spans="1:7" ht="22" customHeight="1" x14ac:dyDescent="0.2">
      <c r="A138" s="550" t="s">
        <v>141</v>
      </c>
      <c r="B138" s="550"/>
      <c r="C138" s="555">
        <f>+E199</f>
        <v>0</v>
      </c>
      <c r="D138" s="556"/>
      <c r="E138" s="652"/>
      <c r="G138" s="30"/>
    </row>
    <row r="139" spans="1:7" ht="22" customHeight="1" x14ac:dyDescent="0.2">
      <c r="A139" s="550" t="s">
        <v>137</v>
      </c>
      <c r="B139" s="550"/>
      <c r="C139" s="555">
        <f>+E200+E204</f>
        <v>0</v>
      </c>
      <c r="D139" s="556"/>
      <c r="E139" s="652"/>
      <c r="G139" s="30"/>
    </row>
    <row r="140" spans="1:7" ht="22" customHeight="1" x14ac:dyDescent="0.2">
      <c r="A140" s="550" t="s">
        <v>138</v>
      </c>
      <c r="B140" s="550"/>
      <c r="C140" s="555">
        <f>+E205+E201</f>
        <v>0</v>
      </c>
      <c r="D140" s="556"/>
      <c r="E140" s="652"/>
      <c r="G140" s="30"/>
    </row>
    <row r="141" spans="1:7" ht="22" customHeight="1" x14ac:dyDescent="0.2">
      <c r="A141" s="550" t="s">
        <v>72</v>
      </c>
      <c r="B141" s="550"/>
      <c r="C141" s="555">
        <f>+E207</f>
        <v>17038.399999999998</v>
      </c>
      <c r="D141" s="556"/>
      <c r="E141" s="652"/>
      <c r="G141" s="30"/>
    </row>
    <row r="142" spans="1:7" ht="22" customHeight="1" x14ac:dyDescent="0.2">
      <c r="A142" s="550" t="s">
        <v>153</v>
      </c>
      <c r="B142" s="550"/>
      <c r="C142" s="555">
        <f>+E206</f>
        <v>0</v>
      </c>
      <c r="D142" s="556"/>
      <c r="E142" s="653"/>
      <c r="G142" s="30"/>
    </row>
    <row r="143" spans="1:7" ht="22" customHeight="1" x14ac:dyDescent="0.2">
      <c r="A143" s="673" t="s">
        <v>183</v>
      </c>
      <c r="B143" s="674"/>
      <c r="C143" s="674"/>
      <c r="D143" s="674"/>
      <c r="E143" s="675"/>
    </row>
    <row r="144" spans="1:7" ht="21.75" customHeight="1" x14ac:dyDescent="0.2">
      <c r="A144" s="676" t="s">
        <v>188</v>
      </c>
      <c r="B144" s="677"/>
      <c r="C144" s="677"/>
      <c r="D144" s="677"/>
      <c r="E144" s="678"/>
      <c r="F144" s="30"/>
    </row>
    <row r="145" spans="1:6" ht="42" customHeight="1" x14ac:dyDescent="0.2">
      <c r="A145" s="649" t="s">
        <v>135</v>
      </c>
      <c r="B145" s="650"/>
      <c r="C145" s="6" t="s">
        <v>5</v>
      </c>
      <c r="D145" s="6" t="s">
        <v>6</v>
      </c>
      <c r="E145" s="113" t="s">
        <v>68</v>
      </c>
      <c r="F145" s="30"/>
    </row>
    <row r="146" spans="1:6" ht="22" customHeight="1" x14ac:dyDescent="0.2">
      <c r="A146" s="623" t="s">
        <v>136</v>
      </c>
      <c r="B146" s="624"/>
      <c r="C146" s="8">
        <v>1</v>
      </c>
      <c r="D146" s="1">
        <v>747.6</v>
      </c>
      <c r="E146" s="51">
        <f>+C146*D146</f>
        <v>747.6</v>
      </c>
      <c r="F146" s="30"/>
    </row>
    <row r="147" spans="1:6" s="30" customFormat="1" ht="22" customHeight="1" x14ac:dyDescent="0.2">
      <c r="A147" s="658" t="s">
        <v>141</v>
      </c>
      <c r="B147" s="659"/>
      <c r="C147" s="679">
        <v>80</v>
      </c>
      <c r="D147" s="679"/>
      <c r="E147" s="51">
        <f>+C147</f>
        <v>80</v>
      </c>
    </row>
    <row r="148" spans="1:6" ht="22" customHeight="1" x14ac:dyDescent="0.2">
      <c r="A148" s="658" t="s">
        <v>137</v>
      </c>
      <c r="B148" s="659"/>
      <c r="C148" s="684">
        <f>+D146-C147</f>
        <v>667.6</v>
      </c>
      <c r="D148" s="659"/>
      <c r="E148" s="51">
        <f>+C148</f>
        <v>667.6</v>
      </c>
      <c r="F148" s="30"/>
    </row>
    <row r="149" spans="1:6" ht="22" customHeight="1" thickBot="1" x14ac:dyDescent="0.25">
      <c r="A149" s="681" t="s">
        <v>138</v>
      </c>
      <c r="B149" s="682"/>
      <c r="C149" s="685">
        <v>0</v>
      </c>
      <c r="D149" s="685"/>
      <c r="E149" s="68">
        <f t="shared" ref="E149" si="0">+C149</f>
        <v>0</v>
      </c>
      <c r="F149" s="30"/>
    </row>
    <row r="150" spans="1:6" ht="22" customHeight="1" x14ac:dyDescent="0.2">
      <c r="A150" s="568" t="s">
        <v>142</v>
      </c>
      <c r="B150" s="569"/>
      <c r="C150" s="125">
        <v>1</v>
      </c>
      <c r="D150" s="66">
        <v>747.6</v>
      </c>
      <c r="E150" s="67">
        <f>+C150*D150</f>
        <v>747.6</v>
      </c>
      <c r="F150" s="30"/>
    </row>
    <row r="151" spans="1:6" s="30" customFormat="1" ht="22" customHeight="1" x14ac:dyDescent="0.2">
      <c r="A151" s="658" t="s">
        <v>161</v>
      </c>
      <c r="B151" s="659"/>
      <c r="C151" s="686">
        <v>747.6</v>
      </c>
      <c r="D151" s="686"/>
      <c r="E151" s="51">
        <f>+C151</f>
        <v>747.6</v>
      </c>
    </row>
    <row r="152" spans="1:6" ht="22" customHeight="1" x14ac:dyDescent="0.2">
      <c r="A152" s="658" t="s">
        <v>137</v>
      </c>
      <c r="B152" s="659"/>
      <c r="C152" s="680"/>
      <c r="D152" s="680"/>
      <c r="E152" s="51">
        <f>+D152</f>
        <v>0</v>
      </c>
      <c r="F152" s="30"/>
    </row>
    <row r="153" spans="1:6" ht="22" customHeight="1" thickBot="1" x14ac:dyDescent="0.25">
      <c r="A153" s="681" t="s">
        <v>138</v>
      </c>
      <c r="B153" s="682"/>
      <c r="C153" s="683"/>
      <c r="D153" s="683"/>
      <c r="E153" s="68">
        <f>+D153</f>
        <v>0</v>
      </c>
      <c r="F153" s="30"/>
    </row>
    <row r="154" spans="1:6" ht="22" customHeight="1" x14ac:dyDescent="0.2">
      <c r="A154" s="663" t="s">
        <v>72</v>
      </c>
      <c r="B154" s="664"/>
      <c r="C154" s="19">
        <v>23</v>
      </c>
      <c r="D154" s="64">
        <v>747.6</v>
      </c>
      <c r="E154" s="65">
        <f>+D154*C154</f>
        <v>17194.8</v>
      </c>
      <c r="F154" s="26"/>
    </row>
    <row r="155" spans="1:6" ht="22" customHeight="1" x14ac:dyDescent="0.2">
      <c r="A155" s="658" t="s">
        <v>71</v>
      </c>
      <c r="B155" s="659"/>
      <c r="C155" s="5">
        <v>0</v>
      </c>
      <c r="D155" s="1"/>
      <c r="E155" s="51">
        <f>+D155*C155</f>
        <v>0</v>
      </c>
    </row>
    <row r="156" spans="1:6" ht="22" customHeight="1" x14ac:dyDescent="0.2">
      <c r="A156" s="658" t="s">
        <v>71</v>
      </c>
      <c r="B156" s="659"/>
      <c r="C156" s="5">
        <v>0</v>
      </c>
      <c r="D156" s="1"/>
      <c r="E156" s="51">
        <f>+C156*D156</f>
        <v>0</v>
      </c>
    </row>
    <row r="157" spans="1:6" ht="22" customHeight="1" x14ac:dyDescent="0.2">
      <c r="A157" s="691" t="s">
        <v>195</v>
      </c>
      <c r="B157" s="692"/>
      <c r="C157" s="146">
        <f>+C146+C150+C154+C155+C156</f>
        <v>25</v>
      </c>
      <c r="D157" s="147"/>
      <c r="E157" s="148">
        <f>+E146+E150+E154+E155+E156</f>
        <v>18690</v>
      </c>
    </row>
    <row r="158" spans="1:6" ht="22" customHeight="1" x14ac:dyDescent="0.2">
      <c r="A158" s="676" t="s">
        <v>189</v>
      </c>
      <c r="B158" s="677"/>
      <c r="C158" s="677"/>
      <c r="D158" s="677"/>
      <c r="E158" s="678"/>
    </row>
    <row r="159" spans="1:6" ht="22" customHeight="1" x14ac:dyDescent="0.2">
      <c r="A159" s="623" t="s">
        <v>136</v>
      </c>
      <c r="B159" s="624"/>
      <c r="C159" s="8">
        <v>1</v>
      </c>
      <c r="D159" s="1">
        <v>747.6</v>
      </c>
      <c r="E159" s="51">
        <f>+C159*D159</f>
        <v>747.6</v>
      </c>
    </row>
    <row r="160" spans="1:6" ht="22" customHeight="1" x14ac:dyDescent="0.2">
      <c r="A160" s="658" t="s">
        <v>141</v>
      </c>
      <c r="B160" s="659"/>
      <c r="C160" s="693">
        <v>80</v>
      </c>
      <c r="D160" s="693"/>
      <c r="E160" s="51">
        <f>+C160</f>
        <v>80</v>
      </c>
    </row>
    <row r="161" spans="1:5" ht="22" customHeight="1" x14ac:dyDescent="0.2">
      <c r="A161" s="658" t="s">
        <v>137</v>
      </c>
      <c r="B161" s="659"/>
      <c r="C161" s="687">
        <f>+D159-C160</f>
        <v>667.6</v>
      </c>
      <c r="D161" s="680"/>
      <c r="E161" s="51">
        <f t="shared" ref="E161:E162" si="1">+C161</f>
        <v>667.6</v>
      </c>
    </row>
    <row r="162" spans="1:5" ht="22" customHeight="1" thickBot="1" x14ac:dyDescent="0.25">
      <c r="A162" s="688" t="s">
        <v>138</v>
      </c>
      <c r="B162" s="689"/>
      <c r="C162" s="690"/>
      <c r="D162" s="690"/>
      <c r="E162" s="52">
        <f t="shared" si="1"/>
        <v>0</v>
      </c>
    </row>
    <row r="163" spans="1:5" ht="22" customHeight="1" x14ac:dyDescent="0.2">
      <c r="A163" s="568" t="s">
        <v>142</v>
      </c>
      <c r="B163" s="569"/>
      <c r="C163" s="125">
        <v>1</v>
      </c>
      <c r="D163" s="66">
        <v>747.6</v>
      </c>
      <c r="E163" s="67">
        <f>+C163*D163</f>
        <v>747.6</v>
      </c>
    </row>
    <row r="164" spans="1:5" ht="22" customHeight="1" x14ac:dyDescent="0.2">
      <c r="A164" s="658" t="s">
        <v>161</v>
      </c>
      <c r="B164" s="659"/>
      <c r="C164" s="686">
        <v>747.6</v>
      </c>
      <c r="D164" s="686"/>
      <c r="E164" s="51">
        <f>+C164</f>
        <v>747.6</v>
      </c>
    </row>
    <row r="165" spans="1:5" ht="22" customHeight="1" x14ac:dyDescent="0.2">
      <c r="A165" s="658" t="s">
        <v>137</v>
      </c>
      <c r="B165" s="659"/>
      <c r="C165" s="680"/>
      <c r="D165" s="680"/>
      <c r="E165" s="51">
        <f>+D165</f>
        <v>0</v>
      </c>
    </row>
    <row r="166" spans="1:5" ht="22" customHeight="1" thickBot="1" x14ac:dyDescent="0.25">
      <c r="A166" s="681" t="s">
        <v>138</v>
      </c>
      <c r="B166" s="682"/>
      <c r="C166" s="683"/>
      <c r="D166" s="683"/>
      <c r="E166" s="68">
        <f>+D166</f>
        <v>0</v>
      </c>
    </row>
    <row r="167" spans="1:5" ht="22" customHeight="1" x14ac:dyDescent="0.2">
      <c r="A167" s="663" t="s">
        <v>72</v>
      </c>
      <c r="B167" s="664"/>
      <c r="C167" s="19">
        <v>23</v>
      </c>
      <c r="D167" s="64">
        <v>747.6</v>
      </c>
      <c r="E167" s="65">
        <f>+D167*C167</f>
        <v>17194.8</v>
      </c>
    </row>
    <row r="168" spans="1:5" ht="22" customHeight="1" x14ac:dyDescent="0.2">
      <c r="A168" s="658" t="s">
        <v>71</v>
      </c>
      <c r="B168" s="659"/>
      <c r="C168" s="5">
        <v>0</v>
      </c>
      <c r="D168" s="1"/>
      <c r="E168" s="51">
        <f>+D168*C168</f>
        <v>0</v>
      </c>
    </row>
    <row r="169" spans="1:5" ht="22" customHeight="1" x14ac:dyDescent="0.2">
      <c r="A169" s="658" t="s">
        <v>71</v>
      </c>
      <c r="B169" s="659"/>
      <c r="C169" s="5">
        <v>0</v>
      </c>
      <c r="D169" s="1"/>
      <c r="E169" s="51">
        <f>+C169*D169</f>
        <v>0</v>
      </c>
    </row>
    <row r="170" spans="1:5" ht="22" customHeight="1" x14ac:dyDescent="0.2">
      <c r="A170" s="691" t="s">
        <v>196</v>
      </c>
      <c r="B170" s="692"/>
      <c r="C170" s="146">
        <f>+C159+C163+C167+C168+C169</f>
        <v>25</v>
      </c>
      <c r="D170" s="147"/>
      <c r="E170" s="148">
        <f>+E159+E163+E167+E168+E169</f>
        <v>18690</v>
      </c>
    </row>
    <row r="171" spans="1:5" ht="22" customHeight="1" x14ac:dyDescent="0.2">
      <c r="A171" s="676" t="s">
        <v>190</v>
      </c>
      <c r="B171" s="677"/>
      <c r="C171" s="677"/>
      <c r="D171" s="677"/>
      <c r="E171" s="678"/>
    </row>
    <row r="172" spans="1:5" ht="22" customHeight="1" x14ac:dyDescent="0.2">
      <c r="A172" s="623" t="s">
        <v>136</v>
      </c>
      <c r="B172" s="624"/>
      <c r="C172" s="8">
        <v>1</v>
      </c>
      <c r="D172" s="1">
        <v>5770.1</v>
      </c>
      <c r="E172" s="51">
        <f>+C172*D172</f>
        <v>5770.1</v>
      </c>
    </row>
    <row r="173" spans="1:5" ht="22" customHeight="1" x14ac:dyDescent="0.2">
      <c r="A173" s="658" t="s">
        <v>141</v>
      </c>
      <c r="B173" s="659"/>
      <c r="C173" s="693">
        <f>80*3</f>
        <v>240</v>
      </c>
      <c r="D173" s="693"/>
      <c r="E173" s="51">
        <f>+C173</f>
        <v>240</v>
      </c>
    </row>
    <row r="174" spans="1:5" ht="22" customHeight="1" x14ac:dyDescent="0.2">
      <c r="A174" s="658" t="s">
        <v>137</v>
      </c>
      <c r="B174" s="659"/>
      <c r="C174" s="695">
        <f>+D172-C173</f>
        <v>5530.1</v>
      </c>
      <c r="D174" s="693"/>
      <c r="E174" s="51">
        <f t="shared" ref="E174:E175" si="2">+C174</f>
        <v>5530.1</v>
      </c>
    </row>
    <row r="175" spans="1:5" ht="22" customHeight="1" thickBot="1" x14ac:dyDescent="0.25">
      <c r="A175" s="688" t="s">
        <v>138</v>
      </c>
      <c r="B175" s="689"/>
      <c r="C175" s="690"/>
      <c r="D175" s="690"/>
      <c r="E175" s="52">
        <f t="shared" si="2"/>
        <v>0</v>
      </c>
    </row>
    <row r="176" spans="1:5" ht="22" customHeight="1" x14ac:dyDescent="0.2">
      <c r="A176" s="568" t="s">
        <v>142</v>
      </c>
      <c r="B176" s="569"/>
      <c r="C176" s="125">
        <v>1</v>
      </c>
      <c r="D176" s="66">
        <v>5770.1</v>
      </c>
      <c r="E176" s="67">
        <f>+C176*D176</f>
        <v>5770.1</v>
      </c>
    </row>
    <row r="177" spans="1:25" ht="22" customHeight="1" x14ac:dyDescent="0.2">
      <c r="A177" s="658" t="s">
        <v>161</v>
      </c>
      <c r="B177" s="659"/>
      <c r="C177" s="696">
        <v>470.1</v>
      </c>
      <c r="D177" s="696"/>
      <c r="E177" s="51">
        <f>+C177</f>
        <v>470.1</v>
      </c>
    </row>
    <row r="178" spans="1:25" ht="22" customHeight="1" x14ac:dyDescent="0.2">
      <c r="A178" s="658" t="s">
        <v>137</v>
      </c>
      <c r="B178" s="659"/>
      <c r="C178" s="680"/>
      <c r="D178" s="680"/>
      <c r="E178" s="51">
        <f>+D178</f>
        <v>0</v>
      </c>
    </row>
    <row r="179" spans="1:25" ht="22" customHeight="1" thickBot="1" x14ac:dyDescent="0.25">
      <c r="A179" s="681" t="s">
        <v>138</v>
      </c>
      <c r="B179" s="682"/>
      <c r="C179" s="694">
        <v>5300</v>
      </c>
      <c r="D179" s="694"/>
      <c r="E179" s="68">
        <f>+C179</f>
        <v>5300</v>
      </c>
    </row>
    <row r="180" spans="1:25" ht="22" customHeight="1" x14ac:dyDescent="0.2">
      <c r="A180" s="663" t="s">
        <v>72</v>
      </c>
      <c r="B180" s="664"/>
      <c r="C180" s="19">
        <v>23</v>
      </c>
      <c r="D180" s="64">
        <v>1928.2</v>
      </c>
      <c r="E180" s="65">
        <f>+D180*C180</f>
        <v>44348.6</v>
      </c>
    </row>
    <row r="181" spans="1:25" ht="22" customHeight="1" x14ac:dyDescent="0.2">
      <c r="A181" s="658" t="s">
        <v>71</v>
      </c>
      <c r="B181" s="659"/>
      <c r="C181" s="5">
        <v>0</v>
      </c>
      <c r="D181" s="1"/>
      <c r="E181" s="51">
        <f>+D181*C181</f>
        <v>0</v>
      </c>
    </row>
    <row r="182" spans="1:25" ht="22" customHeight="1" x14ac:dyDescent="0.2">
      <c r="A182" s="658" t="s">
        <v>71</v>
      </c>
      <c r="B182" s="659"/>
      <c r="C182" s="5">
        <v>0</v>
      </c>
      <c r="D182" s="1"/>
      <c r="E182" s="51">
        <f>+C182*D182</f>
        <v>0</v>
      </c>
      <c r="U182" s="47"/>
      <c r="V182" s="47"/>
      <c r="W182" s="21"/>
      <c r="X182" s="21"/>
      <c r="Y182" s="50"/>
    </row>
    <row r="183" spans="1:25" ht="22" customHeight="1" x14ac:dyDescent="0.2">
      <c r="A183" s="691" t="s">
        <v>197</v>
      </c>
      <c r="B183" s="692"/>
      <c r="C183" s="146">
        <f>+C172+C176+C180+C181+C182</f>
        <v>25</v>
      </c>
      <c r="D183" s="147"/>
      <c r="E183" s="148">
        <f>+E172+E176+E180+E181+E182</f>
        <v>55888.800000000003</v>
      </c>
    </row>
    <row r="184" spans="1:25" ht="22" customHeight="1" x14ac:dyDescent="0.2">
      <c r="A184" s="676" t="s">
        <v>191</v>
      </c>
      <c r="B184" s="677"/>
      <c r="C184" s="677"/>
      <c r="D184" s="677"/>
      <c r="E184" s="678"/>
    </row>
    <row r="185" spans="1:25" ht="22" customHeight="1" x14ac:dyDescent="0.2">
      <c r="A185" s="623" t="s">
        <v>136</v>
      </c>
      <c r="B185" s="624"/>
      <c r="C185" s="8">
        <v>0</v>
      </c>
      <c r="D185" s="1">
        <v>0</v>
      </c>
      <c r="E185" s="51">
        <f>+C185*D185</f>
        <v>0</v>
      </c>
      <c r="F185" s="37"/>
    </row>
    <row r="186" spans="1:25" ht="22" customHeight="1" x14ac:dyDescent="0.2">
      <c r="A186" s="658" t="s">
        <v>141</v>
      </c>
      <c r="B186" s="659"/>
      <c r="C186" s="695">
        <v>0</v>
      </c>
      <c r="D186" s="693"/>
      <c r="E186" s="51">
        <f>+C186</f>
        <v>0</v>
      </c>
      <c r="F186" s="37"/>
    </row>
    <row r="187" spans="1:25" ht="22" customHeight="1" x14ac:dyDescent="0.2">
      <c r="A187" s="658" t="s">
        <v>137</v>
      </c>
      <c r="B187" s="659"/>
      <c r="C187" s="695">
        <f>+D185-C186</f>
        <v>0</v>
      </c>
      <c r="D187" s="693"/>
      <c r="E187" s="51">
        <f t="shared" ref="E187:E188" si="3">+C187</f>
        <v>0</v>
      </c>
    </row>
    <row r="188" spans="1:25" ht="22" customHeight="1" thickBot="1" x14ac:dyDescent="0.25">
      <c r="A188" s="688" t="s">
        <v>138</v>
      </c>
      <c r="B188" s="689"/>
      <c r="C188" s="690"/>
      <c r="D188" s="690"/>
      <c r="E188" s="52">
        <f t="shared" si="3"/>
        <v>0</v>
      </c>
    </row>
    <row r="189" spans="1:25" ht="22" customHeight="1" x14ac:dyDescent="0.2">
      <c r="A189" s="568" t="s">
        <v>142</v>
      </c>
      <c r="B189" s="569"/>
      <c r="C189" s="125">
        <v>0</v>
      </c>
      <c r="D189" s="66">
        <v>0</v>
      </c>
      <c r="E189" s="67">
        <f>+C189*D189</f>
        <v>0</v>
      </c>
    </row>
    <row r="190" spans="1:25" ht="18" customHeight="1" x14ac:dyDescent="0.2">
      <c r="A190" s="658" t="s">
        <v>161</v>
      </c>
      <c r="B190" s="659"/>
      <c r="C190" s="695">
        <v>0</v>
      </c>
      <c r="D190" s="693"/>
      <c r="E190" s="51">
        <f>+C190</f>
        <v>0</v>
      </c>
    </row>
    <row r="191" spans="1:25" ht="22" customHeight="1" x14ac:dyDescent="0.2">
      <c r="A191" s="658" t="s">
        <v>137</v>
      </c>
      <c r="B191" s="659"/>
      <c r="C191" s="680"/>
      <c r="D191" s="680"/>
      <c r="E191" s="51">
        <f>+D191</f>
        <v>0</v>
      </c>
    </row>
    <row r="192" spans="1:25" ht="22" customHeight="1" thickBot="1" x14ac:dyDescent="0.25">
      <c r="A192" s="681" t="s">
        <v>138</v>
      </c>
      <c r="B192" s="682"/>
      <c r="C192" s="683"/>
      <c r="D192" s="683"/>
      <c r="E192" s="68">
        <f>+D192</f>
        <v>0</v>
      </c>
      <c r="F192" s="57"/>
      <c r="G192" s="132"/>
      <c r="H192" s="56"/>
      <c r="I192" s="56"/>
      <c r="J192" s="56"/>
    </row>
    <row r="193" spans="1:10" ht="22" customHeight="1" x14ac:dyDescent="0.2">
      <c r="A193" s="663" t="s">
        <v>71</v>
      </c>
      <c r="B193" s="664"/>
      <c r="C193" s="19">
        <v>23</v>
      </c>
      <c r="D193" s="64">
        <v>740.8</v>
      </c>
      <c r="E193" s="65">
        <f>+D193*C193</f>
        <v>17038.399999999998</v>
      </c>
      <c r="F193" s="133"/>
      <c r="G193" s="132"/>
      <c r="H193" s="56"/>
      <c r="I193" s="56"/>
      <c r="J193" s="56"/>
    </row>
    <row r="194" spans="1:10" ht="22" customHeight="1" x14ac:dyDescent="0.2">
      <c r="A194" s="658" t="s">
        <v>193</v>
      </c>
      <c r="B194" s="659"/>
      <c r="C194" s="5">
        <v>0</v>
      </c>
      <c r="D194" s="1">
        <v>740.8</v>
      </c>
      <c r="E194" s="51">
        <f>+D194*C194</f>
        <v>0</v>
      </c>
      <c r="F194" s="133"/>
      <c r="G194" s="132"/>
      <c r="H194" s="56"/>
      <c r="I194" s="56"/>
      <c r="J194" s="56"/>
    </row>
    <row r="195" spans="1:10" ht="22" customHeight="1" x14ac:dyDescent="0.2">
      <c r="A195" s="658" t="s">
        <v>71</v>
      </c>
      <c r="B195" s="659"/>
      <c r="C195" s="5">
        <v>0</v>
      </c>
      <c r="D195" s="1"/>
      <c r="E195" s="51">
        <f>+C195*D195</f>
        <v>0</v>
      </c>
      <c r="F195" s="140"/>
      <c r="G195" s="132"/>
      <c r="H195" s="56"/>
      <c r="I195" s="56"/>
      <c r="J195" s="56"/>
    </row>
    <row r="196" spans="1:10" ht="22" customHeight="1" x14ac:dyDescent="0.2">
      <c r="A196" s="691" t="s">
        <v>198</v>
      </c>
      <c r="B196" s="692"/>
      <c r="C196" s="146">
        <f>+C185+C189+C193+C194+C195</f>
        <v>23</v>
      </c>
      <c r="D196" s="147"/>
      <c r="E196" s="148">
        <f>+E185+E189+E193+E194+E195</f>
        <v>17038.399999999998</v>
      </c>
      <c r="F196" s="57"/>
      <c r="G196" s="134"/>
      <c r="H196" s="56"/>
      <c r="I196" s="56"/>
      <c r="J196" s="56"/>
    </row>
    <row r="197" spans="1:10" ht="22" customHeight="1" x14ac:dyDescent="0.2">
      <c r="A197" s="676" t="s">
        <v>192</v>
      </c>
      <c r="B197" s="677"/>
      <c r="C197" s="677"/>
      <c r="D197" s="677"/>
      <c r="E197" s="678"/>
      <c r="F197" s="56"/>
      <c r="G197" s="134"/>
      <c r="H197" s="56"/>
      <c r="I197" s="56"/>
      <c r="J197" s="56"/>
    </row>
    <row r="198" spans="1:10" ht="22" customHeight="1" x14ac:dyDescent="0.2">
      <c r="A198" s="623" t="s">
        <v>136</v>
      </c>
      <c r="B198" s="624"/>
      <c r="C198" s="8">
        <v>0</v>
      </c>
      <c r="D198" s="1">
        <v>0</v>
      </c>
      <c r="E198" s="51">
        <f>+C198*D198</f>
        <v>0</v>
      </c>
      <c r="F198" s="57"/>
      <c r="G198" s="132"/>
      <c r="H198" s="56"/>
      <c r="I198" s="56"/>
      <c r="J198" s="56"/>
    </row>
    <row r="199" spans="1:10" ht="21" customHeight="1" x14ac:dyDescent="0.2">
      <c r="A199" s="658" t="s">
        <v>141</v>
      </c>
      <c r="B199" s="659"/>
      <c r="C199" s="695">
        <v>0</v>
      </c>
      <c r="D199" s="693"/>
      <c r="E199" s="51">
        <f>+C199</f>
        <v>0</v>
      </c>
      <c r="F199" s="57"/>
      <c r="G199" s="132"/>
      <c r="H199" s="56"/>
      <c r="I199" s="56"/>
      <c r="J199" s="56"/>
    </row>
    <row r="200" spans="1:10" ht="22.5" customHeight="1" x14ac:dyDescent="0.2">
      <c r="A200" s="658" t="s">
        <v>137</v>
      </c>
      <c r="B200" s="659"/>
      <c r="C200" s="695">
        <v>0</v>
      </c>
      <c r="D200" s="693"/>
      <c r="E200" s="51">
        <f t="shared" ref="E200:E201" si="4">+C200</f>
        <v>0</v>
      </c>
      <c r="F200" s="55"/>
      <c r="G200" s="132"/>
      <c r="H200" s="56"/>
      <c r="I200" s="56"/>
      <c r="J200" s="56"/>
    </row>
    <row r="201" spans="1:10" ht="22.5" customHeight="1" thickBot="1" x14ac:dyDescent="0.25">
      <c r="A201" s="688" t="s">
        <v>138</v>
      </c>
      <c r="B201" s="689"/>
      <c r="C201" s="699">
        <v>0</v>
      </c>
      <c r="D201" s="700"/>
      <c r="E201" s="52">
        <f t="shared" si="4"/>
        <v>0</v>
      </c>
      <c r="F201" s="135"/>
      <c r="G201" s="132"/>
      <c r="H201" s="56"/>
      <c r="I201" s="56"/>
      <c r="J201" s="56"/>
    </row>
    <row r="202" spans="1:10" ht="22.5" customHeight="1" x14ac:dyDescent="0.2">
      <c r="A202" s="568" t="s">
        <v>142</v>
      </c>
      <c r="B202" s="569"/>
      <c r="C202" s="125">
        <v>0</v>
      </c>
      <c r="D202" s="66">
        <v>0</v>
      </c>
      <c r="E202" s="67">
        <f>+C202*D202</f>
        <v>0</v>
      </c>
      <c r="F202" s="136"/>
      <c r="G202" s="132"/>
      <c r="H202" s="56"/>
      <c r="I202" s="56"/>
      <c r="J202" s="56"/>
    </row>
    <row r="203" spans="1:10" ht="22.5" customHeight="1" x14ac:dyDescent="0.2">
      <c r="A203" s="658" t="s">
        <v>161</v>
      </c>
      <c r="B203" s="659"/>
      <c r="C203" s="695"/>
      <c r="D203" s="693"/>
      <c r="E203" s="51">
        <f>+C203</f>
        <v>0</v>
      </c>
      <c r="F203" s="57"/>
      <c r="G203" s="132"/>
      <c r="H203" s="56"/>
      <c r="I203" s="56"/>
      <c r="J203" s="56"/>
    </row>
    <row r="204" spans="1:10" ht="22.5" customHeight="1" x14ac:dyDescent="0.2">
      <c r="A204" s="658" t="s">
        <v>137</v>
      </c>
      <c r="B204" s="659"/>
      <c r="C204" s="680"/>
      <c r="D204" s="680"/>
      <c r="E204" s="51">
        <f>+D204</f>
        <v>0</v>
      </c>
      <c r="F204" s="55"/>
      <c r="G204" s="132"/>
      <c r="H204" s="56"/>
      <c r="I204" s="56"/>
      <c r="J204" s="56"/>
    </row>
    <row r="205" spans="1:10" ht="22.5" customHeight="1" thickBot="1" x14ac:dyDescent="0.25">
      <c r="A205" s="681" t="s">
        <v>138</v>
      </c>
      <c r="B205" s="682"/>
      <c r="C205" s="683"/>
      <c r="D205" s="683"/>
      <c r="E205" s="68">
        <f>+D205</f>
        <v>0</v>
      </c>
    </row>
    <row r="206" spans="1:10" ht="23.25" customHeight="1" x14ac:dyDescent="0.2">
      <c r="A206" s="663" t="s">
        <v>194</v>
      </c>
      <c r="B206" s="664"/>
      <c r="C206" s="19">
        <v>0</v>
      </c>
      <c r="D206" s="64">
        <v>740.8</v>
      </c>
      <c r="E206" s="65">
        <f>+D206*C206</f>
        <v>0</v>
      </c>
    </row>
    <row r="207" spans="1:10" ht="24.75" customHeight="1" x14ac:dyDescent="0.2">
      <c r="A207" s="658" t="s">
        <v>71</v>
      </c>
      <c r="B207" s="659"/>
      <c r="C207" s="5">
        <v>23</v>
      </c>
      <c r="D207" s="1">
        <v>740.8</v>
      </c>
      <c r="E207" s="51">
        <f>+D207*C207</f>
        <v>17038.399999999998</v>
      </c>
    </row>
    <row r="208" spans="1:10" ht="18.75" customHeight="1" x14ac:dyDescent="0.2">
      <c r="A208" s="658" t="s">
        <v>71</v>
      </c>
      <c r="B208" s="659"/>
      <c r="C208" s="5">
        <v>0</v>
      </c>
      <c r="D208" s="1"/>
      <c r="E208" s="51">
        <f>+C208*D208</f>
        <v>0</v>
      </c>
    </row>
    <row r="209" spans="1:5" ht="21.75" customHeight="1" thickBot="1" x14ac:dyDescent="0.25">
      <c r="A209" s="697" t="s">
        <v>199</v>
      </c>
      <c r="B209" s="698"/>
      <c r="C209" s="149">
        <f>+C198+C202+C206+C207+C208</f>
        <v>23</v>
      </c>
      <c r="D209" s="150"/>
      <c r="E209" s="151">
        <f>+E198+E202+E206+E207+E208</f>
        <v>17038.399999999998</v>
      </c>
    </row>
    <row r="210" spans="1:5" x14ac:dyDescent="0.2">
      <c r="A210" s="30"/>
      <c r="B210" s="30"/>
      <c r="C210" s="30"/>
      <c r="D210" s="30"/>
      <c r="E210" s="30"/>
    </row>
  </sheetData>
  <mergeCells count="271">
    <mergeCell ref="A208:B208"/>
    <mergeCell ref="A209:B209"/>
    <mergeCell ref="A204:B204"/>
    <mergeCell ref="C204:D204"/>
    <mergeCell ref="A205:B205"/>
    <mergeCell ref="C205:D205"/>
    <mergeCell ref="A206:B206"/>
    <mergeCell ref="A207:B207"/>
    <mergeCell ref="A200:B200"/>
    <mergeCell ref="C200:D200"/>
    <mergeCell ref="A201:B201"/>
    <mergeCell ref="C201:D201"/>
    <mergeCell ref="A202:B202"/>
    <mergeCell ref="A203:B203"/>
    <mergeCell ref="C203:D203"/>
    <mergeCell ref="A195:B195"/>
    <mergeCell ref="A196:B196"/>
    <mergeCell ref="A197:E197"/>
    <mergeCell ref="A198:B198"/>
    <mergeCell ref="A199:B199"/>
    <mergeCell ref="C199:D199"/>
    <mergeCell ref="A191:B191"/>
    <mergeCell ref="C191:D191"/>
    <mergeCell ref="A192:B192"/>
    <mergeCell ref="C192:D192"/>
    <mergeCell ref="A193:B193"/>
    <mergeCell ref="A194:B194"/>
    <mergeCell ref="A187:B187"/>
    <mergeCell ref="C187:D187"/>
    <mergeCell ref="A188:B188"/>
    <mergeCell ref="C188:D188"/>
    <mergeCell ref="A189:B189"/>
    <mergeCell ref="A190:B190"/>
    <mergeCell ref="C190:D190"/>
    <mergeCell ref="A182:B182"/>
    <mergeCell ref="A183:B183"/>
    <mergeCell ref="A184:E184"/>
    <mergeCell ref="A185:B185"/>
    <mergeCell ref="A186:B186"/>
    <mergeCell ref="C186:D186"/>
    <mergeCell ref="A178:B178"/>
    <mergeCell ref="C178:D178"/>
    <mergeCell ref="A179:B179"/>
    <mergeCell ref="C179:D179"/>
    <mergeCell ref="A180:B180"/>
    <mergeCell ref="A181:B181"/>
    <mergeCell ref="A174:B174"/>
    <mergeCell ref="C174:D174"/>
    <mergeCell ref="A175:B175"/>
    <mergeCell ref="C175:D175"/>
    <mergeCell ref="A176:B176"/>
    <mergeCell ref="A177:B177"/>
    <mergeCell ref="C177:D177"/>
    <mergeCell ref="A169:B169"/>
    <mergeCell ref="A170:B170"/>
    <mergeCell ref="A171:E171"/>
    <mergeCell ref="A172:B172"/>
    <mergeCell ref="A173:B173"/>
    <mergeCell ref="C173:D173"/>
    <mergeCell ref="A165:B165"/>
    <mergeCell ref="C165:D165"/>
    <mergeCell ref="A166:B166"/>
    <mergeCell ref="C166:D166"/>
    <mergeCell ref="A167:B167"/>
    <mergeCell ref="A168:B168"/>
    <mergeCell ref="A161:B161"/>
    <mergeCell ref="C161:D161"/>
    <mergeCell ref="A162:B162"/>
    <mergeCell ref="C162:D162"/>
    <mergeCell ref="A163:B163"/>
    <mergeCell ref="A164:B164"/>
    <mergeCell ref="C164:D164"/>
    <mergeCell ref="A156:B156"/>
    <mergeCell ref="A157:B157"/>
    <mergeCell ref="A158:E158"/>
    <mergeCell ref="A159:B159"/>
    <mergeCell ref="A160:B160"/>
    <mergeCell ref="C160:D160"/>
    <mergeCell ref="A152:B152"/>
    <mergeCell ref="C152:D152"/>
    <mergeCell ref="A153:B153"/>
    <mergeCell ref="C153:D153"/>
    <mergeCell ref="A154:B154"/>
    <mergeCell ref="A155:B155"/>
    <mergeCell ref="A148:B148"/>
    <mergeCell ref="C148:D148"/>
    <mergeCell ref="A149:B149"/>
    <mergeCell ref="C149:D149"/>
    <mergeCell ref="A150:B150"/>
    <mergeCell ref="A151:B151"/>
    <mergeCell ref="C151:D151"/>
    <mergeCell ref="A143:E143"/>
    <mergeCell ref="A144:E144"/>
    <mergeCell ref="A145:B145"/>
    <mergeCell ref="A146:B146"/>
    <mergeCell ref="A147:B147"/>
    <mergeCell ref="C147:D147"/>
    <mergeCell ref="A140:B140"/>
    <mergeCell ref="C140:D140"/>
    <mergeCell ref="A141:B141"/>
    <mergeCell ref="C141:D141"/>
    <mergeCell ref="A142:B142"/>
    <mergeCell ref="C142:D142"/>
    <mergeCell ref="A136:B136"/>
    <mergeCell ref="C136:D136"/>
    <mergeCell ref="A137:B137"/>
    <mergeCell ref="A138:B138"/>
    <mergeCell ref="C138:D138"/>
    <mergeCell ref="A139:B139"/>
    <mergeCell ref="C139:D139"/>
    <mergeCell ref="A133:B133"/>
    <mergeCell ref="C133:D133"/>
    <mergeCell ref="A134:B134"/>
    <mergeCell ref="C134:D134"/>
    <mergeCell ref="A135:B135"/>
    <mergeCell ref="C135:D135"/>
    <mergeCell ref="A130:B130"/>
    <mergeCell ref="C130:D130"/>
    <mergeCell ref="A131:B131"/>
    <mergeCell ref="A132:B132"/>
    <mergeCell ref="C132:D132"/>
    <mergeCell ref="A125:B125"/>
    <mergeCell ref="C125:D125"/>
    <mergeCell ref="A126:B126"/>
    <mergeCell ref="A127:B127"/>
    <mergeCell ref="C127:D127"/>
    <mergeCell ref="A128:B128"/>
    <mergeCell ref="C128:D128"/>
    <mergeCell ref="A124:B124"/>
    <mergeCell ref="C124:D124"/>
    <mergeCell ref="A118:B118"/>
    <mergeCell ref="C118:D118"/>
    <mergeCell ref="A119:B119"/>
    <mergeCell ref="C119:D119"/>
    <mergeCell ref="A120:B120"/>
    <mergeCell ref="C120:D120"/>
    <mergeCell ref="A129:B129"/>
    <mergeCell ref="C129:D129"/>
    <mergeCell ref="C111:D111"/>
    <mergeCell ref="A112:B112"/>
    <mergeCell ref="C112:D112"/>
    <mergeCell ref="A113:B113"/>
    <mergeCell ref="C113:D113"/>
    <mergeCell ref="A121:B121"/>
    <mergeCell ref="A122:B122"/>
    <mergeCell ref="C122:D122"/>
    <mergeCell ref="A123:B123"/>
    <mergeCell ref="C123:D123"/>
    <mergeCell ref="A108:B108"/>
    <mergeCell ref="C108:D108"/>
    <mergeCell ref="A109:B109"/>
    <mergeCell ref="C109:D109"/>
    <mergeCell ref="A110:B110"/>
    <mergeCell ref="C110:D110"/>
    <mergeCell ref="A101:C101"/>
    <mergeCell ref="A102:E102"/>
    <mergeCell ref="A103:B103"/>
    <mergeCell ref="A104:E104"/>
    <mergeCell ref="A105:E105"/>
    <mergeCell ref="A106:B106"/>
    <mergeCell ref="C106:D106"/>
    <mergeCell ref="E106:E142"/>
    <mergeCell ref="A107:B107"/>
    <mergeCell ref="C107:D107"/>
    <mergeCell ref="A114:B114"/>
    <mergeCell ref="C114:D114"/>
    <mergeCell ref="A115:B115"/>
    <mergeCell ref="C115:D115"/>
    <mergeCell ref="A116:B116"/>
    <mergeCell ref="A117:B117"/>
    <mergeCell ref="C117:D117"/>
    <mergeCell ref="A111:B111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4:B84"/>
    <mergeCell ref="E84:E87"/>
    <mergeCell ref="A85:B85"/>
    <mergeCell ref="A86:B86"/>
    <mergeCell ref="A87:B87"/>
    <mergeCell ref="A88:B88"/>
    <mergeCell ref="A78:B78"/>
    <mergeCell ref="A79:B79"/>
    <mergeCell ref="A80:B80"/>
    <mergeCell ref="A81:B81"/>
    <mergeCell ref="A82:E82"/>
    <mergeCell ref="A83:B83"/>
    <mergeCell ref="A71:B71"/>
    <mergeCell ref="A72:B72"/>
    <mergeCell ref="A73:E73"/>
    <mergeCell ref="A74:B74"/>
    <mergeCell ref="A75:B75"/>
    <mergeCell ref="A76:A77"/>
    <mergeCell ref="A63:A64"/>
    <mergeCell ref="A66:E66"/>
    <mergeCell ref="A67:B67"/>
    <mergeCell ref="E67:E68"/>
    <mergeCell ref="A68:B68"/>
    <mergeCell ref="A69:B69"/>
    <mergeCell ref="E69:E70"/>
    <mergeCell ref="A70:B70"/>
    <mergeCell ref="A56:B56"/>
    <mergeCell ref="A57:B57"/>
    <mergeCell ref="A58:E58"/>
    <mergeCell ref="A59:B59"/>
    <mergeCell ref="A60:B60"/>
    <mergeCell ref="A61:B61"/>
    <mergeCell ref="A50:B50"/>
    <mergeCell ref="E50:E51"/>
    <mergeCell ref="A51:B51"/>
    <mergeCell ref="A52:E52"/>
    <mergeCell ref="A53:B53"/>
    <mergeCell ref="E53:E55"/>
    <mergeCell ref="A54:B54"/>
    <mergeCell ref="A55:B55"/>
    <mergeCell ref="A44:B44"/>
    <mergeCell ref="A45:B45"/>
    <mergeCell ref="A46:B46"/>
    <mergeCell ref="A47:B47"/>
    <mergeCell ref="A48:B48"/>
    <mergeCell ref="E48:E49"/>
    <mergeCell ref="A49:B49"/>
    <mergeCell ref="A38:B38"/>
    <mergeCell ref="A39:B39"/>
    <mergeCell ref="A40:E40"/>
    <mergeCell ref="A41:B41"/>
    <mergeCell ref="A42:B42"/>
    <mergeCell ref="A43:B43"/>
    <mergeCell ref="A33:B33"/>
    <mergeCell ref="A34:B34"/>
    <mergeCell ref="A35:B35"/>
    <mergeCell ref="A36:B36"/>
    <mergeCell ref="A37:E37"/>
    <mergeCell ref="A27:B27"/>
    <mergeCell ref="A28:B28"/>
    <mergeCell ref="A29:B29"/>
    <mergeCell ref="A30:E30"/>
    <mergeCell ref="A31:B31"/>
    <mergeCell ref="E31:E32"/>
    <mergeCell ref="A32:B32"/>
    <mergeCell ref="A21:E21"/>
    <mergeCell ref="A22:B22"/>
    <mergeCell ref="A23:B23"/>
    <mergeCell ref="A24:B24"/>
    <mergeCell ref="A25:B25"/>
    <mergeCell ref="A26:B26"/>
    <mergeCell ref="A16:B16"/>
    <mergeCell ref="E16:E17"/>
    <mergeCell ref="A17:B17"/>
    <mergeCell ref="A18:B18"/>
    <mergeCell ref="E18:E20"/>
    <mergeCell ref="A19:B19"/>
    <mergeCell ref="A20:B20"/>
    <mergeCell ref="A1:B1"/>
    <mergeCell ref="C1:D1"/>
    <mergeCell ref="A2:B2"/>
    <mergeCell ref="C2:D2"/>
    <mergeCell ref="A12:B12"/>
    <mergeCell ref="E12:E15"/>
    <mergeCell ref="A13:B13"/>
    <mergeCell ref="A14:B14"/>
    <mergeCell ref="A15:B15"/>
  </mergeCells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676B3F8-0C47-4838-A9DC-145155817C83}">
          <x14:formula1>
            <xm:f>'DATOS '!$A$2:$A$33</xm:f>
          </x14:formula1>
          <xm:sqref>C12</xm:sqref>
        </x14:dataValidation>
        <x14:dataValidation type="list" allowBlank="1" showInputMessage="1" showErrorMessage="1" xr:uid="{5ED7445C-1797-40D6-ABA3-BBC2694608BA}">
          <x14:formula1>
            <xm:f>'DATOS '!$B$2:$B$33</xm:f>
          </x14:formula1>
          <xm:sqref>D12</xm:sqref>
        </x14:dataValidation>
        <x14:dataValidation type="list" allowBlank="1" showInputMessage="1" showErrorMessage="1" xr:uid="{40CAC315-6378-451A-A1B1-5724611BEB38}">
          <x14:formula1>
            <xm:f>'DATOS '!$D$7:$D$11</xm:f>
          </x14:formula1>
          <xm:sqref>C2:D2</xm:sqref>
        </x14:dataValidation>
        <x14:dataValidation type="list" allowBlank="1" showInputMessage="1" showErrorMessage="1" xr:uid="{C4CDF77D-5E36-4537-B5A5-423BCF65AA44}">
          <x14:formula1>
            <xm:f>'DATOS '!$D$2:$D$4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516D-B44B-BE4C-8F04-F7E95C30DD60}">
  <sheetPr>
    <tabColor rgb="FF0070C0"/>
  </sheetPr>
  <dimension ref="D64"/>
  <sheetViews>
    <sheetView zoomScale="81" workbookViewId="0">
      <selection activeCell="C2" sqref="C2:D2"/>
    </sheetView>
  </sheetViews>
  <sheetFormatPr baseColWidth="10" defaultColWidth="10.83203125" defaultRowHeight="15" x14ac:dyDescent="0.2"/>
  <cols>
    <col min="1" max="2" width="10.83203125" style="155"/>
    <col min="3" max="3" width="6.5" style="155" customWidth="1"/>
    <col min="4" max="4" width="87.33203125" style="155" bestFit="1" customWidth="1"/>
    <col min="5" max="16384" width="10.83203125" style="155"/>
  </cols>
  <sheetData>
    <row r="64" spans="4:4" x14ac:dyDescent="0.2">
      <c r="D64" s="155" t="s">
        <v>212</v>
      </c>
    </row>
  </sheetData>
  <pageMargins left="0.7" right="0.7" top="0.75" bottom="0.75" header="0.3" footer="0.3"/>
  <pageSetup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A7F3-9313-2D4D-8E65-8DAD41D36D14}">
  <sheetPr>
    <tabColor theme="8" tint="-0.249977111117893"/>
  </sheetPr>
  <dimension ref="A1:G68"/>
  <sheetViews>
    <sheetView topLeftCell="A44" zoomScale="125" workbookViewId="0">
      <selection activeCell="C2" sqref="C2:D2"/>
    </sheetView>
  </sheetViews>
  <sheetFormatPr baseColWidth="10" defaultColWidth="11.5" defaultRowHeight="13" x14ac:dyDescent="0.15"/>
  <cols>
    <col min="1" max="1" width="42.33203125" style="156" customWidth="1"/>
    <col min="2" max="2" width="20.6640625" style="213" customWidth="1"/>
    <col min="3" max="3" width="22.5" style="222" customWidth="1"/>
    <col min="4" max="4" width="21.5" style="222" customWidth="1"/>
    <col min="5" max="5" width="22.5" style="160" customWidth="1"/>
    <col min="6" max="6" width="17.1640625" style="156" customWidth="1"/>
    <col min="7" max="7" width="14.6640625" style="156" customWidth="1"/>
    <col min="8" max="8" width="8.5" style="156" customWidth="1"/>
    <col min="9" max="9" width="9" style="156" customWidth="1"/>
    <col min="10" max="10" width="8.83203125" style="156" customWidth="1"/>
    <col min="11" max="11" width="8.6640625" style="156" customWidth="1"/>
    <col min="12" max="12" width="8.5" style="156" customWidth="1"/>
    <col min="13" max="13" width="8.33203125" style="156" customWidth="1"/>
    <col min="14" max="14" width="8.83203125" style="156" customWidth="1"/>
    <col min="15" max="16384" width="11.5" style="156"/>
  </cols>
  <sheetData>
    <row r="1" spans="1:7" x14ac:dyDescent="0.15">
      <c r="B1" s="701"/>
      <c r="C1" s="702"/>
      <c r="D1" s="702"/>
      <c r="E1" s="702"/>
      <c r="F1" s="703"/>
    </row>
    <row r="2" spans="1:7" ht="14" thickBot="1" x14ac:dyDescent="0.2">
      <c r="B2" s="157" t="s">
        <v>213</v>
      </c>
      <c r="C2" s="158">
        <v>18522</v>
      </c>
      <c r="D2" s="159"/>
      <c r="F2" s="161"/>
    </row>
    <row r="3" spans="1:7" ht="15.75" customHeight="1" x14ac:dyDescent="0.15">
      <c r="A3" s="704" t="s">
        <v>214</v>
      </c>
      <c r="B3" s="706" t="s">
        <v>215</v>
      </c>
      <c r="C3" s="707"/>
      <c r="D3" s="708"/>
      <c r="F3" s="162"/>
      <c r="G3" s="156" t="s">
        <v>216</v>
      </c>
    </row>
    <row r="4" spans="1:7" ht="15.75" customHeight="1" x14ac:dyDescent="0.15">
      <c r="A4" s="705"/>
      <c r="B4" s="163" t="s">
        <v>217</v>
      </c>
      <c r="C4" s="164" t="s">
        <v>218</v>
      </c>
      <c r="D4" s="165" t="s">
        <v>219</v>
      </c>
      <c r="E4" s="166" t="s">
        <v>220</v>
      </c>
      <c r="F4" s="167" t="s">
        <v>221</v>
      </c>
      <c r="G4" s="168">
        <v>4.4999999999999998E-2</v>
      </c>
    </row>
    <row r="5" spans="1:7" ht="15" customHeight="1" x14ac:dyDescent="0.15">
      <c r="A5" s="169" t="s">
        <v>222</v>
      </c>
      <c r="B5" s="170">
        <v>387568452.53250003</v>
      </c>
      <c r="C5" s="171">
        <v>323848098.91000003</v>
      </c>
      <c r="D5" s="172">
        <f t="shared" ref="D5:D42" si="0">B5-C5</f>
        <v>63720353.622500002</v>
      </c>
      <c r="E5" s="173"/>
      <c r="F5" s="174">
        <f t="shared" ref="F5:F42" si="1">SUM(C5,E5)/$C$2</f>
        <v>17484.510253212396</v>
      </c>
      <c r="G5" s="175">
        <f t="shared" ref="G5:G42" si="2">F5*$G$4+F5</f>
        <v>18271.313214606955</v>
      </c>
    </row>
    <row r="6" spans="1:7" ht="15" customHeight="1" x14ac:dyDescent="0.15">
      <c r="A6" s="169" t="s">
        <v>223</v>
      </c>
      <c r="B6" s="170">
        <v>694298217.39999998</v>
      </c>
      <c r="C6" s="171">
        <v>676063845.11000001</v>
      </c>
      <c r="D6" s="172">
        <f t="shared" si="0"/>
        <v>18234372.289999962</v>
      </c>
      <c r="E6" s="173"/>
      <c r="F6" s="174">
        <f t="shared" si="1"/>
        <v>36500.585525861141</v>
      </c>
      <c r="G6" s="175">
        <f t="shared" si="2"/>
        <v>38143.11187452489</v>
      </c>
    </row>
    <row r="7" spans="1:7" ht="15" customHeight="1" x14ac:dyDescent="0.15">
      <c r="A7" s="169" t="s">
        <v>224</v>
      </c>
      <c r="B7" s="170">
        <v>6713409699.7900009</v>
      </c>
      <c r="C7" s="171">
        <v>5564525703.3499994</v>
      </c>
      <c r="D7" s="172">
        <f t="shared" si="0"/>
        <v>1148883996.4400015</v>
      </c>
      <c r="E7" s="173"/>
      <c r="F7" s="174">
        <f t="shared" si="1"/>
        <v>300427.90753428353</v>
      </c>
      <c r="G7" s="175">
        <f t="shared" si="2"/>
        <v>313947.1633733263</v>
      </c>
    </row>
    <row r="8" spans="1:7" ht="15" customHeight="1" x14ac:dyDescent="0.15">
      <c r="A8" s="169" t="s">
        <v>225</v>
      </c>
      <c r="B8" s="170">
        <v>4766372618.1599998</v>
      </c>
      <c r="C8" s="171">
        <v>5374285557.5499992</v>
      </c>
      <c r="D8" s="176">
        <f t="shared" si="0"/>
        <v>-607912939.38999939</v>
      </c>
      <c r="E8" s="173">
        <v>2881690298.1199999</v>
      </c>
      <c r="F8" s="174">
        <f t="shared" si="1"/>
        <v>445738.89729348879</v>
      </c>
      <c r="G8" s="175">
        <f t="shared" si="2"/>
        <v>465797.1476716958</v>
      </c>
    </row>
    <row r="9" spans="1:7" ht="15" customHeight="1" x14ac:dyDescent="0.15">
      <c r="A9" s="169" t="s">
        <v>226</v>
      </c>
      <c r="B9" s="170">
        <v>329709166.39999998</v>
      </c>
      <c r="C9" s="171">
        <v>336609819.75</v>
      </c>
      <c r="D9" s="176">
        <f t="shared" si="0"/>
        <v>-6900653.3500000238</v>
      </c>
      <c r="E9" s="173">
        <v>329709119.76999998</v>
      </c>
      <c r="F9" s="174">
        <f t="shared" si="1"/>
        <v>35974.459535687289</v>
      </c>
      <c r="G9" s="175">
        <f t="shared" si="2"/>
        <v>37593.310214793215</v>
      </c>
    </row>
    <row r="10" spans="1:7" ht="15" customHeight="1" x14ac:dyDescent="0.15">
      <c r="A10" s="169" t="s">
        <v>227</v>
      </c>
      <c r="B10" s="170">
        <v>1081660467.98</v>
      </c>
      <c r="C10" s="171">
        <v>1215656540.5900002</v>
      </c>
      <c r="D10" s="176">
        <f t="shared" si="0"/>
        <v>-133996072.61000013</v>
      </c>
      <c r="E10" s="173">
        <v>1084850775.5599999</v>
      </c>
      <c r="F10" s="174">
        <f t="shared" si="1"/>
        <v>124204.04471169421</v>
      </c>
      <c r="G10" s="175">
        <f t="shared" si="2"/>
        <v>129793.22672372045</v>
      </c>
    </row>
    <row r="11" spans="1:7" ht="15" customHeight="1" x14ac:dyDescent="0.15">
      <c r="A11" s="169" t="s">
        <v>228</v>
      </c>
      <c r="B11" s="170">
        <v>534995613.23000008</v>
      </c>
      <c r="C11" s="171">
        <v>526665714.76999992</v>
      </c>
      <c r="D11" s="172">
        <f t="shared" si="0"/>
        <v>8329898.4600001574</v>
      </c>
      <c r="E11" s="173">
        <v>487848099.6699999</v>
      </c>
      <c r="F11" s="174">
        <f t="shared" si="1"/>
        <v>54773.448571428562</v>
      </c>
      <c r="G11" s="175">
        <f t="shared" si="2"/>
        <v>57238.253757142847</v>
      </c>
    </row>
    <row r="12" spans="1:7" ht="15" customHeight="1" x14ac:dyDescent="0.15">
      <c r="A12" s="169" t="s">
        <v>229</v>
      </c>
      <c r="B12" s="170">
        <v>1176546560.0799999</v>
      </c>
      <c r="C12" s="171">
        <v>1405722364.7800002</v>
      </c>
      <c r="D12" s="176">
        <f t="shared" si="0"/>
        <v>-229175804.70000029</v>
      </c>
      <c r="E12" s="173">
        <v>771024782.48999989</v>
      </c>
      <c r="F12" s="174">
        <f t="shared" si="1"/>
        <v>117522.25176924738</v>
      </c>
      <c r="G12" s="175">
        <f t="shared" si="2"/>
        <v>122810.75309886351</v>
      </c>
    </row>
    <row r="13" spans="1:7" ht="15" customHeight="1" x14ac:dyDescent="0.15">
      <c r="A13" s="169" t="s">
        <v>230</v>
      </c>
      <c r="B13" s="170">
        <v>54283421</v>
      </c>
      <c r="C13" s="171">
        <v>75270861</v>
      </c>
      <c r="D13" s="176">
        <f t="shared" si="0"/>
        <v>-20987440</v>
      </c>
      <c r="E13" s="173"/>
      <c r="F13" s="174">
        <f t="shared" si="1"/>
        <v>4063.8624878522837</v>
      </c>
      <c r="G13" s="175">
        <f t="shared" si="2"/>
        <v>4246.7362998056369</v>
      </c>
    </row>
    <row r="14" spans="1:7" ht="15" customHeight="1" x14ac:dyDescent="0.15">
      <c r="A14" s="169" t="s">
        <v>231</v>
      </c>
      <c r="B14" s="170">
        <v>312765319.39999998</v>
      </c>
      <c r="C14" s="171">
        <v>457310762.13</v>
      </c>
      <c r="D14" s="176">
        <f t="shared" si="0"/>
        <v>-144545442.73000002</v>
      </c>
      <c r="E14" s="173">
        <v>269242134.27999997</v>
      </c>
      <c r="F14" s="174">
        <f t="shared" si="1"/>
        <v>39226.481827556418</v>
      </c>
      <c r="G14" s="175">
        <f t="shared" si="2"/>
        <v>40991.673509796456</v>
      </c>
    </row>
    <row r="15" spans="1:7" ht="15" customHeight="1" x14ac:dyDescent="0.15">
      <c r="A15" s="169" t="s">
        <v>232</v>
      </c>
      <c r="B15" s="170">
        <v>638292429.35000014</v>
      </c>
      <c r="C15" s="171">
        <v>520266726.88</v>
      </c>
      <c r="D15" s="172">
        <f t="shared" si="0"/>
        <v>118025702.47000015</v>
      </c>
      <c r="E15" s="173">
        <v>421950801.99000001</v>
      </c>
      <c r="F15" s="174">
        <f t="shared" si="1"/>
        <v>50870.182964582658</v>
      </c>
      <c r="G15" s="175">
        <f t="shared" si="2"/>
        <v>53159.341197988877</v>
      </c>
    </row>
    <row r="16" spans="1:7" ht="15" customHeight="1" x14ac:dyDescent="0.15">
      <c r="A16" s="169" t="s">
        <v>233</v>
      </c>
      <c r="B16" s="170">
        <v>372897610.27000004</v>
      </c>
      <c r="C16" s="171">
        <v>424798357.86000001</v>
      </c>
      <c r="D16" s="176">
        <f t="shared" si="0"/>
        <v>-51900747.589999974</v>
      </c>
      <c r="E16" s="173">
        <v>388076323.81</v>
      </c>
      <c r="F16" s="174">
        <f t="shared" si="1"/>
        <v>43886.982057553185</v>
      </c>
      <c r="G16" s="175">
        <f t="shared" si="2"/>
        <v>45861.89625014308</v>
      </c>
    </row>
    <row r="17" spans="1:7" ht="15" customHeight="1" x14ac:dyDescent="0.15">
      <c r="A17" s="169" t="s">
        <v>234</v>
      </c>
      <c r="B17" s="170">
        <v>1082048607.0599997</v>
      </c>
      <c r="C17" s="171">
        <v>1286487583.4300001</v>
      </c>
      <c r="D17" s="176">
        <f t="shared" si="0"/>
        <v>-204438976.37000036</v>
      </c>
      <c r="E17" s="173">
        <v>1206615192.9200003</v>
      </c>
      <c r="F17" s="174">
        <f t="shared" si="1"/>
        <v>134602.24470089626</v>
      </c>
      <c r="G17" s="175">
        <f t="shared" si="2"/>
        <v>140659.3457124366</v>
      </c>
    </row>
    <row r="18" spans="1:7" ht="15" customHeight="1" x14ac:dyDescent="0.15">
      <c r="A18" s="169" t="s">
        <v>235</v>
      </c>
      <c r="B18" s="170">
        <v>687490149.05999994</v>
      </c>
      <c r="C18" s="171">
        <v>756853702.13999999</v>
      </c>
      <c r="D18" s="176">
        <f t="shared" si="0"/>
        <v>-69363553.080000043</v>
      </c>
      <c r="E18" s="173">
        <v>639700129.18999994</v>
      </c>
      <c r="F18" s="174">
        <f t="shared" si="1"/>
        <v>75399.73174225245</v>
      </c>
      <c r="G18" s="175">
        <f t="shared" si="2"/>
        <v>78792.719670653809</v>
      </c>
    </row>
    <row r="19" spans="1:7" ht="15" customHeight="1" x14ac:dyDescent="0.15">
      <c r="A19" s="169" t="s">
        <v>236</v>
      </c>
      <c r="B19" s="170">
        <v>57687721.670000002</v>
      </c>
      <c r="C19" s="171">
        <v>54666342.849999994</v>
      </c>
      <c r="D19" s="172">
        <f t="shared" si="0"/>
        <v>3021378.8200000077</v>
      </c>
      <c r="E19" s="173">
        <v>57687721.670000002</v>
      </c>
      <c r="F19" s="174">
        <f t="shared" si="1"/>
        <v>6065.9790800129576</v>
      </c>
      <c r="G19" s="175">
        <f t="shared" si="2"/>
        <v>6338.9481386135403</v>
      </c>
    </row>
    <row r="20" spans="1:7" ht="15" customHeight="1" x14ac:dyDescent="0.15">
      <c r="A20" s="169" t="s">
        <v>237</v>
      </c>
      <c r="B20" s="170">
        <v>378054237</v>
      </c>
      <c r="C20" s="171">
        <v>343876918.00999999</v>
      </c>
      <c r="D20" s="172">
        <f t="shared" si="0"/>
        <v>34177318.99000001</v>
      </c>
      <c r="E20" s="173">
        <v>362205623.02999997</v>
      </c>
      <c r="F20" s="174">
        <f t="shared" si="1"/>
        <v>38121.290413562245</v>
      </c>
      <c r="G20" s="175">
        <f t="shared" si="2"/>
        <v>39836.748482172545</v>
      </c>
    </row>
    <row r="21" spans="1:7" ht="15" customHeight="1" x14ac:dyDescent="0.15">
      <c r="A21" s="169" t="s">
        <v>238</v>
      </c>
      <c r="B21" s="170">
        <v>250905208.24000001</v>
      </c>
      <c r="C21" s="171">
        <v>240460696.65000001</v>
      </c>
      <c r="D21" s="172">
        <f t="shared" si="0"/>
        <v>10444511.590000004</v>
      </c>
      <c r="E21" s="173">
        <v>243662573.49000001</v>
      </c>
      <c r="F21" s="174">
        <f t="shared" si="1"/>
        <v>26137.742691933916</v>
      </c>
      <c r="G21" s="175">
        <f t="shared" si="2"/>
        <v>27313.941113070941</v>
      </c>
    </row>
    <row r="22" spans="1:7" ht="15" customHeight="1" x14ac:dyDescent="0.15">
      <c r="A22" s="169" t="s">
        <v>239</v>
      </c>
      <c r="B22" s="170">
        <v>497809570</v>
      </c>
      <c r="C22" s="171">
        <v>572830811</v>
      </c>
      <c r="D22" s="176">
        <f t="shared" si="0"/>
        <v>-75021241</v>
      </c>
      <c r="E22" s="173">
        <v>360753640.69999999</v>
      </c>
      <c r="F22" s="174">
        <f t="shared" si="1"/>
        <v>50404.084423928303</v>
      </c>
      <c r="G22" s="175">
        <f t="shared" si="2"/>
        <v>52672.268223005078</v>
      </c>
    </row>
    <row r="23" spans="1:7" ht="15" customHeight="1" x14ac:dyDescent="0.15">
      <c r="A23" s="169" t="s">
        <v>240</v>
      </c>
      <c r="B23" s="170">
        <v>308737380.05000001</v>
      </c>
      <c r="C23" s="171">
        <v>343643464.29000002</v>
      </c>
      <c r="D23" s="176">
        <f t="shared" si="0"/>
        <v>-34906084.24000001</v>
      </c>
      <c r="E23" s="173">
        <v>265917791.19</v>
      </c>
      <c r="F23" s="174">
        <f t="shared" si="1"/>
        <v>32910.120693229677</v>
      </c>
      <c r="G23" s="175">
        <f t="shared" si="2"/>
        <v>34391.07612442501</v>
      </c>
    </row>
    <row r="24" spans="1:7" ht="15" customHeight="1" x14ac:dyDescent="0.15">
      <c r="A24" s="169" t="s">
        <v>241</v>
      </c>
      <c r="B24" s="170">
        <v>130119774.81999999</v>
      </c>
      <c r="C24" s="171">
        <v>247391234.37000003</v>
      </c>
      <c r="D24" s="172">
        <f t="shared" si="0"/>
        <v>-117271459.55000004</v>
      </c>
      <c r="E24" s="173">
        <v>62378909.730000004</v>
      </c>
      <c r="F24" s="174">
        <f t="shared" si="1"/>
        <v>16724.443586005833</v>
      </c>
      <c r="G24" s="175">
        <f t="shared" si="2"/>
        <v>17477.043547376095</v>
      </c>
    </row>
    <row r="25" spans="1:7" ht="15" customHeight="1" x14ac:dyDescent="0.15">
      <c r="A25" s="169" t="s">
        <v>242</v>
      </c>
      <c r="B25" s="170">
        <v>80324899.020000011</v>
      </c>
      <c r="C25" s="171">
        <v>93818149.479999989</v>
      </c>
      <c r="D25" s="176">
        <f t="shared" si="0"/>
        <v>-13493250.459999979</v>
      </c>
      <c r="E25" s="173">
        <v>85134793.5</v>
      </c>
      <c r="F25" s="174">
        <f t="shared" si="1"/>
        <v>9661.6425321239603</v>
      </c>
      <c r="G25" s="175">
        <f t="shared" si="2"/>
        <v>10096.416446069539</v>
      </c>
    </row>
    <row r="26" spans="1:7" ht="15" customHeight="1" x14ac:dyDescent="0.15">
      <c r="A26" s="169" t="s">
        <v>243</v>
      </c>
      <c r="B26" s="170">
        <v>39403800</v>
      </c>
      <c r="C26" s="171">
        <v>39403800</v>
      </c>
      <c r="D26" s="172">
        <f t="shared" si="0"/>
        <v>0</v>
      </c>
      <c r="E26" s="173">
        <v>38809800</v>
      </c>
      <c r="F26" s="174">
        <f t="shared" si="1"/>
        <v>4222.7405247813413</v>
      </c>
      <c r="G26" s="175">
        <f t="shared" si="2"/>
        <v>4412.763848396502</v>
      </c>
    </row>
    <row r="27" spans="1:7" ht="15" customHeight="1" x14ac:dyDescent="0.15">
      <c r="A27" s="169" t="s">
        <v>244</v>
      </c>
      <c r="B27" s="170">
        <v>98947504.480000004</v>
      </c>
      <c r="C27" s="171">
        <v>48552003.149999999</v>
      </c>
      <c r="D27" s="172">
        <f t="shared" si="0"/>
        <v>50395501.330000006</v>
      </c>
      <c r="E27" s="173">
        <v>103460146</v>
      </c>
      <c r="F27" s="174">
        <f t="shared" si="1"/>
        <v>8207.1131168340362</v>
      </c>
      <c r="G27" s="175">
        <f t="shared" si="2"/>
        <v>8576.433207091568</v>
      </c>
    </row>
    <row r="28" spans="1:7" ht="15" customHeight="1" x14ac:dyDescent="0.15">
      <c r="A28" s="169" t="s">
        <v>245</v>
      </c>
      <c r="B28" s="170">
        <v>23870705</v>
      </c>
      <c r="C28" s="171">
        <v>23870705</v>
      </c>
      <c r="D28" s="172">
        <f t="shared" si="0"/>
        <v>0</v>
      </c>
      <c r="E28" s="173">
        <v>13117100</v>
      </c>
      <c r="F28" s="174">
        <f t="shared" si="1"/>
        <v>1996.9660403844077</v>
      </c>
      <c r="G28" s="175">
        <f t="shared" si="2"/>
        <v>2086.8295122017062</v>
      </c>
    </row>
    <row r="29" spans="1:7" ht="15" customHeight="1" x14ac:dyDescent="0.15">
      <c r="A29" s="169" t="s">
        <v>246</v>
      </c>
      <c r="B29" s="170">
        <v>22599750</v>
      </c>
      <c r="C29" s="171">
        <v>22438257.789999999</v>
      </c>
      <c r="D29" s="172">
        <f t="shared" si="0"/>
        <v>161492.21000000089</v>
      </c>
      <c r="E29" s="173"/>
      <c r="F29" s="174">
        <f t="shared" si="1"/>
        <v>1211.4381702839867</v>
      </c>
      <c r="G29" s="175">
        <f t="shared" si="2"/>
        <v>1265.9528879467662</v>
      </c>
    </row>
    <row r="30" spans="1:7" ht="15" customHeight="1" x14ac:dyDescent="0.15">
      <c r="A30" s="169" t="s">
        <v>247</v>
      </c>
      <c r="B30" s="170">
        <v>31866372.030000001</v>
      </c>
      <c r="C30" s="171">
        <v>31866372.030000001</v>
      </c>
      <c r="D30" s="172">
        <f t="shared" si="0"/>
        <v>0</v>
      </c>
      <c r="E30" s="173">
        <v>44271873.530000001</v>
      </c>
      <c r="F30" s="174">
        <f t="shared" si="1"/>
        <v>4110.6924500593886</v>
      </c>
      <c r="G30" s="175">
        <f t="shared" si="2"/>
        <v>4295.6736103120611</v>
      </c>
    </row>
    <row r="31" spans="1:7" ht="15" customHeight="1" x14ac:dyDescent="0.15">
      <c r="A31" s="169" t="s">
        <v>248</v>
      </c>
      <c r="B31" s="177">
        <v>154715032.78999999</v>
      </c>
      <c r="C31" s="178">
        <v>156209160.63999999</v>
      </c>
      <c r="D31" s="179">
        <f t="shared" si="0"/>
        <v>-1494127.849999994</v>
      </c>
      <c r="E31" s="180">
        <v>95466715.5</v>
      </c>
      <c r="F31" s="181">
        <f t="shared" si="1"/>
        <v>13587.942778317676</v>
      </c>
      <c r="G31" s="175">
        <f t="shared" si="2"/>
        <v>14199.400203341971</v>
      </c>
    </row>
    <row r="32" spans="1:7" ht="14" x14ac:dyDescent="0.15">
      <c r="A32" s="169" t="s">
        <v>249</v>
      </c>
      <c r="B32" s="170">
        <v>107519628.40000001</v>
      </c>
      <c r="C32" s="171">
        <v>107955742.33000001</v>
      </c>
      <c r="D32" s="176">
        <f t="shared" si="0"/>
        <v>-436113.93000000715</v>
      </c>
      <c r="E32" s="173">
        <v>100621917.40000001</v>
      </c>
      <c r="F32" s="174">
        <f t="shared" si="1"/>
        <v>11261.076543029911</v>
      </c>
      <c r="G32" s="175">
        <f t="shared" si="2"/>
        <v>11767.824987466256</v>
      </c>
    </row>
    <row r="33" spans="1:7" ht="15" customHeight="1" x14ac:dyDescent="0.15">
      <c r="A33" s="169" t="s">
        <v>250</v>
      </c>
      <c r="B33" s="170">
        <v>242361021.09999999</v>
      </c>
      <c r="C33" s="171">
        <v>238122571.44999999</v>
      </c>
      <c r="D33" s="172">
        <f t="shared" si="0"/>
        <v>4238449.650000006</v>
      </c>
      <c r="E33" s="173">
        <v>234480281.09999999</v>
      </c>
      <c r="F33" s="174">
        <f t="shared" si="1"/>
        <v>25515.757075369827</v>
      </c>
      <c r="G33" s="175">
        <f t="shared" si="2"/>
        <v>26663.96614376147</v>
      </c>
    </row>
    <row r="34" spans="1:7" ht="15" customHeight="1" x14ac:dyDescent="0.15">
      <c r="A34" s="169" t="s">
        <v>251</v>
      </c>
      <c r="B34" s="170">
        <v>453062883.43000001</v>
      </c>
      <c r="C34" s="171">
        <v>423247538.38</v>
      </c>
      <c r="D34" s="172">
        <f t="shared" si="0"/>
        <v>29815345.050000012</v>
      </c>
      <c r="E34" s="173">
        <v>354766478.02999997</v>
      </c>
      <c r="F34" s="174">
        <f t="shared" si="1"/>
        <v>42004.859972465172</v>
      </c>
      <c r="G34" s="175">
        <f t="shared" si="2"/>
        <v>43895.078671226103</v>
      </c>
    </row>
    <row r="35" spans="1:7" ht="15" customHeight="1" x14ac:dyDescent="0.15">
      <c r="A35" s="169" t="s">
        <v>252</v>
      </c>
      <c r="B35" s="170">
        <v>89343232.450000003</v>
      </c>
      <c r="C35" s="171"/>
      <c r="D35" s="176">
        <f t="shared" si="0"/>
        <v>89343232.450000003</v>
      </c>
      <c r="E35" s="173">
        <v>89343232.450000003</v>
      </c>
      <c r="F35" s="174">
        <f t="shared" si="1"/>
        <v>4823.627710290466</v>
      </c>
      <c r="G35" s="175">
        <f t="shared" si="2"/>
        <v>5040.6909572535369</v>
      </c>
    </row>
    <row r="36" spans="1:7" ht="15" customHeight="1" x14ac:dyDescent="0.15">
      <c r="A36" s="169" t="s">
        <v>253</v>
      </c>
      <c r="B36" s="170">
        <v>4145400</v>
      </c>
      <c r="C36" s="171"/>
      <c r="D36" s="172">
        <f t="shared" si="0"/>
        <v>4145400</v>
      </c>
      <c r="E36" s="173">
        <v>3510000</v>
      </c>
      <c r="F36" s="174">
        <f t="shared" si="1"/>
        <v>189.50437317784255</v>
      </c>
      <c r="G36" s="175">
        <f t="shared" si="2"/>
        <v>198.03206997084547</v>
      </c>
    </row>
    <row r="37" spans="1:7" ht="15" customHeight="1" x14ac:dyDescent="0.15">
      <c r="A37" s="169" t="s">
        <v>254</v>
      </c>
      <c r="B37" s="170">
        <v>29185686.800000001</v>
      </c>
      <c r="C37" s="171">
        <v>51661970</v>
      </c>
      <c r="D37" s="172">
        <f t="shared" si="0"/>
        <v>-22476283.199999999</v>
      </c>
      <c r="E37" s="173">
        <v>28700952.199999999</v>
      </c>
      <c r="F37" s="174">
        <f t="shared" si="1"/>
        <v>4338.7821077637409</v>
      </c>
      <c r="G37" s="175">
        <f t="shared" si="2"/>
        <v>4534.027302613109</v>
      </c>
    </row>
    <row r="38" spans="1:7" ht="15" customHeight="1" x14ac:dyDescent="0.15">
      <c r="A38" s="169" t="s">
        <v>255</v>
      </c>
      <c r="B38" s="170">
        <v>64664592.5</v>
      </c>
      <c r="C38" s="171">
        <v>7512774.1299999999</v>
      </c>
      <c r="D38" s="172">
        <f t="shared" si="0"/>
        <v>57151818.369999997</v>
      </c>
      <c r="E38" s="173">
        <v>0</v>
      </c>
      <c r="F38" s="174">
        <f t="shared" si="1"/>
        <v>405.61354767303749</v>
      </c>
      <c r="G38" s="175">
        <f t="shared" si="2"/>
        <v>423.86615731832416</v>
      </c>
    </row>
    <row r="39" spans="1:7" ht="15" customHeight="1" x14ac:dyDescent="0.15">
      <c r="A39" s="169" t="s">
        <v>256</v>
      </c>
      <c r="B39" s="170">
        <v>943707736.60000002</v>
      </c>
      <c r="C39" s="171">
        <v>990529058.38</v>
      </c>
      <c r="D39" s="176">
        <f t="shared" si="0"/>
        <v>-46821321.779999971</v>
      </c>
      <c r="E39" s="173">
        <v>940630599.10000002</v>
      </c>
      <c r="F39" s="174">
        <f t="shared" si="1"/>
        <v>104263.02005614944</v>
      </c>
      <c r="G39" s="175">
        <f t="shared" si="2"/>
        <v>108954.85595867617</v>
      </c>
    </row>
    <row r="40" spans="1:7" ht="15" customHeight="1" x14ac:dyDescent="0.15">
      <c r="A40" s="169" t="s">
        <v>257</v>
      </c>
      <c r="B40" s="170">
        <v>173694322.08000001</v>
      </c>
      <c r="C40" s="171">
        <v>15002022.08</v>
      </c>
      <c r="D40" s="172">
        <f t="shared" si="0"/>
        <v>158692300</v>
      </c>
      <c r="E40" s="173">
        <v>0</v>
      </c>
      <c r="F40" s="174">
        <f t="shared" si="1"/>
        <v>809.9569204189612</v>
      </c>
      <c r="G40" s="175">
        <f t="shared" si="2"/>
        <v>846.40498183781449</v>
      </c>
    </row>
    <row r="41" spans="1:7" ht="15" customHeight="1" x14ac:dyDescent="0.15">
      <c r="A41" s="169" t="s">
        <v>258</v>
      </c>
      <c r="B41" s="170">
        <v>0</v>
      </c>
      <c r="C41" s="171"/>
      <c r="D41" s="176">
        <f t="shared" si="0"/>
        <v>0</v>
      </c>
      <c r="E41" s="173">
        <v>4049997.21</v>
      </c>
      <c r="F41" s="174">
        <f t="shared" si="1"/>
        <v>218.65874149659865</v>
      </c>
      <c r="G41" s="175">
        <f t="shared" si="2"/>
        <v>228.4983848639456</v>
      </c>
    </row>
    <row r="42" spans="1:7" ht="15" customHeight="1" thickBot="1" x14ac:dyDescent="0.2">
      <c r="A42" s="169" t="s">
        <v>259</v>
      </c>
      <c r="B42" s="182">
        <v>0</v>
      </c>
      <c r="C42" s="183">
        <v>0</v>
      </c>
      <c r="D42" s="184">
        <f t="shared" si="0"/>
        <v>0</v>
      </c>
      <c r="E42" s="173"/>
      <c r="F42" s="174">
        <f t="shared" si="1"/>
        <v>0</v>
      </c>
      <c r="G42" s="175">
        <f t="shared" si="2"/>
        <v>0</v>
      </c>
    </row>
    <row r="43" spans="1:7" x14ac:dyDescent="0.15">
      <c r="B43" s="185">
        <f t="shared" ref="B43:G43" si="3">SUM(B5:B42)</f>
        <v>23015064790.172501</v>
      </c>
      <c r="C43" s="185">
        <f t="shared" si="3"/>
        <v>22997425230.260002</v>
      </c>
      <c r="D43" s="185">
        <f t="shared" si="3"/>
        <v>17639559.912501514</v>
      </c>
      <c r="E43" s="186">
        <f t="shared" si="3"/>
        <v>11969677803.630003</v>
      </c>
      <c r="F43" s="187">
        <f t="shared" si="3"/>
        <v>1887868.6445248893</v>
      </c>
      <c r="G43" s="187">
        <f t="shared" si="3"/>
        <v>1972822.7335285095</v>
      </c>
    </row>
    <row r="48" spans="1:7" s="192" customFormat="1" ht="31.5" customHeight="1" x14ac:dyDescent="0.15">
      <c r="A48" s="188" t="s">
        <v>260</v>
      </c>
      <c r="B48" s="189" t="s">
        <v>261</v>
      </c>
      <c r="C48" s="190" t="s">
        <v>262</v>
      </c>
      <c r="D48" s="190" t="s">
        <v>263</v>
      </c>
      <c r="E48" s="191"/>
    </row>
    <row r="49" spans="1:6" x14ac:dyDescent="0.15">
      <c r="A49" s="193" t="s">
        <v>264</v>
      </c>
      <c r="B49" s="194">
        <f>G43</f>
        <v>1972822.7335285095</v>
      </c>
      <c r="C49" s="195">
        <v>0.26499990000000001</v>
      </c>
      <c r="D49" s="194">
        <f t="shared" ref="D49:D56" si="4">B49*C49+(B49)</f>
        <v>2495620.560631291</v>
      </c>
    </row>
    <row r="50" spans="1:6" x14ac:dyDescent="0.15">
      <c r="A50" s="196" t="s">
        <v>265</v>
      </c>
      <c r="B50" s="197">
        <v>1500000</v>
      </c>
      <c r="C50" s="198">
        <v>0.26499990000000001</v>
      </c>
      <c r="D50" s="197">
        <f t="shared" si="4"/>
        <v>1897499.85</v>
      </c>
    </row>
    <row r="51" spans="1:6" x14ac:dyDescent="0.15">
      <c r="A51" s="196" t="s">
        <v>266</v>
      </c>
      <c r="B51" s="197">
        <v>1300000</v>
      </c>
      <c r="C51" s="198">
        <v>0.26499990000000001</v>
      </c>
      <c r="D51" s="197">
        <f t="shared" si="4"/>
        <v>1644499.87</v>
      </c>
    </row>
    <row r="52" spans="1:6" x14ac:dyDescent="0.15">
      <c r="A52" s="199" t="s">
        <v>267</v>
      </c>
      <c r="B52" s="200">
        <f>B49*0.65</f>
        <v>1282334.7767935311</v>
      </c>
      <c r="C52" s="201">
        <v>0.26499990000000001</v>
      </c>
      <c r="D52" s="200">
        <f t="shared" si="4"/>
        <v>1622153.3644103392</v>
      </c>
    </row>
    <row r="53" spans="1:6" x14ac:dyDescent="0.15">
      <c r="A53" s="199" t="s">
        <v>268</v>
      </c>
      <c r="B53" s="200">
        <f>B49*0.5</f>
        <v>986411.36676425475</v>
      </c>
      <c r="C53" s="201">
        <v>0.26499990000000001</v>
      </c>
      <c r="D53" s="200">
        <f t="shared" si="4"/>
        <v>1247810.2803156455</v>
      </c>
    </row>
    <row r="54" spans="1:6" x14ac:dyDescent="0.15">
      <c r="A54" s="199" t="s">
        <v>269</v>
      </c>
      <c r="B54" s="200">
        <f>B55*0.65</f>
        <v>1346451.5156332077</v>
      </c>
      <c r="C54" s="201">
        <v>0.26499990000000001</v>
      </c>
      <c r="D54" s="200">
        <f t="shared" si="4"/>
        <v>1703261.0326308561</v>
      </c>
    </row>
    <row r="55" spans="1:6" x14ac:dyDescent="0.15">
      <c r="A55" s="202" t="s">
        <v>270</v>
      </c>
      <c r="B55" s="203">
        <f>B49*1.05</f>
        <v>2071463.8702049351</v>
      </c>
      <c r="C55" s="204">
        <v>0.26499990000000001</v>
      </c>
      <c r="D55" s="203">
        <f t="shared" si="4"/>
        <v>2620401.5886628558</v>
      </c>
    </row>
    <row r="56" spans="1:6" x14ac:dyDescent="0.15">
      <c r="A56" s="205" t="s">
        <v>271</v>
      </c>
      <c r="B56" s="206">
        <f>B55*0.9</f>
        <v>1864317.4831844417</v>
      </c>
      <c r="C56" s="207">
        <v>0.26499990000000001</v>
      </c>
      <c r="D56" s="206">
        <f t="shared" si="4"/>
        <v>2358361.4297965704</v>
      </c>
    </row>
    <row r="57" spans="1:6" x14ac:dyDescent="0.15">
      <c r="A57" s="208" t="s">
        <v>272</v>
      </c>
      <c r="B57" s="209">
        <v>710547.76993737614</v>
      </c>
      <c r="C57" s="210">
        <v>0.26499990000000001</v>
      </c>
      <c r="D57" s="209">
        <f>(B57*C57+(B57))*$E$62</f>
        <v>947470.25652925961</v>
      </c>
      <c r="E57" s="211">
        <v>1</v>
      </c>
      <c r="F57" s="212">
        <f>D57/1000</f>
        <v>947.47025652925959</v>
      </c>
    </row>
    <row r="58" spans="1:6" x14ac:dyDescent="0.15">
      <c r="A58" s="208" t="s">
        <v>273</v>
      </c>
      <c r="B58" s="209">
        <v>797658.03876849252</v>
      </c>
      <c r="C58" s="210">
        <v>0.26499990000000001</v>
      </c>
      <c r="D58" s="209">
        <f>(B58*C58+(B58))*$E$62</f>
        <v>1063626.2593311891</v>
      </c>
      <c r="E58" s="211">
        <v>2</v>
      </c>
      <c r="F58" s="212">
        <f>D58/1000</f>
        <v>1063.6262593311892</v>
      </c>
    </row>
    <row r="59" spans="1:6" x14ac:dyDescent="0.15">
      <c r="A59" s="208" t="s">
        <v>274</v>
      </c>
      <c r="B59" s="209">
        <v>895447.672530271</v>
      </c>
      <c r="C59" s="210">
        <v>0.26499990000000001</v>
      </c>
      <c r="D59" s="209">
        <f>(B59*C59+(B59))*$E$62</f>
        <v>1194022.5160027717</v>
      </c>
      <c r="E59" s="211">
        <v>3</v>
      </c>
      <c r="F59" s="212">
        <f>D59/1000</f>
        <v>1194.0225160027717</v>
      </c>
    </row>
    <row r="60" spans="1:6" x14ac:dyDescent="0.15">
      <c r="A60" s="208" t="s">
        <v>275</v>
      </c>
      <c r="B60" s="209">
        <v>1005225.9179608129</v>
      </c>
      <c r="C60" s="210">
        <v>0.26499990000000001</v>
      </c>
      <c r="D60" s="209">
        <f>(B60*C60+(B60))*$E$62</f>
        <v>1340404.8237940895</v>
      </c>
      <c r="E60" s="211">
        <v>4</v>
      </c>
      <c r="F60" s="212">
        <f>D60/1000</f>
        <v>1340.4048237940895</v>
      </c>
    </row>
    <row r="61" spans="1:6" x14ac:dyDescent="0.15">
      <c r="C61" s="213"/>
      <c r="D61" s="213"/>
    </row>
    <row r="62" spans="1:6" ht="21" customHeight="1" x14ac:dyDescent="0.15">
      <c r="A62" s="214" t="s">
        <v>276</v>
      </c>
      <c r="B62" s="215">
        <f>B50</f>
        <v>1500000</v>
      </c>
      <c r="C62" s="216">
        <v>0.26499990000000001</v>
      </c>
      <c r="D62" s="215">
        <f>(B62*C62+(B62))*$E$62+F62</f>
        <v>2400154.5918850005</v>
      </c>
      <c r="E62" s="217">
        <f>(1+TABLAS!E143+TABLAS!E142)</f>
        <v>1.0541</v>
      </c>
      <c r="F62" s="156">
        <v>400000</v>
      </c>
    </row>
    <row r="63" spans="1:6" x14ac:dyDescent="0.15">
      <c r="A63" s="196" t="s">
        <v>266</v>
      </c>
      <c r="B63" s="218">
        <f>B51</f>
        <v>1300000</v>
      </c>
      <c r="C63" s="198">
        <v>0.26499990000000001</v>
      </c>
      <c r="D63" s="218">
        <f t="shared" ref="D63:D68" si="5">(B63*C63+(B63))*$E$62</f>
        <v>1733467.3129670001</v>
      </c>
    </row>
    <row r="64" spans="1:6" x14ac:dyDescent="0.15">
      <c r="A64" s="199" t="s">
        <v>277</v>
      </c>
      <c r="B64" s="219">
        <v>1000000</v>
      </c>
      <c r="C64" s="201">
        <v>0.26499990000000001</v>
      </c>
      <c r="D64" s="219">
        <f t="shared" si="5"/>
        <v>1333436.3945899999</v>
      </c>
    </row>
    <row r="65" spans="1:4" s="160" customFormat="1" x14ac:dyDescent="0.15">
      <c r="A65" s="199" t="s">
        <v>278</v>
      </c>
      <c r="B65" s="219">
        <v>900000</v>
      </c>
      <c r="C65" s="201">
        <v>0.26499990000000001</v>
      </c>
      <c r="D65" s="219">
        <f t="shared" si="5"/>
        <v>1200092.755131</v>
      </c>
    </row>
    <row r="66" spans="1:4" s="160" customFormat="1" x14ac:dyDescent="0.15">
      <c r="A66" s="199" t="s">
        <v>279</v>
      </c>
      <c r="B66" s="219">
        <v>1100000</v>
      </c>
      <c r="C66" s="201">
        <v>0.26499990000000001</v>
      </c>
      <c r="D66" s="219">
        <f t="shared" si="5"/>
        <v>1466780.0340490001</v>
      </c>
    </row>
    <row r="67" spans="1:4" s="160" customFormat="1" x14ac:dyDescent="0.15">
      <c r="A67" s="202" t="s">
        <v>280</v>
      </c>
      <c r="B67" s="220">
        <v>1550000</v>
      </c>
      <c r="C67" s="204">
        <v>0.26499990000000001</v>
      </c>
      <c r="D67" s="220">
        <f t="shared" si="5"/>
        <v>2066826.4116145</v>
      </c>
    </row>
    <row r="68" spans="1:4" s="160" customFormat="1" x14ac:dyDescent="0.15">
      <c r="A68" s="205" t="s">
        <v>281</v>
      </c>
      <c r="B68" s="221">
        <f>B67*0.8</f>
        <v>1240000</v>
      </c>
      <c r="C68" s="207">
        <v>0.26499990000000001</v>
      </c>
      <c r="D68" s="221">
        <f t="shared" si="5"/>
        <v>1653461.1292916001</v>
      </c>
    </row>
  </sheetData>
  <mergeCells count="3">
    <mergeCell ref="B1:F1"/>
    <mergeCell ref="A3:A4"/>
    <mergeCell ref="B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B9FC6-812A-F243-B151-742E9B81D5EE}">
  <sheetPr>
    <tabColor theme="8" tint="-0.249977111117893"/>
  </sheetPr>
  <dimension ref="C1:U143"/>
  <sheetViews>
    <sheetView showGridLines="0" zoomScale="131" zoomScaleNormal="164" workbookViewId="0">
      <selection activeCell="D6" sqref="D6:E11"/>
    </sheetView>
  </sheetViews>
  <sheetFormatPr baseColWidth="10" defaultColWidth="10.83203125" defaultRowHeight="15" x14ac:dyDescent="0.2"/>
  <cols>
    <col min="1" max="2" width="10.83203125" style="155"/>
    <col min="3" max="3" width="33.6640625" style="155" bestFit="1" customWidth="1"/>
    <col min="4" max="5" width="15.33203125" style="155" customWidth="1"/>
    <col min="6" max="6" width="17" style="155" customWidth="1"/>
    <col min="7" max="7" width="10.83203125" style="155"/>
    <col min="8" max="8" width="19" style="155" bestFit="1" customWidth="1"/>
    <col min="9" max="9" width="13.83203125" style="155" bestFit="1" customWidth="1"/>
    <col min="10" max="17" width="10.83203125" style="155"/>
    <col min="18" max="18" width="52" style="155" bestFit="1" customWidth="1"/>
    <col min="19" max="19" width="16.5" style="155" customWidth="1"/>
    <col min="20" max="20" width="12.6640625" style="155" bestFit="1" customWidth="1"/>
    <col min="21" max="21" width="13.5" style="155" bestFit="1" customWidth="1"/>
    <col min="22" max="16384" width="10.83203125" style="155"/>
  </cols>
  <sheetData>
    <row r="1" spans="3:21" x14ac:dyDescent="0.2">
      <c r="C1" s="223" t="s">
        <v>282</v>
      </c>
      <c r="D1" s="224">
        <v>908.52599999999995</v>
      </c>
      <c r="S1" s="225">
        <v>0.1</v>
      </c>
    </row>
    <row r="2" spans="3:21" x14ac:dyDescent="0.2">
      <c r="S2" s="155" t="s">
        <v>283</v>
      </c>
      <c r="T2" s="155" t="s">
        <v>284</v>
      </c>
    </row>
    <row r="3" spans="3:21" ht="29" customHeight="1" x14ac:dyDescent="0.2">
      <c r="C3" s="226" t="s">
        <v>285</v>
      </c>
      <c r="D3" s="226"/>
      <c r="E3" s="226"/>
      <c r="R3" s="226" t="s">
        <v>285</v>
      </c>
      <c r="S3" s="226"/>
      <c r="T3" s="226"/>
      <c r="U3" s="226"/>
    </row>
    <row r="4" spans="3:21" x14ac:dyDescent="0.2">
      <c r="C4" s="227" t="s">
        <v>286</v>
      </c>
      <c r="D4" s="228" t="s">
        <v>287</v>
      </c>
      <c r="E4" s="468" t="s">
        <v>387</v>
      </c>
      <c r="F4" s="228" t="s">
        <v>288</v>
      </c>
      <c r="R4" s="227" t="s">
        <v>286</v>
      </c>
      <c r="S4" s="228" t="s">
        <v>287</v>
      </c>
      <c r="T4" s="228" t="s">
        <v>287</v>
      </c>
      <c r="U4" s="228" t="s">
        <v>288</v>
      </c>
    </row>
    <row r="5" spans="3:21" x14ac:dyDescent="0.2">
      <c r="C5" s="229">
        <v>1.3</v>
      </c>
      <c r="D5" s="229">
        <v>0</v>
      </c>
      <c r="E5" s="229">
        <v>0</v>
      </c>
      <c r="F5" s="229">
        <v>0</v>
      </c>
      <c r="R5" s="229">
        <v>1.3</v>
      </c>
      <c r="S5" s="230"/>
      <c r="T5" s="229">
        <v>0</v>
      </c>
      <c r="U5" s="229">
        <v>0</v>
      </c>
    </row>
    <row r="6" spans="3:21" x14ac:dyDescent="0.2">
      <c r="C6" s="229">
        <v>2</v>
      </c>
      <c r="D6" s="231">
        <v>0.2</v>
      </c>
      <c r="E6" s="231">
        <v>0.2</v>
      </c>
      <c r="F6" s="232">
        <v>0</v>
      </c>
      <c r="R6" s="229">
        <v>3</v>
      </c>
      <c r="S6" s="232">
        <f>T6-$S$1</f>
        <v>0.17</v>
      </c>
      <c r="T6" s="231">
        <v>0.27</v>
      </c>
      <c r="U6" s="231">
        <v>0</v>
      </c>
    </row>
    <row r="7" spans="3:21" x14ac:dyDescent="0.2">
      <c r="C7" s="229">
        <v>3</v>
      </c>
      <c r="D7" s="231">
        <v>0.27</v>
      </c>
      <c r="E7" s="231">
        <v>0.2</v>
      </c>
      <c r="F7" s="231">
        <v>7.0000000000000007E-2</v>
      </c>
      <c r="R7" s="229">
        <v>4</v>
      </c>
      <c r="S7" s="232">
        <f>T7-$S$1</f>
        <v>0.18000000000000002</v>
      </c>
      <c r="T7" s="231">
        <v>0.28000000000000003</v>
      </c>
      <c r="U7" s="231">
        <v>0.1</v>
      </c>
    </row>
    <row r="8" spans="3:21" x14ac:dyDescent="0.2">
      <c r="C8" s="229">
        <v>4</v>
      </c>
      <c r="D8" s="231">
        <v>0.38</v>
      </c>
      <c r="E8" s="231">
        <v>0.2</v>
      </c>
      <c r="F8" s="231">
        <v>0.18</v>
      </c>
      <c r="R8" s="229">
        <v>5</v>
      </c>
      <c r="S8" s="232">
        <f>T8-$S$1</f>
        <v>0.26</v>
      </c>
      <c r="T8" s="231">
        <v>0.36</v>
      </c>
      <c r="U8" s="231">
        <v>0.15</v>
      </c>
    </row>
    <row r="9" spans="3:21" x14ac:dyDescent="0.2">
      <c r="C9" s="233">
        <v>5</v>
      </c>
      <c r="D9" s="234">
        <v>0.51</v>
      </c>
      <c r="E9" s="234">
        <v>0.25</v>
      </c>
      <c r="F9" s="234">
        <v>0.26</v>
      </c>
      <c r="R9" s="233">
        <v>6</v>
      </c>
      <c r="S9" s="232">
        <f>T9-$S$1</f>
        <v>0.35</v>
      </c>
      <c r="T9" s="234">
        <v>0.45</v>
      </c>
      <c r="U9" s="234">
        <v>0.2</v>
      </c>
    </row>
    <row r="10" spans="3:21" x14ac:dyDescent="0.2">
      <c r="C10" s="229">
        <v>6</v>
      </c>
      <c r="D10" s="231">
        <v>0.65</v>
      </c>
      <c r="E10" s="231">
        <v>0.3</v>
      </c>
      <c r="F10" s="231">
        <v>0.35</v>
      </c>
      <c r="R10" s="229">
        <v>11</v>
      </c>
      <c r="S10" s="232">
        <f>T10-$S$1</f>
        <v>0.39</v>
      </c>
      <c r="T10" s="231">
        <v>0.49</v>
      </c>
      <c r="U10" s="231">
        <v>0.3</v>
      </c>
    </row>
    <row r="11" spans="3:21" x14ac:dyDescent="0.2">
      <c r="C11" s="229">
        <v>6</v>
      </c>
      <c r="D11" s="231">
        <v>0.79</v>
      </c>
      <c r="E11" s="231">
        <v>0.35</v>
      </c>
      <c r="F11" s="231">
        <v>0.44</v>
      </c>
    </row>
    <row r="16" spans="3:21" ht="23" customHeight="1" x14ac:dyDescent="0.2">
      <c r="C16" s="226" t="s">
        <v>289</v>
      </c>
      <c r="D16" s="235" t="s">
        <v>290</v>
      </c>
      <c r="E16" s="235" t="s">
        <v>291</v>
      </c>
      <c r="K16" s="236" t="s">
        <v>292</v>
      </c>
    </row>
    <row r="17" spans="3:13" ht="22" customHeight="1" x14ac:dyDescent="0.2">
      <c r="D17" s="233">
        <v>5</v>
      </c>
      <c r="E17" s="233">
        <v>0</v>
      </c>
    </row>
    <row r="18" spans="3:13" ht="22" customHeight="1" x14ac:dyDescent="0.2">
      <c r="D18" s="233">
        <v>6</v>
      </c>
      <c r="E18" s="233">
        <v>0.03</v>
      </c>
    </row>
    <row r="19" spans="3:13" ht="22" customHeight="1" x14ac:dyDescent="0.2"/>
    <row r="20" spans="3:13" ht="22" customHeight="1" x14ac:dyDescent="0.2">
      <c r="C20" s="237" t="s">
        <v>293</v>
      </c>
      <c r="D20" s="235" t="s">
        <v>294</v>
      </c>
      <c r="E20" s="235" t="s">
        <v>295</v>
      </c>
    </row>
    <row r="21" spans="3:13" ht="22" customHeight="1" x14ac:dyDescent="0.2">
      <c r="C21" s="238" t="s">
        <v>296</v>
      </c>
      <c r="D21" s="234">
        <v>0.4</v>
      </c>
      <c r="E21" s="234">
        <v>0.25</v>
      </c>
      <c r="F21" s="239" t="s">
        <v>297</v>
      </c>
    </row>
    <row r="22" spans="3:13" ht="22" customHeight="1" x14ac:dyDescent="0.2">
      <c r="C22" s="238" t="s">
        <v>298</v>
      </c>
      <c r="D22" s="234">
        <v>0</v>
      </c>
      <c r="E22" s="234">
        <v>0</v>
      </c>
      <c r="F22" s="239" t="s">
        <v>299</v>
      </c>
    </row>
    <row r="23" spans="3:13" ht="22" customHeight="1" x14ac:dyDescent="0.2">
      <c r="D23" s="240"/>
      <c r="E23" s="240"/>
    </row>
    <row r="24" spans="3:13" ht="22" customHeight="1" x14ac:dyDescent="0.2">
      <c r="C24" s="241">
        <v>1</v>
      </c>
      <c r="D24" s="241">
        <v>2</v>
      </c>
      <c r="E24" s="241">
        <v>3</v>
      </c>
    </row>
    <row r="25" spans="3:13" s="243" customFormat="1" ht="22" customHeight="1" x14ac:dyDescent="0.2">
      <c r="C25" s="242" t="s">
        <v>300</v>
      </c>
      <c r="D25" s="243" t="s">
        <v>301</v>
      </c>
      <c r="E25" s="243" t="s">
        <v>302</v>
      </c>
    </row>
    <row r="26" spans="3:13" ht="22" customHeight="1" x14ac:dyDescent="0.2">
      <c r="C26" s="233" t="s">
        <v>303</v>
      </c>
      <c r="D26" s="244">
        <v>0</v>
      </c>
      <c r="E26" s="244">
        <v>0</v>
      </c>
    </row>
    <row r="27" spans="3:13" ht="22" customHeight="1" x14ac:dyDescent="0.2">
      <c r="C27" s="233" t="s">
        <v>304</v>
      </c>
      <c r="D27" s="244">
        <v>0</v>
      </c>
      <c r="E27" s="244">
        <v>0</v>
      </c>
    </row>
    <row r="28" spans="3:13" ht="22" customHeight="1" x14ac:dyDescent="0.2">
      <c r="C28" s="233" t="s">
        <v>305</v>
      </c>
      <c r="D28" s="244">
        <f>2436603.01/1000</f>
        <v>2436.6030099999998</v>
      </c>
      <c r="E28" s="244">
        <f>3168404.49/1000</f>
        <v>3168.4044900000004</v>
      </c>
    </row>
    <row r="29" spans="3:13" ht="22" customHeight="1" x14ac:dyDescent="0.2"/>
    <row r="30" spans="3:13" ht="22" customHeight="1" x14ac:dyDescent="0.2"/>
    <row r="31" spans="3:13" x14ac:dyDescent="0.2">
      <c r="C31" s="241">
        <v>1</v>
      </c>
      <c r="D31" s="241">
        <v>2</v>
      </c>
      <c r="E31" s="241">
        <v>3</v>
      </c>
      <c r="F31" s="241">
        <v>4</v>
      </c>
      <c r="G31" s="241">
        <v>5</v>
      </c>
      <c r="H31" s="241">
        <v>6</v>
      </c>
      <c r="I31" s="241">
        <v>7</v>
      </c>
      <c r="J31" s="241">
        <v>8</v>
      </c>
      <c r="K31" s="241">
        <v>9</v>
      </c>
      <c r="L31" s="241">
        <v>10</v>
      </c>
      <c r="M31" s="241">
        <v>11</v>
      </c>
    </row>
    <row r="32" spans="3:13" s="243" customFormat="1" ht="21" customHeight="1" x14ac:dyDescent="0.2">
      <c r="C32" s="237" t="s">
        <v>306</v>
      </c>
      <c r="D32" s="245" t="s">
        <v>307</v>
      </c>
      <c r="E32" s="245" t="s">
        <v>308</v>
      </c>
      <c r="F32" s="245" t="s">
        <v>309</v>
      </c>
      <c r="G32" s="245" t="s">
        <v>310</v>
      </c>
      <c r="H32" s="245" t="s">
        <v>311</v>
      </c>
      <c r="I32" s="245" t="s">
        <v>312</v>
      </c>
      <c r="J32" s="245" t="s">
        <v>313</v>
      </c>
      <c r="K32" s="245" t="s">
        <v>314</v>
      </c>
      <c r="L32" s="245" t="s">
        <v>315</v>
      </c>
      <c r="M32" s="243" t="s">
        <v>316</v>
      </c>
    </row>
    <row r="33" spans="3:13" x14ac:dyDescent="0.2">
      <c r="C33" s="229">
        <v>1</v>
      </c>
      <c r="D33" s="246">
        <v>2E-3</v>
      </c>
      <c r="E33" s="247">
        <v>3.5999999999999999E-3</v>
      </c>
      <c r="F33" s="248">
        <v>0</v>
      </c>
      <c r="G33" s="246">
        <v>4.6999999999999993E-3</v>
      </c>
      <c r="H33" s="246">
        <v>6.0000000000000001E-3</v>
      </c>
      <c r="I33" s="246">
        <v>4.4000000000000003E-3</v>
      </c>
      <c r="J33" s="246">
        <v>3.7000000000000002E-3</v>
      </c>
      <c r="K33" s="246">
        <v>3.3E-3</v>
      </c>
      <c r="L33" s="246">
        <v>3.0000000000000001E-3</v>
      </c>
      <c r="M33" s="249">
        <v>0.2</v>
      </c>
    </row>
    <row r="34" spans="3:13" x14ac:dyDescent="0.2">
      <c r="C34" s="229">
        <v>2</v>
      </c>
      <c r="D34" s="246">
        <v>6.7000000000000002E-3</v>
      </c>
      <c r="E34" s="247">
        <v>9.0000000000000011E-3</v>
      </c>
      <c r="F34" s="247">
        <v>1.6299999999999999E-2</v>
      </c>
      <c r="G34" s="246">
        <v>1.38E-2</v>
      </c>
      <c r="H34" s="246">
        <v>7.9000000000000008E-3</v>
      </c>
      <c r="I34" s="246">
        <v>7.7000000000000002E-3</v>
      </c>
      <c r="J34" s="246">
        <v>8.8000000000000005E-3</v>
      </c>
      <c r="K34" s="246">
        <v>5.8999999999999999E-3</v>
      </c>
      <c r="L34" s="246">
        <v>6.7000000000000002E-3</v>
      </c>
      <c r="M34" s="249">
        <v>0.3</v>
      </c>
    </row>
    <row r="35" spans="3:13" x14ac:dyDescent="0.2">
      <c r="C35" s="229">
        <v>3</v>
      </c>
      <c r="D35" s="246">
        <v>3.0899999999999997E-2</v>
      </c>
      <c r="E35" s="247">
        <v>3.9100000000000003E-2</v>
      </c>
      <c r="F35" s="247">
        <v>2.35E-2</v>
      </c>
      <c r="G35" s="250">
        <v>0</v>
      </c>
      <c r="H35" s="250">
        <v>0</v>
      </c>
      <c r="I35" s="250">
        <v>0</v>
      </c>
      <c r="J35" s="250">
        <v>0</v>
      </c>
      <c r="K35" s="250">
        <v>0</v>
      </c>
      <c r="L35" s="250">
        <v>0</v>
      </c>
      <c r="M35" s="249">
        <v>0.4</v>
      </c>
    </row>
    <row r="36" spans="3:13" x14ac:dyDescent="0.2">
      <c r="C36" s="229">
        <v>0</v>
      </c>
      <c r="K36" s="251"/>
      <c r="L36" s="251"/>
    </row>
    <row r="42" spans="3:13" x14ac:dyDescent="0.2">
      <c r="C42" s="709" t="s">
        <v>317</v>
      </c>
      <c r="D42" s="709"/>
      <c r="E42" s="709"/>
    </row>
    <row r="43" spans="3:13" x14ac:dyDescent="0.2">
      <c r="C43" s="233">
        <v>2001</v>
      </c>
      <c r="D43" s="252">
        <v>286000</v>
      </c>
      <c r="E43" s="253">
        <v>9.9599999999999994E-2</v>
      </c>
    </row>
    <row r="44" spans="3:13" x14ac:dyDescent="0.2">
      <c r="C44" s="229">
        <v>2002</v>
      </c>
      <c r="D44" s="254">
        <v>309000</v>
      </c>
      <c r="E44" s="247">
        <v>8.0399999999999999E-2</v>
      </c>
    </row>
    <row r="45" spans="3:13" x14ac:dyDescent="0.2">
      <c r="C45" s="229">
        <v>2003</v>
      </c>
      <c r="D45" s="254">
        <v>332000</v>
      </c>
      <c r="E45" s="247">
        <v>7.4399999999999994E-2</v>
      </c>
      <c r="H45" s="155" t="s">
        <v>318</v>
      </c>
    </row>
    <row r="46" spans="3:13" x14ac:dyDescent="0.2">
      <c r="C46" s="229">
        <v>2004</v>
      </c>
      <c r="D46" s="254">
        <v>358000</v>
      </c>
      <c r="E46" s="247">
        <v>7.8299999999999995E-2</v>
      </c>
      <c r="H46" s="155" t="s">
        <v>319</v>
      </c>
      <c r="I46" s="155" t="s">
        <v>320</v>
      </c>
    </row>
    <row r="47" spans="3:13" x14ac:dyDescent="0.2">
      <c r="C47" s="233">
        <v>2005</v>
      </c>
      <c r="D47" s="252">
        <v>381500</v>
      </c>
      <c r="E47" s="253">
        <v>6.5600000000000006E-2</v>
      </c>
      <c r="H47" s="155" t="s">
        <v>321</v>
      </c>
    </row>
    <row r="48" spans="3:13" x14ac:dyDescent="0.2">
      <c r="C48" s="233">
        <v>2006</v>
      </c>
      <c r="D48" s="252">
        <v>408000</v>
      </c>
      <c r="E48" s="253">
        <v>6.9500000000000006E-2</v>
      </c>
      <c r="H48" s="155" t="s">
        <v>322</v>
      </c>
    </row>
    <row r="49" spans="3:15" x14ac:dyDescent="0.2">
      <c r="C49" s="233">
        <v>2007</v>
      </c>
      <c r="D49" s="252">
        <v>433700</v>
      </c>
      <c r="E49" s="253">
        <v>6.3E-2</v>
      </c>
    </row>
    <row r="50" spans="3:15" x14ac:dyDescent="0.2">
      <c r="C50" s="233">
        <v>2008</v>
      </c>
      <c r="D50" s="252">
        <v>461500</v>
      </c>
      <c r="E50" s="253">
        <v>6.4100000000000004E-2</v>
      </c>
    </row>
    <row r="51" spans="3:15" x14ac:dyDescent="0.2">
      <c r="C51" s="233">
        <v>2009</v>
      </c>
      <c r="D51" s="252">
        <v>496900</v>
      </c>
      <c r="E51" s="253">
        <v>7.6700000000000004E-2</v>
      </c>
    </row>
    <row r="52" spans="3:15" x14ac:dyDescent="0.2">
      <c r="C52" s="233">
        <v>2010</v>
      </c>
      <c r="D52" s="252">
        <v>515000</v>
      </c>
      <c r="E52" s="253">
        <v>3.6400000000000002E-2</v>
      </c>
    </row>
    <row r="53" spans="3:15" x14ac:dyDescent="0.2">
      <c r="C53" s="233">
        <v>2011</v>
      </c>
      <c r="D53" s="252">
        <v>535600</v>
      </c>
      <c r="E53" s="253">
        <v>0.04</v>
      </c>
    </row>
    <row r="54" spans="3:15" x14ac:dyDescent="0.2">
      <c r="C54" s="233">
        <v>2013</v>
      </c>
      <c r="D54" s="252">
        <v>589500</v>
      </c>
      <c r="E54" s="253">
        <v>4.02E-2</v>
      </c>
    </row>
    <row r="55" spans="3:15" x14ac:dyDescent="0.2">
      <c r="C55" s="233">
        <v>2014</v>
      </c>
      <c r="D55" s="252">
        <v>616000</v>
      </c>
      <c r="E55" s="233" t="s">
        <v>323</v>
      </c>
    </row>
    <row r="56" spans="3:15" x14ac:dyDescent="0.2">
      <c r="C56" s="229">
        <v>2015</v>
      </c>
      <c r="D56" s="254">
        <v>644350</v>
      </c>
      <c r="E56" s="233" t="s">
        <v>324</v>
      </c>
    </row>
    <row r="57" spans="3:15" x14ac:dyDescent="0.2">
      <c r="C57" s="229">
        <v>2016</v>
      </c>
      <c r="D57" s="254">
        <v>689454</v>
      </c>
      <c r="E57" s="255" t="s">
        <v>325</v>
      </c>
    </row>
    <row r="58" spans="3:15" x14ac:dyDescent="0.2">
      <c r="C58" s="229">
        <v>2017</v>
      </c>
      <c r="D58" s="254">
        <v>737717</v>
      </c>
      <c r="E58" s="255" t="s">
        <v>325</v>
      </c>
    </row>
    <row r="59" spans="3:15" x14ac:dyDescent="0.2">
      <c r="C59" s="229">
        <v>2018</v>
      </c>
      <c r="D59" s="254">
        <v>781242</v>
      </c>
      <c r="E59" s="255">
        <v>5.8999999999999997E-2</v>
      </c>
    </row>
    <row r="60" spans="3:15" x14ac:dyDescent="0.2">
      <c r="C60" s="233">
        <v>2019</v>
      </c>
      <c r="D60" s="252">
        <v>828116</v>
      </c>
      <c r="E60" s="256">
        <v>0.06</v>
      </c>
    </row>
    <row r="61" spans="3:15" x14ac:dyDescent="0.2">
      <c r="C61" s="233">
        <v>2020</v>
      </c>
      <c r="D61" s="252">
        <v>877803</v>
      </c>
      <c r="E61" s="256">
        <v>0.06</v>
      </c>
    </row>
    <row r="62" spans="3:15" x14ac:dyDescent="0.2">
      <c r="C62" s="233">
        <v>2021</v>
      </c>
      <c r="D62" s="257">
        <v>908526</v>
      </c>
      <c r="E62" s="256">
        <v>3.5000000000000003E-2</v>
      </c>
      <c r="F62" s="258"/>
      <c r="G62" s="251"/>
    </row>
    <row r="63" spans="3:15" x14ac:dyDescent="0.2">
      <c r="C63" s="710" t="s">
        <v>326</v>
      </c>
      <c r="D63" s="710"/>
      <c r="E63" s="259">
        <f>AVERAGE(E57:E62)</f>
        <v>5.3499999999999999E-2</v>
      </c>
    </row>
    <row r="64" spans="3:15" x14ac:dyDescent="0.2">
      <c r="H64" s="530" t="s">
        <v>433</v>
      </c>
      <c r="I64" s="524" t="s">
        <v>431</v>
      </c>
      <c r="J64" s="525">
        <v>423160</v>
      </c>
      <c r="K64" s="524">
        <v>56.8</v>
      </c>
      <c r="L64" s="525">
        <f>J64/K64</f>
        <v>7450</v>
      </c>
      <c r="M64" s="155" t="s">
        <v>432</v>
      </c>
      <c r="O64" s="155" t="s">
        <v>435</v>
      </c>
    </row>
    <row r="65" spans="3:14" x14ac:dyDescent="0.2">
      <c r="H65" s="530" t="s">
        <v>424</v>
      </c>
      <c r="I65" s="524" t="s">
        <v>429</v>
      </c>
      <c r="J65" s="525">
        <v>493900</v>
      </c>
      <c r="K65" s="524">
        <v>41.03</v>
      </c>
      <c r="L65" s="525">
        <f>J65/K65</f>
        <v>12037.533512064343</v>
      </c>
      <c r="M65" s="711" t="s">
        <v>428</v>
      </c>
    </row>
    <row r="66" spans="3:14" x14ac:dyDescent="0.2">
      <c r="I66" s="524" t="s">
        <v>429</v>
      </c>
      <c r="J66" s="525">
        <v>280700</v>
      </c>
      <c r="K66" s="524">
        <v>21</v>
      </c>
      <c r="L66" s="525">
        <f>J66/K66</f>
        <v>13366.666666666666</v>
      </c>
      <c r="M66" s="711"/>
    </row>
    <row r="67" spans="3:14" x14ac:dyDescent="0.2">
      <c r="I67" s="524" t="s">
        <v>423</v>
      </c>
      <c r="J67" s="525">
        <v>509391</v>
      </c>
      <c r="K67" s="524">
        <v>62</v>
      </c>
      <c r="L67" s="525">
        <f t="shared" ref="L67:L68" si="0">J67/K67</f>
        <v>8215.9838709677424</v>
      </c>
    </row>
    <row r="68" spans="3:14" x14ac:dyDescent="0.2">
      <c r="D68" s="235" t="s">
        <v>327</v>
      </c>
      <c r="E68" s="235" t="s">
        <v>328</v>
      </c>
      <c r="H68" s="530" t="s">
        <v>422</v>
      </c>
      <c r="I68" s="524" t="s">
        <v>423</v>
      </c>
      <c r="J68" s="525">
        <v>330875</v>
      </c>
      <c r="K68" s="524">
        <v>41</v>
      </c>
      <c r="L68" s="525">
        <f t="shared" si="0"/>
        <v>8070.1219512195121</v>
      </c>
      <c r="M68" s="155" t="s">
        <v>430</v>
      </c>
    </row>
    <row r="69" spans="3:14" ht="17" x14ac:dyDescent="0.2">
      <c r="C69" s="260">
        <v>40</v>
      </c>
      <c r="D69" s="233">
        <v>1946</v>
      </c>
      <c r="E69" s="233">
        <v>9.3000000000000007</v>
      </c>
      <c r="H69" s="530" t="s">
        <v>420</v>
      </c>
      <c r="I69" s="524" t="s">
        <v>421</v>
      </c>
      <c r="J69" s="525">
        <v>349060</v>
      </c>
      <c r="K69" s="524">
        <v>41</v>
      </c>
      <c r="L69" s="525">
        <f t="shared" ref="L69:L78" si="1">J69/K69</f>
        <v>8513.6585365853662</v>
      </c>
      <c r="M69" s="155" t="s">
        <v>426</v>
      </c>
      <c r="N69" s="155" t="s">
        <v>425</v>
      </c>
    </row>
    <row r="70" spans="3:14" ht="17" x14ac:dyDescent="0.2">
      <c r="C70" s="260">
        <v>51</v>
      </c>
      <c r="D70" s="233">
        <v>1947</v>
      </c>
      <c r="E70" s="233">
        <v>18.3</v>
      </c>
      <c r="I70" s="524" t="s">
        <v>329</v>
      </c>
      <c r="J70" s="525">
        <v>147400</v>
      </c>
      <c r="K70" s="524">
        <v>19.2</v>
      </c>
      <c r="L70" s="525">
        <f t="shared" si="1"/>
        <v>7677.0833333333339</v>
      </c>
    </row>
    <row r="71" spans="3:14" ht="17" x14ac:dyDescent="0.2">
      <c r="C71" s="260">
        <v>45</v>
      </c>
      <c r="D71" s="233">
        <v>1948</v>
      </c>
      <c r="E71" s="233">
        <v>16</v>
      </c>
      <c r="I71" s="524" t="s">
        <v>330</v>
      </c>
      <c r="J71" s="525">
        <v>155900</v>
      </c>
      <c r="K71" s="524">
        <v>33</v>
      </c>
      <c r="L71" s="525">
        <f t="shared" si="1"/>
        <v>4724.242424242424</v>
      </c>
    </row>
    <row r="72" spans="3:14" ht="17" x14ac:dyDescent="0.2">
      <c r="C72" s="260">
        <v>21</v>
      </c>
      <c r="D72" s="233">
        <v>1949</v>
      </c>
      <c r="E72" s="233">
        <v>6.7</v>
      </c>
      <c r="I72" s="524" t="s">
        <v>331</v>
      </c>
      <c r="J72" s="525">
        <v>225776</v>
      </c>
      <c r="K72" s="524">
        <v>22</v>
      </c>
      <c r="L72" s="525">
        <f t="shared" si="1"/>
        <v>10262.545454545454</v>
      </c>
    </row>
    <row r="73" spans="3:14" ht="17" x14ac:dyDescent="0.2">
      <c r="C73" s="260">
        <v>55</v>
      </c>
      <c r="D73" s="233">
        <v>1950</v>
      </c>
      <c r="E73" s="233">
        <v>20.5</v>
      </c>
      <c r="I73" s="524" t="s">
        <v>409</v>
      </c>
      <c r="J73" s="525">
        <v>485000</v>
      </c>
      <c r="K73" s="524">
        <v>50.92</v>
      </c>
      <c r="L73" s="525">
        <f t="shared" si="1"/>
        <v>9524.7446975648072</v>
      </c>
    </row>
    <row r="74" spans="3:14" ht="17" x14ac:dyDescent="0.2">
      <c r="C74" s="260">
        <v>37</v>
      </c>
      <c r="D74" s="233">
        <v>1951</v>
      </c>
      <c r="E74" s="233">
        <v>8.9</v>
      </c>
      <c r="I74" s="524" t="s">
        <v>409</v>
      </c>
      <c r="J74" s="525">
        <v>475000</v>
      </c>
      <c r="K74" s="524">
        <v>51.68</v>
      </c>
      <c r="L74" s="525">
        <f t="shared" si="1"/>
        <v>9191.176470588236</v>
      </c>
    </row>
    <row r="75" spans="3:14" ht="17" x14ac:dyDescent="0.2">
      <c r="C75" s="260">
        <v>1</v>
      </c>
      <c r="D75" s="233">
        <v>1952</v>
      </c>
      <c r="E75" s="233">
        <v>-2.2999999999999998</v>
      </c>
      <c r="H75" s="530" t="s">
        <v>416</v>
      </c>
      <c r="I75" s="524" t="s">
        <v>411</v>
      </c>
      <c r="J75" s="525">
        <v>167000</v>
      </c>
      <c r="K75" s="524">
        <v>23.79</v>
      </c>
      <c r="L75" s="525">
        <f t="shared" si="1"/>
        <v>7019.756200084069</v>
      </c>
      <c r="M75" s="155" t="s">
        <v>417</v>
      </c>
    </row>
    <row r="76" spans="3:14" ht="17" x14ac:dyDescent="0.2">
      <c r="C76" s="260">
        <v>28</v>
      </c>
      <c r="D76" s="233">
        <v>1953</v>
      </c>
      <c r="E76" s="233">
        <v>7.3</v>
      </c>
      <c r="H76" s="530" t="s">
        <v>413</v>
      </c>
      <c r="I76" s="524" t="s">
        <v>412</v>
      </c>
      <c r="J76" s="525">
        <f>510598000/1000</f>
        <v>510598</v>
      </c>
      <c r="K76" s="524">
        <v>57</v>
      </c>
      <c r="L76" s="525">
        <f t="shared" si="1"/>
        <v>8957.8596491228072</v>
      </c>
    </row>
    <row r="77" spans="3:14" ht="17" x14ac:dyDescent="0.2">
      <c r="C77" s="260">
        <v>36</v>
      </c>
      <c r="D77" s="233">
        <v>1954</v>
      </c>
      <c r="E77" s="233">
        <v>8.8000000000000007</v>
      </c>
      <c r="H77" s="530" t="s">
        <v>415</v>
      </c>
      <c r="I77" s="524" t="s">
        <v>414</v>
      </c>
      <c r="J77" s="525">
        <v>316660</v>
      </c>
      <c r="K77" s="524">
        <v>29.51</v>
      </c>
      <c r="L77" s="525">
        <f t="shared" si="1"/>
        <v>10730.599796679091</v>
      </c>
      <c r="M77" s="155" t="s">
        <v>427</v>
      </c>
    </row>
    <row r="78" spans="3:14" ht="17" x14ac:dyDescent="0.2">
      <c r="C78" s="260">
        <v>3</v>
      </c>
      <c r="D78" s="233">
        <v>1955</v>
      </c>
      <c r="E78" s="233">
        <v>1.72</v>
      </c>
      <c r="I78" s="524" t="s">
        <v>414</v>
      </c>
      <c r="J78" s="525">
        <v>538651</v>
      </c>
      <c r="K78" s="524">
        <v>51.96</v>
      </c>
      <c r="L78" s="525">
        <f t="shared" si="1"/>
        <v>10366.647421093148</v>
      </c>
    </row>
    <row r="79" spans="3:14" ht="17" x14ac:dyDescent="0.2">
      <c r="C79" s="260">
        <v>34</v>
      </c>
      <c r="D79" s="233">
        <v>1956</v>
      </c>
      <c r="E79" s="233">
        <v>8.4700000000000006</v>
      </c>
      <c r="H79" s="530" t="s">
        <v>419</v>
      </c>
      <c r="I79" s="524" t="s">
        <v>418</v>
      </c>
      <c r="J79" s="525">
        <f>K79*L79</f>
        <v>820200</v>
      </c>
      <c r="K79" s="524">
        <v>82.02</v>
      </c>
      <c r="L79" s="525">
        <v>10000</v>
      </c>
    </row>
    <row r="80" spans="3:14" ht="17" x14ac:dyDescent="0.2">
      <c r="C80" s="260">
        <v>53</v>
      </c>
      <c r="D80" s="233">
        <v>1957</v>
      </c>
      <c r="E80" s="233">
        <v>18.75</v>
      </c>
      <c r="K80" s="539">
        <f>AVERAGE(K64:K79)</f>
        <v>42.744375000000005</v>
      </c>
      <c r="L80" s="540">
        <f>AVERAGE(L64:L79)</f>
        <v>9131.7887490473113</v>
      </c>
    </row>
    <row r="81" spans="3:11" ht="17" x14ac:dyDescent="0.2">
      <c r="C81" s="260">
        <v>38</v>
      </c>
      <c r="D81" s="233">
        <v>1958</v>
      </c>
      <c r="E81" s="233">
        <v>9.2100000000000009</v>
      </c>
    </row>
    <row r="82" spans="3:11" ht="17" x14ac:dyDescent="0.2">
      <c r="C82" s="260">
        <v>27</v>
      </c>
      <c r="D82" s="233">
        <v>1959</v>
      </c>
      <c r="E82" s="233">
        <v>7.23</v>
      </c>
    </row>
    <row r="83" spans="3:11" ht="17" x14ac:dyDescent="0.2">
      <c r="C83" s="260">
        <v>22</v>
      </c>
      <c r="D83" s="233">
        <v>1960</v>
      </c>
      <c r="E83" s="233">
        <v>6.74</v>
      </c>
    </row>
    <row r="84" spans="3:11" ht="17" x14ac:dyDescent="0.2">
      <c r="C84" s="260">
        <v>18</v>
      </c>
      <c r="D84" s="233">
        <v>1961</v>
      </c>
      <c r="E84" s="233">
        <v>6.32</v>
      </c>
    </row>
    <row r="85" spans="3:11" ht="17" x14ac:dyDescent="0.2">
      <c r="C85" s="260">
        <v>25</v>
      </c>
      <c r="D85" s="233">
        <v>1962</v>
      </c>
      <c r="E85" s="233">
        <v>6.93</v>
      </c>
    </row>
    <row r="86" spans="3:11" ht="17" x14ac:dyDescent="0.2">
      <c r="C86" s="260">
        <v>75</v>
      </c>
      <c r="D86" s="233">
        <v>1963</v>
      </c>
      <c r="E86" s="233">
        <v>32.409999999999997</v>
      </c>
      <c r="I86" s="533" t="s">
        <v>308</v>
      </c>
      <c r="J86" s="534" t="s">
        <v>436</v>
      </c>
      <c r="K86" s="155">
        <v>2021</v>
      </c>
    </row>
    <row r="87" spans="3:11" ht="17" x14ac:dyDescent="0.2">
      <c r="C87" s="260">
        <v>33</v>
      </c>
      <c r="D87" s="233">
        <v>1964</v>
      </c>
      <c r="E87" s="233">
        <v>8.39</v>
      </c>
      <c r="I87" s="535" t="s">
        <v>307</v>
      </c>
      <c r="J87" s="536" t="s">
        <v>437</v>
      </c>
      <c r="K87" s="155">
        <v>2021</v>
      </c>
    </row>
    <row r="88" spans="3:11" ht="17" x14ac:dyDescent="0.2">
      <c r="C88" s="260">
        <v>44</v>
      </c>
      <c r="D88" s="233">
        <v>1965</v>
      </c>
      <c r="E88" s="233">
        <v>14.84</v>
      </c>
      <c r="I88" s="533" t="s">
        <v>438</v>
      </c>
      <c r="J88" s="534"/>
    </row>
    <row r="89" spans="3:11" ht="17" x14ac:dyDescent="0.2">
      <c r="C89" s="260">
        <v>41</v>
      </c>
      <c r="D89" s="233">
        <v>1966</v>
      </c>
      <c r="E89" s="233">
        <v>12.92</v>
      </c>
      <c r="I89" s="322" t="s">
        <v>439</v>
      </c>
      <c r="J89" s="537" t="s">
        <v>442</v>
      </c>
    </row>
    <row r="90" spans="3:11" ht="17" x14ac:dyDescent="0.2">
      <c r="C90" s="260">
        <v>29</v>
      </c>
      <c r="D90" s="233">
        <v>1967</v>
      </c>
      <c r="E90" s="233">
        <v>7.46</v>
      </c>
      <c r="I90" s="535" t="s">
        <v>440</v>
      </c>
      <c r="J90" s="536" t="s">
        <v>441</v>
      </c>
    </row>
    <row r="91" spans="3:11" ht="17" x14ac:dyDescent="0.2">
      <c r="C91" s="260">
        <v>19</v>
      </c>
      <c r="D91" s="233">
        <v>1968</v>
      </c>
      <c r="E91" s="233">
        <v>6.48</v>
      </c>
      <c r="I91" s="533" t="s">
        <v>380</v>
      </c>
      <c r="J91" s="534" t="s">
        <v>444</v>
      </c>
    </row>
    <row r="92" spans="3:11" ht="17" x14ac:dyDescent="0.2">
      <c r="C92" s="260">
        <v>32</v>
      </c>
      <c r="D92" s="233">
        <v>1969</v>
      </c>
      <c r="E92" s="233">
        <v>8.26</v>
      </c>
      <c r="I92" s="535" t="s">
        <v>311</v>
      </c>
      <c r="J92" s="536" t="s">
        <v>443</v>
      </c>
    </row>
    <row r="93" spans="3:11" ht="17" x14ac:dyDescent="0.2">
      <c r="C93" s="260">
        <v>24</v>
      </c>
      <c r="D93" s="233">
        <v>1970</v>
      </c>
      <c r="E93" s="233">
        <v>6.83</v>
      </c>
    </row>
    <row r="94" spans="3:11" ht="17" x14ac:dyDescent="0.2">
      <c r="C94" s="260">
        <v>43</v>
      </c>
      <c r="D94" s="233">
        <v>1971</v>
      </c>
      <c r="E94" s="233">
        <v>13.91</v>
      </c>
    </row>
    <row r="95" spans="3:11" ht="17" x14ac:dyDescent="0.2">
      <c r="C95" s="260">
        <v>42</v>
      </c>
      <c r="D95" s="233">
        <v>1972</v>
      </c>
      <c r="E95" s="233">
        <v>13.86</v>
      </c>
    </row>
    <row r="96" spans="3:11" ht="17" x14ac:dyDescent="0.2">
      <c r="C96" s="260">
        <v>61</v>
      </c>
      <c r="D96" s="233">
        <v>1973</v>
      </c>
      <c r="E96" s="233">
        <v>23.48</v>
      </c>
    </row>
    <row r="97" spans="3:5" ht="17" x14ac:dyDescent="0.2">
      <c r="C97" s="260">
        <v>67</v>
      </c>
      <c r="D97" s="233">
        <v>1974</v>
      </c>
      <c r="E97" s="233">
        <v>26.06</v>
      </c>
    </row>
    <row r="98" spans="3:5" ht="17" x14ac:dyDescent="0.2">
      <c r="C98" s="260">
        <v>49</v>
      </c>
      <c r="D98" s="233">
        <v>1975</v>
      </c>
      <c r="E98" s="233">
        <v>17.690000000000001</v>
      </c>
    </row>
    <row r="99" spans="3:5" ht="17" x14ac:dyDescent="0.2">
      <c r="C99" s="260">
        <v>65</v>
      </c>
      <c r="D99" s="233">
        <v>1976</v>
      </c>
      <c r="E99" s="233">
        <v>25.79</v>
      </c>
    </row>
    <row r="100" spans="3:5" ht="17" x14ac:dyDescent="0.2">
      <c r="C100" s="260">
        <v>72</v>
      </c>
      <c r="D100" s="233">
        <v>1977</v>
      </c>
      <c r="E100" s="233">
        <v>28.3</v>
      </c>
    </row>
    <row r="101" spans="3:5" ht="17" x14ac:dyDescent="0.2">
      <c r="C101" s="260">
        <v>52</v>
      </c>
      <c r="D101" s="233">
        <v>1978</v>
      </c>
      <c r="E101" s="233">
        <v>18.73</v>
      </c>
    </row>
    <row r="102" spans="3:5" ht="17" x14ac:dyDescent="0.2">
      <c r="C102" s="260">
        <v>73</v>
      </c>
      <c r="D102" s="233">
        <v>1979</v>
      </c>
      <c r="E102" s="233">
        <v>28.82</v>
      </c>
    </row>
    <row r="103" spans="3:5" ht="17" x14ac:dyDescent="0.2">
      <c r="C103" s="260">
        <v>66</v>
      </c>
      <c r="D103" s="233">
        <v>1980</v>
      </c>
      <c r="E103" s="233">
        <v>25.96</v>
      </c>
    </row>
    <row r="104" spans="3:5" ht="17" x14ac:dyDescent="0.2">
      <c r="C104" s="260">
        <v>69</v>
      </c>
      <c r="D104" s="233">
        <v>1981</v>
      </c>
      <c r="E104" s="233">
        <v>26.36</v>
      </c>
    </row>
    <row r="105" spans="3:5" ht="17" x14ac:dyDescent="0.2">
      <c r="C105" s="260">
        <v>63</v>
      </c>
      <c r="D105" s="233">
        <v>1982</v>
      </c>
      <c r="E105" s="233">
        <v>24.04</v>
      </c>
    </row>
    <row r="106" spans="3:5" ht="17" x14ac:dyDescent="0.2">
      <c r="C106" s="260">
        <v>46</v>
      </c>
      <c r="D106" s="233">
        <v>1983</v>
      </c>
      <c r="E106" s="233">
        <v>16.66</v>
      </c>
    </row>
    <row r="107" spans="3:5" ht="17" x14ac:dyDescent="0.2">
      <c r="C107" s="260">
        <v>50</v>
      </c>
      <c r="D107" s="233">
        <v>1984</v>
      </c>
      <c r="E107" s="233">
        <v>18.260000000000002</v>
      </c>
    </row>
    <row r="108" spans="3:5" ht="17" x14ac:dyDescent="0.2">
      <c r="C108" s="260">
        <v>58</v>
      </c>
      <c r="D108" s="233">
        <v>1985</v>
      </c>
      <c r="E108" s="233">
        <v>22.45</v>
      </c>
    </row>
    <row r="109" spans="3:5" ht="17" x14ac:dyDescent="0.2">
      <c r="C109" s="260">
        <v>56</v>
      </c>
      <c r="D109" s="233">
        <v>1986</v>
      </c>
      <c r="E109" s="233">
        <v>20.95</v>
      </c>
    </row>
    <row r="110" spans="3:5" ht="17" x14ac:dyDescent="0.2">
      <c r="C110" s="260">
        <v>62</v>
      </c>
      <c r="D110" s="233">
        <v>1987</v>
      </c>
      <c r="E110" s="233">
        <v>24.03</v>
      </c>
    </row>
    <row r="111" spans="3:5" ht="17" x14ac:dyDescent="0.2">
      <c r="C111" s="260">
        <v>71</v>
      </c>
      <c r="D111" s="233">
        <v>1988</v>
      </c>
      <c r="E111" s="233">
        <v>28.12</v>
      </c>
    </row>
    <row r="112" spans="3:5" ht="17" x14ac:dyDescent="0.2">
      <c r="C112" s="260">
        <v>68</v>
      </c>
      <c r="D112" s="233">
        <v>1989</v>
      </c>
      <c r="E112" s="233">
        <v>26.23</v>
      </c>
    </row>
    <row r="113" spans="3:5" ht="17" x14ac:dyDescent="0.2">
      <c r="C113" s="260">
        <v>74</v>
      </c>
      <c r="D113" s="233">
        <v>1990</v>
      </c>
      <c r="E113" s="233">
        <v>32.369999999999997</v>
      </c>
    </row>
    <row r="114" spans="3:5" ht="17" x14ac:dyDescent="0.2">
      <c r="C114" s="260">
        <v>70</v>
      </c>
      <c r="D114" s="233">
        <v>1991</v>
      </c>
      <c r="E114" s="233">
        <v>26.82</v>
      </c>
    </row>
    <row r="115" spans="3:5" ht="17" x14ac:dyDescent="0.2">
      <c r="C115" s="260">
        <v>64</v>
      </c>
      <c r="D115" s="233">
        <v>1992</v>
      </c>
      <c r="E115" s="233">
        <v>25.14</v>
      </c>
    </row>
    <row r="116" spans="3:5" ht="17" x14ac:dyDescent="0.2">
      <c r="C116" s="260">
        <v>60</v>
      </c>
      <c r="D116" s="233">
        <v>1993</v>
      </c>
      <c r="E116" s="233">
        <v>22.61</v>
      </c>
    </row>
    <row r="117" spans="3:5" ht="17" x14ac:dyDescent="0.2">
      <c r="C117" s="260">
        <v>59</v>
      </c>
      <c r="D117" s="233">
        <v>1994</v>
      </c>
      <c r="E117" s="233">
        <v>22.6</v>
      </c>
    </row>
    <row r="118" spans="3:5" ht="17" x14ac:dyDescent="0.2">
      <c r="C118" s="260">
        <v>54</v>
      </c>
      <c r="D118" s="233">
        <v>1995</v>
      </c>
      <c r="E118" s="233">
        <v>19.47</v>
      </c>
    </row>
    <row r="119" spans="3:5" ht="17" x14ac:dyDescent="0.2">
      <c r="C119" s="260">
        <v>57</v>
      </c>
      <c r="D119" s="233">
        <v>1996</v>
      </c>
      <c r="E119" s="233">
        <v>21.64</v>
      </c>
    </row>
    <row r="120" spans="3:5" ht="17" x14ac:dyDescent="0.2">
      <c r="C120" s="260">
        <v>48</v>
      </c>
      <c r="D120" s="233">
        <v>1997</v>
      </c>
      <c r="E120" s="233">
        <v>17.68</v>
      </c>
    </row>
    <row r="121" spans="3:5" ht="17" x14ac:dyDescent="0.2">
      <c r="C121" s="260">
        <v>47</v>
      </c>
      <c r="D121" s="233">
        <v>1998</v>
      </c>
      <c r="E121" s="233">
        <v>16.7</v>
      </c>
    </row>
    <row r="122" spans="3:5" ht="17" x14ac:dyDescent="0.2">
      <c r="C122" s="260">
        <v>39</v>
      </c>
      <c r="D122" s="233">
        <v>1999</v>
      </c>
      <c r="E122" s="233">
        <v>9.23</v>
      </c>
    </row>
    <row r="123" spans="3:5" ht="17" x14ac:dyDescent="0.2">
      <c r="C123" s="260">
        <v>35</v>
      </c>
      <c r="D123" s="233">
        <v>2000</v>
      </c>
      <c r="E123" s="233">
        <v>8.75</v>
      </c>
    </row>
    <row r="124" spans="3:5" ht="17" x14ac:dyDescent="0.2">
      <c r="C124" s="260">
        <v>30</v>
      </c>
      <c r="D124" s="233">
        <v>2001</v>
      </c>
      <c r="E124" s="233">
        <v>7.65</v>
      </c>
    </row>
    <row r="125" spans="3:5" ht="17" x14ac:dyDescent="0.2">
      <c r="C125" s="260">
        <v>26</v>
      </c>
      <c r="D125" s="233">
        <v>2002</v>
      </c>
      <c r="E125" s="233">
        <v>6.99</v>
      </c>
    </row>
    <row r="126" spans="3:5" ht="17" x14ac:dyDescent="0.2">
      <c r="C126" s="260">
        <v>20</v>
      </c>
      <c r="D126" s="233">
        <v>2003</v>
      </c>
      <c r="E126" s="233">
        <v>6.49</v>
      </c>
    </row>
    <row r="127" spans="3:5" ht="17" x14ac:dyDescent="0.2">
      <c r="C127" s="260">
        <v>15</v>
      </c>
      <c r="D127" s="233">
        <v>2004</v>
      </c>
      <c r="E127" s="233">
        <v>5.5</v>
      </c>
    </row>
    <row r="128" spans="3:5" ht="17" x14ac:dyDescent="0.2">
      <c r="C128" s="260">
        <v>14</v>
      </c>
      <c r="D128" s="233">
        <v>2005</v>
      </c>
      <c r="E128" s="233">
        <v>4.8499999999999996</v>
      </c>
    </row>
    <row r="129" spans="3:8" ht="17" x14ac:dyDescent="0.2">
      <c r="C129" s="260">
        <v>13</v>
      </c>
      <c r="D129" s="233">
        <v>2006</v>
      </c>
      <c r="E129" s="233">
        <v>4.4800000000000004</v>
      </c>
    </row>
    <row r="130" spans="3:8" ht="17" x14ac:dyDescent="0.2">
      <c r="C130" s="260">
        <v>16</v>
      </c>
      <c r="D130" s="233">
        <v>2007</v>
      </c>
      <c r="E130" s="233">
        <v>5.69</v>
      </c>
    </row>
    <row r="131" spans="3:8" ht="17" x14ac:dyDescent="0.2">
      <c r="C131" s="260">
        <v>31</v>
      </c>
      <c r="D131" s="233">
        <v>2008</v>
      </c>
      <c r="E131" s="233">
        <v>7.67</v>
      </c>
      <c r="F131" s="261">
        <v>932.13699999999994</v>
      </c>
    </row>
    <row r="132" spans="3:8" ht="17" x14ac:dyDescent="0.2">
      <c r="C132" s="260">
        <v>5</v>
      </c>
      <c r="D132" s="233">
        <v>2009</v>
      </c>
      <c r="E132" s="233">
        <v>2</v>
      </c>
      <c r="F132" s="261">
        <f t="shared" ref="F132:F143" si="2">F131*(1+E132/100)</f>
        <v>950.77973999999995</v>
      </c>
    </row>
    <row r="133" spans="3:8" ht="17" x14ac:dyDescent="0.2">
      <c r="C133" s="260">
        <v>7</v>
      </c>
      <c r="D133" s="233">
        <v>2010</v>
      </c>
      <c r="E133" s="233">
        <v>3.17</v>
      </c>
      <c r="F133" s="261">
        <f t="shared" si="2"/>
        <v>980.91945775800002</v>
      </c>
    </row>
    <row r="134" spans="3:8" ht="17" x14ac:dyDescent="0.2">
      <c r="C134" s="260">
        <v>10</v>
      </c>
      <c r="D134" s="233">
        <v>2011</v>
      </c>
      <c r="E134" s="233">
        <v>3.73</v>
      </c>
      <c r="F134" s="261">
        <f t="shared" si="2"/>
        <v>1017.5077535323735</v>
      </c>
    </row>
    <row r="135" spans="3:8" ht="17" x14ac:dyDescent="0.2">
      <c r="C135" s="260">
        <v>6</v>
      </c>
      <c r="D135" s="233">
        <v>2012</v>
      </c>
      <c r="E135" s="233">
        <v>2.44</v>
      </c>
      <c r="F135" s="261">
        <f t="shared" si="2"/>
        <v>1042.3349427185633</v>
      </c>
    </row>
    <row r="136" spans="3:8" ht="17" x14ac:dyDescent="0.2">
      <c r="C136" s="260">
        <v>4</v>
      </c>
      <c r="D136" s="233">
        <v>2013</v>
      </c>
      <c r="E136" s="233">
        <v>1.94</v>
      </c>
      <c r="F136" s="261">
        <f t="shared" si="2"/>
        <v>1062.5562406073036</v>
      </c>
    </row>
    <row r="137" spans="3:8" ht="17" x14ac:dyDescent="0.2">
      <c r="C137" s="260">
        <v>9</v>
      </c>
      <c r="D137" s="233">
        <v>2014</v>
      </c>
      <c r="E137" s="233">
        <v>3.66</v>
      </c>
      <c r="F137" s="261">
        <f t="shared" si="2"/>
        <v>1101.4457990135309</v>
      </c>
    </row>
    <row r="138" spans="3:8" ht="17" x14ac:dyDescent="0.2">
      <c r="C138" s="260">
        <v>23</v>
      </c>
      <c r="D138" s="233">
        <v>2015</v>
      </c>
      <c r="E138" s="233">
        <v>6.77</v>
      </c>
      <c r="F138" s="261">
        <f t="shared" si="2"/>
        <v>1176.013679606747</v>
      </c>
    </row>
    <row r="139" spans="3:8" ht="17" x14ac:dyDescent="0.2">
      <c r="C139" s="260">
        <v>17</v>
      </c>
      <c r="D139" s="233">
        <v>2016</v>
      </c>
      <c r="E139" s="233">
        <v>5.75</v>
      </c>
      <c r="F139" s="261">
        <f t="shared" si="2"/>
        <v>1243.6344661841351</v>
      </c>
    </row>
    <row r="140" spans="3:8" ht="17" x14ac:dyDescent="0.2">
      <c r="C140" s="260">
        <v>12</v>
      </c>
      <c r="D140" s="233">
        <v>2017</v>
      </c>
      <c r="E140" s="233">
        <v>4.09</v>
      </c>
      <c r="F140" s="261">
        <f t="shared" si="2"/>
        <v>1294.4991158510661</v>
      </c>
      <c r="G140" s="155">
        <v>1000</v>
      </c>
      <c r="H140" s="155">
        <v>1200</v>
      </c>
    </row>
    <row r="141" spans="3:8" ht="17" x14ac:dyDescent="0.2">
      <c r="C141" s="260">
        <v>8</v>
      </c>
      <c r="D141" s="233">
        <v>2018</v>
      </c>
      <c r="E141" s="253">
        <v>3.1800000000000002E-2</v>
      </c>
      <c r="F141" s="261">
        <f t="shared" si="2"/>
        <v>1294.9107665699069</v>
      </c>
      <c r="G141" s="261">
        <f>G140*(1+E141)</f>
        <v>1031.8</v>
      </c>
      <c r="H141" s="261">
        <f>H140*(1+E141)</f>
        <v>1238.1600000000001</v>
      </c>
    </row>
    <row r="142" spans="3:8" ht="17" x14ac:dyDescent="0.2">
      <c r="C142" s="260">
        <v>11</v>
      </c>
      <c r="D142" s="233">
        <v>2019</v>
      </c>
      <c r="E142" s="253">
        <v>3.7999999999999999E-2</v>
      </c>
      <c r="F142" s="261">
        <f t="shared" si="2"/>
        <v>1295.4028326612035</v>
      </c>
      <c r="G142" s="261">
        <f>G141*(1+E142)</f>
        <v>1071.0083999999999</v>
      </c>
      <c r="H142" s="261">
        <f>H141*(1+E142)</f>
        <v>1285.2100800000001</v>
      </c>
    </row>
    <row r="143" spans="3:8" ht="17" x14ac:dyDescent="0.2">
      <c r="C143" s="260">
        <v>2</v>
      </c>
      <c r="D143" s="233">
        <v>2020</v>
      </c>
      <c r="E143" s="253">
        <v>1.61E-2</v>
      </c>
      <c r="F143" s="261">
        <f t="shared" si="2"/>
        <v>1295.6113925172622</v>
      </c>
      <c r="G143" s="261">
        <f>G142*(1+E143)</f>
        <v>1088.25163524</v>
      </c>
      <c r="H143" s="261">
        <f>H142*(1+E143)</f>
        <v>1305.901962288</v>
      </c>
    </row>
  </sheetData>
  <mergeCells count="3">
    <mergeCell ref="C42:E42"/>
    <mergeCell ref="C63:D63"/>
    <mergeCell ref="M65:M66"/>
  </mergeCells>
  <hyperlinks>
    <hyperlink ref="E143" r:id="rId1" location="cite_note-2" display="https://es.wikipedia.org/wiki/Anexo:Variaci%C3%B3n_de_la_inflaci%C3%B3n_de_Colombia_desde_1946 - cite_note-2" xr:uid="{D5E1CD41-AFFE-6143-BCE1-49AC8FD9631D}"/>
    <hyperlink ref="H76" r:id="rId2" xr:uid="{474BBCF8-9888-5945-9691-66EA1AFD9690}"/>
    <hyperlink ref="H77" r:id="rId3" xr:uid="{327A438C-4852-674A-BA04-DE6789042E1D}"/>
    <hyperlink ref="H75" r:id="rId4" xr:uid="{131C4F60-AE03-AF43-B53A-74A42CE53133}"/>
    <hyperlink ref="H79" r:id="rId5" xr:uid="{C0A93CB9-C8BD-DF47-BF61-E09050513781}"/>
    <hyperlink ref="H69" r:id="rId6" xr:uid="{BF76DC51-8A89-B748-9097-7472C63202A8}"/>
    <hyperlink ref="H68" r:id="rId7" xr:uid="{CF2CC99D-90DD-7A42-9F50-2170143D9C35}"/>
    <hyperlink ref="H65" r:id="rId8" xr:uid="{8D95B694-658F-C942-B691-C36E1288CBEE}"/>
    <hyperlink ref="H64" r:id="rId9" xr:uid="{666D9339-30AC-554E-8680-3C57D452BE41}"/>
  </hyperlinks>
  <pageMargins left="0.7" right="0.7" top="0.75" bottom="0.75" header="0.3" footer="0.3"/>
  <pageSetup orientation="portrait" horizontalDpi="0" verticalDpi="0"/>
  <drawing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6AAC-4950-8849-954F-93FF72C1FBE5}">
  <sheetPr>
    <tabColor theme="2" tint="-0.499984740745262"/>
  </sheetPr>
  <dimension ref="A1:O66"/>
  <sheetViews>
    <sheetView showGridLines="0" tabSelected="1" zoomScale="110" zoomScaleNormal="110" workbookViewId="0">
      <pane xSplit="2" ySplit="9" topLeftCell="K54" activePane="bottomRight" state="frozen"/>
      <selection activeCell="C2" sqref="C2:D2"/>
      <selection pane="topRight" activeCell="C2" sqref="C2:D2"/>
      <selection pane="bottomLeft" activeCell="C2" sqref="C2:D2"/>
      <selection pane="bottomRight" activeCell="A66" sqref="A66:XFD66"/>
    </sheetView>
  </sheetViews>
  <sheetFormatPr baseColWidth="10" defaultColWidth="10.83203125" defaultRowHeight="15" outlineLevelRow="2" x14ac:dyDescent="0.2"/>
  <cols>
    <col min="1" max="1" width="7" style="262" customWidth="1"/>
    <col min="2" max="2" width="39.33203125" style="155" bestFit="1" customWidth="1"/>
    <col min="3" max="3" width="0.83203125" style="155" customWidth="1"/>
    <col min="4" max="4" width="13.33203125" style="155" customWidth="1"/>
    <col min="5" max="5" width="14.33203125" style="155" customWidth="1"/>
    <col min="6" max="6" width="14.6640625" style="155" customWidth="1"/>
    <col min="7" max="7" width="13.33203125" style="155" customWidth="1"/>
    <col min="8" max="8" width="13" style="155" bestFit="1" customWidth="1"/>
    <col min="9" max="9" width="3.1640625" style="155" customWidth="1"/>
    <col min="10" max="10" width="13.33203125" style="155" customWidth="1"/>
    <col min="11" max="11" width="14.33203125" style="155" customWidth="1"/>
    <col min="12" max="12" width="14.6640625" style="155" customWidth="1"/>
    <col min="13" max="13" width="13.33203125" style="155" customWidth="1"/>
    <col min="14" max="14" width="13" style="155" bestFit="1" customWidth="1"/>
    <col min="15" max="15" width="3.1640625" style="155" customWidth="1"/>
    <col min="16" max="16384" width="10.83203125" style="155"/>
  </cols>
  <sheetData>
    <row r="1" spans="1:15" x14ac:dyDescent="0.2">
      <c r="D1" s="236" t="s">
        <v>332</v>
      </c>
      <c r="J1" s="236" t="s">
        <v>332</v>
      </c>
    </row>
    <row r="2" spans="1:15" x14ac:dyDescent="0.2">
      <c r="D2" s="223" t="s">
        <v>282</v>
      </c>
      <c r="E2" s="224">
        <v>908.52599999999995</v>
      </c>
      <c r="J2" s="223" t="s">
        <v>282</v>
      </c>
      <c r="K2" s="224">
        <v>908.52599999999995</v>
      </c>
    </row>
    <row r="3" spans="1:15" x14ac:dyDescent="0.2">
      <c r="D3" s="223" t="s">
        <v>333</v>
      </c>
      <c r="E3" s="264">
        <v>1</v>
      </c>
      <c r="F3" s="263"/>
      <c r="G3" s="265" t="s">
        <v>334</v>
      </c>
      <c r="H3" s="266">
        <f>'01'!D26</f>
        <v>16104.9</v>
      </c>
      <c r="J3" s="223" t="s">
        <v>333</v>
      </c>
      <c r="K3" s="264">
        <v>1</v>
      </c>
      <c r="L3" s="263"/>
      <c r="M3" s="265" t="s">
        <v>334</v>
      </c>
      <c r="N3" s="266">
        <f>'01a'!D26</f>
        <v>16104.9</v>
      </c>
    </row>
    <row r="4" spans="1:15" x14ac:dyDescent="0.2">
      <c r="D4" s="223" t="s">
        <v>335</v>
      </c>
      <c r="E4" s="267">
        <v>42</v>
      </c>
      <c r="F4" s="263"/>
      <c r="G4" s="268" t="s">
        <v>336</v>
      </c>
      <c r="H4" s="266">
        <f>'01'!D33</f>
        <v>99815.34</v>
      </c>
      <c r="J4" s="223" t="s">
        <v>335</v>
      </c>
      <c r="K4" s="267">
        <v>42</v>
      </c>
      <c r="L4" s="263"/>
      <c r="M4" s="268" t="s">
        <v>336</v>
      </c>
      <c r="N4" s="266">
        <f>'01a'!D33</f>
        <v>124980.29999999999</v>
      </c>
    </row>
    <row r="5" spans="1:15" x14ac:dyDescent="0.2">
      <c r="D5" s="223" t="s">
        <v>337</v>
      </c>
      <c r="E5" s="267">
        <v>42</v>
      </c>
      <c r="F5" s="263"/>
      <c r="G5" s="268" t="s">
        <v>388</v>
      </c>
      <c r="H5" s="469">
        <f>'01'!D34</f>
        <v>6.1978242646647912</v>
      </c>
      <c r="J5" s="223" t="s">
        <v>337</v>
      </c>
      <c r="K5" s="267">
        <v>42</v>
      </c>
      <c r="L5" s="263"/>
      <c r="M5" s="268" t="s">
        <v>388</v>
      </c>
      <c r="N5" s="469">
        <f>'01a'!D34</f>
        <v>7.7603896950617512</v>
      </c>
    </row>
    <row r="6" spans="1:15" x14ac:dyDescent="0.2">
      <c r="D6" s="223" t="s">
        <v>339</v>
      </c>
      <c r="E6" s="270">
        <f>'01'!D16/1000</f>
        <v>6300</v>
      </c>
      <c r="F6" s="532"/>
      <c r="G6" s="223" t="s">
        <v>338</v>
      </c>
      <c r="H6" s="269">
        <v>0.3</v>
      </c>
      <c r="J6" s="223" t="s">
        <v>339</v>
      </c>
      <c r="K6" s="270">
        <f>'01a'!D16/1000</f>
        <v>6300</v>
      </c>
      <c r="L6" s="263"/>
      <c r="M6" s="223" t="s">
        <v>338</v>
      </c>
      <c r="N6" s="269">
        <f>H6</f>
        <v>0.3</v>
      </c>
    </row>
    <row r="7" spans="1:15" x14ac:dyDescent="0.2">
      <c r="B7" s="538">
        <f>5110506/1000</f>
        <v>5110.5060000000003</v>
      </c>
      <c r="D7" s="223" t="s">
        <v>410</v>
      </c>
      <c r="E7" s="270">
        <f>B7</f>
        <v>5110.5060000000003</v>
      </c>
      <c r="F7" s="263"/>
      <c r="G7" s="223" t="s">
        <v>434</v>
      </c>
      <c r="H7" s="271">
        <f>E7*(1+H6)</f>
        <v>6643.6578000000009</v>
      </c>
      <c r="J7" s="223" t="s">
        <v>410</v>
      </c>
      <c r="K7" s="270">
        <f>B7</f>
        <v>5110.5060000000003</v>
      </c>
      <c r="L7" s="263"/>
      <c r="M7" s="223" t="s">
        <v>339</v>
      </c>
      <c r="N7" s="271">
        <f>K7*(1+N6)</f>
        <v>6643.6578000000009</v>
      </c>
    </row>
    <row r="8" spans="1:15" x14ac:dyDescent="0.2">
      <c r="B8" s="261">
        <f>B7*1.4</f>
        <v>7154.7084000000004</v>
      </c>
      <c r="G8" s="272"/>
      <c r="H8" s="273">
        <f>H7-E6</f>
        <v>343.65780000000086</v>
      </c>
      <c r="M8" s="531">
        <f>'01'!D16/1000</f>
        <v>6300</v>
      </c>
      <c r="N8" s="273">
        <f>M8*1.15</f>
        <v>7244.9999999999991</v>
      </c>
    </row>
    <row r="9" spans="1:15" s="277" customFormat="1" ht="19" x14ac:dyDescent="0.25">
      <c r="A9" s="274"/>
      <c r="B9" s="275" t="s">
        <v>340</v>
      </c>
      <c r="C9" s="236"/>
      <c r="D9" s="276">
        <f>'01'!E2</f>
        <v>1</v>
      </c>
      <c r="G9" s="278" t="s">
        <v>397</v>
      </c>
      <c r="H9" s="547">
        <f>H8/E6</f>
        <v>5.4548857142857281E-2</v>
      </c>
      <c r="I9" s="236"/>
      <c r="J9" s="276" t="str">
        <f>'01a'!E2</f>
        <v>1a</v>
      </c>
      <c r="M9" s="278" t="s">
        <v>397</v>
      </c>
      <c r="N9" s="279"/>
      <c r="O9" s="236"/>
    </row>
    <row r="10" spans="1:15" s="243" customFormat="1" ht="17" customHeight="1" outlineLevel="1" x14ac:dyDescent="0.2">
      <c r="A10" s="280"/>
      <c r="B10" s="281"/>
      <c r="C10" s="155"/>
      <c r="D10" s="282" t="s">
        <v>341</v>
      </c>
      <c r="E10" s="283" t="s">
        <v>342</v>
      </c>
      <c r="F10" s="283" t="s">
        <v>343</v>
      </c>
      <c r="G10" s="284" t="s">
        <v>344</v>
      </c>
      <c r="H10" s="285" t="s">
        <v>282</v>
      </c>
      <c r="I10" s="155"/>
      <c r="J10" s="282" t="s">
        <v>341</v>
      </c>
      <c r="K10" s="283" t="s">
        <v>342</v>
      </c>
      <c r="L10" s="283" t="s">
        <v>343</v>
      </c>
      <c r="M10" s="284" t="s">
        <v>344</v>
      </c>
      <c r="N10" s="285" t="s">
        <v>282</v>
      </c>
      <c r="O10" s="155"/>
    </row>
    <row r="11" spans="1:15" outlineLevel="1" x14ac:dyDescent="0.2">
      <c r="A11" s="347" t="s">
        <v>408</v>
      </c>
      <c r="B11" s="286" t="s">
        <v>307</v>
      </c>
      <c r="D11" s="287">
        <f>'01'!D49</f>
        <v>192</v>
      </c>
      <c r="E11" s="288">
        <f>H11*$E$2</f>
        <v>99937.86</v>
      </c>
      <c r="F11" s="289">
        <f>E11/E4</f>
        <v>2379.4728571428573</v>
      </c>
      <c r="G11" s="290">
        <f>E11*D11</f>
        <v>19188069.120000001</v>
      </c>
      <c r="H11" s="291">
        <v>110</v>
      </c>
      <c r="J11" s="287">
        <v>0</v>
      </c>
      <c r="K11" s="288">
        <f>N11*$E$2</f>
        <v>99937.86</v>
      </c>
      <c r="L11" s="289">
        <f>K11/K4</f>
        <v>2379.4728571428573</v>
      </c>
      <c r="M11" s="290">
        <f>K11*J11</f>
        <v>0</v>
      </c>
      <c r="N11" s="291">
        <v>110</v>
      </c>
    </row>
    <row r="12" spans="1:15" outlineLevel="1" x14ac:dyDescent="0.2">
      <c r="A12" s="347" t="s">
        <v>408</v>
      </c>
      <c r="B12" s="292" t="s">
        <v>308</v>
      </c>
      <c r="D12" s="293">
        <f>'01'!D48</f>
        <v>288</v>
      </c>
      <c r="E12" s="294">
        <f>H12*$E$2</f>
        <v>158992.04999999999</v>
      </c>
      <c r="F12" s="295">
        <f>E12/E4</f>
        <v>3785.5249999999996</v>
      </c>
      <c r="G12" s="296">
        <f>E12*D12</f>
        <v>45789710.399999999</v>
      </c>
      <c r="H12" s="297">
        <v>175</v>
      </c>
      <c r="J12" s="293">
        <v>0</v>
      </c>
      <c r="K12" s="294">
        <f>N12*$E$2</f>
        <v>158992.04999999999</v>
      </c>
      <c r="L12" s="295">
        <f>K12/K4</f>
        <v>3785.5249999999996</v>
      </c>
      <c r="M12" s="296">
        <f>K12*J12</f>
        <v>0</v>
      </c>
      <c r="N12" s="297">
        <v>175</v>
      </c>
    </row>
    <row r="13" spans="1:15" outlineLevel="1" x14ac:dyDescent="0.2">
      <c r="A13" s="298"/>
      <c r="B13" s="299"/>
      <c r="D13" s="300">
        <f>D11+D12</f>
        <v>480</v>
      </c>
      <c r="E13" s="301">
        <f>D13*E4</f>
        <v>20160</v>
      </c>
      <c r="F13" s="302">
        <f>'01'!C113</f>
        <v>24953.834999999999</v>
      </c>
      <c r="G13" s="303">
        <f>SUM(G11:G12)</f>
        <v>64977779.519999996</v>
      </c>
      <c r="H13" s="470">
        <f>G13/G24</f>
        <v>7.9415828806741764E-2</v>
      </c>
      <c r="J13" s="300">
        <f>J11+J12</f>
        <v>0</v>
      </c>
      <c r="K13" s="301">
        <f>J13*K4</f>
        <v>0</v>
      </c>
      <c r="L13" s="302">
        <f>'01'!I113</f>
        <v>0</v>
      </c>
      <c r="M13" s="303">
        <f>SUM(M11:M12)</f>
        <v>0</v>
      </c>
      <c r="N13" s="470">
        <f>M13/M24</f>
        <v>0</v>
      </c>
    </row>
    <row r="14" spans="1:15" outlineLevel="1" x14ac:dyDescent="0.2">
      <c r="B14" s="299"/>
      <c r="D14" s="305"/>
      <c r="E14" s="306">
        <f>IFERROR(E13/F13,0)</f>
        <v>0.80789185309592693</v>
      </c>
      <c r="F14" s="307"/>
      <c r="G14" s="261"/>
      <c r="H14" s="304"/>
      <c r="J14" s="305"/>
      <c r="K14" s="306">
        <f>IFERROR(K13/L13,0)</f>
        <v>0</v>
      </c>
      <c r="L14" s="307"/>
      <c r="M14" s="261"/>
      <c r="N14" s="304"/>
    </row>
    <row r="15" spans="1:15" s="235" customFormat="1" outlineLevel="1" x14ac:dyDescent="0.2">
      <c r="A15" s="308"/>
      <c r="B15" s="299"/>
      <c r="C15" s="155"/>
      <c r="D15" s="309"/>
      <c r="E15" s="307"/>
      <c r="F15" s="307"/>
      <c r="G15" s="261"/>
      <c r="H15" s="304"/>
      <c r="I15" s="155"/>
      <c r="J15" s="309"/>
      <c r="K15" s="307"/>
      <c r="L15" s="307"/>
      <c r="M15" s="261"/>
      <c r="N15" s="304"/>
      <c r="O15" s="155"/>
    </row>
    <row r="16" spans="1:15" outlineLevel="1" x14ac:dyDescent="0.2">
      <c r="A16" s="310"/>
      <c r="B16" s="286" t="s">
        <v>345</v>
      </c>
      <c r="D16" s="287">
        <f>'01'!D46</f>
        <v>1689</v>
      </c>
      <c r="E16" s="311">
        <f>H16*$E$2</f>
        <v>377946.81599999999</v>
      </c>
      <c r="F16" s="502">
        <f>E16/E5</f>
        <v>8998.7337142857141</v>
      </c>
      <c r="G16" s="312">
        <f>E16*D16</f>
        <v>638352172.22399998</v>
      </c>
      <c r="H16" s="475">
        <v>416</v>
      </c>
      <c r="J16" s="287">
        <f>'01a'!D46</f>
        <v>2170</v>
      </c>
      <c r="K16" s="311">
        <f>N16*$E$2</f>
        <v>377946.81599999999</v>
      </c>
      <c r="L16" s="502">
        <f>K16/K5</f>
        <v>8998.7337142857141</v>
      </c>
      <c r="M16" s="312">
        <f>K16*J16</f>
        <v>820144590.72000003</v>
      </c>
      <c r="N16" s="475">
        <f>H16</f>
        <v>416</v>
      </c>
    </row>
    <row r="17" spans="1:15" outlineLevel="1" x14ac:dyDescent="0.2">
      <c r="B17" s="299"/>
      <c r="D17" s="309"/>
      <c r="E17" s="301">
        <f>D16*E5</f>
        <v>70938</v>
      </c>
      <c r="F17" s="302">
        <f>'01'!C112</f>
        <v>87850.04</v>
      </c>
      <c r="G17" s="303">
        <f>SUM(G16:G16)</f>
        <v>638352172.22399998</v>
      </c>
      <c r="H17" s="470">
        <f>G17/G24</f>
        <v>0.78019389400878258</v>
      </c>
      <c r="J17" s="309"/>
      <c r="K17" s="301">
        <f>J16*K5</f>
        <v>91140</v>
      </c>
      <c r="L17" s="302">
        <f>'01a'!C112</f>
        <v>112814.99999999999</v>
      </c>
      <c r="M17" s="303">
        <f>SUM(M16:M16)</f>
        <v>820144590.72000003</v>
      </c>
      <c r="N17" s="470">
        <f>M17/M24</f>
        <v>0.87535173740054517</v>
      </c>
    </row>
    <row r="18" spans="1:15" outlineLevel="1" x14ac:dyDescent="0.2">
      <c r="B18" s="299"/>
      <c r="D18" s="313"/>
      <c r="E18" s="306">
        <f>IFERROR(E17/F17,0)</f>
        <v>0.80748967217317147</v>
      </c>
      <c r="F18" s="307"/>
      <c r="H18" s="314"/>
      <c r="J18" s="313"/>
      <c r="K18" s="306">
        <f>IFERROR(K17/L17,0)</f>
        <v>0.80787129371094279</v>
      </c>
      <c r="L18" s="307"/>
      <c r="N18" s="314"/>
    </row>
    <row r="19" spans="1:15" outlineLevel="1" x14ac:dyDescent="0.2">
      <c r="B19" s="299"/>
      <c r="D19" s="315"/>
      <c r="E19" s="307"/>
      <c r="F19" s="307"/>
      <c r="H19" s="314"/>
      <c r="J19" s="315"/>
      <c r="K19" s="307"/>
      <c r="L19" s="307"/>
      <c r="N19" s="314"/>
    </row>
    <row r="20" spans="1:15" outlineLevel="1" x14ac:dyDescent="0.2">
      <c r="A20" s="310"/>
      <c r="B20" s="286" t="s">
        <v>346</v>
      </c>
      <c r="D20" s="316">
        <f>F21*E22</f>
        <v>9572.24</v>
      </c>
      <c r="E20" s="311"/>
      <c r="F20" s="317">
        <v>12000</v>
      </c>
      <c r="G20" s="312">
        <f>F20*D20</f>
        <v>114866880</v>
      </c>
      <c r="H20" s="314"/>
      <c r="J20" s="316">
        <f>L21*K22</f>
        <v>9732.24</v>
      </c>
      <c r="K20" s="311"/>
      <c r="L20" s="317">
        <f>F20</f>
        <v>12000</v>
      </c>
      <c r="M20" s="312">
        <f>L20*J20</f>
        <v>116786880</v>
      </c>
      <c r="N20" s="314"/>
    </row>
    <row r="21" spans="1:15" outlineLevel="1" x14ac:dyDescent="0.2">
      <c r="B21" s="318"/>
      <c r="D21" s="319"/>
      <c r="E21" s="301">
        <f>D20</f>
        <v>9572.24</v>
      </c>
      <c r="F21" s="320">
        <f>'01'!C110+'01'!C111</f>
        <v>11965.3</v>
      </c>
      <c r="G21" s="303">
        <f>SUM(G20:G20)</f>
        <v>114866880</v>
      </c>
      <c r="H21" s="470">
        <f>G21/$G$24</f>
        <v>0.14039027718447572</v>
      </c>
      <c r="J21" s="319"/>
      <c r="K21" s="301">
        <f>J20</f>
        <v>9732.24</v>
      </c>
      <c r="L21" s="320">
        <f>'01a'!C110+'01a'!C111</f>
        <v>12165.3</v>
      </c>
      <c r="M21" s="303">
        <f>SUM(M20:M20)</f>
        <v>116786880</v>
      </c>
      <c r="N21" s="470">
        <f>M21/$G$24</f>
        <v>0.14273690079081197</v>
      </c>
    </row>
    <row r="22" spans="1:15" outlineLevel="1" x14ac:dyDescent="0.2">
      <c r="B22" s="299"/>
      <c r="D22" s="315"/>
      <c r="E22" s="321">
        <v>0.8</v>
      </c>
      <c r="F22" s="307"/>
      <c r="H22" s="314"/>
      <c r="J22" s="315"/>
      <c r="K22" s="321">
        <v>0.8</v>
      </c>
      <c r="L22" s="307"/>
      <c r="N22" s="314"/>
    </row>
    <row r="23" spans="1:15" ht="8" customHeight="1" outlineLevel="1" x14ac:dyDescent="0.2">
      <c r="B23" s="322"/>
      <c r="D23" s="315"/>
      <c r="E23" s="323"/>
      <c r="F23" s="323"/>
      <c r="G23" s="324"/>
      <c r="H23" s="314"/>
      <c r="J23" s="315"/>
      <c r="K23" s="323"/>
      <c r="L23" s="323"/>
      <c r="M23" s="324"/>
      <c r="N23" s="314"/>
    </row>
    <row r="24" spans="1:15" s="333" customFormat="1" ht="23" customHeight="1" x14ac:dyDescent="0.2">
      <c r="A24" s="325"/>
      <c r="B24" s="326" t="s">
        <v>347</v>
      </c>
      <c r="C24" s="327"/>
      <c r="D24" s="328"/>
      <c r="E24" s="329">
        <f>E13+E17+E21</f>
        <v>100670.24</v>
      </c>
      <c r="F24" s="330">
        <f>F13+F17+F21</f>
        <v>124769.175</v>
      </c>
      <c r="G24" s="331">
        <f>G13+G17+G21</f>
        <v>818196831.74399996</v>
      </c>
      <c r="H24" s="332">
        <v>1</v>
      </c>
      <c r="I24" s="327"/>
      <c r="J24" s="328"/>
      <c r="K24" s="329">
        <f>K13+K17+K21</f>
        <v>100872.24</v>
      </c>
      <c r="L24" s="330">
        <f>L13+L17+L21</f>
        <v>124980.29999999999</v>
      </c>
      <c r="M24" s="331">
        <f>M13+M17+M21</f>
        <v>936931470.72000003</v>
      </c>
      <c r="N24" s="332">
        <v>1</v>
      </c>
      <c r="O24" s="327"/>
    </row>
    <row r="25" spans="1:15" ht="9" customHeight="1" x14ac:dyDescent="0.2">
      <c r="B25" s="334"/>
      <c r="D25" s="335"/>
      <c r="E25" s="336"/>
      <c r="F25" s="335"/>
      <c r="G25" s="335"/>
      <c r="H25" s="335"/>
      <c r="J25" s="335"/>
      <c r="K25" s="336"/>
      <c r="L25" s="335"/>
      <c r="M25" s="335"/>
      <c r="N25" s="335"/>
    </row>
    <row r="26" spans="1:15" s="339" customFormat="1" ht="19" x14ac:dyDescent="0.25">
      <c r="A26" s="262"/>
      <c r="B26" s="275" t="s">
        <v>348</v>
      </c>
      <c r="C26" s="155"/>
      <c r="D26" s="312" t="e">
        <f>#REF!</f>
        <v>#REF!</v>
      </c>
      <c r="E26" s="337"/>
      <c r="F26" s="337"/>
      <c r="G26" s="312" t="e">
        <f>#REF!</f>
        <v>#REF!</v>
      </c>
      <c r="H26" s="338" t="e">
        <f>G26/G24</f>
        <v>#REF!</v>
      </c>
      <c r="I26" s="337"/>
      <c r="J26" s="312" t="e">
        <f>#REF!</f>
        <v>#REF!</v>
      </c>
      <c r="K26" s="337"/>
      <c r="L26" s="337"/>
      <c r="M26" s="312" t="e">
        <f>#REF!</f>
        <v>#REF!</v>
      </c>
      <c r="N26" s="338" t="e">
        <f>M26/M24</f>
        <v>#REF!</v>
      </c>
      <c r="O26" s="337"/>
    </row>
    <row r="27" spans="1:15" s="346" customFormat="1" ht="27" customHeight="1" outlineLevel="1" x14ac:dyDescent="0.2">
      <c r="A27" s="340"/>
      <c r="B27" s="341" t="s">
        <v>349</v>
      </c>
      <c r="C27" s="155"/>
      <c r="D27" s="342"/>
      <c r="E27" s="343"/>
      <c r="F27" s="343"/>
      <c r="G27" s="344">
        <f>SUM(G31:G36)+G39+G40+G41</f>
        <v>49248638.107199997</v>
      </c>
      <c r="H27" s="345">
        <f>G27/G24</f>
        <v>6.0191675397013845E-2</v>
      </c>
      <c r="I27" s="155"/>
      <c r="J27" s="342"/>
      <c r="K27" s="343"/>
      <c r="L27" s="343"/>
      <c r="M27" s="344">
        <f>SUM(M31:M36)+M39+M40+M41</f>
        <v>108587337.0372</v>
      </c>
      <c r="N27" s="345">
        <f>M27/M24</f>
        <v>0.11589677626449491</v>
      </c>
      <c r="O27" s="155"/>
    </row>
    <row r="28" spans="1:15" s="346" customFormat="1" ht="21" customHeight="1" outlineLevel="2" x14ac:dyDescent="0.2">
      <c r="A28" s="347" t="s">
        <v>392</v>
      </c>
      <c r="B28" s="348" t="s">
        <v>350</v>
      </c>
      <c r="C28" s="155"/>
      <c r="D28" s="489">
        <f>(IF(H5&lt;=TABLAS!$C$5,TABLAS!$D$5,IF(H5&lt;=TABLAS!$C$6,TABLAS!$D$6,IF(H5&lt;=TABLAS!$C$7,TABLAS!$D$7,IF(H5&lt;=TABLAS!$C$8,TABLAS!$D$8,IF(H5&lt;=TABLAS!$C$9,TABLAS!$D$9,IF(H5&lt;=TABLAS!$C$10,TABLAS!$D$10,IF(H5&gt;TABLAS!$C$11,TABLAS!$D$11))))))))</f>
        <v>0.79</v>
      </c>
      <c r="E28" s="490">
        <f>(IF(H5&lt;=TABLAS!$C$5,TABLAS!$E$5,IF(H5&lt;=TABLAS!$C$6,TABLAS!$E$6,IF(H5&lt;=TABLAS!$C$7,TABLAS!$E$7,IF(H5&lt;=TABLAS!$C$8,TABLAS!$E$8,IF(H5&lt;=TABLAS!$C$9,TABLAS!$E$9,IF(H5&lt;=TABLAS!$C$10,TABLAS!$E$10,IF(H5&gt;TABLAS!$C$11,TABLAS!$E$11))))))))</f>
        <v>0.35</v>
      </c>
      <c r="F28" s="491">
        <f>(IF(H5&lt;=TABLAS!$C$5,TABLAS!$F$5,IF(H5&lt;=TABLAS!$C$6,TABLAS!$F$6,IF(H5&lt;=TABLAS!$C$7,TABLAS!$F$7,IF(H5&lt;=TABLAS!$C$8,TABLAS!$F$8,IF(H5&lt;=TABLAS!$C$9,TABLAS!$F$9,IF(H5&lt;=TABLAS!$C$10,TABLAS!$F$10,IF(H5&gt;TABLAS!$C$11,TABLAS!$F$11))))))))</f>
        <v>0.44</v>
      </c>
      <c r="G28" s="352"/>
      <c r="H28" s="353"/>
      <c r="I28" s="155"/>
      <c r="J28" s="489">
        <f>(IF(N5&lt;=TABLAS!$C$5,TABLAS!$D$5,IF(N5&lt;=TABLAS!$C$6,TABLAS!$D$6,IF(N5&lt;=TABLAS!$C$7,TABLAS!$D$7,IF(N5&lt;=TABLAS!$C$8,TABLAS!$D$8,IF(N5&lt;=TABLAS!$C$9,TABLAS!$D$9,IF(N5&lt;=TABLAS!$C$10,TABLAS!$D$10,IF(N5&gt;TABLAS!$C$11,TABLAS!$D$11))))))))</f>
        <v>0.79</v>
      </c>
      <c r="K28" s="490">
        <f>(IF(N5&lt;=TABLAS!$C$5,TABLAS!$E$5,IF(N5&lt;=TABLAS!$C$6,TABLAS!$E$6,IF(N5&lt;=TABLAS!$C$7,TABLAS!$E$7,IF(N5&lt;=TABLAS!$C$8,TABLAS!$E$8,IF(N5&lt;=TABLAS!$C$9,TABLAS!$E$9,IF(N5&lt;=TABLAS!$C$10,TABLAS!$E$10,IF(N5&gt;TABLAS!$C$11,TABLAS!$E$11))))))))</f>
        <v>0.35</v>
      </c>
      <c r="L28" s="491">
        <f>(IF(N5&lt;=TABLAS!$C$5,TABLAS!$F$5,IF(N5&lt;=TABLAS!$C$6,TABLAS!$F$6,IF(N5&lt;=TABLAS!$C$7,TABLAS!$F$7,IF(N5&lt;=TABLAS!$C$8,TABLAS!$F$8,IF(N5&lt;=TABLAS!$C$9,TABLAS!$F$9,IF(N5&lt;=TABLAS!$C$10,TABLAS!$F$10,IF(N5&gt;TABLAS!$C$11,TABLAS!$F$11))))))))</f>
        <v>0.44</v>
      </c>
      <c r="M28" s="352"/>
      <c r="N28" s="353"/>
      <c r="O28" s="155"/>
    </row>
    <row r="29" spans="1:15" s="346" customFormat="1" ht="21" customHeight="1" outlineLevel="2" x14ac:dyDescent="0.2">
      <c r="A29" s="347"/>
      <c r="B29" s="348"/>
      <c r="C29" s="155"/>
      <c r="D29" s="349"/>
      <c r="E29" s="350"/>
      <c r="F29" s="351"/>
      <c r="G29" s="352"/>
      <c r="H29" s="353"/>
      <c r="I29" s="155"/>
      <c r="J29" s="349"/>
      <c r="K29" s="350"/>
      <c r="L29" s="351"/>
      <c r="M29" s="352"/>
      <c r="N29" s="353"/>
      <c r="O29" s="155"/>
    </row>
    <row r="30" spans="1:15" s="346" customFormat="1" ht="21" customHeight="1" outlineLevel="2" x14ac:dyDescent="0.2">
      <c r="A30" s="347" t="s">
        <v>393</v>
      </c>
      <c r="B30" s="471" t="s">
        <v>389</v>
      </c>
      <c r="C30" s="155"/>
      <c r="D30" s="355"/>
      <c r="E30" s="487" t="s">
        <v>390</v>
      </c>
      <c r="F30" s="488">
        <f>H3*E28</f>
        <v>5636.7149999999992</v>
      </c>
      <c r="G30" s="356">
        <f>F30*H7</f>
        <v>37448405.576127</v>
      </c>
      <c r="H30" s="357">
        <f>G30/G24</f>
        <v>4.5769433616975892E-2</v>
      </c>
      <c r="I30" s="155"/>
      <c r="J30" s="355"/>
      <c r="K30" s="487" t="s">
        <v>390</v>
      </c>
      <c r="L30" s="488">
        <f>N3*K28</f>
        <v>5636.7149999999992</v>
      </c>
      <c r="M30" s="356">
        <f>L30*N7</f>
        <v>37448405.576127</v>
      </c>
      <c r="N30" s="357">
        <f>M30/M24</f>
        <v>3.9969204521809021E-2</v>
      </c>
      <c r="O30" s="155"/>
    </row>
    <row r="31" spans="1:15" s="346" customFormat="1" ht="21" customHeight="1" outlineLevel="2" x14ac:dyDescent="0.2">
      <c r="A31" s="358"/>
      <c r="B31" s="359" t="s">
        <v>351</v>
      </c>
      <c r="C31" s="155"/>
      <c r="D31" s="355"/>
      <c r="E31" s="492">
        <f>F30</f>
        <v>5636.7149999999992</v>
      </c>
      <c r="F31" s="493">
        <v>200</v>
      </c>
      <c r="G31" s="360">
        <f>E31*F31</f>
        <v>1127342.9999999998</v>
      </c>
      <c r="H31" s="361">
        <f>G31/G24</f>
        <v>1.3778383834572539E-3</v>
      </c>
      <c r="I31" s="155"/>
      <c r="J31" s="355"/>
      <c r="K31" s="492">
        <f>L30</f>
        <v>5636.7149999999992</v>
      </c>
      <c r="L31" s="493">
        <v>200</v>
      </c>
      <c r="M31" s="360">
        <f>K31*L31</f>
        <v>1127342.9999999998</v>
      </c>
      <c r="N31" s="361">
        <f>M31/M24</f>
        <v>1.2032288755693893E-3</v>
      </c>
      <c r="O31" s="155"/>
    </row>
    <row r="32" spans="1:15" s="346" customFormat="1" ht="21" customHeight="1" outlineLevel="2" x14ac:dyDescent="0.2">
      <c r="A32" s="347" t="s">
        <v>394</v>
      </c>
      <c r="B32" s="472" t="s">
        <v>395</v>
      </c>
      <c r="C32" s="155"/>
      <c r="D32" s="362" t="s">
        <v>396</v>
      </c>
      <c r="E32" s="499">
        <v>0</v>
      </c>
      <c r="F32" s="498">
        <f>E6+200</f>
        <v>6500</v>
      </c>
      <c r="G32" s="360">
        <f>IF(D32="NO",0,E32*F32)</f>
        <v>0</v>
      </c>
      <c r="H32" s="361">
        <f>G32/G24</f>
        <v>0</v>
      </c>
      <c r="I32" s="155"/>
      <c r="J32" s="362" t="s">
        <v>396</v>
      </c>
      <c r="K32" s="499">
        <v>0</v>
      </c>
      <c r="L32" s="498">
        <f>K6+200</f>
        <v>6500</v>
      </c>
      <c r="M32" s="360">
        <f>IF(J32="NO",0,K32*L32)</f>
        <v>0</v>
      </c>
      <c r="N32" s="361">
        <f>M32/M24</f>
        <v>0</v>
      </c>
      <c r="O32" s="155"/>
    </row>
    <row r="33" spans="1:15" s="346" customFormat="1" ht="21" customHeight="1" outlineLevel="2" x14ac:dyDescent="0.2">
      <c r="A33" s="347" t="s">
        <v>399</v>
      </c>
      <c r="B33" s="471" t="s">
        <v>391</v>
      </c>
      <c r="C33" s="155"/>
      <c r="D33" s="494" t="s">
        <v>406</v>
      </c>
      <c r="E33" s="495">
        <f>H3*F28</f>
        <v>7086.1559999999999</v>
      </c>
      <c r="F33" s="496">
        <f>E6</f>
        <v>6300</v>
      </c>
      <c r="G33" s="360">
        <f>F33*E33</f>
        <v>44642782.799999997</v>
      </c>
      <c r="H33" s="361">
        <f>G33/G24</f>
        <v>5.4562399984907264E-2</v>
      </c>
      <c r="I33" s="155"/>
      <c r="J33" s="494" t="s">
        <v>406</v>
      </c>
      <c r="K33" s="495">
        <f>N3*L28</f>
        <v>7086.1559999999999</v>
      </c>
      <c r="L33" s="496">
        <f>K6</f>
        <v>6300</v>
      </c>
      <c r="M33" s="360">
        <f>L33*K33</f>
        <v>44642782.799999997</v>
      </c>
      <c r="N33" s="361">
        <f>M33/M24</f>
        <v>4.7647863472547819E-2</v>
      </c>
      <c r="O33" s="155"/>
    </row>
    <row r="34" spans="1:15" s="346" customFormat="1" ht="21" customHeight="1" outlineLevel="2" x14ac:dyDescent="0.2">
      <c r="A34" s="347" t="s">
        <v>401</v>
      </c>
      <c r="B34" s="471" t="s">
        <v>400</v>
      </c>
      <c r="C34" s="155"/>
      <c r="D34" s="494" t="s">
        <v>407</v>
      </c>
      <c r="E34" s="495">
        <f>D28*H3</f>
        <v>12722.871000000001</v>
      </c>
      <c r="F34" s="497">
        <v>6.4000000000000001E-2</v>
      </c>
      <c r="G34" s="360">
        <f>E34*F33*F34</f>
        <v>5129861.5872000009</v>
      </c>
      <c r="H34" s="361">
        <f>G34/G24</f>
        <v>6.2697157800838911E-3</v>
      </c>
      <c r="I34" s="155"/>
      <c r="J34" s="494" t="s">
        <v>407</v>
      </c>
      <c r="K34" s="495">
        <f>J28*N3</f>
        <v>12722.871000000001</v>
      </c>
      <c r="L34" s="497">
        <v>6.4000000000000001E-2</v>
      </c>
      <c r="M34" s="360">
        <f>K34*L33*L34</f>
        <v>5129861.5872000009</v>
      </c>
      <c r="N34" s="361">
        <f>M34/M24</f>
        <v>5.475172675390951E-3</v>
      </c>
      <c r="O34" s="155"/>
    </row>
    <row r="35" spans="1:15" s="346" customFormat="1" ht="21" customHeight="1" outlineLevel="2" x14ac:dyDescent="0.2">
      <c r="B35" s="354" t="s">
        <v>353</v>
      </c>
      <c r="C35" s="155"/>
      <c r="D35" s="362" t="s">
        <v>303</v>
      </c>
      <c r="E35" s="368">
        <v>0.18</v>
      </c>
      <c r="F35" s="478">
        <f>'01'!D54</f>
        <v>9981.5339999999997</v>
      </c>
      <c r="G35" s="360">
        <f>IF(D35="PAGO",F35*E35*F33,0)</f>
        <v>0</v>
      </c>
      <c r="H35" s="361">
        <f>G35/G24</f>
        <v>0</v>
      </c>
      <c r="I35" s="155"/>
      <c r="J35" s="362" t="s">
        <v>305</v>
      </c>
      <c r="K35" s="521">
        <v>0.18</v>
      </c>
      <c r="L35" s="478">
        <f>'01a'!D54</f>
        <v>12498.029999999999</v>
      </c>
      <c r="M35" s="360">
        <f>IF(J35="PAGO",L35*K35*L33,0)</f>
        <v>14172766.02</v>
      </c>
      <c r="N35" s="361">
        <f>M35/M24</f>
        <v>1.5126790446166473E-2</v>
      </c>
      <c r="O35" s="155"/>
    </row>
    <row r="36" spans="1:15" s="346" customFormat="1" ht="21" customHeight="1" outlineLevel="2" x14ac:dyDescent="0.2">
      <c r="B36" s="354" t="s">
        <v>354</v>
      </c>
      <c r="C36" s="155"/>
      <c r="D36" s="363" t="s">
        <v>303</v>
      </c>
      <c r="E36" s="368">
        <v>0.18</v>
      </c>
      <c r="F36" s="479">
        <f>'01'!D53</f>
        <v>14972.300999999999</v>
      </c>
      <c r="G36" s="360">
        <f>IF(D36="PAGO",F36*E36*F33,0)</f>
        <v>0</v>
      </c>
      <c r="H36" s="361">
        <f>G36/G24</f>
        <v>0</v>
      </c>
      <c r="I36" s="155"/>
      <c r="J36" s="363" t="s">
        <v>305</v>
      </c>
      <c r="K36" s="368">
        <f>K35</f>
        <v>0.18</v>
      </c>
      <c r="L36" s="479">
        <f>'01a'!D53</f>
        <v>18747.044999999998</v>
      </c>
      <c r="M36" s="360">
        <f>IF(J36="PAGO",L36*K36*L33,0)</f>
        <v>21259149.029999997</v>
      </c>
      <c r="N36" s="361">
        <f>M36/M24</f>
        <v>2.2690185669249709E-2</v>
      </c>
      <c r="O36" s="155"/>
    </row>
    <row r="37" spans="1:15" s="364" customFormat="1" ht="21" customHeight="1" outlineLevel="2" x14ac:dyDescent="0.2">
      <c r="A37" s="347" t="s">
        <v>403</v>
      </c>
      <c r="B37" s="476" t="s">
        <v>402</v>
      </c>
      <c r="C37" s="366"/>
      <c r="D37" s="481">
        <f>+(IF(H5&lt;=TABLAS!$D$17,TABLAS!$E$17,IF(H5&gt;TABLAS!$D$18,TABLAS!$E$18)))</f>
        <v>0.03</v>
      </c>
      <c r="E37" s="479">
        <v>0</v>
      </c>
      <c r="F37" s="480">
        <f>D37*E37</f>
        <v>0</v>
      </c>
      <c r="G37" s="356">
        <f>F37*E6</f>
        <v>0</v>
      </c>
      <c r="H37" s="357">
        <f>G37/G24</f>
        <v>0</v>
      </c>
      <c r="I37" s="366"/>
      <c r="J37" s="481">
        <f>+(IF(N5&lt;=TABLAS!$D$17,TABLAS!$E$17,IF(N5&gt;TABLAS!$D$18,TABLAS!$E$18)))</f>
        <v>0.03</v>
      </c>
      <c r="K37" s="479">
        <v>0</v>
      </c>
      <c r="L37" s="480">
        <f>J37*K37</f>
        <v>0</v>
      </c>
      <c r="M37" s="356">
        <f>L37*K6</f>
        <v>0</v>
      </c>
      <c r="N37" s="357">
        <f>M37/M24</f>
        <v>0</v>
      </c>
      <c r="O37" s="366"/>
    </row>
    <row r="38" spans="1:15" s="364" customFormat="1" ht="21" customHeight="1" outlineLevel="2" x14ac:dyDescent="0.2">
      <c r="B38" s="365"/>
      <c r="C38" s="366"/>
      <c r="D38" s="367"/>
      <c r="E38" s="369"/>
      <c r="F38" s="482">
        <f>F37/H3</f>
        <v>0</v>
      </c>
      <c r="G38" s="370"/>
      <c r="H38" s="371"/>
      <c r="I38" s="366"/>
      <c r="J38" s="367"/>
      <c r="K38" s="369"/>
      <c r="L38" s="482">
        <f>L37/N3</f>
        <v>0</v>
      </c>
      <c r="M38" s="370"/>
      <c r="N38" s="371"/>
      <c r="O38" s="366"/>
    </row>
    <row r="39" spans="1:15" s="364" customFormat="1" ht="21" customHeight="1" outlineLevel="2" x14ac:dyDescent="0.2">
      <c r="A39" s="347" t="s">
        <v>404</v>
      </c>
      <c r="B39" s="373" t="s">
        <v>405</v>
      </c>
      <c r="C39" s="366"/>
      <c r="D39" s="372"/>
      <c r="E39" s="485">
        <f>'01'!D97</f>
        <v>9981.5339999999997</v>
      </c>
      <c r="F39" s="484">
        <v>0.1</v>
      </c>
      <c r="G39" s="360">
        <f>E39*F39*E6</f>
        <v>6288366.4199999999</v>
      </c>
      <c r="H39" s="361">
        <f>G39/G24</f>
        <v>7.6856401492000938E-3</v>
      </c>
      <c r="I39" s="366"/>
      <c r="J39" s="372"/>
      <c r="K39" s="485">
        <f>'01a'!D97</f>
        <v>12498.029999999999</v>
      </c>
      <c r="L39" s="484">
        <v>0.1</v>
      </c>
      <c r="M39" s="360">
        <f>K39*L39*K6</f>
        <v>7873758.8999999994</v>
      </c>
      <c r="N39" s="361">
        <f>M39/M24</f>
        <v>8.4037724700924844E-3</v>
      </c>
      <c r="O39" s="366"/>
    </row>
    <row r="40" spans="1:15" s="346" customFormat="1" ht="21" customHeight="1" outlineLevel="2" x14ac:dyDescent="0.2">
      <c r="A40" s="239"/>
      <c r="B40" s="381" t="s">
        <v>357</v>
      </c>
      <c r="C40" s="155"/>
      <c r="D40" s="382" t="s">
        <v>295</v>
      </c>
      <c r="E40" s="377">
        <f>IF(D40="AAGSM",TABLAS!$D$21,IF(D40="AAEND",TABLAS!$E$21,0))</f>
        <v>0.25</v>
      </c>
      <c r="F40" s="378" t="s">
        <v>356</v>
      </c>
      <c r="G40" s="379">
        <f>-E40*G33</f>
        <v>-11160695.699999999</v>
      </c>
      <c r="H40" s="380">
        <f>G40/G24</f>
        <v>-1.3640599996226816E-2</v>
      </c>
      <c r="I40" s="155"/>
      <c r="J40" s="382" t="s">
        <v>295</v>
      </c>
      <c r="K40" s="377">
        <f>IF(J40="AAGSM",TABLAS!$D$21,IF(J40="AAEND",TABLAS!$E$21,0))</f>
        <v>0.25</v>
      </c>
      <c r="L40" s="378" t="s">
        <v>356</v>
      </c>
      <c r="M40" s="379">
        <f>K40*M33</f>
        <v>11160695.699999999</v>
      </c>
      <c r="N40" s="380">
        <f>M40/M24</f>
        <v>1.1911965868136955E-2</v>
      </c>
      <c r="O40" s="155"/>
    </row>
    <row r="41" spans="1:15" s="364" customFormat="1" outlineLevel="2" x14ac:dyDescent="0.2">
      <c r="B41" s="545" t="s">
        <v>445</v>
      </c>
      <c r="C41" s="366"/>
      <c r="D41" s="374"/>
      <c r="E41" s="544">
        <f>H3*2</f>
        <v>32209.8</v>
      </c>
      <c r="F41" s="543">
        <v>100</v>
      </c>
      <c r="G41" s="360">
        <f>E41*F41</f>
        <v>3220980</v>
      </c>
      <c r="H41" s="546">
        <f>G41/G24</f>
        <v>3.9366810955921549E-3</v>
      </c>
      <c r="I41" s="366"/>
      <c r="J41" s="374"/>
      <c r="K41" s="544">
        <f>N3*2</f>
        <v>32209.8</v>
      </c>
      <c r="L41" s="543">
        <v>100</v>
      </c>
      <c r="M41" s="360">
        <f>K41*L41</f>
        <v>3220980</v>
      </c>
      <c r="N41" s="546">
        <f>M41/M24</f>
        <v>3.4377967873411128E-3</v>
      </c>
      <c r="O41" s="366"/>
    </row>
    <row r="42" spans="1:15" s="529" customFormat="1" ht="17" customHeight="1" outlineLevel="1" x14ac:dyDescent="0.2">
      <c r="A42" s="375"/>
      <c r="B42" s="376"/>
      <c r="C42" s="528"/>
      <c r="D42" s="376"/>
      <c r="E42" s="376"/>
      <c r="F42" s="409"/>
      <c r="G42" s="376"/>
      <c r="H42" s="376"/>
      <c r="I42" s="528"/>
      <c r="J42" s="376"/>
      <c r="K42" s="376"/>
      <c r="L42" s="409"/>
      <c r="M42" s="376"/>
      <c r="N42" s="376"/>
      <c r="O42" s="528"/>
    </row>
    <row r="43" spans="1:15" s="375" customFormat="1" ht="21" customHeight="1" outlineLevel="1" x14ac:dyDescent="0.2">
      <c r="A43" s="340"/>
      <c r="B43" s="526"/>
      <c r="C43" s="155"/>
      <c r="D43" s="527">
        <f>'01'!C107</f>
        <v>99815.34</v>
      </c>
      <c r="E43" s="527" cm="1">
        <f t="array" ref="E43:F43">'01'!C106:D106</f>
        <v>153879.18424999999</v>
      </c>
      <c r="F43" s="526">
        <v>0</v>
      </c>
      <c r="G43" s="526"/>
      <c r="H43" s="526"/>
      <c r="I43" s="155"/>
      <c r="J43" s="527">
        <f>'01a'!C107</f>
        <v>124980.29999999999</v>
      </c>
      <c r="K43" s="527" cm="1">
        <f t="array" ref="K43:L43">'01a'!C106:D106</f>
        <v>158537.17624999999</v>
      </c>
      <c r="L43" s="526">
        <v>0</v>
      </c>
      <c r="M43" s="526"/>
      <c r="N43" s="526"/>
      <c r="O43" s="155"/>
    </row>
    <row r="44" spans="1:15" s="346" customFormat="1" ht="27" customHeight="1" outlineLevel="1" x14ac:dyDescent="0.2">
      <c r="A44" s="340"/>
      <c r="B44" s="341" t="s">
        <v>358</v>
      </c>
      <c r="C44" s="155"/>
      <c r="D44" s="342"/>
      <c r="E44" s="343"/>
      <c r="F44" s="343"/>
      <c r="G44" s="344">
        <f>SUM(G46:G51)</f>
        <v>358923263.5</v>
      </c>
      <c r="H44" s="345">
        <f>G44/G24</f>
        <v>0.43867593905851382</v>
      </c>
      <c r="I44" s="155"/>
      <c r="J44" s="342"/>
      <c r="K44" s="343"/>
      <c r="L44" s="343"/>
      <c r="M44" s="344">
        <f>SUM(M46:M51)</f>
        <v>380703752.49999994</v>
      </c>
      <c r="N44" s="345">
        <f>M44/M24</f>
        <v>0.40633041412030063</v>
      </c>
      <c r="O44" s="155"/>
    </row>
    <row r="45" spans="1:15" outlineLevel="2" x14ac:dyDescent="0.2">
      <c r="A45" s="340"/>
      <c r="B45" s="383"/>
      <c r="D45" s="384"/>
      <c r="E45" s="385"/>
      <c r="F45" s="386" t="s">
        <v>359</v>
      </c>
      <c r="G45" s="387"/>
      <c r="H45" s="388"/>
      <c r="J45" s="384"/>
      <c r="K45" s="385"/>
      <c r="L45" s="386" t="s">
        <v>359</v>
      </c>
      <c r="M45" s="387"/>
      <c r="N45" s="388"/>
    </row>
    <row r="46" spans="1:15" ht="21" customHeight="1" outlineLevel="2" x14ac:dyDescent="0.2">
      <c r="A46" s="340"/>
      <c r="B46" s="389" t="str">
        <f>B11</f>
        <v>VIP</v>
      </c>
      <c r="D46" s="390">
        <f>'01'!D54</f>
        <v>9981.5339999999997</v>
      </c>
      <c r="E46" s="391">
        <f>IF(D46=0,0,E48-500)</f>
        <v>2000</v>
      </c>
      <c r="F46" s="392">
        <f>IFERROR(VLOOKUP(#REF!,TABLAS!$C$33:$M$35,TABLAS!$D$31,FALSE),0)*E46</f>
        <v>0</v>
      </c>
      <c r="G46" s="393">
        <f>D46*(E46+F46)</f>
        <v>19963068</v>
      </c>
      <c r="H46" s="394">
        <f>G46/G24</f>
        <v>2.4398857616508236E-2</v>
      </c>
      <c r="J46" s="390">
        <f>'01'!J54</f>
        <v>0</v>
      </c>
      <c r="K46" s="391">
        <f>IF(J46=0,0,K48-500)</f>
        <v>0</v>
      </c>
      <c r="L46" s="392">
        <f>IFERROR(VLOOKUP(#REF!,TABLAS!$C$33:$M$35,TABLAS!$D$31,FALSE),0)*K46</f>
        <v>0</v>
      </c>
      <c r="M46" s="393">
        <f>J46*(K46+L46)</f>
        <v>0</v>
      </c>
      <c r="N46" s="394">
        <f>M46/M24</f>
        <v>0</v>
      </c>
    </row>
    <row r="47" spans="1:15" ht="21" customHeight="1" outlineLevel="2" x14ac:dyDescent="0.2">
      <c r="B47" s="354" t="str">
        <f>B12</f>
        <v>VIS</v>
      </c>
      <c r="D47" s="390">
        <f>'01'!D53</f>
        <v>14972.300999999999</v>
      </c>
      <c r="E47" s="395">
        <f>E46</f>
        <v>2000</v>
      </c>
      <c r="F47" s="396">
        <f>IFERROR(VLOOKUP(#REF!,TABLAS!$C$33:$M$35,TABLAS!$E$31,FALSE),0)*E47</f>
        <v>0</v>
      </c>
      <c r="G47" s="393">
        <f>D47*(E47+F47)</f>
        <v>29944602</v>
      </c>
      <c r="H47" s="380">
        <f>G47/G24</f>
        <v>3.6598286424762351E-2</v>
      </c>
      <c r="J47" s="390">
        <f>'01'!J53</f>
        <v>0</v>
      </c>
      <c r="K47" s="395">
        <f>K46</f>
        <v>0</v>
      </c>
      <c r="L47" s="396">
        <f>IFERROR(VLOOKUP(#REF!,TABLAS!$C$33:$M$35,TABLAS!$E$31,FALSE),0)*K47</f>
        <v>0</v>
      </c>
      <c r="M47" s="393">
        <f>J47*(K47+L47)</f>
        <v>0</v>
      </c>
      <c r="N47" s="380">
        <f>M47/M24</f>
        <v>0</v>
      </c>
    </row>
    <row r="48" spans="1:15" ht="21" customHeight="1" outlineLevel="2" x14ac:dyDescent="0.2">
      <c r="B48" s="354" t="str">
        <f>B16</f>
        <v>No VIS</v>
      </c>
      <c r="D48" s="397">
        <f>F17</f>
        <v>87850.04</v>
      </c>
      <c r="E48" s="398">
        <v>2500</v>
      </c>
      <c r="F48" s="396">
        <f>IFERROR(VLOOKUP(#REF!,TABLAS!$C$33:$M$35,TABLAS!$F$31,FALSE),0)*E48</f>
        <v>0</v>
      </c>
      <c r="G48" s="393">
        <f>D48*(E48+F48)</f>
        <v>219625099.99999997</v>
      </c>
      <c r="H48" s="380">
        <f>G48/G24</f>
        <v>0.26842575218956233</v>
      </c>
      <c r="J48" s="397">
        <f>L17</f>
        <v>112814.99999999999</v>
      </c>
      <c r="K48" s="398">
        <f>E48</f>
        <v>2500</v>
      </c>
      <c r="L48" s="396">
        <f>IFERROR(VLOOKUP(#REF!,TABLAS!$C$33:$M$35,TABLAS!$F$31,FALSE),0)*K48</f>
        <v>0</v>
      </c>
      <c r="M48" s="393">
        <f>J48*(K48+L48)</f>
        <v>282037499.99999994</v>
      </c>
      <c r="N48" s="380">
        <f>M48/M24</f>
        <v>0.30102254947553814</v>
      </c>
    </row>
    <row r="49" spans="1:15" ht="21" customHeight="1" outlineLevel="2" x14ac:dyDescent="0.2">
      <c r="B49" s="354" t="str">
        <f>B20</f>
        <v>Comercio</v>
      </c>
      <c r="D49" s="397">
        <f>F21</f>
        <v>11965.3</v>
      </c>
      <c r="E49" s="541">
        <v>2500</v>
      </c>
      <c r="F49" s="399">
        <f>IFERROR(VLOOKUP(#REF!,TABLAS!$C$33:$M$35,TABLAS!$I$31,FALSE),0)*E49</f>
        <v>0</v>
      </c>
      <c r="G49" s="393">
        <f>D49*(E49+F49)</f>
        <v>29913250</v>
      </c>
      <c r="H49" s="380">
        <f>G49/G24</f>
        <v>3.6559968016790553E-2</v>
      </c>
      <c r="J49" s="397">
        <f>L21</f>
        <v>12165.3</v>
      </c>
      <c r="K49" s="541">
        <f>E49</f>
        <v>2500</v>
      </c>
      <c r="L49" s="399">
        <f>IFERROR(VLOOKUP(#REF!,TABLAS!$C$33:$M$35,TABLAS!$I$31,FALSE),0)*K49</f>
        <v>0</v>
      </c>
      <c r="M49" s="393">
        <f>J49*(K49+L49)</f>
        <v>30413250</v>
      </c>
      <c r="N49" s="380">
        <f>M49/M24</f>
        <v>3.2460485051941365E-2</v>
      </c>
    </row>
    <row r="50" spans="1:15" ht="21" customHeight="1" outlineLevel="2" x14ac:dyDescent="0.2">
      <c r="A50" s="310"/>
      <c r="B50" s="354" t="s">
        <v>360</v>
      </c>
      <c r="D50" s="397">
        <f>'01'!C108</f>
        <v>2514.4500000000003</v>
      </c>
      <c r="E50" s="542">
        <f>E49</f>
        <v>2500</v>
      </c>
      <c r="F50" s="401"/>
      <c r="G50" s="402">
        <f>D50*E50</f>
        <v>6286125.0000000009</v>
      </c>
      <c r="H50" s="380">
        <f>G50/G24</f>
        <v>7.6829006861356608E-3</v>
      </c>
      <c r="J50" s="397">
        <f>'01a'!C108</f>
        <v>2278.5</v>
      </c>
      <c r="K50" s="542">
        <f>K49</f>
        <v>2500</v>
      </c>
      <c r="L50" s="401"/>
      <c r="M50" s="402">
        <f>J50*K50</f>
        <v>5696250</v>
      </c>
      <c r="N50" s="380">
        <f>M50/M24</f>
        <v>6.079686912024233E-3</v>
      </c>
    </row>
    <row r="51" spans="1:15" ht="21" customHeight="1" outlineLevel="2" x14ac:dyDescent="0.2">
      <c r="A51" s="310"/>
      <c r="B51" s="354" t="s">
        <v>361</v>
      </c>
      <c r="D51" s="397">
        <f>'01'!C115</f>
        <v>26595.559249999998</v>
      </c>
      <c r="E51" s="398">
        <v>2000</v>
      </c>
      <c r="F51" s="400"/>
      <c r="G51" s="402">
        <f>D51*E51</f>
        <v>53191118.5</v>
      </c>
      <c r="H51" s="380">
        <f>G51/G24</f>
        <v>6.5010174124754627E-2</v>
      </c>
      <c r="J51" s="397">
        <f>'01a'!C115</f>
        <v>31278.376249999998</v>
      </c>
      <c r="K51" s="398">
        <f>E51</f>
        <v>2000</v>
      </c>
      <c r="L51" s="400"/>
      <c r="M51" s="402">
        <f>J51*K51</f>
        <v>62556752.499999993</v>
      </c>
      <c r="N51" s="380">
        <f>M51/M24</f>
        <v>6.6767692680796867E-2</v>
      </c>
    </row>
    <row r="52" spans="1:15" s="236" customFormat="1" ht="21" customHeight="1" outlineLevel="2" x14ac:dyDescent="0.2">
      <c r="A52" s="274"/>
      <c r="B52" s="403"/>
      <c r="D52" s="404">
        <f>SUM(D46:D49)</f>
        <v>124769.175</v>
      </c>
      <c r="E52" s="405">
        <f>SUM(D50:D51)+D52</f>
        <v>153879.18424999999</v>
      </c>
      <c r="F52" s="406">
        <f>G44/E52</f>
        <v>2332.5004304472718</v>
      </c>
      <c r="G52" s="407"/>
      <c r="H52" s="408"/>
      <c r="J52" s="404">
        <f>SUM(J46:J49)</f>
        <v>124980.29999999999</v>
      </c>
      <c r="K52" s="405">
        <f>SUM(J50:J51)+J52</f>
        <v>158537.17624999999</v>
      </c>
      <c r="L52" s="406">
        <f>M44/K52</f>
        <v>2401.3531810334612</v>
      </c>
      <c r="M52" s="407"/>
      <c r="N52" s="408"/>
    </row>
    <row r="53" spans="1:15" ht="9" customHeight="1" outlineLevel="1" x14ac:dyDescent="0.2">
      <c r="A53" s="310"/>
      <c r="B53" s="310"/>
      <c r="C53" s="310"/>
      <c r="D53" s="310"/>
      <c r="E53" s="310"/>
      <c r="F53" s="409"/>
      <c r="I53" s="310"/>
      <c r="J53" s="310"/>
      <c r="K53" s="310"/>
      <c r="L53" s="409"/>
      <c r="O53" s="310"/>
    </row>
    <row r="54" spans="1:15" s="346" customFormat="1" ht="27" customHeight="1" outlineLevel="1" x14ac:dyDescent="0.2">
      <c r="A54" s="340"/>
      <c r="B54" s="341" t="s">
        <v>362</v>
      </c>
      <c r="C54" s="155"/>
      <c r="D54" s="410"/>
      <c r="E54" s="411">
        <v>0.21</v>
      </c>
      <c r="F54" s="412"/>
      <c r="G54" s="413">
        <f>E54*G24</f>
        <v>171821334.66623998</v>
      </c>
      <c r="H54" s="414">
        <f>G54/G24</f>
        <v>0.21</v>
      </c>
      <c r="I54" s="155"/>
      <c r="J54" s="410"/>
      <c r="K54" s="411">
        <v>0.21</v>
      </c>
      <c r="L54" s="412"/>
      <c r="M54" s="413">
        <f>K54*M24</f>
        <v>196755608.85119998</v>
      </c>
      <c r="N54" s="414">
        <f>M54/M24</f>
        <v>0.20999999999999996</v>
      </c>
      <c r="O54" s="155"/>
    </row>
    <row r="55" spans="1:15" s="236" customFormat="1" ht="18" customHeight="1" outlineLevel="1" x14ac:dyDescent="0.2">
      <c r="A55" s="274"/>
      <c r="B55" s="415" t="s">
        <v>363</v>
      </c>
      <c r="C55" s="155"/>
      <c r="D55" s="416"/>
      <c r="E55" s="417"/>
      <c r="F55" s="406">
        <f>G54/E52</f>
        <v>1116.598944189165</v>
      </c>
      <c r="G55" s="418"/>
      <c r="H55" s="419"/>
      <c r="I55" s="155"/>
      <c r="J55" s="416"/>
      <c r="K55" s="417"/>
      <c r="L55" s="406">
        <f>M54/K52</f>
        <v>1241.0692148378669</v>
      </c>
      <c r="M55" s="418"/>
      <c r="N55" s="419"/>
      <c r="O55" s="155"/>
    </row>
    <row r="56" spans="1:15" ht="9" customHeight="1" x14ac:dyDescent="0.2">
      <c r="A56" s="155"/>
    </row>
    <row r="57" spans="1:15" s="333" customFormat="1" ht="23" customHeight="1" x14ac:dyDescent="0.2">
      <c r="A57" s="325"/>
      <c r="B57" s="326" t="s">
        <v>364</v>
      </c>
      <c r="C57" s="327"/>
      <c r="D57" s="328"/>
      <c r="E57" s="329"/>
      <c r="F57" s="330"/>
      <c r="G57" s="331">
        <f>G27+G39+G44+G54</f>
        <v>586281602.69343996</v>
      </c>
      <c r="H57" s="420">
        <f>G57/G24</f>
        <v>0.71655325460472774</v>
      </c>
      <c r="I57" s="327"/>
      <c r="J57" s="328"/>
      <c r="K57" s="329"/>
      <c r="L57" s="330"/>
      <c r="M57" s="331">
        <f>M27+M39+M44+M54</f>
        <v>693920457.28839993</v>
      </c>
      <c r="N57" s="420">
        <f>M57/M24</f>
        <v>0.74063096285488805</v>
      </c>
      <c r="O57" s="327"/>
    </row>
    <row r="58" spans="1:15" ht="9" customHeight="1" x14ac:dyDescent="0.2"/>
    <row r="59" spans="1:15" ht="23" customHeight="1" x14ac:dyDescent="0.2">
      <c r="B59" s="721" t="s">
        <v>365</v>
      </c>
      <c r="D59" s="421"/>
      <c r="E59" s="422"/>
      <c r="F59" s="422"/>
      <c r="G59" s="423">
        <f>G24-G57</f>
        <v>231915229.05056</v>
      </c>
      <c r="H59" s="424">
        <f>G59/G24</f>
        <v>0.28344674539527231</v>
      </c>
      <c r="J59" s="421"/>
      <c r="K59" s="422"/>
      <c r="L59" s="422"/>
      <c r="M59" s="423">
        <f>M24-M57</f>
        <v>243011013.43160009</v>
      </c>
      <c r="N59" s="424">
        <f>M59/M24</f>
        <v>0.259369037145112</v>
      </c>
    </row>
    <row r="60" spans="1:15" ht="23" customHeight="1" x14ac:dyDescent="0.2">
      <c r="B60" s="722" t="s">
        <v>366</v>
      </c>
      <c r="D60" s="425"/>
      <c r="E60" s="426">
        <v>0.15</v>
      </c>
      <c r="F60" s="427"/>
      <c r="G60" s="428">
        <f>E60*$G$24</f>
        <v>122729524.76159999</v>
      </c>
      <c r="H60" s="429">
        <f>G60/G24</f>
        <v>0.15</v>
      </c>
      <c r="J60" s="425"/>
      <c r="K60" s="426">
        <v>0.15</v>
      </c>
      <c r="L60" s="427"/>
      <c r="M60" s="428">
        <f>K60*$M$24</f>
        <v>140539720.60800001</v>
      </c>
      <c r="N60" s="429">
        <f>M60/M24</f>
        <v>0.15</v>
      </c>
    </row>
    <row r="61" spans="1:15" ht="9" customHeight="1" x14ac:dyDescent="0.2">
      <c r="B61" s="723"/>
      <c r="D61" s="262"/>
      <c r="E61" s="262"/>
      <c r="F61" s="262"/>
      <c r="G61" s="262"/>
      <c r="H61" s="262"/>
      <c r="J61" s="262"/>
      <c r="K61" s="262"/>
      <c r="L61" s="262"/>
      <c r="M61" s="262"/>
      <c r="N61" s="262"/>
    </row>
    <row r="62" spans="1:15" ht="23" customHeight="1" x14ac:dyDescent="0.2">
      <c r="B62" s="724" t="s">
        <v>367</v>
      </c>
      <c r="D62" s="430"/>
      <c r="E62" s="431"/>
      <c r="F62" s="431"/>
      <c r="G62" s="432">
        <f>G59-G60</f>
        <v>109185704.28896001</v>
      </c>
      <c r="H62" s="433">
        <f>G62/G24</f>
        <v>0.13344674539527229</v>
      </c>
      <c r="J62" s="430"/>
      <c r="K62" s="431"/>
      <c r="L62" s="431"/>
      <c r="M62" s="432">
        <f>M59-M60</f>
        <v>102471292.82360008</v>
      </c>
      <c r="N62" s="433">
        <f>M62/M24</f>
        <v>0.10936903714511198</v>
      </c>
    </row>
    <row r="63" spans="1:15" ht="23" customHeight="1" x14ac:dyDescent="0.2">
      <c r="B63" s="725" t="s">
        <v>449</v>
      </c>
      <c r="D63" s="434"/>
      <c r="E63" s="435">
        <f>E6*H3</f>
        <v>101460870</v>
      </c>
      <c r="F63" s="436">
        <f>E63/G24</f>
        <v>0.12400545451115288</v>
      </c>
      <c r="G63" s="435">
        <f>H3*E7*(1+H6)</f>
        <v>106995444.50322001</v>
      </c>
      <c r="H63" s="437">
        <f>G63/G24</f>
        <v>0.13076981033421683</v>
      </c>
      <c r="J63" s="434"/>
      <c r="K63" s="435">
        <f>K6*N3</f>
        <v>101460870</v>
      </c>
      <c r="L63" s="436">
        <f>K63/M24</f>
        <v>0.10829059880124506</v>
      </c>
      <c r="M63" s="435">
        <f>N3*K7*(1+N6)</f>
        <v>106995444.50322001</v>
      </c>
      <c r="N63" s="437">
        <f>M63/M24</f>
        <v>0.11419772720516863</v>
      </c>
    </row>
    <row r="64" spans="1:15" ht="28" customHeight="1" x14ac:dyDescent="0.2">
      <c r="B64" s="712" t="s">
        <v>446</v>
      </c>
      <c r="D64" s="713"/>
      <c r="E64" s="714" t="s">
        <v>447</v>
      </c>
      <c r="F64" s="715">
        <f>G64/G63</f>
        <v>2.0470589153672683E-2</v>
      </c>
      <c r="G64" s="716">
        <f>G62-G63</f>
        <v>2190259.785740003</v>
      </c>
      <c r="H64" s="717">
        <f>G64/G24</f>
        <v>2.6769350610554533E-3</v>
      </c>
      <c r="J64" s="718"/>
      <c r="K64" s="714" t="s">
        <v>447</v>
      </c>
      <c r="L64" s="715">
        <f>M64/M63</f>
        <v>-4.2283591611078072E-2</v>
      </c>
      <c r="M64" s="716">
        <f>M62-M63</f>
        <v>-4524151.6796199232</v>
      </c>
      <c r="N64" s="717">
        <f>M64/M24</f>
        <v>-4.8286900600566507E-3</v>
      </c>
    </row>
    <row r="66" spans="2:14" ht="32" customHeight="1" x14ac:dyDescent="0.2">
      <c r="B66" s="719" t="s">
        <v>448</v>
      </c>
      <c r="D66" s="718"/>
      <c r="E66" s="716"/>
      <c r="F66" s="720"/>
      <c r="G66" s="716">
        <f>G59-G63</f>
        <v>124919784.54733999</v>
      </c>
      <c r="H66" s="717">
        <f>G66/G24</f>
        <v>0.15267693506105545</v>
      </c>
      <c r="J66" s="718"/>
      <c r="K66" s="716"/>
      <c r="L66" s="720"/>
      <c r="M66" s="716">
        <f>M59-M63</f>
        <v>136015568.92838007</v>
      </c>
      <c r="N66" s="717">
        <f>M66/M24</f>
        <v>0.14517130993994334</v>
      </c>
    </row>
  </sheetData>
  <phoneticPr fontId="6" type="noConversion"/>
  <conditionalFormatting sqref="F46:F49">
    <cfRule type="cellIs" dxfId="1" priority="2" operator="equal">
      <formula>0</formula>
    </cfRule>
  </conditionalFormatting>
  <conditionalFormatting sqref="L46:L49">
    <cfRule type="cellIs" dxfId="0" priority="1" operator="equal">
      <formula>0</formula>
    </cfRule>
  </conditionalFormatting>
  <dataValidations disablePrompts="1" count="2">
    <dataValidation type="list" allowBlank="1" showInputMessage="1" showErrorMessage="1" sqref="D40 J40" xr:uid="{B6A8F25C-0044-944A-8D3A-12F7F14C37E0}">
      <formula1>"N/A,AAGSM,AAEND"</formula1>
    </dataValidation>
    <dataValidation type="list" allowBlank="1" showInputMessage="1" showErrorMessage="1" sqref="D32 J32" xr:uid="{914460D6-CA8A-AE47-8BD7-306D615CA673}">
      <formula1>"SI,NO"</formula1>
    </dataValidation>
  </dataValidations>
  <pageMargins left="0.7" right="0.7" top="0.75" bottom="0.75" header="0.3" footer="0.3"/>
  <pageSetup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D2A51ED-AED4-C946-8BCF-E9619EF3BAD1}">
          <x14:formula1>
            <xm:f>TABLAS!$C$26:$C$28</xm:f>
          </x14:formula1>
          <xm:sqref>D35:D36 J35:J36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B5F51-63FF-D647-89FE-71F3D6C30AC8}">
  <dimension ref="E5:AG61"/>
  <sheetViews>
    <sheetView showGridLines="0" topLeftCell="C1" workbookViewId="0">
      <pane xSplit="2" ySplit="13" topLeftCell="E30" activePane="bottomRight" state="frozen"/>
      <selection activeCell="C2" sqref="C2:D2"/>
      <selection pane="topRight" activeCell="C2" sqref="C2:D2"/>
      <selection pane="bottomLeft" activeCell="C2" sqref="C2:D2"/>
      <selection pane="bottomRight" activeCell="C2" sqref="C2:D2"/>
    </sheetView>
  </sheetViews>
  <sheetFormatPr baseColWidth="10" defaultRowHeight="15" x14ac:dyDescent="0.2"/>
  <cols>
    <col min="5" max="5" width="36.6640625" bestFit="1" customWidth="1"/>
    <col min="6" max="6" width="11.83203125" customWidth="1"/>
    <col min="7" max="7" width="11.1640625" bestFit="1" customWidth="1"/>
    <col min="8" max="8" width="12.1640625" bestFit="1" customWidth="1"/>
    <col min="10" max="10" width="11.6640625" customWidth="1"/>
    <col min="11" max="11" width="30" bestFit="1" customWidth="1"/>
    <col min="14" max="14" width="11.1640625" bestFit="1" customWidth="1"/>
    <col min="17" max="17" width="30" bestFit="1" customWidth="1"/>
    <col min="20" max="20" width="11.1640625" bestFit="1" customWidth="1"/>
    <col min="23" max="23" width="30" bestFit="1" customWidth="1"/>
    <col min="26" max="26" width="11.1640625" bestFit="1" customWidth="1"/>
    <col min="29" max="29" width="30" bestFit="1" customWidth="1"/>
    <col min="32" max="32" width="11.1640625" bestFit="1" customWidth="1"/>
  </cols>
  <sheetData>
    <row r="5" spans="5:32" s="438" customFormat="1" x14ac:dyDescent="0.2">
      <c r="E5" s="438" t="s">
        <v>368</v>
      </c>
    </row>
    <row r="6" spans="5:32" s="438" customFormat="1" x14ac:dyDescent="0.2">
      <c r="E6" s="438" t="s">
        <v>369</v>
      </c>
      <c r="K6" s="438" t="s">
        <v>370</v>
      </c>
      <c r="Q6" s="438" t="s">
        <v>371</v>
      </c>
      <c r="W6" s="438" t="s">
        <v>372</v>
      </c>
      <c r="AC6" s="438" t="s">
        <v>373</v>
      </c>
    </row>
    <row r="8" spans="5:32" s="440" customFormat="1" ht="25" customHeight="1" x14ac:dyDescent="0.2">
      <c r="E8" s="439" t="str">
        <f>'FAC_ TRU_METRO'!G3</f>
        <v>Area del predio:</v>
      </c>
      <c r="F8" s="267">
        <f>'FAC_ TRU_METRO'!H3</f>
        <v>16104.9</v>
      </c>
      <c r="K8" s="439" t="e">
        <f>'FAC_ TRU_METRO'!#REF!</f>
        <v>#REF!</v>
      </c>
      <c r="L8" s="267" t="e">
        <f>'FAC_ TRU_METRO'!#REF!</f>
        <v>#REF!</v>
      </c>
      <c r="Q8" s="439" t="e">
        <f>'FAC_ TRU_METRO'!#REF!</f>
        <v>#REF!</v>
      </c>
      <c r="R8" s="267" t="e">
        <f>'FAC_ TRU_METRO'!#REF!</f>
        <v>#REF!</v>
      </c>
      <c r="W8" s="439" t="e">
        <f>'FAC_ TRU_METRO'!#REF!</f>
        <v>#REF!</v>
      </c>
      <c r="X8" s="267" t="e">
        <f>'FAC_ TRU_METRO'!#REF!</f>
        <v>#REF!</v>
      </c>
      <c r="AC8" s="439" t="e">
        <f>'FAC_ TRU_METRO'!#REF!</f>
        <v>#REF!</v>
      </c>
      <c r="AD8" s="267" t="e">
        <f>'FAC_ TRU_METRO'!#REF!</f>
        <v>#REF!</v>
      </c>
    </row>
    <row r="9" spans="5:32" s="440" customFormat="1" ht="25" customHeight="1" x14ac:dyDescent="0.2">
      <c r="E9" s="439" t="str">
        <f>'FAC_ TRU_METRO'!G4</f>
        <v>Area Construida (Ic):</v>
      </c>
      <c r="F9" s="267">
        <f>'FAC_ TRU_METRO'!H4</f>
        <v>99815.34</v>
      </c>
      <c r="K9" s="439" t="e">
        <f>'FAC_ TRU_METRO'!#REF!</f>
        <v>#REF!</v>
      </c>
      <c r="L9" s="267" t="e">
        <f>'FAC_ TRU_METRO'!#REF!</f>
        <v>#REF!</v>
      </c>
      <c r="Q9" s="439" t="e">
        <f>'FAC_ TRU_METRO'!#REF!</f>
        <v>#REF!</v>
      </c>
      <c r="R9" s="267" t="e">
        <f>'FAC_ TRU_METRO'!#REF!</f>
        <v>#REF!</v>
      </c>
      <c r="W9" s="439" t="e">
        <f>'FAC_ TRU_METRO'!#REF!</f>
        <v>#REF!</v>
      </c>
      <c r="X9" s="267" t="e">
        <f>'FAC_ TRU_METRO'!#REF!</f>
        <v>#REF!</v>
      </c>
      <c r="AC9" s="439" t="e">
        <f>'FAC_ TRU_METRO'!#REF!</f>
        <v>#REF!</v>
      </c>
      <c r="AD9" s="267" t="e">
        <f>'FAC_ TRU_METRO'!#REF!</f>
        <v>#REF!</v>
      </c>
    </row>
    <row r="10" spans="5:32" s="440" customFormat="1" ht="25" customHeight="1" x14ac:dyDescent="0.2">
      <c r="E10" s="439" t="str">
        <f>'FAC_ TRU_METRO'!D6</f>
        <v>Valor ref. suelo</v>
      </c>
      <c r="F10" s="271">
        <f>'FAC_ TRU_METRO'!E6</f>
        <v>6300</v>
      </c>
      <c r="K10" s="439" t="e">
        <f>'FAC_ TRU_METRO'!#REF!</f>
        <v>#REF!</v>
      </c>
      <c r="L10" s="271" t="e">
        <f>'FAC_ TRU_METRO'!#REF!</f>
        <v>#REF!</v>
      </c>
      <c r="Q10" s="439" t="e">
        <f>'FAC_ TRU_METRO'!#REF!</f>
        <v>#REF!</v>
      </c>
      <c r="R10" s="271" t="e">
        <f>'FAC_ TRU_METRO'!#REF!</f>
        <v>#REF!</v>
      </c>
      <c r="W10" s="439" t="e">
        <f>'FAC_ TRU_METRO'!#REF!</f>
        <v>#REF!</v>
      </c>
      <c r="X10" s="271" t="e">
        <f>'FAC_ TRU_METRO'!#REF!</f>
        <v>#REF!</v>
      </c>
      <c r="AC10" s="439" t="e">
        <f>'FAC_ TRU_METRO'!#REF!</f>
        <v>#REF!</v>
      </c>
      <c r="AD10" s="271" t="e">
        <f>'FAC_ TRU_METRO'!#REF!</f>
        <v>#REF!</v>
      </c>
    </row>
    <row r="11" spans="5:32" s="440" customFormat="1" ht="25" customHeight="1" x14ac:dyDescent="0.2">
      <c r="E11" s="439" t="str">
        <f>'FAC_ TRU_METRO'!G6</f>
        <v>&gt; Vlr Suelo:</v>
      </c>
      <c r="F11" s="441">
        <f>'FAC_ TRU_METRO'!H6</f>
        <v>0.3</v>
      </c>
      <c r="K11" s="439" t="e">
        <f>'FAC_ TRU_METRO'!#REF!</f>
        <v>#REF!</v>
      </c>
      <c r="L11" s="441" t="e">
        <f>'FAC_ TRU_METRO'!#REF!</f>
        <v>#REF!</v>
      </c>
      <c r="Q11" s="439" t="e">
        <f>'FAC_ TRU_METRO'!#REF!</f>
        <v>#REF!</v>
      </c>
      <c r="R11" s="441" t="e">
        <f>'FAC_ TRU_METRO'!#REF!</f>
        <v>#REF!</v>
      </c>
      <c r="W11" s="439" t="e">
        <f>'FAC_ TRU_METRO'!#REF!</f>
        <v>#REF!</v>
      </c>
      <c r="X11" s="441" t="e">
        <f>'FAC_ TRU_METRO'!#REF!</f>
        <v>#REF!</v>
      </c>
      <c r="AC11" s="439" t="e">
        <f>'FAC_ TRU_METRO'!#REF!</f>
        <v>#REF!</v>
      </c>
      <c r="AD11" s="441" t="e">
        <f>'FAC_ TRU_METRO'!#REF!</f>
        <v>#REF!</v>
      </c>
    </row>
    <row r="12" spans="5:32" s="440" customFormat="1" ht="25" customHeight="1" x14ac:dyDescent="0.2">
      <c r="E12" s="439" t="str">
        <f>'FAC_ TRU_METRO'!G7</f>
        <v>Valor Com suelo</v>
      </c>
      <c r="F12" s="271">
        <f>'FAC_ TRU_METRO'!H7</f>
        <v>6643.6578000000009</v>
      </c>
      <c r="K12" s="439" t="e">
        <f>'FAC_ TRU_METRO'!#REF!</f>
        <v>#REF!</v>
      </c>
      <c r="L12" s="271" t="e">
        <f>'FAC_ TRU_METRO'!#REF!</f>
        <v>#REF!</v>
      </c>
      <c r="Q12" s="439" t="e">
        <f>'FAC_ TRU_METRO'!#REF!</f>
        <v>#REF!</v>
      </c>
      <c r="R12" s="271" t="e">
        <f>'FAC_ TRU_METRO'!#REF!</f>
        <v>#REF!</v>
      </c>
      <c r="W12" s="439" t="e">
        <f>'FAC_ TRU_METRO'!#REF!</f>
        <v>#REF!</v>
      </c>
      <c r="X12" s="271" t="e">
        <f>'FAC_ TRU_METRO'!#REF!</f>
        <v>#REF!</v>
      </c>
      <c r="AC12" s="439" t="e">
        <f>'FAC_ TRU_METRO'!#REF!</f>
        <v>#REF!</v>
      </c>
      <c r="AD12" s="271" t="e">
        <f>'FAC_ TRU_METRO'!#REF!</f>
        <v>#REF!</v>
      </c>
    </row>
    <row r="13" spans="5:32" ht="22" customHeight="1" x14ac:dyDescent="0.2">
      <c r="E13" s="439" t="s">
        <v>374</v>
      </c>
      <c r="F13" s="442">
        <f>'FAC_ TRU_METRO'!H5</f>
        <v>6.1978242646647912</v>
      </c>
      <c r="K13" s="439" t="s">
        <v>374</v>
      </c>
      <c r="L13" s="442" t="e">
        <f>'FAC_ TRU_METRO'!#REF!</f>
        <v>#REF!</v>
      </c>
      <c r="Q13" s="439" t="s">
        <v>374</v>
      </c>
      <c r="R13" s="442" t="e">
        <f>'FAC_ TRU_METRO'!#REF!</f>
        <v>#REF!</v>
      </c>
      <c r="W13" s="439" t="s">
        <v>374</v>
      </c>
      <c r="X13" s="442" t="e">
        <f>'FAC_ TRU_METRO'!#REF!</f>
        <v>#REF!</v>
      </c>
      <c r="AC13" s="439" t="s">
        <v>374</v>
      </c>
      <c r="AD13" s="442" t="e">
        <f>'FAC_ TRU_METRO'!#REF!</f>
        <v>#REF!</v>
      </c>
    </row>
    <row r="15" spans="5:32" x14ac:dyDescent="0.2">
      <c r="E15" s="438" t="s">
        <v>340</v>
      </c>
      <c r="K15" s="438" t="s">
        <v>340</v>
      </c>
      <c r="Q15" s="438" t="s">
        <v>340</v>
      </c>
      <c r="W15" s="438" t="s">
        <v>340</v>
      </c>
      <c r="AC15" s="438" t="s">
        <v>340</v>
      </c>
    </row>
    <row r="16" spans="5:32" s="438" customFormat="1" ht="22" customHeight="1" x14ac:dyDescent="0.2">
      <c r="E16" s="443"/>
      <c r="F16" s="443"/>
      <c r="G16" s="11" t="s">
        <v>375</v>
      </c>
      <c r="H16" s="11" t="s">
        <v>376</v>
      </c>
      <c r="K16" s="443"/>
      <c r="L16" s="443"/>
      <c r="M16" s="11" t="s">
        <v>375</v>
      </c>
      <c r="N16" s="11" t="s">
        <v>376</v>
      </c>
      <c r="Q16" s="443"/>
      <c r="R16" s="443"/>
      <c r="S16" s="11" t="s">
        <v>375</v>
      </c>
      <c r="T16" s="11" t="s">
        <v>376</v>
      </c>
      <c r="W16" s="443"/>
      <c r="X16" s="443"/>
      <c r="Y16" s="11" t="s">
        <v>375</v>
      </c>
      <c r="Z16" s="11" t="s">
        <v>376</v>
      </c>
      <c r="AC16" s="443"/>
      <c r="AD16" s="443"/>
      <c r="AE16" s="11" t="s">
        <v>375</v>
      </c>
      <c r="AF16" s="11" t="s">
        <v>376</v>
      </c>
    </row>
    <row r="17" spans="5:32" ht="17" customHeight="1" x14ac:dyDescent="0.2">
      <c r="E17" s="439" t="s">
        <v>377</v>
      </c>
      <c r="F17" s="444">
        <f>'FAC_ TRU_METRO'!D11</f>
        <v>192</v>
      </c>
      <c r="G17" s="445">
        <f>'FAC_ TRU_METRO'!F11</f>
        <v>2379.4728571428573</v>
      </c>
      <c r="H17" s="446">
        <f>'FAC_ TRU_METRO'!G11</f>
        <v>19188069.120000001</v>
      </c>
      <c r="K17" s="439" t="s">
        <v>377</v>
      </c>
      <c r="L17" s="444" t="e">
        <f>'FAC_ TRU_METRO'!#REF!</f>
        <v>#REF!</v>
      </c>
      <c r="M17" s="445" t="e">
        <f>'FAC_ TRU_METRO'!#REF!</f>
        <v>#REF!</v>
      </c>
      <c r="N17" s="446" t="e">
        <f>'FAC_ TRU_METRO'!#REF!</f>
        <v>#REF!</v>
      </c>
      <c r="Q17" s="439" t="s">
        <v>377</v>
      </c>
      <c r="R17" s="444" t="e">
        <f>'FAC_ TRU_METRO'!#REF!</f>
        <v>#REF!</v>
      </c>
      <c r="S17" s="445" t="e">
        <f>'FAC_ TRU_METRO'!#REF!</f>
        <v>#REF!</v>
      </c>
      <c r="T17" s="446" t="e">
        <f>'FAC_ TRU_METRO'!#REF!</f>
        <v>#REF!</v>
      </c>
      <c r="W17" s="439" t="s">
        <v>377</v>
      </c>
      <c r="X17" s="444" t="e">
        <f>'FAC_ TRU_METRO'!#REF!</f>
        <v>#REF!</v>
      </c>
      <c r="Y17" s="445" t="e">
        <f>'FAC_ TRU_METRO'!#REF!</f>
        <v>#REF!</v>
      </c>
      <c r="Z17" s="446" t="e">
        <f>'FAC_ TRU_METRO'!#REF!</f>
        <v>#REF!</v>
      </c>
      <c r="AC17" s="439" t="s">
        <v>377</v>
      </c>
      <c r="AD17" s="444" t="e">
        <f>'FAC_ TRU_METRO'!#REF!</f>
        <v>#REF!</v>
      </c>
      <c r="AE17" s="445" t="e">
        <f>'FAC_ TRU_METRO'!#REF!</f>
        <v>#REF!</v>
      </c>
      <c r="AF17" s="446" t="e">
        <f>'FAC_ TRU_METRO'!#REF!</f>
        <v>#REF!</v>
      </c>
    </row>
    <row r="18" spans="5:32" ht="17" customHeight="1" x14ac:dyDescent="0.2">
      <c r="E18" s="439" t="s">
        <v>378</v>
      </c>
      <c r="F18" s="444">
        <f>'FAC_ TRU_METRO'!D12</f>
        <v>288</v>
      </c>
      <c r="G18" s="445">
        <f>'FAC_ TRU_METRO'!F12</f>
        <v>3785.5249999999996</v>
      </c>
      <c r="H18" s="446">
        <f>'FAC_ TRU_METRO'!G12</f>
        <v>45789710.399999999</v>
      </c>
      <c r="K18" s="439" t="s">
        <v>378</v>
      </c>
      <c r="L18" s="444" t="e">
        <f>'FAC_ TRU_METRO'!#REF!</f>
        <v>#REF!</v>
      </c>
      <c r="M18" s="445" t="e">
        <f>'FAC_ TRU_METRO'!#REF!</f>
        <v>#REF!</v>
      </c>
      <c r="N18" s="446" t="e">
        <f>'FAC_ TRU_METRO'!#REF!</f>
        <v>#REF!</v>
      </c>
      <c r="Q18" s="439" t="s">
        <v>378</v>
      </c>
      <c r="R18" s="444" t="e">
        <f>'FAC_ TRU_METRO'!#REF!</f>
        <v>#REF!</v>
      </c>
      <c r="S18" s="445" t="e">
        <f>'FAC_ TRU_METRO'!#REF!</f>
        <v>#REF!</v>
      </c>
      <c r="T18" s="446" t="e">
        <f>'FAC_ TRU_METRO'!#REF!</f>
        <v>#REF!</v>
      </c>
      <c r="W18" s="439" t="s">
        <v>378</v>
      </c>
      <c r="X18" s="444" t="e">
        <f>'FAC_ TRU_METRO'!#REF!</f>
        <v>#REF!</v>
      </c>
      <c r="Y18" s="445" t="e">
        <f>'FAC_ TRU_METRO'!#REF!</f>
        <v>#REF!</v>
      </c>
      <c r="Z18" s="446" t="e">
        <f>'FAC_ TRU_METRO'!#REF!</f>
        <v>#REF!</v>
      </c>
      <c r="AC18" s="439" t="s">
        <v>378</v>
      </c>
      <c r="AD18" s="444" t="e">
        <f>'FAC_ TRU_METRO'!#REF!</f>
        <v>#REF!</v>
      </c>
      <c r="AE18" s="445" t="e">
        <f>'FAC_ TRU_METRO'!#REF!</f>
        <v>#REF!</v>
      </c>
      <c r="AF18" s="446" t="e">
        <f>'FAC_ TRU_METRO'!#REF!</f>
        <v>#REF!</v>
      </c>
    </row>
    <row r="19" spans="5:32" ht="17" customHeight="1" x14ac:dyDescent="0.2">
      <c r="E19" s="439" t="s">
        <v>379</v>
      </c>
      <c r="F19" s="444">
        <f>'FAC_ TRU_METRO'!D16</f>
        <v>1689</v>
      </c>
      <c r="G19" s="445">
        <f>'FAC_ TRU_METRO'!F16</f>
        <v>8998.7337142857141</v>
      </c>
      <c r="H19" s="446">
        <f>'FAC_ TRU_METRO'!G17</f>
        <v>638352172.22399998</v>
      </c>
      <c r="K19" s="439" t="s">
        <v>379</v>
      </c>
      <c r="L19" s="444" t="e">
        <f>'FAC_ TRU_METRO'!#REF!</f>
        <v>#REF!</v>
      </c>
      <c r="M19" s="445" t="e">
        <f>'FAC_ TRU_METRO'!#REF!</f>
        <v>#REF!</v>
      </c>
      <c r="N19" s="446" t="e">
        <f>'FAC_ TRU_METRO'!#REF!</f>
        <v>#REF!</v>
      </c>
      <c r="Q19" s="439" t="s">
        <v>379</v>
      </c>
      <c r="R19" s="444" t="e">
        <f>'FAC_ TRU_METRO'!#REF!</f>
        <v>#REF!</v>
      </c>
      <c r="S19" s="445" t="e">
        <f>'FAC_ TRU_METRO'!#REF!</f>
        <v>#REF!</v>
      </c>
      <c r="T19" s="446" t="e">
        <f>'FAC_ TRU_METRO'!#REF!</f>
        <v>#REF!</v>
      </c>
      <c r="W19" s="439" t="s">
        <v>379</v>
      </c>
      <c r="X19" s="444" t="e">
        <f>'FAC_ TRU_METRO'!#REF!</f>
        <v>#REF!</v>
      </c>
      <c r="Y19" s="445" t="e">
        <f>'FAC_ TRU_METRO'!#REF!</f>
        <v>#REF!</v>
      </c>
      <c r="Z19" s="446" t="e">
        <f>'FAC_ TRU_METRO'!#REF!</f>
        <v>#REF!</v>
      </c>
      <c r="AC19" s="439" t="s">
        <v>379</v>
      </c>
      <c r="AD19" s="444" t="e">
        <f>'FAC_ TRU_METRO'!#REF!</f>
        <v>#REF!</v>
      </c>
      <c r="AE19" s="445" t="e">
        <f>'FAC_ TRU_METRO'!#REF!</f>
        <v>#REF!</v>
      </c>
      <c r="AF19" s="446" t="e">
        <f>'FAC_ TRU_METRO'!#REF!</f>
        <v>#REF!</v>
      </c>
    </row>
    <row r="20" spans="5:32" ht="17" customHeight="1" x14ac:dyDescent="0.2">
      <c r="E20" s="439" t="s">
        <v>380</v>
      </c>
      <c r="F20" s="447">
        <f>'FAC_ TRU_METRO'!D20</f>
        <v>9572.24</v>
      </c>
      <c r="G20" s="445">
        <f>'FAC_ TRU_METRO'!F20</f>
        <v>12000</v>
      </c>
      <c r="H20" s="446">
        <f>'FAC_ TRU_METRO'!G21</f>
        <v>114866880</v>
      </c>
      <c r="K20" s="439" t="s">
        <v>380</v>
      </c>
      <c r="L20" s="447" t="e">
        <f>'FAC_ TRU_METRO'!#REF!</f>
        <v>#REF!</v>
      </c>
      <c r="M20" s="445" t="e">
        <f>'FAC_ TRU_METRO'!#REF!</f>
        <v>#REF!</v>
      </c>
      <c r="N20" s="446" t="e">
        <f>'FAC_ TRU_METRO'!#REF!</f>
        <v>#REF!</v>
      </c>
      <c r="Q20" s="439" t="s">
        <v>380</v>
      </c>
      <c r="R20" s="447" t="e">
        <f>'FAC_ TRU_METRO'!#REF!</f>
        <v>#REF!</v>
      </c>
      <c r="S20" s="445" t="e">
        <f>'FAC_ TRU_METRO'!#REF!</f>
        <v>#REF!</v>
      </c>
      <c r="T20" s="446" t="e">
        <f>'FAC_ TRU_METRO'!#REF!</f>
        <v>#REF!</v>
      </c>
      <c r="W20" s="439" t="s">
        <v>380</v>
      </c>
      <c r="X20" s="447" t="e">
        <f>'FAC_ TRU_METRO'!#REF!</f>
        <v>#REF!</v>
      </c>
      <c r="Y20" s="445" t="e">
        <f>'FAC_ TRU_METRO'!#REF!</f>
        <v>#REF!</v>
      </c>
      <c r="Z20" s="446" t="e">
        <f>'FAC_ TRU_METRO'!#REF!</f>
        <v>#REF!</v>
      </c>
      <c r="AC20" s="439" t="s">
        <v>380</v>
      </c>
      <c r="AD20" s="447" t="e">
        <f>'FAC_ TRU_METRO'!#REF!</f>
        <v>#REF!</v>
      </c>
      <c r="AE20" s="445" t="e">
        <f>'FAC_ TRU_METRO'!#REF!</f>
        <v>#REF!</v>
      </c>
      <c r="AF20" s="446" t="e">
        <f>'FAC_ TRU_METRO'!#REF!</f>
        <v>#REF!</v>
      </c>
    </row>
    <row r="21" spans="5:32" s="449" customFormat="1" ht="19" customHeight="1" x14ac:dyDescent="0.2">
      <c r="E21" s="11"/>
      <c r="F21" s="11"/>
      <c r="G21" s="11" t="s">
        <v>381</v>
      </c>
      <c r="H21" s="448">
        <f>SUM(H17:H20)</f>
        <v>818196831.74399996</v>
      </c>
      <c r="K21" s="11"/>
      <c r="L21" s="11"/>
      <c r="M21" s="11" t="s">
        <v>381</v>
      </c>
      <c r="N21" s="448" t="e">
        <f>SUM(N17:N20)</f>
        <v>#REF!</v>
      </c>
      <c r="Q21" s="11"/>
      <c r="R21" s="11"/>
      <c r="S21" s="11" t="s">
        <v>381</v>
      </c>
      <c r="T21" s="448" t="e">
        <f>SUM(T17:T20)</f>
        <v>#REF!</v>
      </c>
      <c r="W21" s="11"/>
      <c r="X21" s="11"/>
      <c r="Y21" s="11" t="s">
        <v>381</v>
      </c>
      <c r="Z21" s="448" t="e">
        <f>SUM(Z17:Z20)</f>
        <v>#REF!</v>
      </c>
      <c r="AC21" s="11"/>
      <c r="AD21" s="11"/>
      <c r="AE21" s="11" t="s">
        <v>381</v>
      </c>
      <c r="AF21" s="448" t="e">
        <f>SUM(AF17:AF20)</f>
        <v>#REF!</v>
      </c>
    </row>
    <row r="23" spans="5:32" s="438" customFormat="1" x14ac:dyDescent="0.2">
      <c r="E23" s="443" t="s">
        <v>348</v>
      </c>
      <c r="K23" s="443" t="s">
        <v>348</v>
      </c>
      <c r="Q23" s="443" t="s">
        <v>348</v>
      </c>
      <c r="W23" s="443" t="s">
        <v>348</v>
      </c>
      <c r="AC23" s="443" t="s">
        <v>348</v>
      </c>
    </row>
    <row r="24" spans="5:32" s="438" customFormat="1" x14ac:dyDescent="0.2">
      <c r="E24" s="513" t="s">
        <v>382</v>
      </c>
      <c r="F24" s="518"/>
      <c r="G24" s="514"/>
      <c r="H24" s="515">
        <f>SUM(H25:H34)</f>
        <v>57188353.8072</v>
      </c>
      <c r="K24" s="443" t="s">
        <v>382</v>
      </c>
      <c r="N24" s="450" t="e">
        <f>SUM(N25:N28)</f>
        <v>#REF!</v>
      </c>
      <c r="Q24" s="443" t="s">
        <v>382</v>
      </c>
      <c r="T24" s="450" t="e">
        <f>SUM(T25:T28)</f>
        <v>#REF!</v>
      </c>
      <c r="W24" s="443" t="s">
        <v>382</v>
      </c>
      <c r="Z24" s="450" t="e">
        <f>SUM(Z25:Z28)</f>
        <v>#REF!</v>
      </c>
      <c r="AC24" s="443" t="s">
        <v>382</v>
      </c>
      <c r="AF24" s="450" t="e">
        <f>SUM(AF25:AF28)</f>
        <v>#REF!</v>
      </c>
    </row>
    <row r="25" spans="5:32" x14ac:dyDescent="0.2">
      <c r="E25" s="508" t="str">
        <f>'FAC_ TRU_METRO'!$B$30</f>
        <v>(CSs) Cesión suelo Espacio Público</v>
      </c>
      <c r="F25" s="519">
        <f>'FAC_ TRU_METRO'!F30</f>
        <v>5636.7149999999992</v>
      </c>
      <c r="G25" s="516">
        <f>'FAC_ TRU_METRO'!G30</f>
        <v>37448405.576127</v>
      </c>
      <c r="H25" s="453"/>
      <c r="K25" s="439" t="str">
        <f>E25</f>
        <v>(CSs) Cesión suelo Espacio Público</v>
      </c>
      <c r="L25" s="451" t="e">
        <f>'FAC_ TRU_METRO'!#REF!</f>
        <v>#REF!</v>
      </c>
      <c r="M25" s="452"/>
      <c r="N25" s="452"/>
      <c r="Q25" s="439" t="str">
        <f>K25</f>
        <v>(CSs) Cesión suelo Espacio Público</v>
      </c>
      <c r="R25" s="451" t="e">
        <f>'FAC_ TRU_METRO'!#REF!</f>
        <v>#REF!</v>
      </c>
      <c r="S25" s="452"/>
      <c r="T25" s="452"/>
      <c r="W25" s="439" t="str">
        <f>Q25</f>
        <v>(CSs) Cesión suelo Espacio Público</v>
      </c>
      <c r="X25" s="451" t="e">
        <f>'FAC_ TRU_METRO'!#REF!</f>
        <v>#REF!</v>
      </c>
      <c r="Y25" s="452"/>
      <c r="Z25" s="452"/>
      <c r="AC25" s="439" t="str">
        <f>W25</f>
        <v>(CSs) Cesión suelo Espacio Público</v>
      </c>
      <c r="AD25" s="451" t="e">
        <f>'FAC_ TRU_METRO'!#REF!</f>
        <v>#REF!</v>
      </c>
      <c r="AE25" s="452"/>
      <c r="AF25" s="452"/>
    </row>
    <row r="26" spans="5:32" x14ac:dyDescent="0.2">
      <c r="E26" s="509" t="str">
        <f>'FAC_ TRU_METRO'!$B$31</f>
        <v>Dotación Espacio Público</v>
      </c>
      <c r="F26" s="520"/>
      <c r="G26" s="517"/>
      <c r="H26" s="453">
        <f>'FAC_ TRU_METRO'!G31</f>
        <v>1127342.9999999998</v>
      </c>
      <c r="K26" s="439" t="str">
        <f>E26</f>
        <v>Dotación Espacio Público</v>
      </c>
      <c r="L26" s="452"/>
      <c r="M26" s="452"/>
      <c r="N26" s="453" t="e">
        <f>'FAC_ TRU_METRO'!#REF!</f>
        <v>#REF!</v>
      </c>
      <c r="Q26" s="439" t="str">
        <f>K26</f>
        <v>Dotación Espacio Público</v>
      </c>
      <c r="R26" s="452"/>
      <c r="S26" s="452"/>
      <c r="T26" s="453" t="e">
        <f>'FAC_ TRU_METRO'!#REF!</f>
        <v>#REF!</v>
      </c>
      <c r="W26" s="439" t="str">
        <f>Q26</f>
        <v>Dotación Espacio Público</v>
      </c>
      <c r="X26" s="452"/>
      <c r="Y26" s="452"/>
      <c r="Z26" s="453" t="e">
        <f>'FAC_ TRU_METRO'!#REF!</f>
        <v>#REF!</v>
      </c>
      <c r="AC26" s="439" t="str">
        <f>W26</f>
        <v>Dotación Espacio Público</v>
      </c>
      <c r="AD26" s="452"/>
      <c r="AE26" s="452"/>
      <c r="AF26" s="453" t="e">
        <f>'FAC_ TRU_METRO'!#REF!</f>
        <v>#REF!</v>
      </c>
    </row>
    <row r="27" spans="5:32" x14ac:dyDescent="0.2">
      <c r="E27" s="510" t="str">
        <f>'FAC_ TRU_METRO'!$B$32</f>
        <v>(Vcomp) Valor Comp. CSs</v>
      </c>
      <c r="F27" s="520"/>
      <c r="G27" s="517"/>
      <c r="H27" s="453">
        <f>'FAC_ TRU_METRO'!G32</f>
        <v>0</v>
      </c>
      <c r="K27" s="439" t="str">
        <f>E27</f>
        <v>(Vcomp) Valor Comp. CSs</v>
      </c>
      <c r="L27" s="452"/>
      <c r="M27" s="452"/>
      <c r="N27" s="453" t="e">
        <f>'FAC_ TRU_METRO'!#REF!</f>
        <v>#REF!</v>
      </c>
      <c r="Q27" s="439" t="str">
        <f>K27</f>
        <v>(Vcomp) Valor Comp. CSs</v>
      </c>
      <c r="R27" s="452"/>
      <c r="S27" s="452"/>
      <c r="T27" s="453" t="e">
        <f>'FAC_ TRU_METRO'!#REF!</f>
        <v>#REF!</v>
      </c>
      <c r="W27" s="439" t="str">
        <f>Q27</f>
        <v>(Vcomp) Valor Comp. CSs</v>
      </c>
      <c r="X27" s="452"/>
      <c r="Y27" s="452"/>
      <c r="Z27" s="453" t="e">
        <f>'FAC_ TRU_METRO'!#REF!</f>
        <v>#REF!</v>
      </c>
      <c r="AC27" s="439" t="str">
        <f>W27</f>
        <v>(Vcomp) Valor Comp. CSs</v>
      </c>
      <c r="AD27" s="452"/>
      <c r="AE27" s="452"/>
      <c r="AF27" s="453" t="e">
        <f>'FAC_ TRU_METRO'!#REF!</f>
        <v>#REF!</v>
      </c>
    </row>
    <row r="28" spans="5:32" x14ac:dyDescent="0.2">
      <c r="E28" s="508" t="str">
        <f>'FAC_ TRU_METRO'!$B$33</f>
        <v>(PD) Pago compensatorio en dinero</v>
      </c>
      <c r="F28" s="520"/>
      <c r="G28" s="517"/>
      <c r="H28" s="453">
        <f>'FAC_ TRU_METRO'!G33</f>
        <v>44642782.799999997</v>
      </c>
      <c r="K28" s="439" t="str">
        <f>E28</f>
        <v>(PD) Pago compensatorio en dinero</v>
      </c>
      <c r="L28" s="452"/>
      <c r="M28" s="452"/>
      <c r="N28" s="453" t="e">
        <f>'FAC_ TRU_METRO'!#REF!</f>
        <v>#REF!</v>
      </c>
      <c r="Q28" s="439" t="str">
        <f>K28</f>
        <v>(PD) Pago compensatorio en dinero</v>
      </c>
      <c r="R28" s="452"/>
      <c r="S28" s="452"/>
      <c r="T28" s="453" t="e">
        <f>'FAC_ TRU_METRO'!#REF!</f>
        <v>#REF!</v>
      </c>
      <c r="W28" s="439" t="str">
        <f>Q28</f>
        <v>(PD) Pago compensatorio en dinero</v>
      </c>
      <c r="X28" s="452"/>
      <c r="Y28" s="452"/>
      <c r="Z28" s="453" t="e">
        <f>'FAC_ TRU_METRO'!#REF!</f>
        <v>#REF!</v>
      </c>
      <c r="AC28" s="439" t="str">
        <f>W28</f>
        <v>(PD) Pago compensatorio en dinero</v>
      </c>
      <c r="AD28" s="452"/>
      <c r="AE28" s="452"/>
      <c r="AF28" s="453" t="e">
        <f>'FAC_ TRU_METRO'!#REF!</f>
        <v>#REF!</v>
      </c>
    </row>
    <row r="29" spans="5:32" x14ac:dyDescent="0.2">
      <c r="E29" s="508" t="str">
        <f>'FAC_ TRU_METRO'!$B$34</f>
        <v>(OSP) Obligación redes servicios públicos EAAB</v>
      </c>
      <c r="F29" s="520"/>
      <c r="G29" s="517"/>
      <c r="H29" s="453">
        <f>'FAC_ TRU_METRO'!G34</f>
        <v>5129861.5872000009</v>
      </c>
      <c r="K29" s="505"/>
      <c r="L29" s="503"/>
      <c r="M29" s="503"/>
      <c r="N29" s="504"/>
      <c r="Q29" s="505"/>
      <c r="R29" s="503"/>
      <c r="S29" s="503"/>
      <c r="T29" s="504"/>
      <c r="W29" s="505"/>
      <c r="X29" s="503"/>
      <c r="Y29" s="503"/>
      <c r="Z29" s="504"/>
      <c r="AC29" s="505"/>
      <c r="AD29" s="503"/>
      <c r="AE29" s="503"/>
      <c r="AF29" s="504"/>
    </row>
    <row r="30" spans="5:32" x14ac:dyDescent="0.2">
      <c r="E30" s="511" t="str">
        <f>'FAC_ TRU_METRO'!$B$35</f>
        <v>Obligación VIP</v>
      </c>
      <c r="F30" s="520"/>
      <c r="G30" s="517"/>
      <c r="H30" s="453">
        <f>'FAC_ TRU_METRO'!G35</f>
        <v>0</v>
      </c>
      <c r="K30" s="505"/>
      <c r="L30" s="503"/>
      <c r="M30" s="503"/>
      <c r="N30" s="504"/>
      <c r="Q30" s="505"/>
      <c r="R30" s="503"/>
      <c r="S30" s="503"/>
      <c r="T30" s="504"/>
      <c r="W30" s="505"/>
      <c r="X30" s="503"/>
      <c r="Y30" s="503"/>
      <c r="Z30" s="504"/>
      <c r="AC30" s="505"/>
      <c r="AD30" s="503"/>
      <c r="AE30" s="503"/>
      <c r="AF30" s="504"/>
    </row>
    <row r="31" spans="5:32" x14ac:dyDescent="0.2">
      <c r="E31" s="511" t="str">
        <f>'FAC_ TRU_METRO'!$B$36</f>
        <v xml:space="preserve">Obligación VIS </v>
      </c>
      <c r="F31" s="520"/>
      <c r="G31" s="517"/>
      <c r="H31" s="453">
        <f>'FAC_ TRU_METRO'!G36</f>
        <v>0</v>
      </c>
      <c r="K31" s="505"/>
      <c r="L31" s="503"/>
      <c r="M31" s="503"/>
      <c r="N31" s="504"/>
      <c r="Q31" s="505"/>
      <c r="R31" s="503"/>
      <c r="S31" s="503"/>
      <c r="T31" s="504"/>
      <c r="W31" s="505"/>
      <c r="X31" s="503"/>
      <c r="Y31" s="503"/>
      <c r="Z31" s="504"/>
      <c r="AC31" s="505"/>
      <c r="AD31" s="503"/>
      <c r="AE31" s="503"/>
      <c r="AF31" s="504"/>
    </row>
    <row r="32" spans="5:32" x14ac:dyDescent="0.2">
      <c r="E32" s="512" t="str">
        <f>'FAC_ TRU_METRO'!$B$37</f>
        <v xml:space="preserve">(ACES) Aporte en sitio equip en PP </v>
      </c>
      <c r="F32" s="519">
        <f>'FAC_ TRU_METRO'!F37</f>
        <v>0</v>
      </c>
      <c r="G32" s="516">
        <f>'FAC_ TRU_METRO'!G37</f>
        <v>0</v>
      </c>
      <c r="H32" s="453"/>
      <c r="M32" s="454"/>
      <c r="S32" s="454"/>
      <c r="Y32" s="454"/>
      <c r="AE32" s="454"/>
    </row>
    <row r="33" spans="5:32" hidden="1" x14ac:dyDescent="0.2">
      <c r="E33" s="512">
        <f>'FAC_ TRU_METRO'!B38</f>
        <v>0</v>
      </c>
      <c r="F33" s="506"/>
      <c r="G33" s="517"/>
      <c r="H33" s="453">
        <f>'FAC_ TRU_METRO'!G38</f>
        <v>0</v>
      </c>
      <c r="M33" s="454"/>
      <c r="S33" s="454"/>
      <c r="Y33" s="454"/>
      <c r="AE33" s="454"/>
    </row>
    <row r="34" spans="5:32" x14ac:dyDescent="0.2">
      <c r="E34" s="512" t="str">
        <f>'FAC_ TRU_METRO'!$B$39</f>
        <v>Pago Compensatorio Parq. Adicionales</v>
      </c>
      <c r="F34" s="506"/>
      <c r="G34" s="517"/>
      <c r="H34" s="453">
        <f>'FAC_ TRU_METRO'!G39</f>
        <v>6288366.4199999999</v>
      </c>
      <c r="M34" s="454"/>
      <c r="S34" s="454"/>
      <c r="Y34" s="454"/>
      <c r="AE34" s="454"/>
    </row>
    <row r="35" spans="5:32" hidden="1" x14ac:dyDescent="0.2">
      <c r="E35" s="507" t="str">
        <f>'FAC_ TRU_METRO'!B41</f>
        <v>DEMOLICIONES</v>
      </c>
      <c r="G35" s="454"/>
      <c r="M35" s="454"/>
      <c r="S35" s="454"/>
      <c r="Y35" s="454"/>
      <c r="AE35" s="454"/>
    </row>
    <row r="36" spans="5:32" x14ac:dyDescent="0.2">
      <c r="G36" s="454"/>
      <c r="M36" s="454"/>
      <c r="S36" s="454"/>
      <c r="Y36" s="454"/>
      <c r="AE36" s="454"/>
    </row>
    <row r="37" spans="5:32" x14ac:dyDescent="0.2">
      <c r="E37" s="455" t="str">
        <f>'FAC_ TRU_METRO'!$B$39</f>
        <v>Pago Compensatorio Parq. Adicionales</v>
      </c>
      <c r="F37" s="456"/>
      <c r="G37" s="457"/>
      <c r="H37" s="458">
        <f>'FAC_ TRU_METRO'!G39</f>
        <v>6288366.4199999999</v>
      </c>
      <c r="K37" s="455" t="str">
        <f>'FAC_ TRU_METRO'!$B$39</f>
        <v>Pago Compensatorio Parq. Adicionales</v>
      </c>
      <c r="L37" s="456"/>
      <c r="M37" s="457"/>
      <c r="N37" s="458" t="e">
        <f>'FAC_ TRU_METRO'!#REF!</f>
        <v>#REF!</v>
      </c>
      <c r="Q37" s="455" t="str">
        <f>'FAC_ TRU_METRO'!$B$39</f>
        <v>Pago Compensatorio Parq. Adicionales</v>
      </c>
      <c r="R37" s="456"/>
      <c r="S37" s="457"/>
      <c r="T37" s="458" t="e">
        <f>'FAC_ TRU_METRO'!#REF!</f>
        <v>#REF!</v>
      </c>
      <c r="W37" s="455" t="str">
        <f>'FAC_ TRU_METRO'!$B$39</f>
        <v>Pago Compensatorio Parq. Adicionales</v>
      </c>
      <c r="X37" s="456"/>
      <c r="Y37" s="457"/>
      <c r="Z37" s="458" t="e">
        <f>'FAC_ TRU_METRO'!#REF!</f>
        <v>#REF!</v>
      </c>
      <c r="AC37" s="455" t="str">
        <f>'FAC_ TRU_METRO'!$B$39</f>
        <v>Pago Compensatorio Parq. Adicionales</v>
      </c>
      <c r="AD37" s="456"/>
      <c r="AE37" s="457"/>
      <c r="AF37" s="458" t="e">
        <f>'FAC_ TRU_METRO'!#REF!</f>
        <v>#REF!</v>
      </c>
    </row>
    <row r="38" spans="5:32" x14ac:dyDescent="0.2">
      <c r="E38" s="459" t="s">
        <v>355</v>
      </c>
      <c r="F38" s="460"/>
      <c r="G38" s="460"/>
      <c r="H38" s="461" t="e">
        <f>'FAC_ TRU_METRO'!#REF!</f>
        <v>#REF!</v>
      </c>
      <c r="K38" s="459" t="s">
        <v>355</v>
      </c>
      <c r="L38" s="460"/>
      <c r="M38" s="460"/>
      <c r="N38" s="461" t="e">
        <f>'FAC_ TRU_METRO'!#REF!</f>
        <v>#REF!</v>
      </c>
      <c r="Q38" s="459" t="s">
        <v>355</v>
      </c>
      <c r="R38" s="460"/>
      <c r="S38" s="460"/>
      <c r="T38" s="461" t="e">
        <f>'FAC_ TRU_METRO'!#REF!</f>
        <v>#REF!</v>
      </c>
      <c r="W38" s="459" t="s">
        <v>355</v>
      </c>
      <c r="X38" s="460"/>
      <c r="Y38" s="460"/>
      <c r="Z38" s="461" t="e">
        <f>'FAC_ TRU_METRO'!#REF!</f>
        <v>#REF!</v>
      </c>
      <c r="AC38" s="459" t="s">
        <v>355</v>
      </c>
      <c r="AD38" s="460"/>
      <c r="AE38" s="460"/>
      <c r="AF38" s="461" t="e">
        <f>'FAC_ TRU_METRO'!#REF!</f>
        <v>#REF!</v>
      </c>
    </row>
    <row r="39" spans="5:32" s="438" customFormat="1" x14ac:dyDescent="0.2"/>
    <row r="40" spans="5:32" x14ac:dyDescent="0.2">
      <c r="E40" s="443" t="s">
        <v>358</v>
      </c>
      <c r="G40" s="454"/>
      <c r="H40" s="450">
        <f>'FAC_ TRU_METRO'!G44</f>
        <v>358923263.5</v>
      </c>
      <c r="K40" s="443" t="s">
        <v>358</v>
      </c>
      <c r="M40" s="454"/>
      <c r="N40" s="450" t="e">
        <f>'FAC_ TRU_METRO'!#REF!</f>
        <v>#REF!</v>
      </c>
      <c r="Q40" s="443" t="s">
        <v>358</v>
      </c>
      <c r="S40" s="454"/>
      <c r="T40" s="450" t="e">
        <f>'FAC_ TRU_METRO'!#REF!</f>
        <v>#REF!</v>
      </c>
      <c r="W40" s="443" t="s">
        <v>358</v>
      </c>
      <c r="Y40" s="454"/>
      <c r="Z40" s="450" t="e">
        <f>'FAC_ TRU_METRO'!#REF!</f>
        <v>#REF!</v>
      </c>
      <c r="AC40" s="443" t="s">
        <v>358</v>
      </c>
      <c r="AE40" s="454"/>
      <c r="AF40" s="450" t="e">
        <f>'FAC_ TRU_METRO'!#REF!</f>
        <v>#REF!</v>
      </c>
    </row>
    <row r="41" spans="5:32" x14ac:dyDescent="0.2">
      <c r="E41" s="439" t="str">
        <f>'FAC_ TRU_METRO'!B46</f>
        <v>VIP</v>
      </c>
      <c r="F41" s="267">
        <f>'FAC_ TRU_METRO'!D46</f>
        <v>9981.5339999999997</v>
      </c>
      <c r="G41" s="445">
        <f>'FAC_ TRU_METRO'!E46</f>
        <v>2000</v>
      </c>
      <c r="H41" s="453">
        <f>'FAC_ TRU_METRO'!G46</f>
        <v>19963068</v>
      </c>
      <c r="K41" s="439" t="str">
        <f>$E$41</f>
        <v>VIP</v>
      </c>
      <c r="L41" s="267" t="e">
        <f>'FAC_ TRU_METRO'!#REF!</f>
        <v>#REF!</v>
      </c>
      <c r="M41" s="445" t="e">
        <f>'FAC_ TRU_METRO'!#REF!</f>
        <v>#REF!</v>
      </c>
      <c r="N41" s="453" t="e">
        <f>'FAC_ TRU_METRO'!#REF!</f>
        <v>#REF!</v>
      </c>
      <c r="Q41" s="439" t="str">
        <f>$E$41</f>
        <v>VIP</v>
      </c>
      <c r="R41" s="267" t="e">
        <f>'FAC_ TRU_METRO'!#REF!</f>
        <v>#REF!</v>
      </c>
      <c r="S41" s="445" t="e">
        <f>'FAC_ TRU_METRO'!#REF!</f>
        <v>#REF!</v>
      </c>
      <c r="T41" s="453" t="e">
        <f>'FAC_ TRU_METRO'!#REF!</f>
        <v>#REF!</v>
      </c>
      <c r="W41" s="439" t="str">
        <f>$E$41</f>
        <v>VIP</v>
      </c>
      <c r="X41" s="267" t="e">
        <f>'FAC_ TRU_METRO'!#REF!</f>
        <v>#REF!</v>
      </c>
      <c r="Y41" s="445" t="e">
        <f>'FAC_ TRU_METRO'!#REF!</f>
        <v>#REF!</v>
      </c>
      <c r="Z41" s="453" t="e">
        <f>'FAC_ TRU_METRO'!#REF!</f>
        <v>#REF!</v>
      </c>
      <c r="AC41" s="439" t="str">
        <f>$E$41</f>
        <v>VIP</v>
      </c>
      <c r="AD41" s="267" t="e">
        <f>'FAC_ TRU_METRO'!#REF!</f>
        <v>#REF!</v>
      </c>
      <c r="AE41" s="445" t="e">
        <f>'FAC_ TRU_METRO'!#REF!</f>
        <v>#REF!</v>
      </c>
      <c r="AF41" s="453" t="e">
        <f>'FAC_ TRU_METRO'!#REF!</f>
        <v>#REF!</v>
      </c>
    </row>
    <row r="42" spans="5:32" x14ac:dyDescent="0.2">
      <c r="E42" s="439" t="str">
        <f>'FAC_ TRU_METRO'!B47</f>
        <v>VIS</v>
      </c>
      <c r="F42" s="267">
        <f>'FAC_ TRU_METRO'!D47</f>
        <v>14972.300999999999</v>
      </c>
      <c r="G42" s="445">
        <f>'FAC_ TRU_METRO'!E47</f>
        <v>2000</v>
      </c>
      <c r="H42" s="453">
        <f>'FAC_ TRU_METRO'!G47</f>
        <v>29944602</v>
      </c>
      <c r="K42" s="439" t="str">
        <f>$E$42</f>
        <v>VIS</v>
      </c>
      <c r="L42" s="267" t="e">
        <f>'FAC_ TRU_METRO'!#REF!</f>
        <v>#REF!</v>
      </c>
      <c r="M42" s="445" t="e">
        <f>'FAC_ TRU_METRO'!#REF!</f>
        <v>#REF!</v>
      </c>
      <c r="N42" s="453" t="e">
        <f>'FAC_ TRU_METRO'!#REF!</f>
        <v>#REF!</v>
      </c>
      <c r="Q42" s="439" t="str">
        <f>$E$42</f>
        <v>VIS</v>
      </c>
      <c r="R42" s="267" t="e">
        <f>'FAC_ TRU_METRO'!#REF!</f>
        <v>#REF!</v>
      </c>
      <c r="S42" s="445" t="e">
        <f>'FAC_ TRU_METRO'!#REF!</f>
        <v>#REF!</v>
      </c>
      <c r="T42" s="453" t="e">
        <f>'FAC_ TRU_METRO'!#REF!</f>
        <v>#REF!</v>
      </c>
      <c r="W42" s="439" t="str">
        <f>$E$42</f>
        <v>VIS</v>
      </c>
      <c r="X42" s="267" t="e">
        <f>'FAC_ TRU_METRO'!#REF!</f>
        <v>#REF!</v>
      </c>
      <c r="Y42" s="445" t="e">
        <f>'FAC_ TRU_METRO'!#REF!</f>
        <v>#REF!</v>
      </c>
      <c r="Z42" s="453" t="e">
        <f>'FAC_ TRU_METRO'!#REF!</f>
        <v>#REF!</v>
      </c>
      <c r="AC42" s="439" t="str">
        <f>$E$42</f>
        <v>VIS</v>
      </c>
      <c r="AD42" s="267" t="e">
        <f>'FAC_ TRU_METRO'!#REF!</f>
        <v>#REF!</v>
      </c>
      <c r="AE42" s="445" t="e">
        <f>'FAC_ TRU_METRO'!#REF!</f>
        <v>#REF!</v>
      </c>
      <c r="AF42" s="453" t="e">
        <f>'FAC_ TRU_METRO'!#REF!</f>
        <v>#REF!</v>
      </c>
    </row>
    <row r="43" spans="5:32" x14ac:dyDescent="0.2">
      <c r="E43" s="439" t="str">
        <f>'FAC_ TRU_METRO'!B48</f>
        <v>No VIS</v>
      </c>
      <c r="F43" s="267">
        <f>'FAC_ TRU_METRO'!D48</f>
        <v>87850.04</v>
      </c>
      <c r="G43" s="445">
        <f>'FAC_ TRU_METRO'!E48</f>
        <v>2500</v>
      </c>
      <c r="H43" s="453">
        <f>'FAC_ TRU_METRO'!G48</f>
        <v>219625099.99999997</v>
      </c>
      <c r="K43" s="439" t="str">
        <f>$E$43</f>
        <v>No VIS</v>
      </c>
      <c r="L43" s="267" t="e">
        <f>'FAC_ TRU_METRO'!#REF!</f>
        <v>#REF!</v>
      </c>
      <c r="M43" s="445" t="e">
        <f>'FAC_ TRU_METRO'!#REF!</f>
        <v>#REF!</v>
      </c>
      <c r="N43" s="453" t="e">
        <f>'FAC_ TRU_METRO'!#REF!</f>
        <v>#REF!</v>
      </c>
      <c r="Q43" s="439" t="str">
        <f>$E$43</f>
        <v>No VIS</v>
      </c>
      <c r="R43" s="267" t="e">
        <f>'FAC_ TRU_METRO'!#REF!</f>
        <v>#REF!</v>
      </c>
      <c r="S43" s="445" t="e">
        <f>'FAC_ TRU_METRO'!#REF!</f>
        <v>#REF!</v>
      </c>
      <c r="T43" s="453" t="e">
        <f>'FAC_ TRU_METRO'!#REF!</f>
        <v>#REF!</v>
      </c>
      <c r="W43" s="439" t="str">
        <f>$E$43</f>
        <v>No VIS</v>
      </c>
      <c r="X43" s="267" t="e">
        <f>'FAC_ TRU_METRO'!#REF!</f>
        <v>#REF!</v>
      </c>
      <c r="Y43" s="445" t="e">
        <f>'FAC_ TRU_METRO'!#REF!</f>
        <v>#REF!</v>
      </c>
      <c r="Z43" s="453" t="e">
        <f>'FAC_ TRU_METRO'!#REF!</f>
        <v>#REF!</v>
      </c>
      <c r="AC43" s="439" t="str">
        <f>$E$43</f>
        <v>No VIS</v>
      </c>
      <c r="AD43" s="267" t="e">
        <f>'FAC_ TRU_METRO'!#REF!</f>
        <v>#REF!</v>
      </c>
      <c r="AE43" s="445" t="e">
        <f>'FAC_ TRU_METRO'!#REF!</f>
        <v>#REF!</v>
      </c>
      <c r="AF43" s="453" t="e">
        <f>'FAC_ TRU_METRO'!#REF!</f>
        <v>#REF!</v>
      </c>
    </row>
    <row r="44" spans="5:32" x14ac:dyDescent="0.2">
      <c r="E44" s="439" t="str">
        <f>'FAC_ TRU_METRO'!B49</f>
        <v>Comercio</v>
      </c>
      <c r="F44" s="267">
        <f>'FAC_ TRU_METRO'!D49</f>
        <v>11965.3</v>
      </c>
      <c r="G44" s="445">
        <f>'FAC_ TRU_METRO'!E49</f>
        <v>2500</v>
      </c>
      <c r="H44" s="453">
        <f>'FAC_ TRU_METRO'!G49</f>
        <v>29913250</v>
      </c>
      <c r="K44" s="439" t="str">
        <f>$E$44</f>
        <v>Comercio</v>
      </c>
      <c r="L44" s="267" t="e">
        <f>'FAC_ TRU_METRO'!#REF!</f>
        <v>#REF!</v>
      </c>
      <c r="M44" s="445" t="e">
        <f>'FAC_ TRU_METRO'!#REF!</f>
        <v>#REF!</v>
      </c>
      <c r="N44" s="453" t="e">
        <f>'FAC_ TRU_METRO'!#REF!</f>
        <v>#REF!</v>
      </c>
      <c r="Q44" s="439" t="str">
        <f>$E$44</f>
        <v>Comercio</v>
      </c>
      <c r="R44" s="267" t="e">
        <f>'FAC_ TRU_METRO'!#REF!</f>
        <v>#REF!</v>
      </c>
      <c r="S44" s="445" t="e">
        <f>'FAC_ TRU_METRO'!#REF!</f>
        <v>#REF!</v>
      </c>
      <c r="T44" s="453" t="e">
        <f>'FAC_ TRU_METRO'!#REF!</f>
        <v>#REF!</v>
      </c>
      <c r="W44" s="439" t="str">
        <f>$E$44</f>
        <v>Comercio</v>
      </c>
      <c r="X44" s="267" t="e">
        <f>'FAC_ TRU_METRO'!#REF!</f>
        <v>#REF!</v>
      </c>
      <c r="Y44" s="445" t="e">
        <f>'FAC_ TRU_METRO'!#REF!</f>
        <v>#REF!</v>
      </c>
      <c r="Z44" s="453" t="e">
        <f>'FAC_ TRU_METRO'!#REF!</f>
        <v>#REF!</v>
      </c>
      <c r="AC44" s="439" t="str">
        <f>$E$44</f>
        <v>Comercio</v>
      </c>
      <c r="AD44" s="267" t="e">
        <f>'FAC_ TRU_METRO'!#REF!</f>
        <v>#REF!</v>
      </c>
      <c r="AE44" s="445" t="e">
        <f>'FAC_ TRU_METRO'!#REF!</f>
        <v>#REF!</v>
      </c>
      <c r="AF44" s="453" t="e">
        <f>'FAC_ TRU_METRO'!#REF!</f>
        <v>#REF!</v>
      </c>
    </row>
    <row r="45" spans="5:32" x14ac:dyDescent="0.2">
      <c r="E45" s="439" t="str">
        <f>'FAC_ TRU_METRO'!B50</f>
        <v>Equipamiento</v>
      </c>
      <c r="F45" s="267">
        <f>'FAC_ TRU_METRO'!D50</f>
        <v>2514.4500000000003</v>
      </c>
      <c r="G45" s="445">
        <f>'FAC_ TRU_METRO'!E50</f>
        <v>2500</v>
      </c>
      <c r="H45" s="453">
        <f>'FAC_ TRU_METRO'!G50</f>
        <v>6286125.0000000009</v>
      </c>
      <c r="K45" s="439" t="str">
        <f>$E$45</f>
        <v>Equipamiento</v>
      </c>
      <c r="L45" s="267" t="e">
        <f>'FAC_ TRU_METRO'!#REF!</f>
        <v>#REF!</v>
      </c>
      <c r="M45" s="445" t="e">
        <f>'FAC_ TRU_METRO'!#REF!</f>
        <v>#REF!</v>
      </c>
      <c r="N45" s="453" t="e">
        <f>'FAC_ TRU_METRO'!#REF!</f>
        <v>#REF!</v>
      </c>
      <c r="Q45" s="439" t="str">
        <f>$E$45</f>
        <v>Equipamiento</v>
      </c>
      <c r="R45" s="267" t="e">
        <f>'FAC_ TRU_METRO'!#REF!</f>
        <v>#REF!</v>
      </c>
      <c r="S45" s="445" t="e">
        <f>'FAC_ TRU_METRO'!#REF!</f>
        <v>#REF!</v>
      </c>
      <c r="T45" s="453" t="e">
        <f>'FAC_ TRU_METRO'!#REF!</f>
        <v>#REF!</v>
      </c>
      <c r="W45" s="439" t="str">
        <f>$E$45</f>
        <v>Equipamiento</v>
      </c>
      <c r="X45" s="267" t="e">
        <f>'FAC_ TRU_METRO'!#REF!</f>
        <v>#REF!</v>
      </c>
      <c r="Y45" s="445" t="e">
        <f>'FAC_ TRU_METRO'!#REF!</f>
        <v>#REF!</v>
      </c>
      <c r="Z45" s="453" t="e">
        <f>'FAC_ TRU_METRO'!#REF!</f>
        <v>#REF!</v>
      </c>
      <c r="AC45" s="439" t="str">
        <f>$E$45</f>
        <v>Equipamiento</v>
      </c>
      <c r="AD45" s="267" t="e">
        <f>'FAC_ TRU_METRO'!#REF!</f>
        <v>#REF!</v>
      </c>
      <c r="AE45" s="445" t="e">
        <f>'FAC_ TRU_METRO'!#REF!</f>
        <v>#REF!</v>
      </c>
      <c r="AF45" s="453" t="e">
        <f>'FAC_ TRU_METRO'!#REF!</f>
        <v>#REF!</v>
      </c>
    </row>
    <row r="46" spans="5:32" x14ac:dyDescent="0.2">
      <c r="E46" s="439" t="str">
        <f>'FAC_ TRU_METRO'!B51</f>
        <v>Sotano</v>
      </c>
      <c r="F46" s="267">
        <f>'FAC_ TRU_METRO'!D51</f>
        <v>26595.559249999998</v>
      </c>
      <c r="G46" s="445">
        <f>'FAC_ TRU_METRO'!E51</f>
        <v>2000</v>
      </c>
      <c r="H46" s="453">
        <f>'FAC_ TRU_METRO'!G51</f>
        <v>53191118.5</v>
      </c>
      <c r="K46" s="439" t="str">
        <f>$E$46</f>
        <v>Sotano</v>
      </c>
      <c r="L46" s="267" t="e">
        <f>'FAC_ TRU_METRO'!#REF!</f>
        <v>#REF!</v>
      </c>
      <c r="M46" s="445" t="e">
        <f>'FAC_ TRU_METRO'!#REF!</f>
        <v>#REF!</v>
      </c>
      <c r="N46" s="453" t="e">
        <f>'FAC_ TRU_METRO'!#REF!</f>
        <v>#REF!</v>
      </c>
      <c r="Q46" s="439" t="str">
        <f>$E$46</f>
        <v>Sotano</v>
      </c>
      <c r="R46" s="267" t="e">
        <f>'FAC_ TRU_METRO'!#REF!</f>
        <v>#REF!</v>
      </c>
      <c r="S46" s="445" t="e">
        <f>'FAC_ TRU_METRO'!#REF!</f>
        <v>#REF!</v>
      </c>
      <c r="T46" s="453" t="e">
        <f>'FAC_ TRU_METRO'!#REF!</f>
        <v>#REF!</v>
      </c>
      <c r="W46" s="439" t="str">
        <f>$E$46</f>
        <v>Sotano</v>
      </c>
      <c r="X46" s="267" t="e">
        <f>'FAC_ TRU_METRO'!#REF!</f>
        <v>#REF!</v>
      </c>
      <c r="Y46" s="445" t="e">
        <f>'FAC_ TRU_METRO'!#REF!</f>
        <v>#REF!</v>
      </c>
      <c r="Z46" s="453" t="e">
        <f>'FAC_ TRU_METRO'!#REF!</f>
        <v>#REF!</v>
      </c>
      <c r="AC46" s="439" t="str">
        <f>$E$46</f>
        <v>Sotano</v>
      </c>
      <c r="AD46" s="267" t="e">
        <f>'FAC_ TRU_METRO'!#REF!</f>
        <v>#REF!</v>
      </c>
      <c r="AE46" s="445" t="e">
        <f>'FAC_ TRU_METRO'!#REF!</f>
        <v>#REF!</v>
      </c>
      <c r="AF46" s="453" t="e">
        <f>'FAC_ TRU_METRO'!#REF!</f>
        <v>#REF!</v>
      </c>
    </row>
    <row r="48" spans="5:32" x14ac:dyDescent="0.2">
      <c r="E48" s="462" t="str">
        <f>'FAC_ TRU_METRO'!B54</f>
        <v>COSTOS INDIRECTOS</v>
      </c>
      <c r="F48" s="463">
        <f>'FAC_ TRU_METRO'!E54</f>
        <v>0.21</v>
      </c>
      <c r="G48" s="452"/>
      <c r="H48" s="464">
        <f>'FAC_ TRU_METRO'!G54</f>
        <v>171821334.66623998</v>
      </c>
      <c r="K48" s="462" t="str">
        <f>$E$48</f>
        <v>COSTOS INDIRECTOS</v>
      </c>
      <c r="L48" s="463" t="e">
        <f>'FAC_ TRU_METRO'!#REF!</f>
        <v>#REF!</v>
      </c>
      <c r="M48" s="452"/>
      <c r="N48" s="464" t="e">
        <f>'FAC_ TRU_METRO'!#REF!</f>
        <v>#REF!</v>
      </c>
      <c r="Q48" s="462" t="str">
        <f>$E$48</f>
        <v>COSTOS INDIRECTOS</v>
      </c>
      <c r="R48" s="463" t="e">
        <f>'FAC_ TRU_METRO'!#REF!</f>
        <v>#REF!</v>
      </c>
      <c r="S48" s="452"/>
      <c r="T48" s="464" t="e">
        <f>'FAC_ TRU_METRO'!#REF!</f>
        <v>#REF!</v>
      </c>
      <c r="W48" s="462" t="str">
        <f>$E$48</f>
        <v>COSTOS INDIRECTOS</v>
      </c>
      <c r="X48" s="463" t="e">
        <f>'FAC_ TRU_METRO'!#REF!</f>
        <v>#REF!</v>
      </c>
      <c r="Y48" s="452"/>
      <c r="Z48" s="464" t="e">
        <f>'FAC_ TRU_METRO'!#REF!</f>
        <v>#REF!</v>
      </c>
      <c r="AC48" s="462" t="str">
        <f>$E$48</f>
        <v>COSTOS INDIRECTOS</v>
      </c>
      <c r="AD48" s="463" t="e">
        <f>'FAC_ TRU_METRO'!#REF!</f>
        <v>#REF!</v>
      </c>
      <c r="AE48" s="452"/>
      <c r="AF48" s="464" t="e">
        <f>'FAC_ TRU_METRO'!#REF!</f>
        <v>#REF!</v>
      </c>
    </row>
    <row r="50" spans="5:33" x14ac:dyDescent="0.2">
      <c r="E50" s="465" t="str">
        <f>'FAC_ TRU_METRO'!B57</f>
        <v>2. TOTAL COSTOS</v>
      </c>
      <c r="F50" s="465"/>
      <c r="G50" s="465"/>
      <c r="H50" s="464">
        <f>'FAC_ TRU_METRO'!G57</f>
        <v>586281602.69343996</v>
      </c>
      <c r="K50" s="465" t="str">
        <f>$E$50</f>
        <v>2. TOTAL COSTOS</v>
      </c>
      <c r="L50" s="465"/>
      <c r="M50" s="465"/>
      <c r="N50" s="464" t="e">
        <f>'FAC_ TRU_METRO'!#REF!</f>
        <v>#REF!</v>
      </c>
      <c r="Q50" s="465" t="str">
        <f>$E$50</f>
        <v>2. TOTAL COSTOS</v>
      </c>
      <c r="R50" s="465"/>
      <c r="S50" s="465"/>
      <c r="T50" s="464" t="e">
        <f>'FAC_ TRU_METRO'!#REF!</f>
        <v>#REF!</v>
      </c>
      <c r="W50" s="465" t="str">
        <f>$E$50</f>
        <v>2. TOTAL COSTOS</v>
      </c>
      <c r="X50" s="465"/>
      <c r="Y50" s="465"/>
      <c r="Z50" s="464" t="e">
        <f>'FAC_ TRU_METRO'!#REF!</f>
        <v>#REF!</v>
      </c>
      <c r="AC50" s="465" t="str">
        <f>$E$50</f>
        <v>2. TOTAL COSTOS</v>
      </c>
      <c r="AD50" s="465"/>
      <c r="AE50" s="465"/>
      <c r="AF50" s="464" t="e">
        <f>'FAC_ TRU_METRO'!#REF!</f>
        <v>#REF!</v>
      </c>
    </row>
    <row r="53" spans="5:33" s="438" customFormat="1" x14ac:dyDescent="0.2">
      <c r="E53" s="465" t="s">
        <v>383</v>
      </c>
      <c r="F53" s="465"/>
      <c r="G53" s="465"/>
      <c r="H53" s="464">
        <f>'FAC_ TRU_METRO'!G59</f>
        <v>231915229.05056</v>
      </c>
      <c r="K53" s="465" t="s">
        <v>383</v>
      </c>
      <c r="L53" s="465"/>
      <c r="M53" s="465"/>
      <c r="N53" s="464" t="e">
        <f>'FAC_ TRU_METRO'!#REF!</f>
        <v>#REF!</v>
      </c>
      <c r="Q53" s="465" t="s">
        <v>383</v>
      </c>
      <c r="R53" s="465"/>
      <c r="S53" s="465"/>
      <c r="T53" s="464" t="e">
        <f>'FAC_ TRU_METRO'!#REF!</f>
        <v>#REF!</v>
      </c>
      <c r="W53" s="465" t="s">
        <v>383</v>
      </c>
      <c r="X53" s="465"/>
      <c r="Y53" s="465"/>
      <c r="Z53" s="464" t="e">
        <f>'FAC_ TRU_METRO'!#REF!</f>
        <v>#REF!</v>
      </c>
      <c r="AC53" s="465" t="s">
        <v>383</v>
      </c>
      <c r="AD53" s="465"/>
      <c r="AE53" s="465"/>
      <c r="AF53" s="464" t="e">
        <f>'FAC_ TRU_METRO'!#REF!</f>
        <v>#REF!</v>
      </c>
    </row>
    <row r="55" spans="5:33" x14ac:dyDescent="0.2">
      <c r="E55" s="465" t="s">
        <v>352</v>
      </c>
      <c r="F55" s="463">
        <f>'FAC_ TRU_METRO'!E60</f>
        <v>0.15</v>
      </c>
      <c r="G55" s="465"/>
      <c r="H55" s="464">
        <f>'FAC_ TRU_METRO'!G60</f>
        <v>122729524.76159999</v>
      </c>
      <c r="K55" s="465" t="s">
        <v>352</v>
      </c>
      <c r="L55" s="463" t="e">
        <f>'FAC_ TRU_METRO'!#REF!</f>
        <v>#REF!</v>
      </c>
      <c r="M55" s="465"/>
      <c r="N55" s="464" t="e">
        <f>'FAC_ TRU_METRO'!#REF!</f>
        <v>#REF!</v>
      </c>
      <c r="Q55" s="465" t="s">
        <v>352</v>
      </c>
      <c r="R55" s="463" t="e">
        <f>'FAC_ TRU_METRO'!#REF!</f>
        <v>#REF!</v>
      </c>
      <c r="S55" s="465"/>
      <c r="T55" s="464" t="e">
        <f>'FAC_ TRU_METRO'!#REF!</f>
        <v>#REF!</v>
      </c>
      <c r="W55" s="465" t="s">
        <v>352</v>
      </c>
      <c r="X55" s="463" t="e">
        <f>'FAC_ TRU_METRO'!#REF!</f>
        <v>#REF!</v>
      </c>
      <c r="Y55" s="465"/>
      <c r="Z55" s="464" t="e">
        <f>'FAC_ TRU_METRO'!#REF!</f>
        <v>#REF!</v>
      </c>
      <c r="AC55" s="465" t="s">
        <v>352</v>
      </c>
      <c r="AD55" s="463" t="e">
        <f>'FAC_ TRU_METRO'!#REF!</f>
        <v>#REF!</v>
      </c>
      <c r="AE55" s="465"/>
      <c r="AF55" s="464" t="e">
        <f>'FAC_ TRU_METRO'!#REF!</f>
        <v>#REF!</v>
      </c>
    </row>
    <row r="57" spans="5:33" x14ac:dyDescent="0.2">
      <c r="E57" s="465" t="s">
        <v>384</v>
      </c>
      <c r="F57" s="465"/>
      <c r="G57" s="465"/>
      <c r="H57" s="464">
        <f>H53-H55</f>
        <v>109185704.28896001</v>
      </c>
      <c r="I57" s="466">
        <f>H57/H21</f>
        <v>0.13344674539527229</v>
      </c>
      <c r="K57" s="465" t="s">
        <v>384</v>
      </c>
      <c r="L57" s="465"/>
      <c r="M57" s="465"/>
      <c r="N57" s="464" t="e">
        <f>N53-N55</f>
        <v>#REF!</v>
      </c>
      <c r="Q57" s="465" t="s">
        <v>384</v>
      </c>
      <c r="R57" s="465"/>
      <c r="S57" s="465"/>
      <c r="T57" s="464" t="e">
        <f>T53-T55</f>
        <v>#REF!</v>
      </c>
      <c r="W57" s="465" t="s">
        <v>384</v>
      </c>
      <c r="X57" s="465"/>
      <c r="Y57" s="465"/>
      <c r="Z57" s="464" t="e">
        <f>Z53-Z55</f>
        <v>#REF!</v>
      </c>
      <c r="AC57" s="465" t="s">
        <v>384</v>
      </c>
      <c r="AD57" s="465"/>
      <c r="AE57" s="465"/>
      <c r="AF57" s="464" t="e">
        <f>AF53-AF55</f>
        <v>#REF!</v>
      </c>
    </row>
    <row r="58" spans="5:33" x14ac:dyDescent="0.2">
      <c r="I58" s="438"/>
    </row>
    <row r="59" spans="5:33" x14ac:dyDescent="0.2">
      <c r="E59" s="465" t="s">
        <v>385</v>
      </c>
      <c r="F59" s="465"/>
      <c r="G59" s="465"/>
      <c r="H59" s="464">
        <f>'FAC_ TRU_METRO'!G63</f>
        <v>106995444.50322001</v>
      </c>
      <c r="I59" s="438"/>
      <c r="K59" s="465" t="s">
        <v>385</v>
      </c>
      <c r="L59" s="465"/>
      <c r="M59" s="465"/>
      <c r="N59" s="464" t="e">
        <f>'FAC_ TRU_METRO'!#REF!</f>
        <v>#REF!</v>
      </c>
      <c r="Q59" s="465" t="s">
        <v>385</v>
      </c>
      <c r="R59" s="465"/>
      <c r="S59" s="465"/>
      <c r="T59" s="464" t="e">
        <f>'FAC_ TRU_METRO'!#REF!</f>
        <v>#REF!</v>
      </c>
      <c r="W59" s="465" t="s">
        <v>385</v>
      </c>
      <c r="X59" s="465"/>
      <c r="Y59" s="465"/>
      <c r="Z59" s="464" t="e">
        <f>'FAC_ TRU_METRO'!#REF!</f>
        <v>#REF!</v>
      </c>
      <c r="AC59" s="465" t="s">
        <v>385</v>
      </c>
      <c r="AD59" s="465"/>
      <c r="AE59" s="465"/>
      <c r="AF59" s="464" t="e">
        <f>'FAC_ TRU_METRO'!#REF!</f>
        <v>#REF!</v>
      </c>
    </row>
    <row r="60" spans="5:33" x14ac:dyDescent="0.2">
      <c r="I60" s="438"/>
    </row>
    <row r="61" spans="5:33" x14ac:dyDescent="0.2">
      <c r="E61" s="465" t="s">
        <v>386</v>
      </c>
      <c r="F61" s="465"/>
      <c r="G61" s="465"/>
      <c r="H61" s="464">
        <f>H57-H59</f>
        <v>2190259.785740003</v>
      </c>
      <c r="I61" s="467">
        <f>H61/H21</f>
        <v>2.6769350610554533E-3</v>
      </c>
      <c r="K61" s="465" t="s">
        <v>386</v>
      </c>
      <c r="L61" s="465"/>
      <c r="M61" s="465"/>
      <c r="N61" s="464" t="e">
        <f>N57-N59</f>
        <v>#REF!</v>
      </c>
      <c r="O61" s="467" t="e">
        <f>N61/N21</f>
        <v>#REF!</v>
      </c>
      <c r="Q61" s="465" t="s">
        <v>386</v>
      </c>
      <c r="R61" s="465"/>
      <c r="S61" s="465"/>
      <c r="T61" s="464" t="e">
        <f>T57-T59</f>
        <v>#REF!</v>
      </c>
      <c r="U61" s="467" t="e">
        <f>T61/T21</f>
        <v>#REF!</v>
      </c>
      <c r="W61" s="465" t="s">
        <v>386</v>
      </c>
      <c r="X61" s="465"/>
      <c r="Y61" s="465"/>
      <c r="Z61" s="464" t="e">
        <f>Z57-Z59</f>
        <v>#REF!</v>
      </c>
      <c r="AA61" s="467" t="e">
        <f>Z61/Z21</f>
        <v>#REF!</v>
      </c>
      <c r="AC61" s="465" t="s">
        <v>386</v>
      </c>
      <c r="AD61" s="465"/>
      <c r="AE61" s="465"/>
      <c r="AF61" s="464" t="e">
        <f>AF57-AF59</f>
        <v>#REF!</v>
      </c>
      <c r="AG61" s="467" t="e">
        <f>AF61/AF21</f>
        <v>#REF!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5F5FEE-280C-49BF-8EEE-487326A447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DATOS </vt:lpstr>
      <vt:lpstr>01</vt:lpstr>
      <vt:lpstr>01a</vt:lpstr>
      <vt:lpstr>NORMA</vt:lpstr>
      <vt:lpstr>INMOB $$</vt:lpstr>
      <vt:lpstr>TABLAS</vt:lpstr>
      <vt:lpstr>FAC_ TRU_METRO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</dc:creator>
  <cp:lastModifiedBy>Usuario de Microsoft Office</cp:lastModifiedBy>
  <cp:lastPrinted>2021-04-19T15:05:25Z</cp:lastPrinted>
  <dcterms:created xsi:type="dcterms:W3CDTF">2020-12-07T13:03:34Z</dcterms:created>
  <dcterms:modified xsi:type="dcterms:W3CDTF">2021-07-30T19:38:56Z</dcterms:modified>
</cp:coreProperties>
</file>