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Users\VAFRI\OneDrive\Desktop\PERSONAL\ANT\CONVENIOS 2021\SUBSIDIO\PRESUPUESTO FINAL\"/>
    </mc:Choice>
  </mc:AlternateContent>
  <xr:revisionPtr revIDLastSave="0" documentId="8_{1DA7B703-EA24-48CA-95F1-2F92DC04E9FC}" xr6:coauthVersionLast="47" xr6:coauthVersionMax="47" xr10:uidLastSave="{00000000-0000-0000-0000-000000000000}"/>
  <bookViews>
    <workbookView xWindow="-110" yWindow="-110" windowWidth="19420" windowHeight="10420" firstSheet="1" activeTab="3" xr2:uid="{00000000-000D-0000-FFFF-FFFF00000000}"/>
  </bookViews>
  <sheets>
    <sheet name="Presupuesto Convenio" sheetId="2" r:id="rId1"/>
    <sheet name="Presupuesto Mensual" sheetId="3" r:id="rId2"/>
    <sheet name="Distribucion de Recursos" sheetId="5" r:id="rId3"/>
    <sheet name="PARTICIPACION % CONTRAPARTIDA" sheetId="7" r:id="rId4"/>
  </sheets>
  <externalReferences>
    <externalReference r:id="rId5"/>
  </externalReferenc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T41" i="7" l="1"/>
  <c r="S41" i="7"/>
  <c r="R41" i="7"/>
  <c r="Q41" i="7"/>
  <c r="P41" i="7"/>
  <c r="U27" i="7"/>
  <c r="U12" i="7"/>
  <c r="U8" i="7"/>
  <c r="U4" i="7"/>
  <c r="D40" i="7"/>
  <c r="T40" i="7"/>
  <c r="S40" i="7"/>
  <c r="R40" i="7"/>
  <c r="Q40" i="7"/>
  <c r="P40" i="7"/>
  <c r="T39" i="7"/>
  <c r="T38" i="7"/>
  <c r="T37" i="7"/>
  <c r="T36" i="7"/>
  <c r="T35" i="7"/>
  <c r="T34" i="7"/>
  <c r="T33" i="7"/>
  <c r="T32" i="7"/>
  <c r="T31" i="7"/>
  <c r="T30" i="7"/>
  <c r="T29" i="7"/>
  <c r="T28" i="7"/>
  <c r="T27" i="7"/>
  <c r="S39" i="7"/>
  <c r="R39" i="7"/>
  <c r="Q39" i="7"/>
  <c r="S38" i="7"/>
  <c r="R38" i="7"/>
  <c r="Q38" i="7"/>
  <c r="S37" i="7"/>
  <c r="R37" i="7"/>
  <c r="Q37" i="7"/>
  <c r="S36" i="7"/>
  <c r="R36" i="7"/>
  <c r="Q36" i="7"/>
  <c r="S35" i="7"/>
  <c r="R35" i="7"/>
  <c r="Q35" i="7"/>
  <c r="S34" i="7"/>
  <c r="R34" i="7"/>
  <c r="Q34" i="7"/>
  <c r="S33" i="7"/>
  <c r="R33" i="7"/>
  <c r="Q33" i="7"/>
  <c r="S32" i="7"/>
  <c r="R32" i="7"/>
  <c r="Q32" i="7"/>
  <c r="S31" i="7"/>
  <c r="R31" i="7"/>
  <c r="Q31" i="7"/>
  <c r="S30" i="7"/>
  <c r="R30" i="7"/>
  <c r="Q30" i="7"/>
  <c r="S29" i="7"/>
  <c r="R29" i="7"/>
  <c r="Q29" i="7"/>
  <c r="S28" i="7"/>
  <c r="R28" i="7"/>
  <c r="Q28" i="7"/>
  <c r="S27" i="7"/>
  <c r="R27" i="7"/>
  <c r="Q27" i="7"/>
  <c r="P39" i="7"/>
  <c r="P38" i="7"/>
  <c r="P37" i="7"/>
  <c r="P36" i="7"/>
  <c r="P35" i="7"/>
  <c r="P34" i="7"/>
  <c r="P33" i="7"/>
  <c r="P32" i="7"/>
  <c r="P31" i="7"/>
  <c r="P30" i="7"/>
  <c r="P29" i="7"/>
  <c r="P28" i="7"/>
  <c r="P27" i="7"/>
  <c r="S23" i="7"/>
  <c r="R23" i="7"/>
  <c r="T23" i="7" s="1"/>
  <c r="Q23" i="7"/>
  <c r="S22" i="7"/>
  <c r="R22" i="7"/>
  <c r="Q22" i="7"/>
  <c r="S21" i="7"/>
  <c r="R21" i="7"/>
  <c r="T21" i="7" s="1"/>
  <c r="Q21" i="7"/>
  <c r="S20" i="7"/>
  <c r="R20" i="7"/>
  <c r="Q20" i="7"/>
  <c r="S19" i="7"/>
  <c r="R19" i="7"/>
  <c r="T19" i="7" s="1"/>
  <c r="Q19" i="7"/>
  <c r="S18" i="7"/>
  <c r="R18" i="7"/>
  <c r="Q18" i="7"/>
  <c r="S17" i="7"/>
  <c r="R17" i="7"/>
  <c r="T17" i="7" s="1"/>
  <c r="Q17" i="7"/>
  <c r="S16" i="7"/>
  <c r="R16" i="7"/>
  <c r="Q16" i="7"/>
  <c r="S15" i="7"/>
  <c r="R15" i="7"/>
  <c r="T15" i="7" s="1"/>
  <c r="Q15" i="7"/>
  <c r="S14" i="7"/>
  <c r="R14" i="7"/>
  <c r="Q14" i="7"/>
  <c r="S13" i="7"/>
  <c r="R13" i="7"/>
  <c r="T13" i="7" s="1"/>
  <c r="Q13" i="7"/>
  <c r="S12" i="7"/>
  <c r="S24" i="7" s="1"/>
  <c r="R12" i="7"/>
  <c r="Q12" i="7"/>
  <c r="Q24" i="7" s="1"/>
  <c r="P23" i="7"/>
  <c r="P22" i="7"/>
  <c r="T22" i="7" s="1"/>
  <c r="P21" i="7"/>
  <c r="P20" i="7"/>
  <c r="T20" i="7" s="1"/>
  <c r="P19" i="7"/>
  <c r="P18" i="7"/>
  <c r="T18" i="7" s="1"/>
  <c r="P17" i="7"/>
  <c r="P16" i="7"/>
  <c r="T16" i="7" s="1"/>
  <c r="P15" i="7"/>
  <c r="P14" i="7"/>
  <c r="T14" i="7" s="1"/>
  <c r="P13" i="7"/>
  <c r="P12" i="7"/>
  <c r="T12" i="7" s="1"/>
  <c r="S9" i="7"/>
  <c r="R9" i="7"/>
  <c r="Q9" i="7"/>
  <c r="P9" i="7"/>
  <c r="T9" i="7" s="1"/>
  <c r="S8" i="7"/>
  <c r="R8" i="7"/>
  <c r="Q8" i="7"/>
  <c r="P8" i="7"/>
  <c r="T8" i="7" s="1"/>
  <c r="S7" i="7"/>
  <c r="R7" i="7"/>
  <c r="Q7" i="7"/>
  <c r="P7" i="7"/>
  <c r="T7" i="7" s="1"/>
  <c r="S6" i="7"/>
  <c r="R6" i="7"/>
  <c r="Q6" i="7"/>
  <c r="P6" i="7"/>
  <c r="T6" i="7" s="1"/>
  <c r="S5" i="7"/>
  <c r="R5" i="7"/>
  <c r="Q5" i="7"/>
  <c r="P5" i="7"/>
  <c r="T5" i="7" s="1"/>
  <c r="S4" i="7"/>
  <c r="S10" i="7" s="1"/>
  <c r="R4" i="7"/>
  <c r="R10" i="7" s="1"/>
  <c r="Q4" i="7"/>
  <c r="Q10" i="7" s="1"/>
  <c r="P4" i="7"/>
  <c r="T4" i="7" s="1"/>
  <c r="F18" i="5"/>
  <c r="P24" i="7" l="1"/>
  <c r="R24" i="7"/>
  <c r="P10" i="7"/>
  <c r="T10" i="7" s="1"/>
  <c r="F14" i="5"/>
  <c r="F6" i="5"/>
  <c r="T24" i="7" l="1"/>
  <c r="F40" i="7"/>
  <c r="H40" i="7"/>
  <c r="G40" i="7"/>
  <c r="H41" i="7"/>
  <c r="G41" i="7"/>
  <c r="F41" i="7"/>
  <c r="E41" i="7"/>
  <c r="D41" i="7"/>
  <c r="E40" i="7"/>
  <c r="D10" i="7"/>
  <c r="D24" i="7"/>
  <c r="F10" i="5"/>
  <c r="H24" i="7"/>
  <c r="G24" i="7"/>
  <c r="F24" i="7"/>
  <c r="E24" i="7"/>
  <c r="E10" i="7"/>
  <c r="F10" i="7"/>
  <c r="G10" i="7"/>
  <c r="H10" i="7"/>
  <c r="H2" i="5"/>
  <c r="H3" i="5"/>
  <c r="F15" i="5"/>
  <c r="F11" i="5"/>
  <c r="F21" i="5" l="1"/>
  <c r="H21" i="5" s="1"/>
  <c r="G14" i="5"/>
  <c r="G19" i="5"/>
  <c r="H19" i="5" s="1"/>
  <c r="G7" i="5"/>
  <c r="G15" i="5"/>
  <c r="G10" i="5"/>
  <c r="G18" i="5"/>
  <c r="G11" i="5"/>
  <c r="I3" i="5"/>
  <c r="H11" i="5"/>
  <c r="H18" i="5"/>
  <c r="H6" i="5"/>
  <c r="H14" i="5"/>
  <c r="F8" i="5"/>
  <c r="H8" i="5" s="1"/>
  <c r="F16" i="5"/>
  <c r="H16" i="5" s="1"/>
  <c r="F12" i="5"/>
  <c r="H12" i="5" s="1"/>
  <c r="F22" i="5"/>
  <c r="G13" i="5"/>
  <c r="H20" i="5"/>
  <c r="F13" i="5"/>
  <c r="G9" i="5"/>
  <c r="H3" i="3"/>
  <c r="H4" i="3"/>
  <c r="H5" i="3"/>
  <c r="H6" i="3"/>
  <c r="H7" i="3"/>
  <c r="H8" i="3"/>
  <c r="H9" i="3"/>
  <c r="H10" i="3"/>
  <c r="H11" i="3"/>
  <c r="H12" i="3"/>
  <c r="H13" i="3"/>
  <c r="H14" i="3"/>
  <c r="H15" i="3"/>
  <c r="H16" i="3"/>
  <c r="G3" i="3"/>
  <c r="G4" i="3"/>
  <c r="G5" i="3"/>
  <c r="G6" i="3"/>
  <c r="G7" i="3"/>
  <c r="G8" i="3"/>
  <c r="G9" i="3"/>
  <c r="G10" i="3"/>
  <c r="G11" i="3"/>
  <c r="G12" i="3"/>
  <c r="G13" i="3"/>
  <c r="G14" i="3"/>
  <c r="G15" i="3"/>
  <c r="G16" i="3"/>
  <c r="F3" i="3"/>
  <c r="F4" i="3"/>
  <c r="F5" i="3"/>
  <c r="F6" i="3"/>
  <c r="F7" i="3"/>
  <c r="F8" i="3"/>
  <c r="F9" i="3"/>
  <c r="F10" i="3"/>
  <c r="F11" i="3"/>
  <c r="F12" i="3"/>
  <c r="F13" i="3"/>
  <c r="F14" i="3"/>
  <c r="F15" i="3"/>
  <c r="F16" i="3"/>
  <c r="E3" i="3"/>
  <c r="E4" i="3"/>
  <c r="E5" i="3"/>
  <c r="E6" i="3"/>
  <c r="E7" i="3"/>
  <c r="E8" i="3"/>
  <c r="E9" i="3"/>
  <c r="E10" i="3"/>
  <c r="E11" i="3"/>
  <c r="E12" i="3"/>
  <c r="E13" i="3"/>
  <c r="E14" i="3"/>
  <c r="E15" i="3"/>
  <c r="E16" i="3"/>
  <c r="H2" i="3"/>
  <c r="G2" i="3"/>
  <c r="F2" i="3"/>
  <c r="E2" i="3"/>
  <c r="D21" i="3"/>
  <c r="E21" i="3"/>
  <c r="F21" i="3"/>
  <c r="G21" i="3"/>
  <c r="H21" i="3"/>
  <c r="D22" i="3"/>
  <c r="E22" i="3"/>
  <c r="F22" i="3"/>
  <c r="G22" i="3"/>
  <c r="H22" i="3"/>
  <c r="D23" i="3"/>
  <c r="E23" i="3"/>
  <c r="F23" i="3"/>
  <c r="G23" i="3"/>
  <c r="H23" i="3"/>
  <c r="C23" i="3"/>
  <c r="C22" i="3"/>
  <c r="C21" i="3"/>
  <c r="H18" i="3"/>
  <c r="G18" i="3"/>
  <c r="F18" i="3"/>
  <c r="E18" i="3"/>
  <c r="D18" i="3"/>
  <c r="C18" i="3"/>
  <c r="D4" i="3"/>
  <c r="D5" i="3"/>
  <c r="D6" i="3"/>
  <c r="D7" i="3"/>
  <c r="D8" i="3"/>
  <c r="D9" i="3"/>
  <c r="D10" i="3"/>
  <c r="D11" i="3"/>
  <c r="D12" i="3"/>
  <c r="D13" i="3"/>
  <c r="D14" i="3"/>
  <c r="D15" i="3"/>
  <c r="D16" i="3"/>
  <c r="D3" i="3"/>
  <c r="D2" i="3"/>
  <c r="C3" i="3"/>
  <c r="C4" i="3"/>
  <c r="C5" i="3"/>
  <c r="C6" i="3"/>
  <c r="C7" i="3"/>
  <c r="C8" i="3"/>
  <c r="C9" i="3"/>
  <c r="C10" i="3"/>
  <c r="C11" i="3"/>
  <c r="C12" i="3"/>
  <c r="C13" i="3"/>
  <c r="C14" i="3"/>
  <c r="C15" i="3"/>
  <c r="C16" i="3"/>
  <c r="C2" i="3"/>
  <c r="H10" i="5" l="1"/>
  <c r="H13" i="5" s="1"/>
  <c r="H7" i="5"/>
  <c r="H15" i="5"/>
  <c r="H17" i="5" s="1"/>
  <c r="H9" i="5"/>
  <c r="F17" i="5"/>
  <c r="F9" i="5"/>
  <c r="G17" i="5"/>
  <c r="E31" i="3"/>
  <c r="D35" i="3"/>
  <c r="D29" i="3" s="1"/>
  <c r="D36" i="3"/>
  <c r="D30" i="3" s="1"/>
  <c r="D37" i="3"/>
  <c r="D31" i="3" s="1"/>
  <c r="D34" i="3"/>
  <c r="D28" i="3" s="1"/>
  <c r="D6" i="5"/>
  <c r="B3" i="3"/>
  <c r="B4" i="3"/>
  <c r="B5" i="3"/>
  <c r="B6" i="3"/>
  <c r="B7" i="3"/>
  <c r="B8" i="3"/>
  <c r="B9" i="3"/>
  <c r="B10" i="3"/>
  <c r="B11" i="3"/>
  <c r="B12" i="3"/>
  <c r="B13" i="3"/>
  <c r="B14" i="3"/>
  <c r="B15" i="3"/>
  <c r="B16" i="3"/>
  <c r="B2" i="3"/>
  <c r="F10" i="2"/>
  <c r="F23" i="5" l="1"/>
  <c r="G22" i="5"/>
  <c r="G23" i="5" s="1"/>
  <c r="H22" i="5"/>
  <c r="H23" i="5" s="1"/>
  <c r="B21" i="3"/>
  <c r="B22" i="3"/>
  <c r="F25" i="2" l="1"/>
  <c r="D8" i="5" l="1"/>
  <c r="E8" i="5" s="1"/>
  <c r="D16" i="5"/>
  <c r="E16" i="5" s="1"/>
  <c r="D12" i="5"/>
  <c r="E12" i="5" s="1"/>
  <c r="D21" i="5" l="1"/>
  <c r="E21" i="5" s="1"/>
  <c r="E6" i="5"/>
  <c r="D24" i="3" l="1"/>
  <c r="E24" i="3"/>
  <c r="F24" i="3"/>
  <c r="G24" i="3"/>
  <c r="H24" i="3"/>
  <c r="C24" i="3"/>
  <c r="D20" i="3"/>
  <c r="E20" i="3"/>
  <c r="F20" i="3"/>
  <c r="G20" i="3"/>
  <c r="H20" i="3"/>
  <c r="C20" i="3"/>
  <c r="F26" i="2"/>
  <c r="F24" i="2"/>
  <c r="F21" i="2"/>
  <c r="F20" i="2"/>
  <c r="F22" i="2" s="1"/>
  <c r="D20" i="5" s="1"/>
  <c r="E20" i="5" s="1"/>
  <c r="F4" i="2"/>
  <c r="F5" i="2"/>
  <c r="F6" i="2"/>
  <c r="F7" i="2"/>
  <c r="F8" i="2"/>
  <c r="F9" i="2"/>
  <c r="F11" i="2"/>
  <c r="F12" i="2"/>
  <c r="F13" i="2"/>
  <c r="F14" i="2"/>
  <c r="F15" i="2"/>
  <c r="F16" i="2"/>
  <c r="F17" i="2"/>
  <c r="F3" i="2"/>
  <c r="D14" i="5" l="1"/>
  <c r="D10" i="5"/>
  <c r="D18" i="5" s="1"/>
  <c r="D7" i="5"/>
  <c r="E14" i="5"/>
  <c r="D11" i="5"/>
  <c r="D15" i="5"/>
  <c r="F18" i="2"/>
  <c r="F27" i="2"/>
  <c r="G17" i="3"/>
  <c r="G25" i="3" s="1"/>
  <c r="C17" i="3"/>
  <c r="C25" i="3" s="1"/>
  <c r="E17" i="3"/>
  <c r="E25" i="3" s="1"/>
  <c r="D17" i="3"/>
  <c r="D25" i="3" s="1"/>
  <c r="H17" i="3"/>
  <c r="H25" i="3" s="1"/>
  <c r="F17" i="3"/>
  <c r="F25" i="3" s="1"/>
  <c r="D19" i="5" l="1"/>
  <c r="D9" i="5"/>
  <c r="E28" i="3"/>
  <c r="G28" i="3" s="1"/>
  <c r="F29" i="3" s="1"/>
  <c r="E29" i="3"/>
  <c r="E30" i="3"/>
  <c r="F28" i="2"/>
  <c r="E15" i="5"/>
  <c r="D17" i="5"/>
  <c r="E11" i="5"/>
  <c r="D13" i="5"/>
  <c r="E18" i="5"/>
  <c r="E7" i="5"/>
  <c r="E10" i="5"/>
  <c r="G29" i="3" l="1"/>
  <c r="F30" i="3" s="1"/>
  <c r="G30" i="3" s="1"/>
  <c r="F31" i="3" s="1"/>
  <c r="G31" i="3" s="1"/>
  <c r="E13" i="5"/>
  <c r="E19" i="5"/>
  <c r="D22" i="5"/>
  <c r="D23" i="5" s="1"/>
  <c r="E17" i="5"/>
  <c r="E22" i="5" l="1"/>
  <c r="E9" i="5"/>
  <c r="E23"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Daniel</author>
  </authors>
  <commentList>
    <comment ref="E34" authorId="0" shapeId="0" xr:uid="{00000000-0006-0000-0100-000001000000}">
      <text>
        <r>
          <rPr>
            <b/>
            <sz val="9"/>
            <color indexed="81"/>
            <rFont val="Tahoma"/>
            <family val="2"/>
          </rPr>
          <t>Daniel:</t>
        </r>
        <r>
          <rPr>
            <sz val="9"/>
            <color indexed="81"/>
            <rFont val="Tahoma"/>
            <family val="2"/>
          </rPr>
          <t xml:space="preserve">
Corresponde:
1% del Documento de Plan de coordinacion y operación de convenio
1% contratos de personal y capacitacion
0,3% de 1er reunion de planeacion y seguimiento</t>
        </r>
      </text>
    </comment>
  </commentList>
</comments>
</file>

<file path=xl/sharedStrings.xml><?xml version="1.0" encoding="utf-8"?>
<sst xmlns="http://schemas.openxmlformats.org/spreadsheetml/2006/main" count="256" uniqueCount="201">
  <si>
    <t>Especialista SIG</t>
  </si>
  <si>
    <t>Ingeniero catastral y geodesta</t>
  </si>
  <si>
    <t>CONCEPTO</t>
  </si>
  <si>
    <t>CANTIDAD</t>
  </si>
  <si>
    <t>VALOR MENSUAL</t>
  </si>
  <si>
    <t>MESES</t>
  </si>
  <si>
    <t>VALOR TOTAL</t>
  </si>
  <si>
    <t>EQUIPO PROFESIONAL</t>
  </si>
  <si>
    <t>Ingeniero de Sistemas - Desarrollador</t>
  </si>
  <si>
    <t>Profesional Derecho</t>
  </si>
  <si>
    <t>Profesional Social</t>
  </si>
  <si>
    <t>Profesional Administrativo</t>
  </si>
  <si>
    <t>Profesional Financiero</t>
  </si>
  <si>
    <t>Ingeniero Topográfico</t>
  </si>
  <si>
    <t>Técnico Topográfico</t>
  </si>
  <si>
    <t>Ingeniero de Sistemas - Requerimientos</t>
  </si>
  <si>
    <t>Técnicos en Gestión Documental</t>
  </si>
  <si>
    <t>Técnico Líder en Gestión Documental</t>
  </si>
  <si>
    <t>Avaluos Comerciales de Predio</t>
  </si>
  <si>
    <t>Equipos de Topografia</t>
  </si>
  <si>
    <t>(1) SUBTOTAL CONTRATACIÓN EQUIPO PROFESIONAL</t>
  </si>
  <si>
    <t>1.1</t>
  </si>
  <si>
    <t>1.2</t>
  </si>
  <si>
    <t>1.3</t>
  </si>
  <si>
    <t>1.4</t>
  </si>
  <si>
    <t>1.5</t>
  </si>
  <si>
    <t>1.6</t>
  </si>
  <si>
    <t>1.7</t>
  </si>
  <si>
    <t>1.8</t>
  </si>
  <si>
    <t>1.9</t>
  </si>
  <si>
    <t>1.10</t>
  </si>
  <si>
    <t>1.11</t>
  </si>
  <si>
    <t>1.12</t>
  </si>
  <si>
    <t>1.13</t>
  </si>
  <si>
    <t>1.14</t>
  </si>
  <si>
    <t>ID</t>
  </si>
  <si>
    <t>TOPOGRAFIA Y AVALUOS COMERCIALES</t>
  </si>
  <si>
    <t>2.1</t>
  </si>
  <si>
    <t>2.2</t>
  </si>
  <si>
    <t>(2) SUBTOTAL TOPOGRAFIA Y AVALUOS</t>
  </si>
  <si>
    <t>GASTOS OPERATIVOS Y ADMINISTRATIVOS</t>
  </si>
  <si>
    <t>3.1</t>
  </si>
  <si>
    <t>3.2</t>
  </si>
  <si>
    <t>Viaticos y Transportes</t>
  </si>
  <si>
    <t>(3) SUBTOTAL GASTOS OPERATIVOS Y ADMINISTRATIVOS</t>
  </si>
  <si>
    <t>TOTAL CONVENIO</t>
  </si>
  <si>
    <t>MES 1</t>
  </si>
  <si>
    <t>MES 2</t>
  </si>
  <si>
    <t>MES 3</t>
  </si>
  <si>
    <t>MES 4</t>
  </si>
  <si>
    <t>MES 5</t>
  </si>
  <si>
    <t>MES 6</t>
  </si>
  <si>
    <t>SUB TOTAL EQUIPO PROFESIONAL</t>
  </si>
  <si>
    <t>SUB TOTAL AVALUOS Y TOPOGRAFIA</t>
  </si>
  <si>
    <t>SUB TOTAL ADMINISTRATIVOS Y OPERATIVOS</t>
  </si>
  <si>
    <t>TOTAL PRESUPUESTO MENSUAL</t>
  </si>
  <si>
    <t>Desembolso 1</t>
  </si>
  <si>
    <t>Desembolso 2</t>
  </si>
  <si>
    <t>Desembolso 3</t>
  </si>
  <si>
    <t>VALOR CONVENIO</t>
  </si>
  <si>
    <t>SALDO</t>
  </si>
  <si>
    <t>REQUERIMIENTO FINANCIERO</t>
  </si>
  <si>
    <t>VALOR DESEMBOLSO</t>
  </si>
  <si>
    <t>SALDO ANTERIOR</t>
  </si>
  <si>
    <t>DESEMBOLSO</t>
  </si>
  <si>
    <t>PORCENTAJE</t>
  </si>
  <si>
    <t>VALOR</t>
  </si>
  <si>
    <t>AVANCE POA</t>
  </si>
  <si>
    <t>FECHA ESTIMADA</t>
  </si>
  <si>
    <t>Mes 1</t>
  </si>
  <si>
    <t>L1</t>
  </si>
  <si>
    <t>ESTABLECER LA ESTRATEGIA OPERATIVA QUE PERMITA LA EJECUCIÓN DE LAS ACTIVIDADES ESTABLECIDAS EN EL CONVENIO</t>
  </si>
  <si>
    <t>L2</t>
  </si>
  <si>
    <t xml:space="preserve">REALIZAR EL MEJORAMIENTO Y SOPORTE DE LAS FUNCIONALIDADES REQUERIDAS EN EL APLICATIVO SIDRA -SIRA -SIT, ASÍ COMO LA CONSTRUCCIÓN DE NUEVAS FUNCIONALIDADES DEL SISTEMA DE INFORMACIÓN DEL REGISTRO DE INMUEBLES RURALES - RIR. </t>
  </si>
  <si>
    <t>L3</t>
  </si>
  <si>
    <t>REALIZAR LA NORMALIZACIÓN DE EXPEDIENTES DE LOS PROCESOS DE SUBSIDIO MATERIALIZADOS</t>
  </si>
  <si>
    <t>L4</t>
  </si>
  <si>
    <t xml:space="preserve">DESARROLLAR LAS ACTIVIDADES ESTABLECIDAS PARA LA MATERIALIZACIÓN DE LOS SUBSIDIOS DE LAS CONVOCATORIAS SIT, SIDRA Y SIRA DE ACUERDO CON LA NORMATIVIDAD Y PROCEDIMIENTOS VIGENTES </t>
  </si>
  <si>
    <t>RUBRO</t>
  </si>
  <si>
    <t>SUBTOTAL</t>
  </si>
  <si>
    <t>LINEA DE ACCION</t>
  </si>
  <si>
    <t>OBJETIVO</t>
  </si>
  <si>
    <t>VALOR 
($)</t>
  </si>
  <si>
    <t>PORCENTAJE
(%)</t>
  </si>
  <si>
    <t>VALOR TOTAL CONVENIO</t>
  </si>
  <si>
    <t>Coordinador de Convenio</t>
  </si>
  <si>
    <t>CATEGORIA 
CIRCULAR 01</t>
  </si>
  <si>
    <t>NIVEL</t>
  </si>
  <si>
    <t>DESCRIPCION PERFIL</t>
  </si>
  <si>
    <t>III</t>
  </si>
  <si>
    <t>Ingeniero Topográfico con especialización el SIG y al menos 16 meses de experiencia profesional en levantamientos topográficos y análisis predial.</t>
  </si>
  <si>
    <t>Técnico Topográfico con 30 meses de Experiencia en realización de levantamientos topográficos</t>
  </si>
  <si>
    <t>Ingenio Catastral y Geodesia con especialización el SIG y al menos 16 meses de experiencia profesional en levantamientos topográficos y análisis predial.</t>
  </si>
  <si>
    <t xml:space="preserve">Profesional en Ingeniería Catastral, Geográfica, agrícola, agroforestal o afines con especialización el SIG y al menos 16 meses de experiencia profesional en levantamientos topográficos y análisis predial. </t>
  </si>
  <si>
    <t>Ingeniero de Sistemas con Especialización relacionada con programación de software y mínimo 16 meses de experiencia</t>
  </si>
  <si>
    <t xml:space="preserve">Profesionales en ciencias agropecuarias, con especialización en áreas relacionadas con la gestión de proyectos o de producción agropecuaria o ambiental con mínimo 16 meses de experiencia profesional </t>
  </si>
  <si>
    <t>Profesional en Derecho con especialización y mínimo 10 meses de experiencia laboral</t>
  </si>
  <si>
    <t>II</t>
  </si>
  <si>
    <t>Profesional en áreas sociales con mínimo 30 meses de experiencia</t>
  </si>
  <si>
    <t>Título de bachiller con al menos 12 meses de experiencia relacionada en gestión documental</t>
  </si>
  <si>
    <t xml:space="preserve">Título en formación técnica profesional o título de formación tecnológica con al menos 15 meses de experiencia en temas de gestión documental </t>
  </si>
  <si>
    <t>Título Profesional en cuentas administrativas con 30 meses de experiencia relacionada.</t>
  </si>
  <si>
    <t>IV</t>
  </si>
  <si>
    <t>Título Profesional en cuentas administrativas o agropecuarias o ingenierías o afines, con maestria relacionada en gestión de proyectos y con al menos 6 meses de experiencia profesional</t>
  </si>
  <si>
    <t>Profesional en Ciencias Administrativas o profesional contador, con especialización en áreas relacionadas y con 22 meses de experiencia profesional.</t>
  </si>
  <si>
    <t>Gastos Administrativos</t>
  </si>
  <si>
    <t>Gastos Operacionales</t>
  </si>
  <si>
    <t>GASTOS ADMINISTRATIVOS</t>
  </si>
  <si>
    <t>GASTOS OPERACIONALES</t>
  </si>
  <si>
    <t xml:space="preserve">GASTOS OPERACIONALES </t>
  </si>
  <si>
    <t>1.15</t>
  </si>
  <si>
    <t>Desembolso 4</t>
  </si>
  <si>
    <t>Mes 7</t>
  </si>
  <si>
    <t>Profesionales Ciencías Agropecuarias</t>
  </si>
  <si>
    <t>Profesional Administrativo - Financiero</t>
  </si>
  <si>
    <t>Concepto</t>
  </si>
  <si>
    <t>Cantidad</t>
  </si>
  <si>
    <t>ACTIVIDADES ADICIONALES (Dentro de la Hoja de Ruta)</t>
  </si>
  <si>
    <t>Jornada de Socialización con 113 Predios</t>
  </si>
  <si>
    <t>ACTIVIDADES COMPLEMENTARIAS (Dentro de la Hoja de Ruta)</t>
  </si>
  <si>
    <t>Impulso de levantamientos Topográficos (Dentro de la Ruta)</t>
  </si>
  <si>
    <t xml:space="preserve">Complementar Realizar los diagnósticos y/o estructuraciones de proyectos productivos </t>
  </si>
  <si>
    <t>Líneas de Trabajos Jornadas de Capacitación y Formación (MUJER RURAL Y SUBSIDIO DE TIERRAS)</t>
  </si>
  <si>
    <t>Jornadas de Sinergia Institucional Territorial</t>
  </si>
  <si>
    <t>Recursos para actividades de libre destinación para ANT (Dentro de la Hoja de Ruta)</t>
  </si>
  <si>
    <t>Personal Administrativo Transversal</t>
  </si>
  <si>
    <t>OFICINA NACIONAL BOGOTA</t>
  </si>
  <si>
    <t>CONTADOR PUBLICO Dedicación 40%</t>
  </si>
  <si>
    <t>REVISOR FISCAL Dedicación 10%</t>
  </si>
  <si>
    <t>DIRECTOR EJECUTIVO Dedicación 25%</t>
  </si>
  <si>
    <t>DIRECTOR PROGRAMATICO Dedicación 33.3%</t>
  </si>
  <si>
    <t>COORDINADOR SEGUIMIENTO Dedicación 50%</t>
  </si>
  <si>
    <t>PROFESIONAL SEGUIMIENTO Y MONITOREO Dedicación 50%</t>
  </si>
  <si>
    <t>PROFESIONAL JURIDICO  ADMON Dedicación 20%</t>
  </si>
  <si>
    <t>TALENTO HUMANO Dedicación 33%</t>
  </si>
  <si>
    <t>AUXILIAR TALENTO HUMANO Dedicación 33%</t>
  </si>
  <si>
    <t>AUXILIAR COMUNICACIONES Dedicación 33%</t>
  </si>
  <si>
    <t xml:space="preserve">PROFESIONAL EN SISTEMAS Y PROGRAMACION (Experto en Sistema Información Corprogreso) Dedicación 80% </t>
  </si>
  <si>
    <t>SERVIDOR</t>
  </si>
  <si>
    <t xml:space="preserve">PUESTOS DE TRABAJO </t>
  </si>
  <si>
    <t>EQUIPOS COMPUTOS</t>
  </si>
  <si>
    <t>TABLETS EQUIPO TERRITORIO</t>
  </si>
  <si>
    <t>SCANER DE ALTO RENDIMIENTO</t>
  </si>
  <si>
    <t>IMPRESORAS MULTIFUNCIONALES</t>
  </si>
  <si>
    <t>PAPELERIA</t>
  </si>
  <si>
    <t>SISTEMAS DE INFORMACION SICOR</t>
  </si>
  <si>
    <t>ESTRATEGIA DE COMUNICACIONES PARA LA VISIVILIZACION DEL PROGRAMA</t>
  </si>
  <si>
    <t>DOCUMENTO MEMORIA RURALIDAD EN COLOMBIA</t>
  </si>
  <si>
    <t>DINERO</t>
  </si>
  <si>
    <t>ESPECIE</t>
  </si>
  <si>
    <t>Actividades</t>
  </si>
  <si>
    <t>Equipo</t>
  </si>
  <si>
    <t>TOTAL</t>
  </si>
  <si>
    <t>LINEA DE ACCION #1</t>
  </si>
  <si>
    <t>LINEA DE ACCION #2</t>
  </si>
  <si>
    <t>LINEA DE ACCION #3</t>
  </si>
  <si>
    <t>LINEA DE ACCION #4</t>
  </si>
  <si>
    <t>Se concertara con la Agencia en que actividad o línea de acción especifica se asignara este recurso de contrapartida en dinero.</t>
  </si>
  <si>
    <t>NOTAS ACLARATORIAS</t>
  </si>
  <si>
    <t>OFICINAS EQUIPO PROFESIONAL CONVENIO</t>
  </si>
  <si>
    <t xml:space="preserve">Tables asignados al equipo profesionales convenio del proyecto para trabajo en territorio </t>
  </si>
  <si>
    <t>Insumos necesarios para la operatividad del proyecto</t>
  </si>
  <si>
    <t xml:space="preserve">Velara por la recopilar información y realizar auditorías, analizar los registros contables, elaborar el balance de los ingresos y gastos contable correspondiente, garantizar que tantos los ingresos como los egresos de dinero hayan sido debidamente registrados, elaborar informes financieros y realizar recomendaciones. </t>
  </si>
  <si>
    <t xml:space="preserve">Impartir las instrucciones, practicar las inspecciones y solicitar los informes que sean necesarios para establecer un control permanente sobre los valores sociales, autorizar con su firma cualquier balance que se haga, con su dictamen o informe correspondiente, </t>
  </si>
  <si>
    <t>Sera el apoyo para llevar registros, archivos, genera alertas al coordinador, consolidar  informes y otras actividades asignadas.</t>
  </si>
  <si>
    <t>Impartir sugerencias por escrito, y formular las observaciones que se estime conveniente sobre el desarrollo del contrato, siempre enmarcado dentro de los términos del mismo. Apoyar el seguimiento administrativo y financiero de los proyectos, velar por la articulación con los aspectos técnicos, y realizar los ajustes que se requieran para cumplir con los compromisos adquiridos</t>
  </si>
  <si>
    <t>Supervisar el avance técnico frente al POA y Hacer seguimiento a la utilización de los recursos que el proyecto requiere.</t>
  </si>
  <si>
    <t>Esta oficina estará disponible para el equipo transversal del proyecto durante 6 meses.</t>
  </si>
  <si>
    <t>Participar en los comités operativos, apoyo a las acciones de sinergia con entidades territoriales, reuniones permanentes con equipo de seguimiento y coordinación general, velando siempre por el cumplimiento de los objetivos y metas establecidas en el presente proyecto.</t>
  </si>
  <si>
    <t>Brindará asistencia y apoyo jurídico en diversos temas y asuntos clave dentro de la ejecución del proyecto, realizará investigaciones y análisis que se le requieran sobre la normativa regional y nacional, apoyara proceso administrativo en temas de redacción y elaboración de contratos.</t>
  </si>
  <si>
    <t>Coordinar el proceso de convocatoria, selección y vinculación del equipo profesional convenio.</t>
  </si>
  <si>
    <t>Apoyar las actividades asignadas por la Coordinación del área.</t>
  </si>
  <si>
    <t>Apoyo a diagramación, corrector de estilo de posibles publicaciones, y encargado de la promoción y divulgación del proyecto (Redes Sociales y pagina Web)</t>
  </si>
  <si>
    <t xml:space="preserve">Esta oficina estará disponible para el equipo profesional del convenio </t>
  </si>
  <si>
    <t>Son 11 puestos asignados al equipo transversal para la duración del proyecto</t>
  </si>
  <si>
    <t xml:space="preserve">Equipos de cómputos  asignados a los profesionales transversales del proyecto </t>
  </si>
  <si>
    <t>Se hará un plan de trabajo con los componentes de recopilación de evidencia, divulgación de las mismas y entrega de un insumo final  (Cartilla Virtual  ruta de atención del programa)</t>
  </si>
  <si>
    <t>Soporte y parametrizador del sistema SICOR, montaje y monitoreo de servidores virtuales que se tienen tanto en Amazon Web Services como en Microsoft Azure.</t>
  </si>
  <si>
    <t>Insumos Operativos de Contrapartida en Especie para el Proyecto</t>
  </si>
  <si>
    <t>El proyecto requiere un servidor dedicado para proteger, almacenar y resguardar la información, también nos ayudaría al acceso de la información a nivel nacional.</t>
  </si>
  <si>
    <t>Historial de lo que ha venido pasando con relación a la entrega de tierras y la coyuntura social del país.
Analisis Línea de tiempo con relación a la adjudicación de tierras.                                  Documento tipo informe</t>
  </si>
  <si>
    <t xml:space="preserve">Sirve para proceso de convocatoria, contratación y vinculación del talento humano, para levantamiento de información en campo a través de dispositivos móviles de manera Of line, nos permite el monitoreo y seguimiento a través de evidencias (Parametrización POA, Cargue de Evidencia, seguimiento y monitoreo) </t>
  </si>
  <si>
    <t>COMUNICACIONES (Internet, Telefonia Movil )</t>
  </si>
  <si>
    <t>INSUMOS Y MANTENIMIENTO EQUIPOS IT</t>
  </si>
  <si>
    <t>Internet puestos de trabajo y lineas moviles equipo tranversal</t>
  </si>
  <si>
    <t xml:space="preserve">En el desarrollo de esta actividad lo que se pretende es tener conocimiento de la información de cada uno de los postulantes.                                                                                       Estas jornadas están contempladas para una ejecución en tiempo de Mes y medio, en ella se vinculan 4 profesionales, el costos de Movilidad nacional y territorial,  Hospedaje, Alimentos, Implementos de Bioseguridad e insumos necesarios para las actividades de campo. </t>
  </si>
  <si>
    <t>Especialmente la promoción de una articulación entre instituciones siempre pensado desde la mejor atención a los ciudadanos.                                                                                            5 Jornadas de Sinergia Institucional Territorial</t>
  </si>
  <si>
    <t>Establecer la diferencia entre lo que la población campesina está haciendo y lo que debería hacer con relación a la convivencia familiar-comunitaria enfatizando en el empoderamiento de la mujer, al uso, aprovechamiento y cuidado de la tierra, teniendo en cuenta los beneficios que se logran al acceder a ella y por último la importancia que adquiere la gobernanza territorial para acceder a esos beneficios.                                                    2 Jornadas de Capacitación y Formación (MUJER RURAL Y SUBSIDIO DE TIERRAS)</t>
  </si>
  <si>
    <t>Se pretende ampliar los diagnósticos y/o estructuraciones de proyectos productivos , para 6 proyectos productivos.</t>
  </si>
  <si>
    <t>RECURSOS CORPROGRESO</t>
  </si>
  <si>
    <t>RECURSOS ANT</t>
  </si>
  <si>
    <t>Lo que se pretende es poder incrementar levantamientos topográficos de predios que sean sujetos a desistimientos o nuevas postulaciones para así poder llegar a cumplir la meta establecida en el marco del convenio.                                                                                    12  Impulso de levantamientos Topográficos (Dentro de la hoja de Ruta) La distribucion de este recurso estara aplicado en un 48.54% a EQUIPO DE TRABAJO PROFESIONA $14.562.000L, 30% GASTOS OPERACIONALES (VIATICOS) $9.000.000 Y 21.46% TOPOGRAFIA EQUIPOS $6.438.000.</t>
  </si>
  <si>
    <t>APORTE EN ESPECIE</t>
  </si>
  <si>
    <t>APORTE EN DINERO (COOPERACION INTERNACIONAL)</t>
  </si>
  <si>
    <t>APORTE EN DINERO (RECURSOS PROPIOS)</t>
  </si>
  <si>
    <t>Línea 1</t>
  </si>
  <si>
    <t>Línea 2</t>
  </si>
  <si>
    <t>Línea 3</t>
  </si>
  <si>
    <t>Línea 4</t>
  </si>
  <si>
    <t>Total</t>
  </si>
  <si>
    <t>contrapartida efectivo+especie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</si>
</sst>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4" formatCode="_-&quot;$&quot;\ * #,##0.00_-;\-&quot;$&quot;\ * #,##0.00_-;_-&quot;$&quot;\ * &quot;-&quot;??_-;_-@_-"/>
    <numFmt numFmtId="164" formatCode="_(&quot;$&quot;\ * #,##0.00_);_(&quot;$&quot;\ * \(#,##0.00\);_(&quot;$&quot;\ * &quot;-&quot;??_);_(@_)"/>
    <numFmt numFmtId="165" formatCode="_(* #,##0.00_);_(* \(#,##0.00\);_(* &quot;-&quot;??_);_(@_)"/>
    <numFmt numFmtId="166" formatCode="#,##0.0"/>
    <numFmt numFmtId="167" formatCode="0.0%"/>
    <numFmt numFmtId="168" formatCode="_-&quot;$&quot;\ * #,##0_-;\-&quot;$&quot;\ * #,##0_-;_-&quot;$&quot;\ * &quot;-&quot;??_-;_-@_-"/>
    <numFmt numFmtId="169" formatCode="_(* #,##0_);_(* \(#,##0\);_(* &quot;-&quot;??_);_(@_)"/>
    <numFmt numFmtId="170" formatCode="&quot;$&quot;\ #,##0"/>
    <numFmt numFmtId="171" formatCode="0.000000%"/>
  </numFmts>
  <fonts count="28" x14ac:knownFonts="1">
    <font>
      <sz val="11"/>
      <color theme="1"/>
      <name val="Calibri"/>
      <family val="2"/>
      <scheme val="minor"/>
    </font>
    <font>
      <b/>
      <sz val="11"/>
      <color theme="1"/>
      <name val="Arial Narrow"/>
      <family val="2"/>
    </font>
    <font>
      <sz val="11"/>
      <color theme="1"/>
      <name val="Arial Narrow"/>
      <family val="2"/>
    </font>
    <font>
      <b/>
      <sz val="14"/>
      <color theme="1"/>
      <name val="Arial Narrow"/>
      <family val="2"/>
    </font>
    <font>
      <sz val="9"/>
      <color indexed="81"/>
      <name val="Tahoma"/>
      <family val="2"/>
    </font>
    <font>
      <b/>
      <sz val="9"/>
      <color indexed="81"/>
      <name val="Tahoma"/>
      <family val="2"/>
    </font>
    <font>
      <b/>
      <sz val="11"/>
      <color theme="1" tint="0.34998626667073579"/>
      <name val="Calibri"/>
      <family val="2"/>
      <scheme val="minor"/>
    </font>
    <font>
      <sz val="11"/>
      <color theme="1" tint="0.24994659260841701"/>
      <name val="Calibri Light"/>
      <family val="2"/>
      <scheme val="major"/>
    </font>
    <font>
      <sz val="11"/>
      <color theme="1"/>
      <name val="Calibri"/>
      <family val="2"/>
      <scheme val="minor"/>
    </font>
    <font>
      <sz val="11"/>
      <color theme="0" tint="-0.249977111117893"/>
      <name val="Calibri"/>
      <family val="2"/>
      <scheme val="minor"/>
    </font>
    <font>
      <sz val="11"/>
      <color rgb="FF000000"/>
      <name val="Arial Narrow"/>
      <family val="2"/>
    </font>
    <font>
      <b/>
      <sz val="14"/>
      <name val="Arial Narrow"/>
      <family val="2"/>
    </font>
    <font>
      <sz val="11"/>
      <name val="Arial Narrow"/>
      <family val="2"/>
    </font>
    <font>
      <b/>
      <sz val="11"/>
      <name val="Arial Narrow"/>
      <family val="2"/>
    </font>
    <font>
      <b/>
      <sz val="11"/>
      <color theme="1"/>
      <name val="Calibri"/>
      <family val="2"/>
      <scheme val="minor"/>
    </font>
    <font>
      <b/>
      <i/>
      <u/>
      <sz val="11"/>
      <color theme="1"/>
      <name val="Calibri"/>
      <family val="2"/>
      <scheme val="minor"/>
    </font>
    <font>
      <b/>
      <sz val="14"/>
      <color theme="1"/>
      <name val="Calibri"/>
      <family val="2"/>
      <scheme val="minor"/>
    </font>
    <font>
      <b/>
      <i/>
      <sz val="11"/>
      <color theme="1"/>
      <name val="Calibri"/>
      <family val="2"/>
      <scheme val="minor"/>
    </font>
    <font>
      <b/>
      <i/>
      <u val="singleAccounting"/>
      <sz val="11"/>
      <color theme="1"/>
      <name val="Calibri"/>
      <family val="2"/>
      <scheme val="minor"/>
    </font>
    <font>
      <sz val="12"/>
      <color theme="1"/>
      <name val="Calibri"/>
      <family val="2"/>
      <scheme val="minor"/>
    </font>
    <font>
      <b/>
      <i/>
      <sz val="12"/>
      <color theme="0"/>
      <name val="Calibri"/>
      <family val="2"/>
      <scheme val="minor"/>
    </font>
    <font>
      <b/>
      <i/>
      <u/>
      <sz val="12"/>
      <color theme="0"/>
      <name val="Calibri"/>
      <family val="2"/>
      <scheme val="minor"/>
    </font>
    <font>
      <i/>
      <sz val="11"/>
      <color theme="1"/>
      <name val="Calibri"/>
      <family val="2"/>
      <scheme val="minor"/>
    </font>
    <font>
      <b/>
      <i/>
      <u val="singleAccounting"/>
      <sz val="12"/>
      <color theme="0"/>
      <name val="Calibri"/>
      <family val="2"/>
      <scheme val="minor"/>
    </font>
    <font>
      <b/>
      <sz val="12"/>
      <color theme="1"/>
      <name val="Calibri"/>
      <family val="2"/>
      <scheme val="minor"/>
    </font>
    <font>
      <b/>
      <sz val="11"/>
      <color theme="0"/>
      <name val="Calibri"/>
      <family val="2"/>
      <scheme val="minor"/>
    </font>
    <font>
      <b/>
      <i/>
      <u/>
      <sz val="13"/>
      <color theme="0"/>
      <name val="Calibri"/>
      <family val="2"/>
      <scheme val="minor"/>
    </font>
    <font>
      <sz val="8"/>
      <name val="Calibri"/>
      <family val="2"/>
      <scheme val="minor"/>
    </font>
  </fonts>
  <fills count="16">
    <fill>
      <patternFill patternType="none"/>
    </fill>
    <fill>
      <patternFill patternType="gray125"/>
    </fill>
    <fill>
      <patternFill patternType="solid">
        <fgColor rgb="FF00B050"/>
        <bgColor indexed="64"/>
      </patternFill>
    </fill>
    <fill>
      <patternFill patternType="solid">
        <fgColor theme="9"/>
        <bgColor indexed="64"/>
      </patternFill>
    </fill>
    <fill>
      <patternFill patternType="solid">
        <fgColor rgb="FFFFFF00"/>
        <bgColor indexed="64"/>
      </patternFill>
    </fill>
    <fill>
      <patternFill patternType="solid">
        <fgColor rgb="FF00B0F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3" tint="-0.499984740745262"/>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49998474074526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5" tint="0.79998168889431442"/>
        <bgColor indexed="64"/>
      </patternFill>
    </fill>
  </fills>
  <borders count="7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top/>
      <bottom style="double">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style="dashDotDot">
        <color indexed="64"/>
      </top>
      <bottom/>
      <diagonal/>
    </border>
    <border>
      <left/>
      <right/>
      <top style="dashDotDot">
        <color indexed="64"/>
      </top>
      <bottom/>
      <diagonal/>
    </border>
    <border>
      <left/>
      <right/>
      <top/>
      <bottom style="medium">
        <color indexed="64"/>
      </bottom>
      <diagonal/>
    </border>
  </borders>
  <cellStyleXfs count="7">
    <xf numFmtId="0" fontId="0" fillId="0" borderId="0"/>
    <xf numFmtId="0" fontId="6" fillId="0" borderId="0" applyFill="0" applyProtection="0">
      <alignment vertical="center"/>
    </xf>
    <xf numFmtId="0" fontId="6" fillId="0" borderId="0" applyFill="0" applyProtection="0">
      <alignment horizontal="center" vertical="center" wrapText="1"/>
    </xf>
    <xf numFmtId="0" fontId="7" fillId="0" borderId="0" applyNumberFormat="0" applyFill="0" applyBorder="0" applyProtection="0">
      <alignment horizontal="center" vertical="center"/>
    </xf>
    <xf numFmtId="44" fontId="8" fillId="0" borderId="0" applyFont="0" applyFill="0" applyBorder="0" applyAlignment="0" applyProtection="0"/>
    <xf numFmtId="9" fontId="8" fillId="0" borderId="0" applyFont="0" applyFill="0" applyBorder="0" applyAlignment="0" applyProtection="0"/>
    <xf numFmtId="165" fontId="8" fillId="0" borderId="0" applyFont="0" applyFill="0" applyBorder="0" applyAlignment="0" applyProtection="0"/>
  </cellStyleXfs>
  <cellXfs count="390">
    <xf numFmtId="0" fontId="0" fillId="0" borderId="0" xfId="0"/>
    <xf numFmtId="3" fontId="0" fillId="0" borderId="0" xfId="0" applyNumberFormat="1"/>
    <xf numFmtId="0" fontId="2" fillId="0" borderId="0" xfId="0" applyFont="1"/>
    <xf numFmtId="0" fontId="2" fillId="0" borderId="1" xfId="0" applyFont="1" applyBorder="1" applyAlignment="1">
      <alignment horizontal="center"/>
    </xf>
    <xf numFmtId="3" fontId="2" fillId="0" borderId="1" xfId="0" applyNumberFormat="1" applyFont="1" applyBorder="1"/>
    <xf numFmtId="0" fontId="2" fillId="0" borderId="1" xfId="0" applyFont="1" applyBorder="1" applyAlignment="1">
      <alignment horizontal="center" vertical="center"/>
    </xf>
    <xf numFmtId="3" fontId="2" fillId="0" borderId="0" xfId="0" applyNumberFormat="1" applyFont="1"/>
    <xf numFmtId="3" fontId="1" fillId="2" borderId="9" xfId="0" applyNumberFormat="1" applyFont="1" applyFill="1" applyBorder="1"/>
    <xf numFmtId="0" fontId="2" fillId="0" borderId="2" xfId="0" applyFont="1" applyBorder="1" applyAlignment="1">
      <alignment horizontal="center"/>
    </xf>
    <xf numFmtId="3" fontId="2" fillId="0" borderId="2" xfId="0" applyNumberFormat="1" applyFont="1" applyBorder="1"/>
    <xf numFmtId="0" fontId="1" fillId="2" borderId="10" xfId="0" applyFont="1" applyFill="1" applyBorder="1" applyAlignment="1">
      <alignment horizontal="center"/>
    </xf>
    <xf numFmtId="0" fontId="2" fillId="0" borderId="11" xfId="0" applyFont="1" applyBorder="1" applyAlignment="1">
      <alignment horizontal="center"/>
    </xf>
    <xf numFmtId="0" fontId="2" fillId="0" borderId="15" xfId="0" applyFont="1" applyBorder="1"/>
    <xf numFmtId="0" fontId="2" fillId="0" borderId="16" xfId="0" applyFont="1" applyBorder="1" applyAlignment="1">
      <alignment horizontal="center"/>
    </xf>
    <xf numFmtId="3" fontId="2" fillId="0" borderId="16" xfId="0" applyNumberFormat="1" applyFont="1" applyBorder="1"/>
    <xf numFmtId="3" fontId="2" fillId="0" borderId="16" xfId="0" applyNumberFormat="1" applyFont="1" applyBorder="1" applyAlignment="1">
      <alignment horizontal="center"/>
    </xf>
    <xf numFmtId="3" fontId="2" fillId="0" borderId="17" xfId="0" applyNumberFormat="1" applyFont="1" applyBorder="1"/>
    <xf numFmtId="0" fontId="2" fillId="0" borderId="10" xfId="0" applyFont="1" applyBorder="1" applyAlignment="1">
      <alignment horizontal="center"/>
    </xf>
    <xf numFmtId="3" fontId="1" fillId="2" borderId="3" xfId="0" applyNumberFormat="1" applyFont="1" applyFill="1" applyBorder="1"/>
    <xf numFmtId="0" fontId="2" fillId="0" borderId="18" xfId="0" applyFont="1" applyBorder="1"/>
    <xf numFmtId="3" fontId="2" fillId="0" borderId="19" xfId="0" applyNumberFormat="1" applyFont="1" applyBorder="1"/>
    <xf numFmtId="3" fontId="1" fillId="2" borderId="20" xfId="0" applyNumberFormat="1" applyFont="1" applyFill="1" applyBorder="1"/>
    <xf numFmtId="0" fontId="2" fillId="0" borderId="21" xfId="0" applyFont="1" applyBorder="1"/>
    <xf numFmtId="0" fontId="1" fillId="2" borderId="22" xfId="0" applyFont="1" applyFill="1" applyBorder="1" applyAlignment="1">
      <alignment horizontal="center"/>
    </xf>
    <xf numFmtId="0" fontId="2" fillId="0" borderId="23" xfId="0" applyFont="1" applyBorder="1"/>
    <xf numFmtId="0" fontId="2" fillId="0" borderId="4" xfId="0" applyFont="1" applyBorder="1" applyAlignment="1">
      <alignment horizontal="center"/>
    </xf>
    <xf numFmtId="3" fontId="2" fillId="0" borderId="4" xfId="0" applyNumberFormat="1" applyFont="1" applyBorder="1"/>
    <xf numFmtId="3" fontId="2" fillId="0" borderId="4" xfId="0" applyNumberFormat="1" applyFont="1" applyBorder="1" applyAlignment="1">
      <alignment horizontal="center"/>
    </xf>
    <xf numFmtId="3" fontId="2" fillId="0" borderId="24" xfId="0" applyNumberFormat="1" applyFont="1" applyBorder="1"/>
    <xf numFmtId="0" fontId="2" fillId="0" borderId="23" xfId="0" applyFont="1" applyFill="1" applyBorder="1" applyAlignment="1">
      <alignment vertical="center"/>
    </xf>
    <xf numFmtId="0" fontId="2" fillId="0" borderId="29" xfId="0" applyFont="1" applyBorder="1"/>
    <xf numFmtId="0" fontId="2" fillId="0" borderId="30" xfId="0" applyFont="1" applyBorder="1"/>
    <xf numFmtId="0" fontId="2" fillId="0" borderId="12" xfId="0" applyFont="1" applyBorder="1"/>
    <xf numFmtId="0" fontId="2" fillId="0" borderId="13" xfId="0" applyFont="1" applyBorder="1" applyAlignment="1">
      <alignment horizontal="center"/>
    </xf>
    <xf numFmtId="3" fontId="2" fillId="0" borderId="13" xfId="0" applyNumberFormat="1" applyFont="1" applyBorder="1"/>
    <xf numFmtId="3" fontId="2" fillId="0" borderId="14" xfId="0" applyNumberFormat="1" applyFont="1" applyBorder="1"/>
    <xf numFmtId="0" fontId="2" fillId="0" borderId="18" xfId="0" applyFont="1" applyBorder="1" applyAlignment="1">
      <alignment vertical="center" wrapText="1"/>
    </xf>
    <xf numFmtId="0" fontId="2" fillId="0" borderId="18" xfId="0" applyFont="1" applyBorder="1" applyAlignment="1">
      <alignment vertical="center"/>
    </xf>
    <xf numFmtId="0" fontId="2" fillId="0" borderId="15" xfId="0" applyFont="1" applyBorder="1" applyAlignment="1">
      <alignment vertical="center"/>
    </xf>
    <xf numFmtId="0" fontId="1" fillId="2" borderId="31" xfId="0" applyFont="1" applyFill="1" applyBorder="1" applyAlignment="1">
      <alignment horizontal="center"/>
    </xf>
    <xf numFmtId="0" fontId="1" fillId="2" borderId="5" xfId="0" applyFont="1" applyFill="1" applyBorder="1" applyAlignment="1">
      <alignment horizontal="center"/>
    </xf>
    <xf numFmtId="0" fontId="1" fillId="2" borderId="32" xfId="0" applyFont="1" applyFill="1" applyBorder="1" applyAlignment="1">
      <alignment horizontal="center"/>
    </xf>
    <xf numFmtId="0" fontId="1" fillId="2" borderId="7" xfId="0" applyFont="1" applyFill="1" applyBorder="1" applyAlignment="1">
      <alignment horizontal="center"/>
    </xf>
    <xf numFmtId="3" fontId="1" fillId="2" borderId="7" xfId="0" applyNumberFormat="1" applyFont="1" applyFill="1" applyBorder="1" applyAlignment="1">
      <alignment horizontal="center"/>
    </xf>
    <xf numFmtId="3" fontId="1" fillId="2" borderId="8" xfId="0" applyNumberFormat="1" applyFont="1" applyFill="1" applyBorder="1" applyAlignment="1">
      <alignment horizontal="center"/>
    </xf>
    <xf numFmtId="166" fontId="2" fillId="0" borderId="13" xfId="0" applyNumberFormat="1" applyFont="1" applyBorder="1" applyAlignment="1">
      <alignment horizontal="center"/>
    </xf>
    <xf numFmtId="166" fontId="2" fillId="0" borderId="1" xfId="0" applyNumberFormat="1" applyFont="1" applyBorder="1" applyAlignment="1">
      <alignment horizontal="center"/>
    </xf>
    <xf numFmtId="0" fontId="1" fillId="2" borderId="6" xfId="0" applyFont="1" applyFill="1" applyBorder="1" applyAlignment="1">
      <alignment vertical="center"/>
    </xf>
    <xf numFmtId="0" fontId="3" fillId="2" borderId="1" xfId="0" applyFont="1" applyFill="1" applyBorder="1"/>
    <xf numFmtId="0" fontId="1" fillId="0" borderId="5"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4" xfId="0" applyFont="1" applyBorder="1" applyAlignment="1">
      <alignment horizontal="center" vertical="center" wrapText="1"/>
    </xf>
    <xf numFmtId="9" fontId="2" fillId="0" borderId="35" xfId="0" applyNumberFormat="1" applyFont="1" applyBorder="1" applyAlignment="1">
      <alignment horizontal="center" vertical="center" wrapText="1"/>
    </xf>
    <xf numFmtId="9" fontId="2" fillId="0" borderId="36" xfId="0" applyNumberFormat="1" applyFont="1" applyBorder="1" applyAlignment="1">
      <alignment horizontal="center" vertical="center" wrapText="1"/>
    </xf>
    <xf numFmtId="6" fontId="2" fillId="0" borderId="31" xfId="0" applyNumberFormat="1" applyFont="1" applyBorder="1" applyAlignment="1">
      <alignment horizontal="center" vertical="center" wrapText="1"/>
    </xf>
    <xf numFmtId="0" fontId="9" fillId="0" borderId="0" xfId="0" applyFont="1"/>
    <xf numFmtId="3" fontId="9" fillId="0" borderId="0" xfId="0" applyNumberFormat="1" applyFont="1"/>
    <xf numFmtId="44" fontId="9" fillId="0" borderId="0" xfId="4" applyFont="1"/>
    <xf numFmtId="9" fontId="9" fillId="0" borderId="0" xfId="5" applyFont="1"/>
    <xf numFmtId="44" fontId="9" fillId="0" borderId="0" xfId="0" applyNumberFormat="1" applyFont="1"/>
    <xf numFmtId="0" fontId="2" fillId="0" borderId="28" xfId="0" applyFont="1" applyBorder="1" applyAlignment="1">
      <alignment horizontal="center" vertical="center" wrapText="1"/>
    </xf>
    <xf numFmtId="0" fontId="10" fillId="0" borderId="5" xfId="0" applyFont="1" applyBorder="1" applyAlignment="1">
      <alignment vertical="center" wrapText="1"/>
    </xf>
    <xf numFmtId="0" fontId="2" fillId="0" borderId="29" xfId="0" applyFont="1" applyBorder="1" applyAlignment="1">
      <alignment horizontal="center" vertical="center"/>
    </xf>
    <xf numFmtId="0" fontId="10" fillId="0" borderId="40" xfId="0" applyFont="1" applyBorder="1" applyAlignment="1">
      <alignment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xf>
    <xf numFmtId="3" fontId="2" fillId="0" borderId="1" xfId="0" applyNumberFormat="1" applyFont="1" applyFill="1" applyBorder="1"/>
    <xf numFmtId="0" fontId="2" fillId="0" borderId="33" xfId="0" applyFont="1" applyBorder="1"/>
    <xf numFmtId="0" fontId="2" fillId="0" borderId="3" xfId="0" applyFont="1" applyBorder="1" applyAlignment="1">
      <alignment horizontal="center"/>
    </xf>
    <xf numFmtId="3" fontId="2" fillId="0" borderId="3" xfId="0" applyNumberFormat="1" applyFont="1" applyBorder="1"/>
    <xf numFmtId="3" fontId="2" fillId="0" borderId="41" xfId="0" applyNumberFormat="1" applyFont="1" applyBorder="1"/>
    <xf numFmtId="4" fontId="2" fillId="0" borderId="4" xfId="0" applyNumberFormat="1" applyFont="1" applyBorder="1" applyAlignment="1">
      <alignment horizontal="center"/>
    </xf>
    <xf numFmtId="4" fontId="2" fillId="0" borderId="3" xfId="0" applyNumberFormat="1" applyFont="1" applyBorder="1" applyAlignment="1">
      <alignment horizontal="center"/>
    </xf>
    <xf numFmtId="4" fontId="2" fillId="0" borderId="2" xfId="0" applyNumberFormat="1" applyFont="1" applyBorder="1" applyAlignment="1">
      <alignment horizontal="center"/>
    </xf>
    <xf numFmtId="3" fontId="1" fillId="2" borderId="7" xfId="0" applyNumberFormat="1" applyFont="1" applyFill="1" applyBorder="1"/>
    <xf numFmtId="3" fontId="3" fillId="3" borderId="1" xfId="0" applyNumberFormat="1" applyFont="1" applyFill="1" applyBorder="1"/>
    <xf numFmtId="3" fontId="3" fillId="4" borderId="1" xfId="0" applyNumberFormat="1" applyFont="1" applyFill="1" applyBorder="1"/>
    <xf numFmtId="3" fontId="11" fillId="5" borderId="1" xfId="0" applyNumberFormat="1" applyFont="1" applyFill="1" applyBorder="1"/>
    <xf numFmtId="9" fontId="2" fillId="0" borderId="37" xfId="0" applyNumberFormat="1" applyFont="1" applyFill="1" applyBorder="1" applyAlignment="1">
      <alignment horizontal="center" vertical="center" wrapText="1"/>
    </xf>
    <xf numFmtId="6" fontId="2" fillId="0" borderId="28" xfId="0" applyNumberFormat="1" applyFont="1" applyBorder="1" applyAlignment="1">
      <alignment horizontal="center" vertical="center" wrapText="1"/>
    </xf>
    <xf numFmtId="6" fontId="2" fillId="0" borderId="40" xfId="0" applyNumberFormat="1" applyFont="1" applyBorder="1" applyAlignment="1">
      <alignment horizontal="center" vertical="center" wrapText="1"/>
    </xf>
    <xf numFmtId="10" fontId="2" fillId="0" borderId="28" xfId="0" applyNumberFormat="1" applyFont="1" applyBorder="1" applyAlignment="1">
      <alignment horizontal="center" vertical="center" wrapText="1"/>
    </xf>
    <xf numFmtId="9" fontId="2" fillId="0" borderId="29" xfId="0" applyNumberFormat="1" applyFont="1" applyBorder="1" applyAlignment="1">
      <alignment horizontal="center" vertical="center" wrapText="1"/>
    </xf>
    <xf numFmtId="9" fontId="2" fillId="0" borderId="30" xfId="0" applyNumberFormat="1" applyFont="1" applyBorder="1" applyAlignment="1">
      <alignment horizontal="center" vertical="center" wrapText="1"/>
    </xf>
    <xf numFmtId="0" fontId="1" fillId="0" borderId="28" xfId="0" applyFont="1" applyBorder="1" applyAlignment="1">
      <alignment horizontal="center" vertical="center" wrapText="1"/>
    </xf>
    <xf numFmtId="0" fontId="1" fillId="0" borderId="5" xfId="0" applyFont="1" applyBorder="1" applyAlignment="1">
      <alignment horizontal="center" vertical="center"/>
    </xf>
    <xf numFmtId="0" fontId="1" fillId="3" borderId="31" xfId="0" applyFont="1" applyFill="1" applyBorder="1"/>
    <xf numFmtId="0" fontId="1" fillId="4" borderId="29" xfId="0" applyFont="1" applyFill="1" applyBorder="1"/>
    <xf numFmtId="0" fontId="13" fillId="5" borderId="29" xfId="0" applyFont="1" applyFill="1" applyBorder="1"/>
    <xf numFmtId="0" fontId="13" fillId="6" borderId="30" xfId="0" applyFont="1" applyFill="1" applyBorder="1"/>
    <xf numFmtId="3" fontId="1" fillId="0" borderId="34" xfId="0" applyNumberFormat="1" applyFont="1" applyBorder="1"/>
    <xf numFmtId="9" fontId="2" fillId="3" borderId="35" xfId="0" applyNumberFormat="1" applyFont="1" applyFill="1" applyBorder="1"/>
    <xf numFmtId="9" fontId="2" fillId="4" borderId="36" xfId="0" applyNumberFormat="1" applyFont="1" applyFill="1" applyBorder="1"/>
    <xf numFmtId="9" fontId="12" fillId="5" borderId="36" xfId="0" applyNumberFormat="1" applyFont="1" applyFill="1" applyBorder="1"/>
    <xf numFmtId="0" fontId="1" fillId="0" borderId="5" xfId="0" applyFont="1" applyBorder="1" applyAlignment="1">
      <alignment horizontal="center" wrapText="1"/>
    </xf>
    <xf numFmtId="3" fontId="2" fillId="3" borderId="31" xfId="0" applyNumberFormat="1" applyFont="1" applyFill="1" applyBorder="1"/>
    <xf numFmtId="3" fontId="2" fillId="4" borderId="29" xfId="0" applyNumberFormat="1" applyFont="1" applyFill="1" applyBorder="1"/>
    <xf numFmtId="3" fontId="12" fillId="5" borderId="29" xfId="0" applyNumberFormat="1" applyFont="1" applyFill="1" applyBorder="1"/>
    <xf numFmtId="3" fontId="12" fillId="6" borderId="30" xfId="0" applyNumberFormat="1" applyFont="1" applyFill="1" applyBorder="1"/>
    <xf numFmtId="0" fontId="1" fillId="0" borderId="34" xfId="0" applyFont="1" applyBorder="1" applyAlignment="1">
      <alignment horizontal="center" wrapText="1"/>
    </xf>
    <xf numFmtId="3" fontId="2" fillId="3" borderId="35" xfId="0" applyNumberFormat="1" applyFont="1" applyFill="1" applyBorder="1"/>
    <xf numFmtId="3" fontId="2" fillId="4" borderId="36" xfId="0" applyNumberFormat="1" applyFont="1" applyFill="1" applyBorder="1"/>
    <xf numFmtId="3" fontId="12" fillId="5" borderId="36" xfId="0" applyNumberFormat="1" applyFont="1" applyFill="1" applyBorder="1"/>
    <xf numFmtId="0" fontId="1" fillId="0" borderId="9" xfId="0" applyFont="1" applyBorder="1" applyAlignment="1">
      <alignment horizontal="center"/>
    </xf>
    <xf numFmtId="3" fontId="2" fillId="0" borderId="31" xfId="0" applyNumberFormat="1" applyFont="1" applyBorder="1"/>
    <xf numFmtId="3" fontId="2" fillId="0" borderId="29" xfId="0" applyNumberFormat="1" applyFont="1" applyBorder="1"/>
    <xf numFmtId="3" fontId="2" fillId="0" borderId="30" xfId="0" applyNumberFormat="1" applyFont="1" applyBorder="1"/>
    <xf numFmtId="3" fontId="2" fillId="0" borderId="42" xfId="0" applyNumberFormat="1" applyFont="1" applyBorder="1"/>
    <xf numFmtId="3" fontId="2" fillId="0" borderId="43" xfId="0" applyNumberFormat="1" applyFont="1" applyBorder="1"/>
    <xf numFmtId="9" fontId="12" fillId="6" borderId="37" xfId="0" applyNumberFormat="1" applyFont="1" applyFill="1" applyBorder="1"/>
    <xf numFmtId="3" fontId="12" fillId="6" borderId="37" xfId="0" applyNumberFormat="1" applyFont="1" applyFill="1" applyBorder="1"/>
    <xf numFmtId="3" fontId="2" fillId="0" borderId="44" xfId="0" applyNumberFormat="1" applyFont="1" applyBorder="1"/>
    <xf numFmtId="0" fontId="1" fillId="2" borderId="6" xfId="0" applyFont="1" applyFill="1" applyBorder="1" applyAlignment="1">
      <alignment horizontal="center"/>
    </xf>
    <xf numFmtId="0" fontId="1" fillId="2" borderId="7" xfId="0" applyFont="1" applyFill="1" applyBorder="1" applyAlignment="1">
      <alignment horizontal="center"/>
    </xf>
    <xf numFmtId="0" fontId="1" fillId="2" borderId="8" xfId="0" applyFont="1" applyFill="1" applyBorder="1" applyAlignment="1">
      <alignment horizontal="center"/>
    </xf>
    <xf numFmtId="166" fontId="2" fillId="0" borderId="16" xfId="0" applyNumberFormat="1" applyFont="1" applyBorder="1" applyAlignment="1">
      <alignment horizontal="center"/>
    </xf>
    <xf numFmtId="9" fontId="2" fillId="0" borderId="0" xfId="5" applyFont="1"/>
    <xf numFmtId="3" fontId="1" fillId="2" borderId="6" xfId="0" applyNumberFormat="1" applyFont="1" applyFill="1" applyBorder="1"/>
    <xf numFmtId="3" fontId="1" fillId="2" borderId="8" xfId="0" applyNumberFormat="1" applyFont="1" applyFill="1" applyBorder="1"/>
    <xf numFmtId="0" fontId="1" fillId="2" borderId="5" xfId="0" applyFont="1" applyFill="1" applyBorder="1" applyAlignment="1">
      <alignment vertical="center"/>
    </xf>
    <xf numFmtId="0" fontId="2" fillId="0" borderId="12" xfId="0" applyFont="1" applyFill="1" applyBorder="1"/>
    <xf numFmtId="3" fontId="2" fillId="0" borderId="13" xfId="0" applyNumberFormat="1" applyFont="1" applyFill="1" applyBorder="1"/>
    <xf numFmtId="3" fontId="2" fillId="0" borderId="14" xfId="0" applyNumberFormat="1" applyFont="1" applyFill="1" applyBorder="1"/>
    <xf numFmtId="0" fontId="2" fillId="0" borderId="18" xfId="0" applyFont="1" applyFill="1" applyBorder="1"/>
    <xf numFmtId="3" fontId="2" fillId="0" borderId="19" xfId="0" applyNumberFormat="1" applyFont="1" applyFill="1" applyBorder="1"/>
    <xf numFmtId="0" fontId="2" fillId="0" borderId="15" xfId="0" applyFont="1" applyFill="1" applyBorder="1"/>
    <xf numFmtId="3" fontId="2" fillId="0" borderId="16" xfId="0" applyNumberFormat="1" applyFont="1" applyFill="1" applyBorder="1"/>
    <xf numFmtId="3" fontId="2" fillId="0" borderId="17" xfId="0" applyNumberFormat="1" applyFont="1" applyFill="1" applyBorder="1"/>
    <xf numFmtId="0" fontId="2" fillId="0" borderId="12" xfId="0" applyFont="1" applyFill="1" applyBorder="1" applyAlignment="1">
      <alignment vertical="center"/>
    </xf>
    <xf numFmtId="165" fontId="0" fillId="0" borderId="0" xfId="6" applyFont="1"/>
    <xf numFmtId="0" fontId="16" fillId="7" borderId="6" xfId="0" applyFont="1" applyFill="1" applyBorder="1" applyAlignment="1">
      <alignment horizontal="center" vertical="center"/>
    </xf>
    <xf numFmtId="0" fontId="17" fillId="0" borderId="5" xfId="0" applyFont="1" applyBorder="1" applyAlignment="1">
      <alignment horizontal="center" vertical="center" wrapText="1"/>
    </xf>
    <xf numFmtId="168" fontId="0" fillId="0" borderId="7" xfId="0" applyNumberFormat="1" applyBorder="1" applyAlignment="1">
      <alignment vertical="center"/>
    </xf>
    <xf numFmtId="167" fontId="0" fillId="0" borderId="47" xfId="5" applyNumberFormat="1" applyFont="1" applyFill="1" applyBorder="1" applyAlignment="1">
      <alignment horizontal="center" vertical="center" wrapText="1"/>
    </xf>
    <xf numFmtId="168" fontId="8" fillId="0" borderId="13" xfId="4" applyNumberFormat="1" applyFont="1" applyFill="1" applyBorder="1" applyAlignment="1">
      <alignment vertical="center"/>
    </xf>
    <xf numFmtId="167" fontId="0" fillId="0" borderId="14" xfId="5" applyNumberFormat="1" applyFont="1" applyFill="1" applyBorder="1" applyAlignment="1">
      <alignment horizontal="center" vertical="center" wrapText="1"/>
    </xf>
    <xf numFmtId="168" fontId="8" fillId="0" borderId="16" xfId="4" applyNumberFormat="1" applyFont="1" applyFill="1" applyBorder="1" applyAlignment="1">
      <alignment vertical="center"/>
    </xf>
    <xf numFmtId="167" fontId="0" fillId="0" borderId="17" xfId="5" applyNumberFormat="1" applyFont="1" applyFill="1" applyBorder="1" applyAlignment="1">
      <alignment horizontal="center" vertical="center" wrapText="1"/>
    </xf>
    <xf numFmtId="0" fontId="0" fillId="0" borderId="18" xfId="0" applyBorder="1" applyAlignment="1">
      <alignment vertical="center" wrapText="1"/>
    </xf>
    <xf numFmtId="168" fontId="8" fillId="0" borderId="1" xfId="4" applyNumberFormat="1" applyFont="1" applyFill="1" applyBorder="1" applyAlignment="1">
      <alignment vertical="center"/>
    </xf>
    <xf numFmtId="167" fontId="0" fillId="0" borderId="19" xfId="5" applyNumberFormat="1" applyFont="1" applyFill="1" applyBorder="1" applyAlignment="1">
      <alignment horizontal="center" vertical="center" wrapText="1"/>
    </xf>
    <xf numFmtId="0" fontId="0" fillId="0" borderId="18" xfId="0" applyBorder="1" applyAlignment="1">
      <alignment vertical="center"/>
    </xf>
    <xf numFmtId="0" fontId="19" fillId="0" borderId="0" xfId="0" applyFont="1"/>
    <xf numFmtId="168" fontId="0" fillId="0" borderId="0" xfId="0" applyNumberFormat="1"/>
    <xf numFmtId="169" fontId="14" fillId="0" borderId="0" xfId="6" applyNumberFormat="1" applyFont="1"/>
    <xf numFmtId="167" fontId="14" fillId="0" borderId="0" xfId="0" applyNumberFormat="1" applyFont="1"/>
    <xf numFmtId="0" fontId="0" fillId="0" borderId="25" xfId="0" applyBorder="1" applyAlignment="1">
      <alignment vertical="center" wrapText="1"/>
    </xf>
    <xf numFmtId="168" fontId="8" fillId="0" borderId="26" xfId="4" applyNumberFormat="1" applyFont="1" applyFill="1" applyBorder="1" applyAlignment="1">
      <alignment vertical="center"/>
    </xf>
    <xf numFmtId="168" fontId="23" fillId="8" borderId="40" xfId="4" applyNumberFormat="1" applyFont="1" applyFill="1" applyBorder="1"/>
    <xf numFmtId="9" fontId="23" fillId="8" borderId="40" xfId="5" applyFont="1" applyFill="1" applyBorder="1" applyAlignment="1">
      <alignment horizontal="center"/>
    </xf>
    <xf numFmtId="167" fontId="0" fillId="0" borderId="48" xfId="5" applyNumberFormat="1" applyFont="1" applyFill="1" applyBorder="1" applyAlignment="1">
      <alignment horizontal="center" vertical="center" wrapText="1"/>
    </xf>
    <xf numFmtId="0" fontId="24" fillId="7" borderId="6" xfId="0" applyFont="1" applyFill="1" applyBorder="1" applyAlignment="1">
      <alignment horizontal="center" vertical="center"/>
    </xf>
    <xf numFmtId="0" fontId="24" fillId="7" borderId="7" xfId="0" applyFont="1" applyFill="1" applyBorder="1" applyAlignment="1">
      <alignment horizontal="center" vertical="center"/>
    </xf>
    <xf numFmtId="0" fontId="24" fillId="7" borderId="8" xfId="0" applyFont="1" applyFill="1" applyBorder="1" applyAlignment="1">
      <alignment horizontal="center" vertical="center"/>
    </xf>
    <xf numFmtId="167" fontId="0" fillId="0" borderId="59" xfId="5" applyNumberFormat="1" applyFont="1" applyFill="1" applyBorder="1" applyAlignment="1">
      <alignment horizontal="center" vertical="center" wrapText="1"/>
    </xf>
    <xf numFmtId="167" fontId="0" fillId="0" borderId="60" xfId="5" applyNumberFormat="1" applyFont="1" applyFill="1" applyBorder="1" applyAlignment="1">
      <alignment horizontal="center" vertical="center" wrapText="1"/>
    </xf>
    <xf numFmtId="167" fontId="0" fillId="0" borderId="56" xfId="5" applyNumberFormat="1" applyFont="1" applyFill="1" applyBorder="1" applyAlignment="1">
      <alignment horizontal="center" vertical="center" wrapText="1"/>
    </xf>
    <xf numFmtId="0" fontId="24" fillId="7" borderId="61" xfId="0" applyFont="1" applyFill="1" applyBorder="1" applyAlignment="1">
      <alignment horizontal="center" vertical="center"/>
    </xf>
    <xf numFmtId="167" fontId="0" fillId="0" borderId="1" xfId="5" applyNumberFormat="1" applyFont="1" applyFill="1" applyBorder="1" applyAlignment="1">
      <alignment horizontal="center" vertical="center" wrapText="1"/>
    </xf>
    <xf numFmtId="0" fontId="24" fillId="7" borderId="62" xfId="0" applyFont="1" applyFill="1" applyBorder="1" applyAlignment="1">
      <alignment horizontal="center" vertical="center"/>
    </xf>
    <xf numFmtId="0" fontId="24" fillId="7" borderId="63" xfId="0" applyFont="1" applyFill="1" applyBorder="1" applyAlignment="1">
      <alignment horizontal="center" vertical="center"/>
    </xf>
    <xf numFmtId="167" fontId="0" fillId="0" borderId="7" xfId="5" applyNumberFormat="1" applyFont="1" applyFill="1" applyBorder="1" applyAlignment="1">
      <alignment horizontal="center" vertical="center" wrapText="1"/>
    </xf>
    <xf numFmtId="168" fontId="8" fillId="0" borderId="12" xfId="4" applyNumberFormat="1" applyFont="1" applyFill="1" applyBorder="1" applyAlignment="1">
      <alignment vertical="center"/>
    </xf>
    <xf numFmtId="167" fontId="0" fillId="0" borderId="13" xfId="5" applyNumberFormat="1" applyFont="1" applyFill="1" applyBorder="1" applyAlignment="1">
      <alignment horizontal="center" vertical="center" wrapText="1"/>
    </xf>
    <xf numFmtId="168" fontId="8" fillId="0" borderId="15" xfId="4" applyNumberFormat="1" applyFont="1" applyFill="1" applyBorder="1" applyAlignment="1">
      <alignment vertical="center"/>
    </xf>
    <xf numFmtId="167" fontId="0" fillId="0" borderId="16" xfId="5" applyNumberFormat="1" applyFont="1" applyFill="1" applyBorder="1" applyAlignment="1">
      <alignment horizontal="center" vertical="center" wrapText="1"/>
    </xf>
    <xf numFmtId="167" fontId="0" fillId="0" borderId="61" xfId="5" applyNumberFormat="1" applyFont="1" applyFill="1" applyBorder="1" applyAlignment="1">
      <alignment horizontal="center" vertical="center" wrapText="1"/>
    </xf>
    <xf numFmtId="0" fontId="0" fillId="0" borderId="5" xfId="0" applyBorder="1" applyAlignment="1">
      <alignment horizontal="left" vertical="center" wrapText="1"/>
    </xf>
    <xf numFmtId="0" fontId="0" fillId="0" borderId="30" xfId="0" applyBorder="1" applyAlignment="1">
      <alignment horizontal="left" vertical="center" wrapText="1"/>
    </xf>
    <xf numFmtId="0" fontId="0" fillId="0" borderId="18" xfId="0" applyBorder="1" applyAlignment="1">
      <alignment horizontal="left" vertical="center" wrapText="1"/>
    </xf>
    <xf numFmtId="0" fontId="0" fillId="0" borderId="18" xfId="0" applyBorder="1" applyAlignment="1">
      <alignment horizontal="left" vertical="center"/>
    </xf>
    <xf numFmtId="0" fontId="0" fillId="0" borderId="15" xfId="0" applyBorder="1" applyAlignment="1">
      <alignment horizontal="left" vertical="center" wrapText="1"/>
    </xf>
    <xf numFmtId="167" fontId="0" fillId="0" borderId="64" xfId="5" applyNumberFormat="1" applyFont="1" applyFill="1" applyBorder="1" applyAlignment="1">
      <alignment horizontal="center" vertical="center" wrapText="1"/>
    </xf>
    <xf numFmtId="167" fontId="0" fillId="0" borderId="63" xfId="5" applyNumberFormat="1" applyFont="1" applyFill="1" applyBorder="1" applyAlignment="1">
      <alignment horizontal="center" vertical="center" wrapText="1"/>
    </xf>
    <xf numFmtId="0" fontId="0" fillId="0" borderId="46" xfId="0" applyBorder="1" applyAlignment="1">
      <alignment horizontal="left" vertical="center" wrapText="1"/>
    </xf>
    <xf numFmtId="0" fontId="0" fillId="0" borderId="54" xfId="0" applyBorder="1" applyAlignment="1">
      <alignment horizontal="left" vertical="center" wrapText="1"/>
    </xf>
    <xf numFmtId="0" fontId="0" fillId="0" borderId="55" xfId="0" applyBorder="1" applyAlignment="1">
      <alignment horizontal="left" vertical="center" wrapText="1"/>
    </xf>
    <xf numFmtId="168" fontId="8" fillId="0" borderId="63" xfId="4" applyNumberFormat="1" applyFont="1" applyFill="1" applyBorder="1" applyAlignment="1">
      <alignment vertical="center"/>
    </xf>
    <xf numFmtId="168" fontId="8" fillId="0" borderId="10" xfId="4" applyNumberFormat="1" applyFont="1" applyFill="1" applyBorder="1" applyAlignment="1">
      <alignment vertical="center"/>
    </xf>
    <xf numFmtId="168" fontId="8" fillId="0" borderId="56" xfId="4" applyNumberFormat="1" applyFont="1" applyFill="1" applyBorder="1" applyAlignment="1">
      <alignment vertical="center"/>
    </xf>
    <xf numFmtId="9" fontId="0" fillId="0" borderId="0" xfId="0" applyNumberFormat="1"/>
    <xf numFmtId="0" fontId="0" fillId="0" borderId="0" xfId="0" applyBorder="1" applyAlignment="1">
      <alignment horizontal="left" vertical="center" wrapText="1"/>
    </xf>
    <xf numFmtId="9" fontId="0" fillId="0" borderId="0" xfId="5" applyFont="1"/>
    <xf numFmtId="0" fontId="17" fillId="0" borderId="0" xfId="0" applyFont="1" applyBorder="1" applyAlignment="1">
      <alignment horizontal="center" vertical="center" wrapText="1"/>
    </xf>
    <xf numFmtId="10" fontId="21" fillId="8" borderId="0" xfId="0" applyNumberFormat="1" applyFont="1" applyFill="1" applyBorder="1" applyAlignment="1">
      <alignment horizontal="center"/>
    </xf>
    <xf numFmtId="10" fontId="21" fillId="8" borderId="51" xfId="0" applyNumberFormat="1" applyFont="1" applyFill="1" applyBorder="1" applyAlignment="1">
      <alignment horizontal="center"/>
    </xf>
    <xf numFmtId="167" fontId="0" fillId="0" borderId="10" xfId="5" applyNumberFormat="1" applyFont="1" applyFill="1" applyBorder="1" applyAlignment="1">
      <alignment horizontal="center" vertical="center" wrapText="1"/>
    </xf>
    <xf numFmtId="168" fontId="20" fillId="8" borderId="45" xfId="0" applyNumberFormat="1" applyFont="1" applyFill="1" applyBorder="1" applyAlignment="1">
      <alignment vertical="center"/>
    </xf>
    <xf numFmtId="9" fontId="21" fillId="8" borderId="45" xfId="0" applyNumberFormat="1" applyFont="1" applyFill="1" applyBorder="1" applyAlignment="1">
      <alignment horizontal="center"/>
    </xf>
    <xf numFmtId="9" fontId="21" fillId="8" borderId="5" xfId="0" applyNumberFormat="1" applyFont="1" applyFill="1" applyBorder="1" applyAlignment="1">
      <alignment horizontal="center"/>
    </xf>
    <xf numFmtId="0" fontId="0" fillId="0" borderId="0" xfId="0" applyAlignment="1">
      <alignment horizontal="center" vertical="center"/>
    </xf>
    <xf numFmtId="0" fontId="19" fillId="0" borderId="0" xfId="0" applyFont="1" applyAlignment="1">
      <alignment horizontal="center" vertical="center"/>
    </xf>
    <xf numFmtId="168" fontId="20" fillId="8" borderId="0" xfId="4" applyNumberFormat="1" applyFont="1" applyFill="1" applyBorder="1" applyAlignment="1">
      <alignment vertical="center"/>
    </xf>
    <xf numFmtId="0" fontId="0" fillId="0" borderId="0" xfId="0" applyAlignment="1">
      <alignment horizontal="left" vertical="center"/>
    </xf>
    <xf numFmtId="0" fontId="0" fillId="0" borderId="18" xfId="0" applyFill="1" applyBorder="1" applyAlignment="1">
      <alignment horizontal="left" vertical="center"/>
    </xf>
    <xf numFmtId="168" fontId="8" fillId="0" borderId="1" xfId="4" applyNumberFormat="1" applyFont="1" applyFill="1" applyBorder="1" applyAlignment="1">
      <alignment horizontal="left" vertical="center"/>
    </xf>
    <xf numFmtId="169" fontId="0" fillId="0" borderId="0" xfId="6" applyNumberFormat="1" applyFont="1"/>
    <xf numFmtId="169" fontId="0" fillId="0" borderId="0" xfId="0" applyNumberFormat="1"/>
    <xf numFmtId="169" fontId="18" fillId="0" borderId="0" xfId="6" applyNumberFormat="1" applyFont="1"/>
    <xf numFmtId="169" fontId="17" fillId="0" borderId="0" xfId="6" applyNumberFormat="1" applyFont="1"/>
    <xf numFmtId="164" fontId="0" fillId="0" borderId="0" xfId="0" applyNumberFormat="1" applyAlignment="1">
      <alignment horizontal="left" vertical="center"/>
    </xf>
    <xf numFmtId="0" fontId="0" fillId="0" borderId="12" xfId="0" applyFill="1" applyBorder="1" applyAlignment="1">
      <alignment vertical="center" wrapText="1"/>
    </xf>
    <xf numFmtId="0" fontId="0" fillId="0" borderId="18" xfId="0" applyFill="1" applyBorder="1" applyAlignment="1">
      <alignment vertical="center" wrapText="1"/>
    </xf>
    <xf numFmtId="0" fontId="0" fillId="0" borderId="18" xfId="0" applyFill="1" applyBorder="1" applyAlignment="1">
      <alignment vertical="center"/>
    </xf>
    <xf numFmtId="0" fontId="19" fillId="0" borderId="18" xfId="0" applyFont="1" applyBorder="1" applyAlignment="1">
      <alignment vertical="center"/>
    </xf>
    <xf numFmtId="0" fontId="22" fillId="0" borderId="0" xfId="0" applyFont="1" applyAlignment="1">
      <alignment horizontal="left" vertical="center"/>
    </xf>
    <xf numFmtId="0" fontId="0" fillId="0" borderId="0" xfId="0" applyFont="1"/>
    <xf numFmtId="3" fontId="0" fillId="0" borderId="0" xfId="0" applyNumberFormat="1" applyFont="1"/>
    <xf numFmtId="10" fontId="0" fillId="0" borderId="0" xfId="0" applyNumberFormat="1" applyFont="1"/>
    <xf numFmtId="0" fontId="17" fillId="0" borderId="52" xfId="0" applyFont="1" applyBorder="1" applyAlignment="1">
      <alignment horizontal="center"/>
    </xf>
    <xf numFmtId="10" fontId="17" fillId="0" borderId="52" xfId="0" applyNumberFormat="1" applyFont="1" applyBorder="1" applyAlignment="1">
      <alignment horizontal="center"/>
    </xf>
    <xf numFmtId="170" fontId="14" fillId="2" borderId="5" xfId="0" applyNumberFormat="1" applyFont="1" applyFill="1" applyBorder="1"/>
    <xf numFmtId="10" fontId="14" fillId="0" borderId="0" xfId="0" applyNumberFormat="1" applyFont="1" applyAlignment="1">
      <alignment horizontal="right"/>
    </xf>
    <xf numFmtId="170" fontId="0" fillId="0" borderId="0" xfId="0" applyNumberFormat="1" applyFont="1"/>
    <xf numFmtId="171" fontId="0" fillId="0" borderId="0" xfId="5" applyNumberFormat="1" applyFont="1"/>
    <xf numFmtId="0" fontId="14" fillId="0" borderId="0" xfId="0" applyFont="1" applyFill="1" applyBorder="1" applyAlignment="1">
      <alignment horizontal="left"/>
    </xf>
    <xf numFmtId="3" fontId="14" fillId="0" borderId="0" xfId="0" applyNumberFormat="1" applyFont="1" applyFill="1" applyBorder="1"/>
    <xf numFmtId="170" fontId="26" fillId="8" borderId="0" xfId="0" applyNumberFormat="1" applyFont="1" applyFill="1"/>
    <xf numFmtId="0" fontId="14" fillId="2" borderId="5" xfId="0" applyFont="1" applyFill="1" applyBorder="1" applyAlignment="1">
      <alignment horizontal="center" vertical="center" wrapText="1"/>
    </xf>
    <xf numFmtId="0" fontId="14" fillId="2" borderId="5" xfId="0" applyFont="1" applyFill="1" applyBorder="1" applyAlignment="1">
      <alignment horizontal="center" vertical="center"/>
    </xf>
    <xf numFmtId="3" fontId="14" fillId="2" borderId="5" xfId="0" applyNumberFormat="1" applyFont="1" applyFill="1" applyBorder="1" applyAlignment="1">
      <alignment horizontal="center" vertical="center" wrapText="1"/>
    </xf>
    <xf numFmtId="10" fontId="14" fillId="2" borderId="48" xfId="0" applyNumberFormat="1" applyFont="1" applyFill="1" applyBorder="1" applyAlignment="1">
      <alignment horizontal="center" vertical="center" wrapText="1"/>
    </xf>
    <xf numFmtId="3" fontId="14" fillId="11" borderId="32" xfId="0" applyNumberFormat="1" applyFont="1" applyFill="1" applyBorder="1" applyAlignment="1">
      <alignment horizontal="center" vertical="center" wrapText="1"/>
    </xf>
    <xf numFmtId="3" fontId="14" fillId="11" borderId="7" xfId="0" applyNumberFormat="1" applyFont="1" applyFill="1" applyBorder="1" applyAlignment="1">
      <alignment horizontal="center" vertical="center" wrapText="1"/>
    </xf>
    <xf numFmtId="10" fontId="14" fillId="11" borderId="8" xfId="0" applyNumberFormat="1" applyFont="1" applyFill="1" applyBorder="1" applyAlignment="1">
      <alignment horizontal="center" vertical="center" wrapText="1"/>
    </xf>
    <xf numFmtId="0" fontId="0" fillId="0" borderId="28" xfId="0" applyFont="1" applyBorder="1" applyAlignment="1">
      <alignment horizontal="left" vertical="center"/>
    </xf>
    <xf numFmtId="3" fontId="0" fillId="0" borderId="28" xfId="0" applyNumberFormat="1" applyFont="1" applyBorder="1" applyAlignment="1">
      <alignment vertical="center"/>
    </xf>
    <xf numFmtId="10" fontId="0" fillId="0" borderId="38" xfId="0" applyNumberFormat="1" applyFont="1" applyBorder="1" applyAlignment="1">
      <alignment horizontal="right" vertical="center"/>
    </xf>
    <xf numFmtId="170" fontId="0" fillId="0" borderId="53" xfId="0" applyNumberFormat="1" applyFont="1" applyBorder="1" applyAlignment="1">
      <alignment vertical="center"/>
    </xf>
    <xf numFmtId="170" fontId="0" fillId="0" borderId="28" xfId="0" applyNumberFormat="1" applyFont="1" applyBorder="1" applyAlignment="1">
      <alignment vertical="center"/>
    </xf>
    <xf numFmtId="10" fontId="0" fillId="0" borderId="43" xfId="5" applyNumberFormat="1" applyFont="1" applyBorder="1" applyAlignment="1">
      <alignment horizontal="center" vertical="center"/>
    </xf>
    <xf numFmtId="0" fontId="0" fillId="0" borderId="29" xfId="0" applyFont="1" applyBorder="1" applyAlignment="1">
      <alignment horizontal="left" vertical="center"/>
    </xf>
    <xf numFmtId="3" fontId="0" fillId="0" borderId="29" xfId="0" applyNumberFormat="1" applyFont="1" applyBorder="1" applyAlignment="1">
      <alignment vertical="center"/>
    </xf>
    <xf numFmtId="10" fontId="0" fillId="0" borderId="29" xfId="0" applyNumberFormat="1" applyFont="1" applyBorder="1" applyAlignment="1">
      <alignment horizontal="right" vertical="center"/>
    </xf>
    <xf numFmtId="170" fontId="0" fillId="0" borderId="43" xfId="0" applyNumberFormat="1" applyFont="1" applyBorder="1" applyAlignment="1">
      <alignment vertical="center"/>
    </xf>
    <xf numFmtId="170" fontId="0" fillId="0" borderId="29" xfId="0" applyNumberFormat="1" applyFont="1" applyBorder="1" applyAlignment="1">
      <alignment vertical="center"/>
    </xf>
    <xf numFmtId="0" fontId="0" fillId="0" borderId="68" xfId="0" applyFont="1" applyBorder="1" applyAlignment="1">
      <alignment horizontal="left" vertical="center"/>
    </xf>
    <xf numFmtId="3" fontId="0" fillId="0" borderId="68" xfId="0" applyNumberFormat="1" applyFont="1" applyBorder="1" applyAlignment="1">
      <alignment vertical="center"/>
    </xf>
    <xf numFmtId="10" fontId="0" fillId="0" borderId="58" xfId="0" applyNumberFormat="1" applyFont="1" applyBorder="1" applyAlignment="1">
      <alignment horizontal="right" vertical="center"/>
    </xf>
    <xf numFmtId="170" fontId="0" fillId="0" borderId="58" xfId="0" applyNumberFormat="1" applyFont="1" applyBorder="1" applyAlignment="1">
      <alignment vertical="center"/>
    </xf>
    <xf numFmtId="170" fontId="0" fillId="0" borderId="68" xfId="0" applyNumberFormat="1" applyFont="1" applyBorder="1" applyAlignment="1">
      <alignment vertical="center"/>
    </xf>
    <xf numFmtId="10" fontId="0" fillId="0" borderId="58" xfId="5" applyNumberFormat="1" applyFont="1" applyBorder="1" applyAlignment="1">
      <alignment horizontal="center" vertical="center"/>
    </xf>
    <xf numFmtId="0" fontId="14" fillId="2" borderId="5" xfId="0" applyFont="1" applyFill="1" applyBorder="1" applyAlignment="1">
      <alignment horizontal="left" vertical="center"/>
    </xf>
    <xf numFmtId="3" fontId="14" fillId="2" borderId="5" xfId="0" applyNumberFormat="1" applyFont="1" applyFill="1" applyBorder="1"/>
    <xf numFmtId="10" fontId="14" fillId="2" borderId="9" xfId="0" applyNumberFormat="1" applyFont="1" applyFill="1" applyBorder="1"/>
    <xf numFmtId="170" fontId="14" fillId="11" borderId="9" xfId="0" applyNumberFormat="1" applyFont="1" applyFill="1" applyBorder="1"/>
    <xf numFmtId="170" fontId="14" fillId="11" borderId="45" xfId="0" applyNumberFormat="1" applyFont="1" applyFill="1" applyBorder="1"/>
    <xf numFmtId="10" fontId="14" fillId="11" borderId="8" xfId="0" applyNumberFormat="1" applyFont="1" applyFill="1" applyBorder="1" applyAlignment="1">
      <alignment horizontal="center"/>
    </xf>
    <xf numFmtId="0" fontId="0" fillId="0" borderId="31" xfId="0" applyFont="1" applyBorder="1" applyAlignment="1">
      <alignment horizontal="left" vertical="center"/>
    </xf>
    <xf numFmtId="3" fontId="0" fillId="0" borderId="31" xfId="0" applyNumberFormat="1" applyFont="1" applyBorder="1"/>
    <xf numFmtId="10" fontId="0" fillId="0" borderId="42" xfId="0" applyNumberFormat="1" applyFont="1" applyBorder="1"/>
    <xf numFmtId="170" fontId="0" fillId="0" borderId="42" xfId="0" applyNumberFormat="1" applyFont="1" applyBorder="1"/>
    <xf numFmtId="170" fontId="0" fillId="0" borderId="69" xfId="0" applyNumberFormat="1" applyFont="1" applyBorder="1" applyAlignment="1">
      <alignment vertical="center"/>
    </xf>
    <xf numFmtId="10" fontId="0" fillId="0" borderId="24" xfId="0" applyNumberFormat="1" applyFont="1" applyBorder="1" applyAlignment="1">
      <alignment horizontal="center" vertical="center"/>
    </xf>
    <xf numFmtId="3" fontId="0" fillId="0" borderId="29" xfId="0" applyNumberFormat="1" applyFont="1" applyBorder="1"/>
    <xf numFmtId="10" fontId="0" fillId="0" borderId="43" xfId="0" applyNumberFormat="1" applyFont="1" applyBorder="1"/>
    <xf numFmtId="170" fontId="0" fillId="0" borderId="43" xfId="0" applyNumberFormat="1" applyFont="1" applyBorder="1"/>
    <xf numFmtId="170" fontId="0" fillId="0" borderId="54" xfId="0" applyNumberFormat="1" applyFont="1" applyBorder="1" applyAlignment="1">
      <alignment vertical="center"/>
    </xf>
    <xf numFmtId="10" fontId="0" fillId="0" borderId="19" xfId="5" applyNumberFormat="1" applyFont="1" applyBorder="1" applyAlignment="1">
      <alignment horizontal="center" vertical="center"/>
    </xf>
    <xf numFmtId="3" fontId="0" fillId="0" borderId="68" xfId="0" applyNumberFormat="1" applyFont="1" applyBorder="1"/>
    <xf numFmtId="10" fontId="0" fillId="0" borderId="58" xfId="0" applyNumberFormat="1" applyFont="1" applyBorder="1"/>
    <xf numFmtId="170" fontId="0" fillId="0" borderId="58" xfId="0" applyNumberFormat="1" applyFont="1" applyBorder="1"/>
    <xf numFmtId="170" fontId="0" fillId="0" borderId="65" xfId="0" applyNumberFormat="1" applyFont="1" applyBorder="1" applyAlignment="1">
      <alignment vertical="center"/>
    </xf>
    <xf numFmtId="10" fontId="0" fillId="0" borderId="57" xfId="5" applyNumberFormat="1" applyFont="1" applyBorder="1" applyAlignment="1">
      <alignment horizontal="center" vertical="center"/>
    </xf>
    <xf numFmtId="0" fontId="0" fillId="0" borderId="29" xfId="0" applyFont="1" applyBorder="1"/>
    <xf numFmtId="10" fontId="0" fillId="0" borderId="57" xfId="0" applyNumberFormat="1" applyFont="1" applyBorder="1" applyAlignment="1">
      <alignment horizontal="center"/>
    </xf>
    <xf numFmtId="167" fontId="0" fillId="0" borderId="0" xfId="0" applyNumberFormat="1" applyFont="1"/>
    <xf numFmtId="0" fontId="14" fillId="2" borderId="5" xfId="0" applyFont="1" applyFill="1" applyBorder="1"/>
    <xf numFmtId="10" fontId="14" fillId="2" borderId="5" xfId="0" applyNumberFormat="1" applyFont="1" applyFill="1" applyBorder="1"/>
    <xf numFmtId="170" fontId="25" fillId="12" borderId="40" xfId="0" applyNumberFormat="1" applyFont="1" applyFill="1" applyBorder="1"/>
    <xf numFmtId="10" fontId="25" fillId="12" borderId="50" xfId="0" applyNumberFormat="1" applyFont="1" applyFill="1" applyBorder="1" applyAlignment="1">
      <alignment horizontal="center"/>
    </xf>
    <xf numFmtId="0" fontId="0" fillId="0" borderId="12" xfId="0" applyFill="1" applyBorder="1" applyAlignment="1">
      <alignment horizontal="left" vertical="center"/>
    </xf>
    <xf numFmtId="10" fontId="0" fillId="0" borderId="0" xfId="5" applyNumberFormat="1" applyFont="1"/>
    <xf numFmtId="170" fontId="0" fillId="0" borderId="0" xfId="6" applyNumberFormat="1" applyFont="1"/>
    <xf numFmtId="168" fontId="0" fillId="0" borderId="0" xfId="0" applyNumberFormat="1" applyAlignment="1">
      <alignment horizontal="left" vertical="center"/>
    </xf>
    <xf numFmtId="0" fontId="0" fillId="0" borderId="31" xfId="0" applyFont="1" applyFill="1" applyBorder="1" applyAlignment="1">
      <alignment horizontal="left" vertical="center"/>
    </xf>
    <xf numFmtId="3" fontId="0" fillId="0" borderId="31" xfId="0" applyNumberFormat="1" applyFont="1" applyFill="1" applyBorder="1"/>
    <xf numFmtId="10" fontId="0" fillId="0" borderId="42" xfId="0" applyNumberFormat="1" applyFont="1" applyFill="1" applyBorder="1"/>
    <xf numFmtId="170" fontId="0" fillId="0" borderId="42" xfId="0" applyNumberFormat="1" applyFont="1" applyFill="1" applyBorder="1"/>
    <xf numFmtId="0" fontId="0" fillId="0" borderId="31" xfId="0" applyFill="1" applyBorder="1" applyAlignment="1">
      <alignment horizontal="left" vertical="center" wrapText="1"/>
    </xf>
    <xf numFmtId="170" fontId="0" fillId="0" borderId="43" xfId="0" applyNumberFormat="1" applyFont="1" applyFill="1" applyBorder="1"/>
    <xf numFmtId="168" fontId="0" fillId="0" borderId="0" xfId="0" applyNumberFormat="1" applyBorder="1" applyAlignment="1">
      <alignment horizontal="left" vertical="center" wrapText="1"/>
    </xf>
    <xf numFmtId="44" fontId="0" fillId="0" borderId="0" xfId="0" applyNumberFormat="1"/>
    <xf numFmtId="44" fontId="14" fillId="0" borderId="0" xfId="0" applyNumberFormat="1" applyFont="1"/>
    <xf numFmtId="44" fontId="14" fillId="0" borderId="0" xfId="0" applyNumberFormat="1" applyFont="1" applyAlignment="1">
      <alignment vertical="center"/>
    </xf>
    <xf numFmtId="0" fontId="24" fillId="0" borderId="1" xfId="0" applyFont="1" applyBorder="1"/>
    <xf numFmtId="44" fontId="0" fillId="0" borderId="1" xfId="4" applyFont="1" applyBorder="1" applyAlignment="1">
      <alignment horizontal="center" vertical="center"/>
    </xf>
    <xf numFmtId="44" fontId="0" fillId="0" borderId="1" xfId="0" applyNumberFormat="1" applyBorder="1" applyAlignment="1">
      <alignment vertical="center"/>
    </xf>
    <xf numFmtId="44" fontId="14" fillId="0" borderId="1" xfId="0" applyNumberFormat="1" applyFont="1" applyBorder="1"/>
    <xf numFmtId="44" fontId="14" fillId="0" borderId="1" xfId="0" applyNumberFormat="1" applyFont="1" applyBorder="1" applyAlignment="1">
      <alignment vertical="center"/>
    </xf>
    <xf numFmtId="44" fontId="0" fillId="0" borderId="1" xfId="4" applyFont="1" applyBorder="1" applyAlignment="1">
      <alignment vertical="center"/>
    </xf>
    <xf numFmtId="0" fontId="1" fillId="2" borderId="6" xfId="0" applyFont="1" applyFill="1" applyBorder="1" applyAlignment="1">
      <alignment horizontal="center"/>
    </xf>
    <xf numFmtId="0" fontId="1" fillId="2" borderId="7" xfId="0" applyFont="1" applyFill="1" applyBorder="1" applyAlignment="1">
      <alignment horizontal="center"/>
    </xf>
    <xf numFmtId="0" fontId="1" fillId="2" borderId="8" xfId="0" applyFont="1" applyFill="1" applyBorder="1" applyAlignment="1">
      <alignment horizontal="center"/>
    </xf>
    <xf numFmtId="0" fontId="1" fillId="2" borderId="26" xfId="0" applyFont="1" applyFill="1" applyBorder="1" applyAlignment="1">
      <alignment horizontal="center"/>
    </xf>
    <xf numFmtId="0" fontId="1" fillId="2" borderId="27" xfId="0" applyFont="1" applyFill="1" applyBorder="1" applyAlignment="1">
      <alignment horizontal="center"/>
    </xf>
    <xf numFmtId="0" fontId="1" fillId="2" borderId="6" xfId="0" applyFont="1" applyFill="1" applyBorder="1" applyAlignment="1">
      <alignment horizontal="left" vertical="center"/>
    </xf>
    <xf numFmtId="0" fontId="1" fillId="2" borderId="7" xfId="0" applyFont="1" applyFill="1" applyBorder="1" applyAlignment="1">
      <alignment horizontal="left" vertical="center"/>
    </xf>
    <xf numFmtId="0" fontId="1" fillId="2" borderId="8" xfId="0" applyFont="1" applyFill="1" applyBorder="1" applyAlignment="1">
      <alignment horizontal="left" vertical="center"/>
    </xf>
    <xf numFmtId="0" fontId="1" fillId="2" borderId="1" xfId="0" applyFont="1" applyFill="1" applyBorder="1" applyAlignment="1">
      <alignment horizontal="center"/>
    </xf>
    <xf numFmtId="0" fontId="1" fillId="2" borderId="3" xfId="0" applyFont="1" applyFill="1" applyBorder="1" applyAlignment="1">
      <alignment horizontal="center"/>
    </xf>
    <xf numFmtId="3" fontId="1" fillId="2" borderId="38" xfId="0" applyNumberFormat="1" applyFont="1" applyFill="1" applyBorder="1" applyAlignment="1">
      <alignment horizontal="center" wrapText="1"/>
    </xf>
    <xf numFmtId="3" fontId="1" fillId="2" borderId="39" xfId="0" applyNumberFormat="1" applyFont="1" applyFill="1" applyBorder="1" applyAlignment="1">
      <alignment horizontal="center"/>
    </xf>
    <xf numFmtId="3" fontId="1" fillId="2" borderId="38" xfId="0" applyNumberFormat="1" applyFont="1" applyFill="1" applyBorder="1" applyAlignment="1">
      <alignment horizontal="center" vertical="center" wrapText="1"/>
    </xf>
    <xf numFmtId="3" fontId="1" fillId="2" borderId="40" xfId="0" applyNumberFormat="1" applyFont="1" applyFill="1" applyBorder="1" applyAlignment="1">
      <alignment horizontal="center" vertical="center"/>
    </xf>
    <xf numFmtId="3" fontId="1" fillId="2" borderId="39" xfId="0" applyNumberFormat="1" applyFont="1" applyFill="1" applyBorder="1" applyAlignment="1">
      <alignment horizontal="center" vertical="center"/>
    </xf>
    <xf numFmtId="0" fontId="1" fillId="2" borderId="25" xfId="0" applyFont="1" applyFill="1" applyBorder="1" applyAlignment="1">
      <alignment horizontal="left"/>
    </xf>
    <xf numFmtId="0" fontId="1" fillId="2" borderId="26" xfId="0" applyFont="1" applyFill="1" applyBorder="1" applyAlignment="1">
      <alignment horizontal="left"/>
    </xf>
    <xf numFmtId="0" fontId="1" fillId="2" borderId="27" xfId="0" applyFont="1" applyFill="1" applyBorder="1" applyAlignment="1">
      <alignment horizontal="left"/>
    </xf>
    <xf numFmtId="0" fontId="14" fillId="9" borderId="45" xfId="0" applyFont="1" applyFill="1" applyBorder="1" applyAlignment="1">
      <alignment horizontal="center"/>
    </xf>
    <xf numFmtId="0" fontId="14" fillId="9" borderId="34" xfId="0" applyFont="1" applyFill="1" applyBorder="1" applyAlignment="1">
      <alignment horizontal="center"/>
    </xf>
    <xf numFmtId="0" fontId="14" fillId="9" borderId="9" xfId="0" applyFont="1" applyFill="1" applyBorder="1" applyAlignment="1">
      <alignment horizontal="center"/>
    </xf>
    <xf numFmtId="0" fontId="14" fillId="10" borderId="45" xfId="0" applyFont="1" applyFill="1" applyBorder="1" applyAlignment="1">
      <alignment horizontal="center"/>
    </xf>
    <xf numFmtId="0" fontId="14" fillId="10" borderId="34" xfId="0" applyFont="1" applyFill="1" applyBorder="1" applyAlignment="1">
      <alignment horizontal="center"/>
    </xf>
    <xf numFmtId="0" fontId="14" fillId="10" borderId="9" xfId="0" applyFont="1" applyFill="1" applyBorder="1" applyAlignment="1">
      <alignment horizontal="center"/>
    </xf>
    <xf numFmtId="0" fontId="0" fillId="0" borderId="29" xfId="0" applyFont="1" applyBorder="1" applyAlignment="1">
      <alignment horizontal="left" vertical="center" wrapText="1"/>
    </xf>
    <xf numFmtId="0" fontId="0" fillId="0" borderId="30" xfId="0" applyFont="1" applyBorder="1" applyAlignment="1">
      <alignment horizontal="left" vertical="center" wrapText="1"/>
    </xf>
    <xf numFmtId="0" fontId="14" fillId="0" borderId="29" xfId="0" applyFont="1" applyBorder="1" applyAlignment="1">
      <alignment horizontal="center" vertical="center"/>
    </xf>
    <xf numFmtId="0" fontId="14" fillId="0" borderId="30" xfId="0" applyFont="1" applyBorder="1" applyAlignment="1">
      <alignment horizontal="center" vertical="center"/>
    </xf>
    <xf numFmtId="0" fontId="0" fillId="0" borderId="28" xfId="0" applyFont="1" applyBorder="1" applyAlignment="1">
      <alignment horizontal="left" vertical="center" wrapText="1"/>
    </xf>
    <xf numFmtId="0" fontId="14" fillId="0" borderId="28" xfId="0" applyFont="1" applyBorder="1" applyAlignment="1">
      <alignment horizontal="center" vertical="center"/>
    </xf>
    <xf numFmtId="0" fontId="14" fillId="2" borderId="6" xfId="0" applyFont="1" applyFill="1" applyBorder="1" applyAlignment="1">
      <alignment horizontal="left"/>
    </xf>
    <xf numFmtId="0" fontId="14" fillId="2" borderId="8" xfId="0" applyFont="1" applyFill="1" applyBorder="1" applyAlignment="1">
      <alignment horizontal="left"/>
    </xf>
    <xf numFmtId="168" fontId="14" fillId="13" borderId="1" xfId="0" applyNumberFormat="1" applyFont="1" applyFill="1" applyBorder="1" applyAlignment="1">
      <alignment horizontal="center" vertical="center"/>
    </xf>
    <xf numFmtId="168" fontId="14" fillId="15" borderId="2" xfId="0" applyNumberFormat="1" applyFont="1" applyFill="1" applyBorder="1" applyAlignment="1">
      <alignment horizontal="center" vertical="center"/>
    </xf>
    <xf numFmtId="168" fontId="14" fillId="15" borderId="4" xfId="0" applyNumberFormat="1" applyFont="1" applyFill="1" applyBorder="1" applyAlignment="1">
      <alignment horizontal="center" vertical="center"/>
    </xf>
    <xf numFmtId="168" fontId="14" fillId="15" borderId="1" xfId="0" applyNumberFormat="1" applyFont="1" applyFill="1" applyBorder="1" applyAlignment="1">
      <alignment horizontal="center" vertical="center"/>
    </xf>
    <xf numFmtId="168" fontId="14" fillId="11" borderId="1" xfId="0" applyNumberFormat="1" applyFont="1" applyFill="1" applyBorder="1" applyAlignment="1">
      <alignment horizontal="center" vertical="center"/>
    </xf>
    <xf numFmtId="0" fontId="14" fillId="0" borderId="0" xfId="0" applyFont="1" applyAlignment="1">
      <alignment horizontal="center" vertical="center" wrapText="1"/>
    </xf>
    <xf numFmtId="0" fontId="14" fillId="14" borderId="46" xfId="0" applyFont="1" applyFill="1" applyBorder="1" applyAlignment="1">
      <alignment horizontal="center" vertical="center" wrapText="1"/>
    </xf>
    <xf numFmtId="0" fontId="14" fillId="14" borderId="47" xfId="0" applyFont="1" applyFill="1" applyBorder="1" applyAlignment="1">
      <alignment horizontal="center" vertical="center" wrapText="1"/>
    </xf>
    <xf numFmtId="0" fontId="14" fillId="14" borderId="51" xfId="0" applyFont="1" applyFill="1" applyBorder="1" applyAlignment="1">
      <alignment horizontal="center" vertical="center" wrapText="1"/>
    </xf>
    <xf numFmtId="0" fontId="14" fillId="14" borderId="0" xfId="0" applyFont="1" applyFill="1" applyBorder="1" applyAlignment="1">
      <alignment horizontal="center" vertical="center" wrapText="1"/>
    </xf>
    <xf numFmtId="0" fontId="14" fillId="14" borderId="49" xfId="0" applyFont="1" applyFill="1" applyBorder="1" applyAlignment="1">
      <alignment horizontal="center" vertical="center" wrapText="1"/>
    </xf>
    <xf numFmtId="0" fontId="14" fillId="14" borderId="72" xfId="0" applyFont="1" applyFill="1" applyBorder="1" applyAlignment="1">
      <alignment horizontal="center" vertical="center" wrapText="1"/>
    </xf>
    <xf numFmtId="0" fontId="15" fillId="11" borderId="46" xfId="0" applyFont="1" applyFill="1" applyBorder="1" applyAlignment="1">
      <alignment horizontal="center" vertical="center"/>
    </xf>
    <xf numFmtId="0" fontId="15" fillId="11" borderId="47" xfId="0" applyFont="1" applyFill="1" applyBorder="1" applyAlignment="1">
      <alignment horizontal="center" vertical="center"/>
    </xf>
    <xf numFmtId="0" fontId="15" fillId="11" borderId="51" xfId="0" applyFont="1" applyFill="1" applyBorder="1" applyAlignment="1">
      <alignment horizontal="center" vertical="center"/>
    </xf>
    <xf numFmtId="0" fontId="15" fillId="11" borderId="0" xfId="0" applyFont="1" applyFill="1" applyBorder="1" applyAlignment="1">
      <alignment horizontal="center" vertical="center"/>
    </xf>
    <xf numFmtId="0" fontId="15" fillId="11" borderId="49" xfId="0" applyFont="1" applyFill="1" applyBorder="1" applyAlignment="1">
      <alignment horizontal="center" vertical="center"/>
    </xf>
    <xf numFmtId="0" fontId="15" fillId="11" borderId="72" xfId="0" applyFont="1" applyFill="1" applyBorder="1" applyAlignment="1">
      <alignment horizontal="center" vertical="center"/>
    </xf>
    <xf numFmtId="0" fontId="15" fillId="13" borderId="46" xfId="0" applyFont="1" applyFill="1" applyBorder="1" applyAlignment="1">
      <alignment horizontal="center" vertical="center" wrapText="1"/>
    </xf>
    <xf numFmtId="0" fontId="15" fillId="13" borderId="47" xfId="0" applyFont="1" applyFill="1" applyBorder="1" applyAlignment="1">
      <alignment horizontal="center" vertical="center" wrapText="1"/>
    </xf>
    <xf numFmtId="0" fontId="15" fillId="13" borderId="51" xfId="0" applyFont="1" applyFill="1" applyBorder="1" applyAlignment="1">
      <alignment horizontal="center" vertical="center" wrapText="1"/>
    </xf>
    <xf numFmtId="0" fontId="15" fillId="13" borderId="0" xfId="0" applyFont="1" applyFill="1" applyBorder="1" applyAlignment="1">
      <alignment horizontal="center" vertical="center" wrapText="1"/>
    </xf>
    <xf numFmtId="0" fontId="15" fillId="14" borderId="70" xfId="0" applyFont="1" applyFill="1" applyBorder="1" applyAlignment="1">
      <alignment horizontal="center" vertical="center" wrapText="1"/>
    </xf>
    <xf numFmtId="0" fontId="15" fillId="14" borderId="71" xfId="0" applyFont="1" applyFill="1" applyBorder="1" applyAlignment="1">
      <alignment horizontal="center" vertical="center" wrapText="1"/>
    </xf>
    <xf numFmtId="0" fontId="15" fillId="14" borderId="49" xfId="0" applyFont="1" applyFill="1" applyBorder="1" applyAlignment="1">
      <alignment horizontal="center" vertical="center" wrapText="1"/>
    </xf>
    <xf numFmtId="0" fontId="15" fillId="14" borderId="72" xfId="0" applyFont="1" applyFill="1" applyBorder="1" applyAlignment="1">
      <alignment horizontal="center" vertical="center" wrapText="1"/>
    </xf>
    <xf numFmtId="0" fontId="24" fillId="7" borderId="46" xfId="0" applyFont="1" applyFill="1" applyBorder="1" applyAlignment="1">
      <alignment horizontal="center"/>
    </xf>
    <xf numFmtId="0" fontId="24" fillId="7" borderId="47" xfId="0" applyFont="1" applyFill="1" applyBorder="1" applyAlignment="1">
      <alignment horizontal="center"/>
    </xf>
    <xf numFmtId="0" fontId="24" fillId="7" borderId="48" xfId="0" applyFont="1" applyFill="1" applyBorder="1" applyAlignment="1">
      <alignment horizontal="center"/>
    </xf>
    <xf numFmtId="0" fontId="0" fillId="0" borderId="18" xfId="0"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19" xfId="0" applyFont="1" applyFill="1" applyBorder="1" applyAlignment="1">
      <alignment horizontal="left" vertical="center" wrapText="1"/>
    </xf>
    <xf numFmtId="0" fontId="0" fillId="0" borderId="15" xfId="0" applyFont="1" applyFill="1" applyBorder="1" applyAlignment="1">
      <alignment horizontal="left" vertical="center" wrapText="1"/>
    </xf>
    <xf numFmtId="0" fontId="0" fillId="0" borderId="16" xfId="0" applyFont="1" applyFill="1" applyBorder="1" applyAlignment="1">
      <alignment horizontal="left" vertical="center" wrapText="1"/>
    </xf>
    <xf numFmtId="0" fontId="0" fillId="0" borderId="17" xfId="0" applyFont="1" applyFill="1" applyBorder="1" applyAlignment="1">
      <alignment horizontal="left" vertical="center" wrapText="1"/>
    </xf>
    <xf numFmtId="0" fontId="0" fillId="0" borderId="12" xfId="0" applyFont="1" applyFill="1" applyBorder="1" applyAlignment="1">
      <alignment horizontal="left" vertical="center" wrapText="1"/>
    </xf>
    <xf numFmtId="0" fontId="0" fillId="0" borderId="13" xfId="0" applyFont="1" applyFill="1" applyBorder="1" applyAlignment="1">
      <alignment horizontal="left" vertical="center" wrapText="1"/>
    </xf>
    <xf numFmtId="0" fontId="0" fillId="0" borderId="14" xfId="0" applyFont="1" applyFill="1" applyBorder="1" applyAlignment="1">
      <alignment horizontal="left" vertical="center" wrapText="1"/>
    </xf>
    <xf numFmtId="0" fontId="0" fillId="0" borderId="0" xfId="0" applyAlignment="1">
      <alignment horizontal="center" vertical="center"/>
    </xf>
    <xf numFmtId="0" fontId="15" fillId="0" borderId="38" xfId="0" applyFont="1" applyBorder="1" applyAlignment="1">
      <alignment horizontal="center" vertical="center" wrapText="1"/>
    </xf>
    <xf numFmtId="0" fontId="15" fillId="0" borderId="39" xfId="0" applyFont="1" applyBorder="1" applyAlignment="1">
      <alignment horizontal="center" vertical="center" wrapText="1"/>
    </xf>
    <xf numFmtId="0" fontId="15" fillId="0" borderId="40" xfId="0" applyFont="1" applyBorder="1" applyAlignment="1">
      <alignment horizontal="center" vertical="center" wrapText="1"/>
    </xf>
    <xf numFmtId="0" fontId="24" fillId="7" borderId="45" xfId="0" applyFont="1" applyFill="1" applyBorder="1" applyAlignment="1">
      <alignment horizontal="center"/>
    </xf>
    <xf numFmtId="0" fontId="24" fillId="7" borderId="34" xfId="0" applyFont="1" applyFill="1" applyBorder="1" applyAlignment="1">
      <alignment horizontal="center"/>
    </xf>
    <xf numFmtId="0" fontId="24" fillId="7" borderId="9" xfId="0" applyFont="1" applyFill="1" applyBorder="1" applyAlignment="1">
      <alignment horizontal="center"/>
    </xf>
    <xf numFmtId="0" fontId="0" fillId="0" borderId="45" xfId="0" applyBorder="1" applyAlignment="1">
      <alignment horizontal="left" vertical="center" wrapText="1"/>
    </xf>
    <xf numFmtId="0" fontId="0" fillId="0" borderId="34" xfId="0" applyBorder="1" applyAlignment="1">
      <alignment horizontal="left" vertical="center" wrapText="1"/>
    </xf>
    <xf numFmtId="0" fontId="0" fillId="0" borderId="9" xfId="0" applyBorder="1" applyAlignment="1">
      <alignment horizontal="left" vertical="center" wrapText="1"/>
    </xf>
    <xf numFmtId="0" fontId="0" fillId="0" borderId="67" xfId="0" applyFill="1" applyBorder="1" applyAlignment="1">
      <alignment horizontal="left" vertical="center" wrapText="1"/>
    </xf>
    <xf numFmtId="0" fontId="0" fillId="0" borderId="66" xfId="0" applyFill="1" applyBorder="1" applyAlignment="1">
      <alignment horizontal="left" vertical="center" wrapText="1"/>
    </xf>
    <xf numFmtId="0" fontId="0" fillId="0" borderId="53" xfId="0" applyFill="1" applyBorder="1" applyAlignment="1">
      <alignment horizontal="left" vertical="center" wrapText="1"/>
    </xf>
    <xf numFmtId="0" fontId="0" fillId="0" borderId="55" xfId="0" applyBorder="1" applyAlignment="1">
      <alignment horizontal="left" vertical="center" wrapText="1"/>
    </xf>
    <xf numFmtId="0" fontId="0" fillId="0" borderId="37" xfId="0" applyBorder="1" applyAlignment="1">
      <alignment horizontal="left" vertical="center" wrapText="1"/>
    </xf>
    <xf numFmtId="0" fontId="0" fillId="0" borderId="44" xfId="0" applyBorder="1" applyAlignment="1">
      <alignment horizontal="left" vertical="center" wrapText="1"/>
    </xf>
    <xf numFmtId="0" fontId="17" fillId="0" borderId="39"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46" xfId="0" applyFont="1" applyBorder="1" applyAlignment="1">
      <alignment horizontal="center" vertical="center" wrapText="1"/>
    </xf>
    <xf numFmtId="0" fontId="17" fillId="0" borderId="51" xfId="0" applyFont="1" applyBorder="1" applyAlignment="1">
      <alignment horizontal="center" vertical="center" wrapText="1"/>
    </xf>
    <xf numFmtId="0" fontId="17" fillId="0" borderId="49" xfId="0" applyFont="1" applyBorder="1" applyAlignment="1">
      <alignment horizontal="center" vertical="center" wrapText="1"/>
    </xf>
    <xf numFmtId="0" fontId="0" fillId="0" borderId="67" xfId="0" applyBorder="1" applyAlignment="1">
      <alignment horizontal="left" vertical="center" wrapText="1"/>
    </xf>
    <xf numFmtId="0" fontId="0" fillId="0" borderId="66" xfId="0" applyBorder="1" applyAlignment="1">
      <alignment horizontal="left" vertical="center" wrapText="1"/>
    </xf>
    <xf numFmtId="0" fontId="0" fillId="0" borderId="53" xfId="0" applyBorder="1" applyAlignment="1">
      <alignment horizontal="left" vertical="center" wrapText="1"/>
    </xf>
    <xf numFmtId="0" fontId="0" fillId="0" borderId="54" xfId="0" applyBorder="1" applyAlignment="1">
      <alignment horizontal="left" vertical="center" wrapText="1"/>
    </xf>
    <xf numFmtId="0" fontId="0" fillId="0" borderId="36" xfId="0" applyBorder="1" applyAlignment="1">
      <alignment horizontal="left" vertical="center" wrapText="1"/>
    </xf>
    <xf numFmtId="0" fontId="0" fillId="0" borderId="43" xfId="0" applyBorder="1" applyAlignment="1">
      <alignment horizontal="left" vertical="center" wrapText="1"/>
    </xf>
  </cellXfs>
  <cellStyles count="7">
    <cellStyle name="Millares" xfId="6" builtinId="3"/>
    <cellStyle name="Moneda" xfId="4" builtinId="4"/>
    <cellStyle name="Normal" xfId="0" builtinId="0"/>
    <cellStyle name="Normal 2" xfId="3" xr:uid="{00000000-0005-0000-0000-000002000000}"/>
    <cellStyle name="Porcentaje" xfId="5" builtinId="5"/>
    <cellStyle name="Título 2 2" xfId="1" xr:uid="{00000000-0005-0000-0000-000004000000}"/>
    <cellStyle name="Título 3 2"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arlos.quintana/Documents/CORPROGRESO/ANT%20PREDIOS%20MAYO%202021/DISTRIBUCION%20ANT%20PRESUPUESTO%20CONVENIO%202021%20DETALLADO%20Y%20POR%20LINEA%20MAYO%201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Convenio"/>
      <sheetName val="Presupuesto Mensual"/>
      <sheetName val="Distribucion de Recursos"/>
      <sheetName val="DISTRIBUCION LINEA ACCION"/>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4"/>
  <sheetViews>
    <sheetView workbookViewId="0">
      <selection activeCell="A20" sqref="A20"/>
    </sheetView>
  </sheetViews>
  <sheetFormatPr baseColWidth="10" defaultColWidth="11.453125" defaultRowHeight="14" x14ac:dyDescent="0.3"/>
  <cols>
    <col min="1" max="1" width="4.54296875" style="2" bestFit="1" customWidth="1"/>
    <col min="2" max="2" width="37" style="2" customWidth="1"/>
    <col min="3" max="3" width="12.54296875" style="2" customWidth="1"/>
    <col min="4" max="4" width="19.7265625" style="6" customWidth="1"/>
    <col min="5" max="6" width="14" style="6" customWidth="1"/>
    <col min="7" max="7" width="18" style="2" hidden="1" customWidth="1"/>
    <col min="8" max="8" width="11.453125" style="2" hidden="1" customWidth="1"/>
    <col min="9" max="9" width="164.26953125" style="2" hidden="1" customWidth="1"/>
    <col min="10" max="10" width="14.453125" style="2" bestFit="1" customWidth="1"/>
    <col min="11" max="16384" width="11.453125" style="2"/>
  </cols>
  <sheetData>
    <row r="1" spans="1:9" ht="14.5" thickBot="1" x14ac:dyDescent="0.35">
      <c r="A1" s="40" t="s">
        <v>35</v>
      </c>
      <c r="B1" s="41" t="s">
        <v>2</v>
      </c>
      <c r="C1" s="42" t="s">
        <v>3</v>
      </c>
      <c r="D1" s="43" t="s">
        <v>4</v>
      </c>
      <c r="E1" s="43" t="s">
        <v>5</v>
      </c>
      <c r="F1" s="44" t="s">
        <v>6</v>
      </c>
      <c r="G1" s="303" t="s">
        <v>86</v>
      </c>
      <c r="H1" s="305" t="s">
        <v>87</v>
      </c>
      <c r="I1" s="305" t="s">
        <v>88</v>
      </c>
    </row>
    <row r="2" spans="1:9" ht="14.5" thickBot="1" x14ac:dyDescent="0.35">
      <c r="A2" s="39">
        <v>1</v>
      </c>
      <c r="B2" s="308" t="s">
        <v>7</v>
      </c>
      <c r="C2" s="309"/>
      <c r="D2" s="309"/>
      <c r="E2" s="309"/>
      <c r="F2" s="310"/>
      <c r="G2" s="304"/>
      <c r="H2" s="306"/>
      <c r="I2" s="307"/>
    </row>
    <row r="3" spans="1:9" ht="15" customHeight="1" thickBot="1" x14ac:dyDescent="0.35">
      <c r="A3" s="30" t="s">
        <v>21</v>
      </c>
      <c r="B3" s="32" t="s">
        <v>13</v>
      </c>
      <c r="C3" s="33">
        <v>2</v>
      </c>
      <c r="D3" s="34">
        <v>5300000</v>
      </c>
      <c r="E3" s="45">
        <v>6</v>
      </c>
      <c r="F3" s="35">
        <f>(C3*D3)*E3</f>
        <v>63600000</v>
      </c>
      <c r="G3" s="62" t="s">
        <v>89</v>
      </c>
      <c r="H3" s="62">
        <v>3</v>
      </c>
      <c r="I3" s="63" t="s">
        <v>90</v>
      </c>
    </row>
    <row r="4" spans="1:9" ht="14.5" thickBot="1" x14ac:dyDescent="0.35">
      <c r="A4" s="30" t="s">
        <v>22</v>
      </c>
      <c r="B4" s="19" t="s">
        <v>14</v>
      </c>
      <c r="C4" s="3">
        <v>1</v>
      </c>
      <c r="D4" s="68">
        <v>4000000</v>
      </c>
      <c r="E4" s="46">
        <v>6</v>
      </c>
      <c r="F4" s="20">
        <f t="shared" ref="F4:F17" si="0">(C4*D4)*E4</f>
        <v>24000000</v>
      </c>
      <c r="G4" s="64" t="s">
        <v>97</v>
      </c>
      <c r="H4" s="64">
        <v>7</v>
      </c>
      <c r="I4" s="65" t="s">
        <v>91</v>
      </c>
    </row>
    <row r="5" spans="1:9" ht="15" customHeight="1" thickBot="1" x14ac:dyDescent="0.35">
      <c r="A5" s="30" t="s">
        <v>23</v>
      </c>
      <c r="B5" s="36" t="s">
        <v>1</v>
      </c>
      <c r="C5" s="5">
        <v>1</v>
      </c>
      <c r="D5" s="4">
        <v>5300000</v>
      </c>
      <c r="E5" s="46">
        <v>6</v>
      </c>
      <c r="F5" s="20">
        <f t="shared" si="0"/>
        <v>31800000</v>
      </c>
      <c r="G5" s="66" t="s">
        <v>89</v>
      </c>
      <c r="H5" s="66">
        <v>3</v>
      </c>
      <c r="I5" s="65" t="s">
        <v>92</v>
      </c>
    </row>
    <row r="6" spans="1:9" ht="18" customHeight="1" thickBot="1" x14ac:dyDescent="0.35">
      <c r="A6" s="30" t="s">
        <v>24</v>
      </c>
      <c r="B6" s="37" t="s">
        <v>0</v>
      </c>
      <c r="C6" s="5">
        <v>2</v>
      </c>
      <c r="D6" s="4">
        <v>5300000</v>
      </c>
      <c r="E6" s="46">
        <v>6</v>
      </c>
      <c r="F6" s="20">
        <f t="shared" si="0"/>
        <v>63600000</v>
      </c>
      <c r="G6" s="66" t="s">
        <v>89</v>
      </c>
      <c r="H6" s="66">
        <v>3</v>
      </c>
      <c r="I6" s="65" t="s">
        <v>93</v>
      </c>
    </row>
    <row r="7" spans="1:9" ht="15" customHeight="1" thickBot="1" x14ac:dyDescent="0.35">
      <c r="A7" s="30" t="s">
        <v>25</v>
      </c>
      <c r="B7" s="37" t="s">
        <v>8</v>
      </c>
      <c r="C7" s="3">
        <v>2</v>
      </c>
      <c r="D7" s="4">
        <v>5300000</v>
      </c>
      <c r="E7" s="46">
        <v>6</v>
      </c>
      <c r="F7" s="20">
        <f t="shared" si="0"/>
        <v>63600000</v>
      </c>
      <c r="G7" s="66" t="s">
        <v>89</v>
      </c>
      <c r="H7" s="66">
        <v>3</v>
      </c>
      <c r="I7" s="65" t="s">
        <v>94</v>
      </c>
    </row>
    <row r="8" spans="1:9" ht="19.5" customHeight="1" thickBot="1" x14ac:dyDescent="0.35">
      <c r="A8" s="30" t="s">
        <v>26</v>
      </c>
      <c r="B8" s="37" t="s">
        <v>15</v>
      </c>
      <c r="C8" s="3">
        <v>2</v>
      </c>
      <c r="D8" s="4">
        <v>5300000</v>
      </c>
      <c r="E8" s="46">
        <v>6</v>
      </c>
      <c r="F8" s="20">
        <f t="shared" si="0"/>
        <v>63600000</v>
      </c>
      <c r="G8" s="66" t="s">
        <v>89</v>
      </c>
      <c r="H8" s="66">
        <v>3</v>
      </c>
      <c r="I8" s="65" t="s">
        <v>94</v>
      </c>
    </row>
    <row r="9" spans="1:9" ht="15" customHeight="1" thickBot="1" x14ac:dyDescent="0.35">
      <c r="A9" s="30" t="s">
        <v>27</v>
      </c>
      <c r="B9" s="37" t="s">
        <v>113</v>
      </c>
      <c r="C9" s="3">
        <v>8</v>
      </c>
      <c r="D9" s="4">
        <v>5300000</v>
      </c>
      <c r="E9" s="46">
        <v>6</v>
      </c>
      <c r="F9" s="20">
        <f t="shared" si="0"/>
        <v>254400000</v>
      </c>
      <c r="G9" s="66" t="s">
        <v>89</v>
      </c>
      <c r="H9" s="66">
        <v>3</v>
      </c>
      <c r="I9" s="65" t="s">
        <v>95</v>
      </c>
    </row>
    <row r="10" spans="1:9" ht="15" customHeight="1" thickBot="1" x14ac:dyDescent="0.35">
      <c r="A10" s="30" t="s">
        <v>28</v>
      </c>
      <c r="B10" s="37" t="s">
        <v>114</v>
      </c>
      <c r="C10" s="3">
        <v>1</v>
      </c>
      <c r="D10" s="4">
        <v>5300000</v>
      </c>
      <c r="E10" s="46">
        <v>6</v>
      </c>
      <c r="F10" s="20">
        <f t="shared" si="0"/>
        <v>31800000</v>
      </c>
      <c r="G10" s="66"/>
      <c r="H10" s="66"/>
      <c r="I10" s="65"/>
    </row>
    <row r="11" spans="1:9" ht="14.5" thickBot="1" x14ac:dyDescent="0.35">
      <c r="A11" s="30" t="s">
        <v>29</v>
      </c>
      <c r="B11" s="37" t="s">
        <v>9</v>
      </c>
      <c r="C11" s="3">
        <v>2</v>
      </c>
      <c r="D11" s="4">
        <v>4100000</v>
      </c>
      <c r="E11" s="46">
        <v>6</v>
      </c>
      <c r="F11" s="20">
        <f t="shared" si="0"/>
        <v>49200000</v>
      </c>
      <c r="G11" s="66" t="s">
        <v>89</v>
      </c>
      <c r="H11" s="64">
        <v>1</v>
      </c>
      <c r="I11" s="65" t="s">
        <v>96</v>
      </c>
    </row>
    <row r="12" spans="1:9" ht="14.5" thickBot="1" x14ac:dyDescent="0.35">
      <c r="A12" s="30" t="s">
        <v>30</v>
      </c>
      <c r="B12" s="37" t="s">
        <v>10</v>
      </c>
      <c r="C12" s="3">
        <v>1</v>
      </c>
      <c r="D12" s="68">
        <v>4100000</v>
      </c>
      <c r="E12" s="46">
        <v>6</v>
      </c>
      <c r="F12" s="20">
        <f t="shared" si="0"/>
        <v>24600000</v>
      </c>
      <c r="G12" s="66" t="s">
        <v>89</v>
      </c>
      <c r="H12" s="64">
        <v>1</v>
      </c>
      <c r="I12" s="65" t="s">
        <v>98</v>
      </c>
    </row>
    <row r="13" spans="1:9" ht="15" customHeight="1" thickBot="1" x14ac:dyDescent="0.35">
      <c r="A13" s="30" t="s">
        <v>31</v>
      </c>
      <c r="B13" s="37" t="s">
        <v>16</v>
      </c>
      <c r="C13" s="3">
        <v>8</v>
      </c>
      <c r="D13" s="68">
        <v>2500000</v>
      </c>
      <c r="E13" s="46">
        <v>6</v>
      </c>
      <c r="F13" s="20">
        <f t="shared" si="0"/>
        <v>120000000</v>
      </c>
      <c r="G13" s="64" t="s">
        <v>97</v>
      </c>
      <c r="H13" s="64">
        <v>1</v>
      </c>
      <c r="I13" s="65" t="s">
        <v>99</v>
      </c>
    </row>
    <row r="14" spans="1:9" ht="14.25" customHeight="1" thickBot="1" x14ac:dyDescent="0.35">
      <c r="A14" s="30" t="s">
        <v>32</v>
      </c>
      <c r="B14" s="37" t="s">
        <v>17</v>
      </c>
      <c r="C14" s="3">
        <v>1</v>
      </c>
      <c r="D14" s="4">
        <v>2800000</v>
      </c>
      <c r="E14" s="46">
        <v>6</v>
      </c>
      <c r="F14" s="20">
        <f t="shared" si="0"/>
        <v>16800000</v>
      </c>
      <c r="G14" s="64" t="s">
        <v>97</v>
      </c>
      <c r="H14" s="64">
        <v>2</v>
      </c>
      <c r="I14" s="65" t="s">
        <v>100</v>
      </c>
    </row>
    <row r="15" spans="1:9" ht="15" customHeight="1" thickBot="1" x14ac:dyDescent="0.35">
      <c r="A15" s="30" t="s">
        <v>33</v>
      </c>
      <c r="B15" s="37" t="s">
        <v>85</v>
      </c>
      <c r="C15" s="3">
        <v>1</v>
      </c>
      <c r="D15" s="68">
        <v>8500000</v>
      </c>
      <c r="E15" s="46">
        <v>6</v>
      </c>
      <c r="F15" s="20">
        <f t="shared" si="0"/>
        <v>51000000</v>
      </c>
      <c r="G15" s="64" t="s">
        <v>102</v>
      </c>
      <c r="H15" s="64">
        <v>2</v>
      </c>
      <c r="I15" s="65" t="s">
        <v>103</v>
      </c>
    </row>
    <row r="16" spans="1:9" ht="14.5" thickBot="1" x14ac:dyDescent="0.35">
      <c r="A16" s="30" t="s">
        <v>34</v>
      </c>
      <c r="B16" s="37" t="s">
        <v>11</v>
      </c>
      <c r="C16" s="3">
        <v>1</v>
      </c>
      <c r="D16" s="4">
        <v>4200000</v>
      </c>
      <c r="E16" s="46">
        <v>6</v>
      </c>
      <c r="F16" s="20">
        <f t="shared" si="0"/>
        <v>25200000</v>
      </c>
      <c r="G16" s="64" t="s">
        <v>97</v>
      </c>
      <c r="H16" s="64">
        <v>7</v>
      </c>
      <c r="I16" s="65" t="s">
        <v>101</v>
      </c>
    </row>
    <row r="17" spans="1:12" ht="16.5" customHeight="1" thickBot="1" x14ac:dyDescent="0.35">
      <c r="A17" s="31" t="s">
        <v>110</v>
      </c>
      <c r="B17" s="38" t="s">
        <v>12</v>
      </c>
      <c r="C17" s="13">
        <v>1</v>
      </c>
      <c r="D17" s="14">
        <v>6000000</v>
      </c>
      <c r="E17" s="117">
        <v>6</v>
      </c>
      <c r="F17" s="16">
        <f t="shared" si="0"/>
        <v>36000000</v>
      </c>
      <c r="G17" s="67" t="s">
        <v>89</v>
      </c>
      <c r="H17" s="67">
        <v>5</v>
      </c>
      <c r="I17" s="65" t="s">
        <v>104</v>
      </c>
    </row>
    <row r="18" spans="1:12" ht="14.5" thickBot="1" x14ac:dyDescent="0.35">
      <c r="A18" s="293" t="s">
        <v>20</v>
      </c>
      <c r="B18" s="296"/>
      <c r="C18" s="296"/>
      <c r="D18" s="296"/>
      <c r="E18" s="297"/>
      <c r="F18" s="21">
        <f>SUM(F3:F17)</f>
        <v>919200000</v>
      </c>
    </row>
    <row r="19" spans="1:12" ht="14.5" thickBot="1" x14ac:dyDescent="0.35">
      <c r="A19" s="23">
        <v>2</v>
      </c>
      <c r="B19" s="298" t="s">
        <v>36</v>
      </c>
      <c r="C19" s="299"/>
      <c r="D19" s="299"/>
      <c r="E19" s="299"/>
      <c r="F19" s="300"/>
    </row>
    <row r="20" spans="1:12" x14ac:dyDescent="0.3">
      <c r="A20" s="17" t="s">
        <v>37</v>
      </c>
      <c r="B20" s="29" t="s">
        <v>19</v>
      </c>
      <c r="C20" s="25">
        <v>1</v>
      </c>
      <c r="D20" s="26">
        <v>30000000</v>
      </c>
      <c r="E20" s="27">
        <v>6</v>
      </c>
      <c r="F20" s="28">
        <f>(C20*D20)*E20</f>
        <v>180000000</v>
      </c>
    </row>
    <row r="21" spans="1:12" ht="14.5" thickBot="1" x14ac:dyDescent="0.35">
      <c r="A21" s="17" t="s">
        <v>38</v>
      </c>
      <c r="B21" s="12" t="s">
        <v>18</v>
      </c>
      <c r="C21" s="13">
        <v>60</v>
      </c>
      <c r="D21" s="14">
        <v>2500000</v>
      </c>
      <c r="E21" s="15">
        <v>1</v>
      </c>
      <c r="F21" s="16">
        <f>(C21*D21)*E21</f>
        <v>150000000</v>
      </c>
    </row>
    <row r="22" spans="1:12" ht="14.5" thickBot="1" x14ac:dyDescent="0.35">
      <c r="A22" s="301" t="s">
        <v>39</v>
      </c>
      <c r="B22" s="302"/>
      <c r="C22" s="302"/>
      <c r="D22" s="302"/>
      <c r="E22" s="302"/>
      <c r="F22" s="18">
        <f>+F20+F21</f>
        <v>330000000</v>
      </c>
    </row>
    <row r="23" spans="1:12" ht="14.5" thickBot="1" x14ac:dyDescent="0.35">
      <c r="A23" s="10">
        <v>3</v>
      </c>
      <c r="B23" s="298" t="s">
        <v>40</v>
      </c>
      <c r="C23" s="299"/>
      <c r="D23" s="299"/>
      <c r="E23" s="299"/>
      <c r="F23" s="300"/>
    </row>
    <row r="24" spans="1:12" x14ac:dyDescent="0.3">
      <c r="A24" s="17" t="s">
        <v>41</v>
      </c>
      <c r="B24" s="24" t="s">
        <v>106</v>
      </c>
      <c r="C24" s="25">
        <v>1</v>
      </c>
      <c r="D24" s="26">
        <v>33060000</v>
      </c>
      <c r="E24" s="73">
        <v>6</v>
      </c>
      <c r="F24" s="28">
        <f>(C24*D24)*E24</f>
        <v>198360000</v>
      </c>
      <c r="G24" s="6"/>
    </row>
    <row r="25" spans="1:12" x14ac:dyDescent="0.3">
      <c r="A25" s="11" t="s">
        <v>41</v>
      </c>
      <c r="B25" s="69" t="s">
        <v>105</v>
      </c>
      <c r="C25" s="70">
        <v>1</v>
      </c>
      <c r="D25" s="71">
        <v>33333333.329999998</v>
      </c>
      <c r="E25" s="74">
        <v>6</v>
      </c>
      <c r="F25" s="72">
        <f>+D25*C25*E25</f>
        <v>199999999.97999999</v>
      </c>
      <c r="G25" s="6"/>
      <c r="J25" s="72"/>
      <c r="K25" s="6"/>
      <c r="L25" s="6"/>
    </row>
    <row r="26" spans="1:12" ht="14.5" thickBot="1" x14ac:dyDescent="0.35">
      <c r="A26" s="11" t="s">
        <v>42</v>
      </c>
      <c r="B26" s="22" t="s">
        <v>43</v>
      </c>
      <c r="C26" s="8">
        <v>1</v>
      </c>
      <c r="D26" s="9">
        <v>58740000</v>
      </c>
      <c r="E26" s="75">
        <v>6</v>
      </c>
      <c r="F26" s="16">
        <f>(C26*D26)*E26</f>
        <v>352440000</v>
      </c>
      <c r="J26" s="6"/>
      <c r="L26" s="6"/>
    </row>
    <row r="27" spans="1:12" ht="14.5" thickBot="1" x14ac:dyDescent="0.35">
      <c r="A27" s="293" t="s">
        <v>44</v>
      </c>
      <c r="B27" s="294"/>
      <c r="C27" s="294"/>
      <c r="D27" s="294"/>
      <c r="E27" s="295"/>
      <c r="F27" s="21">
        <f>SUM(F24:F26)</f>
        <v>750799999.98000002</v>
      </c>
    </row>
    <row r="28" spans="1:12" ht="14.5" thickBot="1" x14ac:dyDescent="0.35">
      <c r="A28" s="293" t="s">
        <v>45</v>
      </c>
      <c r="B28" s="294"/>
      <c r="C28" s="294"/>
      <c r="D28" s="294"/>
      <c r="E28" s="295"/>
      <c r="F28" s="7">
        <f>(F18+F22+F27)</f>
        <v>1999999999.98</v>
      </c>
      <c r="H28" s="6"/>
    </row>
    <row r="30" spans="1:12" x14ac:dyDescent="0.3">
      <c r="H30" s="6"/>
    </row>
    <row r="32" spans="1:12" x14ac:dyDescent="0.3">
      <c r="E32" s="118"/>
      <c r="J32" s="6"/>
      <c r="K32" s="6"/>
      <c r="L32" s="6"/>
    </row>
    <row r="33" spans="5:12" x14ac:dyDescent="0.3">
      <c r="E33" s="118"/>
      <c r="J33" s="6"/>
      <c r="K33" s="6"/>
      <c r="L33" s="6"/>
    </row>
    <row r="34" spans="5:12" x14ac:dyDescent="0.3">
      <c r="E34" s="118"/>
      <c r="J34" s="6"/>
      <c r="K34" s="6"/>
      <c r="L34" s="6"/>
    </row>
  </sheetData>
  <mergeCells count="10">
    <mergeCell ref="G1:G2"/>
    <mergeCell ref="H1:H2"/>
    <mergeCell ref="I1:I2"/>
    <mergeCell ref="B2:F2"/>
    <mergeCell ref="A27:E27"/>
    <mergeCell ref="A28:E28"/>
    <mergeCell ref="A18:E18"/>
    <mergeCell ref="B19:F19"/>
    <mergeCell ref="A22:E22"/>
    <mergeCell ref="B23:F23"/>
  </mergeCells>
  <pageMargins left="0.7" right="0.7" top="0.75" bottom="0.75" header="0.3" footer="0.3"/>
  <pageSetup orientation="portrait" r:id="rId1"/>
  <ignoredErrors>
    <ignoredError sqref="F25" formula="1"/>
  </ignoredError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37"/>
  <sheetViews>
    <sheetView workbookViewId="0">
      <selection activeCell="H1" sqref="H1"/>
    </sheetView>
  </sheetViews>
  <sheetFormatPr baseColWidth="10" defaultRowHeight="14.5" x14ac:dyDescent="0.35"/>
  <cols>
    <col min="1" max="1" width="2.1796875" customWidth="1"/>
    <col min="2" max="2" width="45" customWidth="1"/>
    <col min="3" max="4" width="15.54296875" bestFit="1" customWidth="1"/>
    <col min="5" max="5" width="17.453125" customWidth="1"/>
    <col min="6" max="6" width="15.54296875" bestFit="1" customWidth="1"/>
    <col min="7" max="7" width="16.26953125" customWidth="1"/>
    <col min="8" max="8" width="15.54296875" bestFit="1" customWidth="1"/>
    <col min="9" max="9" width="12.7265625" bestFit="1" customWidth="1"/>
    <col min="10" max="10" width="18.26953125" bestFit="1" customWidth="1"/>
  </cols>
  <sheetData>
    <row r="1" spans="2:8" ht="15" thickBot="1" x14ac:dyDescent="0.4">
      <c r="B1" s="40" t="s">
        <v>2</v>
      </c>
      <c r="C1" s="114" t="s">
        <v>46</v>
      </c>
      <c r="D1" s="115" t="s">
        <v>47</v>
      </c>
      <c r="E1" s="115" t="s">
        <v>48</v>
      </c>
      <c r="F1" s="115" t="s">
        <v>49</v>
      </c>
      <c r="G1" s="115" t="s">
        <v>50</v>
      </c>
      <c r="H1" s="116" t="s">
        <v>51</v>
      </c>
    </row>
    <row r="2" spans="2:8" x14ac:dyDescent="0.35">
      <c r="B2" s="122" t="str">
        <f>('Presupuesto Convenio'!B3)</f>
        <v>Ingeniero Topográfico</v>
      </c>
      <c r="C2" s="123">
        <f>('Presupuesto Convenio'!D3*'Presupuesto Convenio'!C3)</f>
        <v>10600000</v>
      </c>
      <c r="D2" s="123">
        <f>('Presupuesto Convenio'!$D$3*'Presupuesto Convenio'!$C$3)</f>
        <v>10600000</v>
      </c>
      <c r="E2" s="123">
        <f>('Presupuesto Convenio'!D3*'Presupuesto Convenio'!C3)</f>
        <v>10600000</v>
      </c>
      <c r="F2" s="123">
        <f>('Presupuesto Convenio'!D3*'Presupuesto Convenio'!C3)</f>
        <v>10600000</v>
      </c>
      <c r="G2" s="123">
        <f>('Presupuesto Convenio'!D3*'Presupuesto Convenio'!C3)</f>
        <v>10600000</v>
      </c>
      <c r="H2" s="124">
        <f>('Presupuesto Convenio'!D3*'Presupuesto Convenio'!C3)</f>
        <v>10600000</v>
      </c>
    </row>
    <row r="3" spans="2:8" x14ac:dyDescent="0.35">
      <c r="B3" s="125" t="str">
        <f>('Presupuesto Convenio'!B4)</f>
        <v>Técnico Topográfico</v>
      </c>
      <c r="C3" s="68">
        <f>('Presupuesto Convenio'!D4*'Presupuesto Convenio'!C4)</f>
        <v>4000000</v>
      </c>
      <c r="D3" s="68">
        <f>('Presupuesto Convenio'!D4*'Presupuesto Convenio'!C4)</f>
        <v>4000000</v>
      </c>
      <c r="E3" s="68">
        <f>('Presupuesto Convenio'!D4*'Presupuesto Convenio'!C4)</f>
        <v>4000000</v>
      </c>
      <c r="F3" s="68">
        <f>('Presupuesto Convenio'!D4*'Presupuesto Convenio'!C4)</f>
        <v>4000000</v>
      </c>
      <c r="G3" s="68">
        <f>('Presupuesto Convenio'!D4*'Presupuesto Convenio'!C4)</f>
        <v>4000000</v>
      </c>
      <c r="H3" s="126">
        <f>('Presupuesto Convenio'!D4*'Presupuesto Convenio'!C4)</f>
        <v>4000000</v>
      </c>
    </row>
    <row r="4" spans="2:8" x14ac:dyDescent="0.35">
      <c r="B4" s="125" t="str">
        <f>('Presupuesto Convenio'!B5)</f>
        <v>Ingeniero catastral y geodesta</v>
      </c>
      <c r="C4" s="68">
        <f>('Presupuesto Convenio'!D5*'Presupuesto Convenio'!C5)</f>
        <v>5300000</v>
      </c>
      <c r="D4" s="68">
        <f>('Presupuesto Convenio'!D5*'Presupuesto Convenio'!C5)</f>
        <v>5300000</v>
      </c>
      <c r="E4" s="68">
        <f>('Presupuesto Convenio'!D5*'Presupuesto Convenio'!C5)</f>
        <v>5300000</v>
      </c>
      <c r="F4" s="68">
        <f>('Presupuesto Convenio'!D5*'Presupuesto Convenio'!C5)</f>
        <v>5300000</v>
      </c>
      <c r="G4" s="68">
        <f>('Presupuesto Convenio'!D5*'Presupuesto Convenio'!C5)</f>
        <v>5300000</v>
      </c>
      <c r="H4" s="126">
        <f>('Presupuesto Convenio'!D5*'Presupuesto Convenio'!C5)</f>
        <v>5300000</v>
      </c>
    </row>
    <row r="5" spans="2:8" x14ac:dyDescent="0.35">
      <c r="B5" s="125" t="str">
        <f>('Presupuesto Convenio'!B6)</f>
        <v>Especialista SIG</v>
      </c>
      <c r="C5" s="68">
        <f>('Presupuesto Convenio'!D6*'Presupuesto Convenio'!C6)</f>
        <v>10600000</v>
      </c>
      <c r="D5" s="68">
        <f>('Presupuesto Convenio'!D6*'Presupuesto Convenio'!C6)</f>
        <v>10600000</v>
      </c>
      <c r="E5" s="68">
        <f>('Presupuesto Convenio'!D6*'Presupuesto Convenio'!C6)</f>
        <v>10600000</v>
      </c>
      <c r="F5" s="68">
        <f>('Presupuesto Convenio'!D6*'Presupuesto Convenio'!C6)</f>
        <v>10600000</v>
      </c>
      <c r="G5" s="68">
        <f>('Presupuesto Convenio'!D6*'Presupuesto Convenio'!C6)</f>
        <v>10600000</v>
      </c>
      <c r="H5" s="126">
        <f>('Presupuesto Convenio'!D6*'Presupuesto Convenio'!C6)</f>
        <v>10600000</v>
      </c>
    </row>
    <row r="6" spans="2:8" x14ac:dyDescent="0.35">
      <c r="B6" s="125" t="str">
        <f>('Presupuesto Convenio'!B7)</f>
        <v>Ingeniero de Sistemas - Desarrollador</v>
      </c>
      <c r="C6" s="68">
        <f>('Presupuesto Convenio'!D7*'Presupuesto Convenio'!C7)</f>
        <v>10600000</v>
      </c>
      <c r="D6" s="68">
        <f>('Presupuesto Convenio'!D7*'Presupuesto Convenio'!C7)</f>
        <v>10600000</v>
      </c>
      <c r="E6" s="68">
        <f>('Presupuesto Convenio'!D7*'Presupuesto Convenio'!C7)</f>
        <v>10600000</v>
      </c>
      <c r="F6" s="68">
        <f>('Presupuesto Convenio'!D7*'Presupuesto Convenio'!C7)</f>
        <v>10600000</v>
      </c>
      <c r="G6" s="68">
        <f>('Presupuesto Convenio'!D7*'Presupuesto Convenio'!C7)</f>
        <v>10600000</v>
      </c>
      <c r="H6" s="126">
        <f>('Presupuesto Convenio'!D7*'Presupuesto Convenio'!C7)</f>
        <v>10600000</v>
      </c>
    </row>
    <row r="7" spans="2:8" x14ac:dyDescent="0.35">
      <c r="B7" s="125" t="str">
        <f>('Presupuesto Convenio'!B8)</f>
        <v>Ingeniero de Sistemas - Requerimientos</v>
      </c>
      <c r="C7" s="68">
        <f>('Presupuesto Convenio'!D8*'Presupuesto Convenio'!C8)</f>
        <v>10600000</v>
      </c>
      <c r="D7" s="68">
        <f>('Presupuesto Convenio'!D8*'Presupuesto Convenio'!C8)</f>
        <v>10600000</v>
      </c>
      <c r="E7" s="68">
        <f>('Presupuesto Convenio'!D8*'Presupuesto Convenio'!C8)</f>
        <v>10600000</v>
      </c>
      <c r="F7" s="68">
        <f>('Presupuesto Convenio'!D8*'Presupuesto Convenio'!C8)</f>
        <v>10600000</v>
      </c>
      <c r="G7" s="68">
        <f>('Presupuesto Convenio'!D8*'Presupuesto Convenio'!C8)</f>
        <v>10600000</v>
      </c>
      <c r="H7" s="126">
        <f>('Presupuesto Convenio'!D8*'Presupuesto Convenio'!C8)</f>
        <v>10600000</v>
      </c>
    </row>
    <row r="8" spans="2:8" x14ac:dyDescent="0.35">
      <c r="B8" s="125" t="str">
        <f>('Presupuesto Convenio'!B9)</f>
        <v>Profesionales Ciencías Agropecuarias</v>
      </c>
      <c r="C8" s="68">
        <f>('Presupuesto Convenio'!D9*'Presupuesto Convenio'!C9)</f>
        <v>42400000</v>
      </c>
      <c r="D8" s="68">
        <f>('Presupuesto Convenio'!D9*'Presupuesto Convenio'!C9)</f>
        <v>42400000</v>
      </c>
      <c r="E8" s="68">
        <f>('Presupuesto Convenio'!D9*'Presupuesto Convenio'!C9)</f>
        <v>42400000</v>
      </c>
      <c r="F8" s="68">
        <f>('Presupuesto Convenio'!D9*'Presupuesto Convenio'!C9)</f>
        <v>42400000</v>
      </c>
      <c r="G8" s="68">
        <f>('Presupuesto Convenio'!D9*'Presupuesto Convenio'!C9)</f>
        <v>42400000</v>
      </c>
      <c r="H8" s="126">
        <f>('Presupuesto Convenio'!D9*'Presupuesto Convenio'!C9)</f>
        <v>42400000</v>
      </c>
    </row>
    <row r="9" spans="2:8" x14ac:dyDescent="0.35">
      <c r="B9" s="125" t="str">
        <f>('Presupuesto Convenio'!B10)</f>
        <v>Profesional Administrativo - Financiero</v>
      </c>
      <c r="C9" s="68">
        <f>('Presupuesto Convenio'!D10*'Presupuesto Convenio'!C10)</f>
        <v>5300000</v>
      </c>
      <c r="D9" s="68">
        <f>('Presupuesto Convenio'!D10*'Presupuesto Convenio'!C10)</f>
        <v>5300000</v>
      </c>
      <c r="E9" s="68">
        <f>('Presupuesto Convenio'!D10*'Presupuesto Convenio'!C10)</f>
        <v>5300000</v>
      </c>
      <c r="F9" s="68">
        <f>('Presupuesto Convenio'!D10*'Presupuesto Convenio'!C10)</f>
        <v>5300000</v>
      </c>
      <c r="G9" s="68">
        <f>('Presupuesto Convenio'!D10*'Presupuesto Convenio'!C10)</f>
        <v>5300000</v>
      </c>
      <c r="H9" s="126">
        <f>('Presupuesto Convenio'!D10*'Presupuesto Convenio'!C10)</f>
        <v>5300000</v>
      </c>
    </row>
    <row r="10" spans="2:8" x14ac:dyDescent="0.35">
      <c r="B10" s="125" t="str">
        <f>('Presupuesto Convenio'!B11)</f>
        <v>Profesional Derecho</v>
      </c>
      <c r="C10" s="68">
        <f>('Presupuesto Convenio'!D11*'Presupuesto Convenio'!C11)</f>
        <v>8200000</v>
      </c>
      <c r="D10" s="68">
        <f>('Presupuesto Convenio'!D11*'Presupuesto Convenio'!C11)</f>
        <v>8200000</v>
      </c>
      <c r="E10" s="68">
        <f>('Presupuesto Convenio'!D11*'Presupuesto Convenio'!C11)</f>
        <v>8200000</v>
      </c>
      <c r="F10" s="68">
        <f>('Presupuesto Convenio'!D11*'Presupuesto Convenio'!C11)</f>
        <v>8200000</v>
      </c>
      <c r="G10" s="68">
        <f>('Presupuesto Convenio'!D11*'Presupuesto Convenio'!C11)</f>
        <v>8200000</v>
      </c>
      <c r="H10" s="126">
        <f>('Presupuesto Convenio'!D11*'Presupuesto Convenio'!C11)</f>
        <v>8200000</v>
      </c>
    </row>
    <row r="11" spans="2:8" x14ac:dyDescent="0.35">
      <c r="B11" s="125" t="str">
        <f>('Presupuesto Convenio'!B12)</f>
        <v>Profesional Social</v>
      </c>
      <c r="C11" s="68">
        <f>('Presupuesto Convenio'!D12*'Presupuesto Convenio'!C12)</f>
        <v>4100000</v>
      </c>
      <c r="D11" s="68">
        <f>('Presupuesto Convenio'!D12*'Presupuesto Convenio'!C12)</f>
        <v>4100000</v>
      </c>
      <c r="E11" s="68">
        <f>('Presupuesto Convenio'!D12*'Presupuesto Convenio'!C12)</f>
        <v>4100000</v>
      </c>
      <c r="F11" s="68">
        <f>('Presupuesto Convenio'!D12*'Presupuesto Convenio'!C12)</f>
        <v>4100000</v>
      </c>
      <c r="G11" s="68">
        <f>('Presupuesto Convenio'!D12*'Presupuesto Convenio'!C12)</f>
        <v>4100000</v>
      </c>
      <c r="H11" s="126">
        <f>('Presupuesto Convenio'!D12*'Presupuesto Convenio'!C12)</f>
        <v>4100000</v>
      </c>
    </row>
    <row r="12" spans="2:8" x14ac:dyDescent="0.35">
      <c r="B12" s="125" t="str">
        <f>('Presupuesto Convenio'!B13)</f>
        <v>Técnicos en Gestión Documental</v>
      </c>
      <c r="C12" s="68">
        <f>('Presupuesto Convenio'!D13*'Presupuesto Convenio'!C13)</f>
        <v>20000000</v>
      </c>
      <c r="D12" s="68">
        <f>('Presupuesto Convenio'!D13*'Presupuesto Convenio'!C13)</f>
        <v>20000000</v>
      </c>
      <c r="E12" s="68">
        <f>('Presupuesto Convenio'!D13*'Presupuesto Convenio'!C13)</f>
        <v>20000000</v>
      </c>
      <c r="F12" s="68">
        <f>('Presupuesto Convenio'!D13*'Presupuesto Convenio'!C13)</f>
        <v>20000000</v>
      </c>
      <c r="G12" s="68">
        <f>('Presupuesto Convenio'!D13*'Presupuesto Convenio'!C13)</f>
        <v>20000000</v>
      </c>
      <c r="H12" s="126">
        <f>('Presupuesto Convenio'!D13*'Presupuesto Convenio'!C13)</f>
        <v>20000000</v>
      </c>
    </row>
    <row r="13" spans="2:8" x14ac:dyDescent="0.35">
      <c r="B13" s="125" t="str">
        <f>('Presupuesto Convenio'!B14)</f>
        <v>Técnico Líder en Gestión Documental</v>
      </c>
      <c r="C13" s="68">
        <f>('Presupuesto Convenio'!D14*'Presupuesto Convenio'!C14)</f>
        <v>2800000</v>
      </c>
      <c r="D13" s="68">
        <f>('Presupuesto Convenio'!D14*'Presupuesto Convenio'!C14)</f>
        <v>2800000</v>
      </c>
      <c r="E13" s="68">
        <f>('Presupuesto Convenio'!D14*'Presupuesto Convenio'!C14)</f>
        <v>2800000</v>
      </c>
      <c r="F13" s="68">
        <f>('Presupuesto Convenio'!D14*'Presupuesto Convenio'!C14)</f>
        <v>2800000</v>
      </c>
      <c r="G13" s="68">
        <f>('Presupuesto Convenio'!D14*'Presupuesto Convenio'!C14)</f>
        <v>2800000</v>
      </c>
      <c r="H13" s="126">
        <f>('Presupuesto Convenio'!D14*'Presupuesto Convenio'!C14)</f>
        <v>2800000</v>
      </c>
    </row>
    <row r="14" spans="2:8" x14ac:dyDescent="0.35">
      <c r="B14" s="125" t="str">
        <f>('Presupuesto Convenio'!B15)</f>
        <v>Coordinador de Convenio</v>
      </c>
      <c r="C14" s="68">
        <f>('Presupuesto Convenio'!D15*'Presupuesto Convenio'!C15)</f>
        <v>8500000</v>
      </c>
      <c r="D14" s="68">
        <f>('Presupuesto Convenio'!D15*'Presupuesto Convenio'!C15)</f>
        <v>8500000</v>
      </c>
      <c r="E14" s="68">
        <f>('Presupuesto Convenio'!D15*'Presupuesto Convenio'!C15)</f>
        <v>8500000</v>
      </c>
      <c r="F14" s="68">
        <f>('Presupuesto Convenio'!D15*'Presupuesto Convenio'!C15)</f>
        <v>8500000</v>
      </c>
      <c r="G14" s="68">
        <f>('Presupuesto Convenio'!D15*'Presupuesto Convenio'!C15)</f>
        <v>8500000</v>
      </c>
      <c r="H14" s="126">
        <f>('Presupuesto Convenio'!D15*'Presupuesto Convenio'!C15)</f>
        <v>8500000</v>
      </c>
    </row>
    <row r="15" spans="2:8" x14ac:dyDescent="0.35">
      <c r="B15" s="125" t="str">
        <f>('Presupuesto Convenio'!B16)</f>
        <v>Profesional Administrativo</v>
      </c>
      <c r="C15" s="68">
        <f>('Presupuesto Convenio'!D16*'Presupuesto Convenio'!C16)</f>
        <v>4200000</v>
      </c>
      <c r="D15" s="68">
        <f>('Presupuesto Convenio'!D16*'Presupuesto Convenio'!C16)</f>
        <v>4200000</v>
      </c>
      <c r="E15" s="68">
        <f>('Presupuesto Convenio'!D16*'Presupuesto Convenio'!C16)</f>
        <v>4200000</v>
      </c>
      <c r="F15" s="68">
        <f>('Presupuesto Convenio'!D16*'Presupuesto Convenio'!C16)</f>
        <v>4200000</v>
      </c>
      <c r="G15" s="68">
        <f>('Presupuesto Convenio'!D16*'Presupuesto Convenio'!C16)</f>
        <v>4200000</v>
      </c>
      <c r="H15" s="126">
        <f>('Presupuesto Convenio'!D16*'Presupuesto Convenio'!C16)</f>
        <v>4200000</v>
      </c>
    </row>
    <row r="16" spans="2:8" ht="15" thickBot="1" x14ac:dyDescent="0.4">
      <c r="B16" s="127" t="str">
        <f>('Presupuesto Convenio'!B17)</f>
        <v>Profesional Financiero</v>
      </c>
      <c r="C16" s="128">
        <f>('Presupuesto Convenio'!D17*'Presupuesto Convenio'!C17)</f>
        <v>6000000</v>
      </c>
      <c r="D16" s="128">
        <f>('Presupuesto Convenio'!D17*'Presupuesto Convenio'!C17)</f>
        <v>6000000</v>
      </c>
      <c r="E16" s="128">
        <f>('Presupuesto Convenio'!D17*'Presupuesto Convenio'!C17)</f>
        <v>6000000</v>
      </c>
      <c r="F16" s="128">
        <f>('Presupuesto Convenio'!D17*'Presupuesto Convenio'!C17)</f>
        <v>6000000</v>
      </c>
      <c r="G16" s="128">
        <f>('Presupuesto Convenio'!D17*'Presupuesto Convenio'!C17)</f>
        <v>6000000</v>
      </c>
      <c r="H16" s="129">
        <f>('Presupuesto Convenio'!D17*'Presupuesto Convenio'!C17)</f>
        <v>6000000</v>
      </c>
    </row>
    <row r="17" spans="2:11" ht="15" thickBot="1" x14ac:dyDescent="0.4">
      <c r="B17" s="121" t="s">
        <v>52</v>
      </c>
      <c r="C17" s="119">
        <f t="shared" ref="C17:H17" si="0">SUM(C2:C16)</f>
        <v>153200000</v>
      </c>
      <c r="D17" s="76">
        <f t="shared" si="0"/>
        <v>153200000</v>
      </c>
      <c r="E17" s="76">
        <f t="shared" si="0"/>
        <v>153200000</v>
      </c>
      <c r="F17" s="76">
        <f t="shared" si="0"/>
        <v>153200000</v>
      </c>
      <c r="G17" s="76">
        <f t="shared" si="0"/>
        <v>153200000</v>
      </c>
      <c r="H17" s="120">
        <f t="shared" si="0"/>
        <v>153200000</v>
      </c>
      <c r="I17" s="1"/>
      <c r="J17" s="1"/>
    </row>
    <row r="18" spans="2:11" x14ac:dyDescent="0.35">
      <c r="B18" s="130" t="s">
        <v>19</v>
      </c>
      <c r="C18" s="34">
        <f>('Presupuesto Convenio'!D20*'Presupuesto Convenio'!C20)</f>
        <v>30000000</v>
      </c>
      <c r="D18" s="34">
        <f>('Presupuesto Convenio'!$D$20)</f>
        <v>30000000</v>
      </c>
      <c r="E18" s="34">
        <f>('Presupuesto Convenio'!$D$20)</f>
        <v>30000000</v>
      </c>
      <c r="F18" s="34">
        <f>('Presupuesto Convenio'!$D$20)</f>
        <v>30000000</v>
      </c>
      <c r="G18" s="34">
        <f>('Presupuesto Convenio'!$D$20)</f>
        <v>30000000</v>
      </c>
      <c r="H18" s="35">
        <f>('Presupuesto Convenio'!$D$20)</f>
        <v>30000000</v>
      </c>
    </row>
    <row r="19" spans="2:11" ht="15" thickBot="1" x14ac:dyDescent="0.4">
      <c r="B19" s="12" t="s">
        <v>18</v>
      </c>
      <c r="C19" s="14"/>
      <c r="D19" s="14">
        <v>30000000</v>
      </c>
      <c r="E19" s="14">
        <v>30000000</v>
      </c>
      <c r="F19" s="14">
        <v>30000000</v>
      </c>
      <c r="G19" s="14">
        <v>30000000</v>
      </c>
      <c r="H19" s="16">
        <v>30000000</v>
      </c>
    </row>
    <row r="20" spans="2:11" ht="15" thickBot="1" x14ac:dyDescent="0.4">
      <c r="B20" s="47" t="s">
        <v>53</v>
      </c>
      <c r="C20" s="76">
        <f>SUM(C18:C19)</f>
        <v>30000000</v>
      </c>
      <c r="D20" s="76">
        <f t="shared" ref="D20:H20" si="1">SUM(D18:D19)</f>
        <v>60000000</v>
      </c>
      <c r="E20" s="76">
        <f t="shared" si="1"/>
        <v>60000000</v>
      </c>
      <c r="F20" s="76">
        <f t="shared" si="1"/>
        <v>60000000</v>
      </c>
      <c r="G20" s="76">
        <f t="shared" si="1"/>
        <v>60000000</v>
      </c>
      <c r="H20" s="76">
        <f t="shared" si="1"/>
        <v>60000000</v>
      </c>
    </row>
    <row r="21" spans="2:11" x14ac:dyDescent="0.35">
      <c r="B21" s="32" t="str">
        <f>('Presupuesto Convenio'!B24)</f>
        <v>Gastos Operacionales</v>
      </c>
      <c r="C21" s="34">
        <f>('Presupuesto Convenio'!$D$24)</f>
        <v>33060000</v>
      </c>
      <c r="D21" s="34">
        <f>('Presupuesto Convenio'!$D$24)</f>
        <v>33060000</v>
      </c>
      <c r="E21" s="34">
        <f>('Presupuesto Convenio'!$D$24)</f>
        <v>33060000</v>
      </c>
      <c r="F21" s="34">
        <f>('Presupuesto Convenio'!$D$24)</f>
        <v>33060000</v>
      </c>
      <c r="G21" s="34">
        <f>('Presupuesto Convenio'!$D$24)</f>
        <v>33060000</v>
      </c>
      <c r="H21" s="35">
        <f>('Presupuesto Convenio'!$D$24)</f>
        <v>33060000</v>
      </c>
      <c r="I21" s="1"/>
    </row>
    <row r="22" spans="2:11" x14ac:dyDescent="0.35">
      <c r="B22" s="69" t="str">
        <f>('Presupuesto Convenio'!B25)</f>
        <v>Gastos Administrativos</v>
      </c>
      <c r="C22" s="71">
        <f>('Presupuesto Convenio'!$D$25)</f>
        <v>33333333.329999998</v>
      </c>
      <c r="D22" s="71">
        <f>('Presupuesto Convenio'!$D$25)</f>
        <v>33333333.329999998</v>
      </c>
      <c r="E22" s="71">
        <f>('Presupuesto Convenio'!$D$25)</f>
        <v>33333333.329999998</v>
      </c>
      <c r="F22" s="71">
        <f>('Presupuesto Convenio'!$D$25)</f>
        <v>33333333.329999998</v>
      </c>
      <c r="G22" s="71">
        <f>('Presupuesto Convenio'!$D$25)</f>
        <v>33333333.329999998</v>
      </c>
      <c r="H22" s="72">
        <f>('Presupuesto Convenio'!$D$25)</f>
        <v>33333333.329999998</v>
      </c>
      <c r="I22" s="1"/>
    </row>
    <row r="23" spans="2:11" ht="15" thickBot="1" x14ac:dyDescent="0.4">
      <c r="B23" s="12" t="s">
        <v>43</v>
      </c>
      <c r="C23" s="14">
        <f>('Presupuesto Convenio'!$D$26)</f>
        <v>58740000</v>
      </c>
      <c r="D23" s="14">
        <f>('Presupuesto Convenio'!$D$26)</f>
        <v>58740000</v>
      </c>
      <c r="E23" s="14">
        <f>('Presupuesto Convenio'!$D$26)</f>
        <v>58740000</v>
      </c>
      <c r="F23" s="14">
        <f>('Presupuesto Convenio'!$D$26)</f>
        <v>58740000</v>
      </c>
      <c r="G23" s="14">
        <f>('Presupuesto Convenio'!$D$26)</f>
        <v>58740000</v>
      </c>
      <c r="H23" s="16">
        <f>('Presupuesto Convenio'!$D$26)</f>
        <v>58740000</v>
      </c>
      <c r="I23" s="1"/>
    </row>
    <row r="24" spans="2:11" ht="15" thickBot="1" x14ac:dyDescent="0.4">
      <c r="B24" s="47" t="s">
        <v>54</v>
      </c>
      <c r="C24" s="76">
        <f>SUM(C21:C23)</f>
        <v>125133333.33</v>
      </c>
      <c r="D24" s="76">
        <f t="shared" ref="D24:H24" si="2">SUM(D21:D23)</f>
        <v>125133333.33</v>
      </c>
      <c r="E24" s="76">
        <f t="shared" si="2"/>
        <v>125133333.33</v>
      </c>
      <c r="F24" s="76">
        <f t="shared" si="2"/>
        <v>125133333.33</v>
      </c>
      <c r="G24" s="76">
        <f t="shared" si="2"/>
        <v>125133333.33</v>
      </c>
      <c r="H24" s="76">
        <f t="shared" si="2"/>
        <v>125133333.33</v>
      </c>
    </row>
    <row r="25" spans="2:11" ht="18" x14ac:dyDescent="0.4">
      <c r="B25" s="48" t="s">
        <v>55</v>
      </c>
      <c r="C25" s="77">
        <f>(C17+C20+C24)</f>
        <v>308333333.32999998</v>
      </c>
      <c r="D25" s="77">
        <f t="shared" ref="D25:H25" si="3">(D17+D20+D24)</f>
        <v>338333333.32999998</v>
      </c>
      <c r="E25" s="78">
        <f t="shared" si="3"/>
        <v>338333333.32999998</v>
      </c>
      <c r="F25" s="78">
        <f t="shared" si="3"/>
        <v>338333333.32999998</v>
      </c>
      <c r="G25" s="79">
        <f t="shared" si="3"/>
        <v>338333333.32999998</v>
      </c>
      <c r="H25" s="79">
        <f t="shared" si="3"/>
        <v>338333333.32999998</v>
      </c>
    </row>
    <row r="26" spans="2:11" ht="15" thickBot="1" x14ac:dyDescent="0.4">
      <c r="B26" s="2"/>
      <c r="C26" s="2"/>
      <c r="D26" s="2"/>
      <c r="E26" s="2"/>
      <c r="F26" s="2"/>
      <c r="G26" s="2"/>
      <c r="H26" s="2"/>
    </row>
    <row r="27" spans="2:11" ht="29" thickBot="1" x14ac:dyDescent="0.4">
      <c r="B27" s="87" t="s">
        <v>59</v>
      </c>
      <c r="C27" s="92">
        <v>2000000000</v>
      </c>
      <c r="D27" s="96" t="s">
        <v>62</v>
      </c>
      <c r="E27" s="101" t="s">
        <v>61</v>
      </c>
      <c r="F27" s="49" t="s">
        <v>63</v>
      </c>
      <c r="G27" s="105" t="s">
        <v>60</v>
      </c>
      <c r="H27" s="2"/>
      <c r="I27" s="57"/>
      <c r="J27" s="57"/>
      <c r="K27" s="57"/>
    </row>
    <row r="28" spans="2:11" x14ac:dyDescent="0.35">
      <c r="B28" s="88" t="s">
        <v>56</v>
      </c>
      <c r="C28" s="93">
        <v>0.4</v>
      </c>
      <c r="D28" s="97">
        <f>+D34</f>
        <v>800000000</v>
      </c>
      <c r="E28" s="102">
        <f>+C25+D25</f>
        <v>646666666.65999997</v>
      </c>
      <c r="F28" s="106">
        <v>0</v>
      </c>
      <c r="G28" s="109">
        <f>+D28-E28</f>
        <v>153333333.34000003</v>
      </c>
      <c r="H28" s="2"/>
      <c r="I28" s="58"/>
      <c r="J28" s="59"/>
      <c r="K28" s="57"/>
    </row>
    <row r="29" spans="2:11" x14ac:dyDescent="0.35">
      <c r="B29" s="89" t="s">
        <v>57</v>
      </c>
      <c r="C29" s="94">
        <v>0.3</v>
      </c>
      <c r="D29" s="98">
        <f>+D35</f>
        <v>600000000</v>
      </c>
      <c r="E29" s="103">
        <f>(E25+F25)</f>
        <v>676666666.65999997</v>
      </c>
      <c r="F29" s="107">
        <f>+G28</f>
        <v>153333333.34000003</v>
      </c>
      <c r="G29" s="110">
        <f>((D29+F29)-E29)</f>
        <v>76666666.680000067</v>
      </c>
      <c r="H29" s="6"/>
      <c r="I29" s="57"/>
      <c r="J29" s="60"/>
      <c r="K29" s="57"/>
    </row>
    <row r="30" spans="2:11" x14ac:dyDescent="0.35">
      <c r="B30" s="90" t="s">
        <v>58</v>
      </c>
      <c r="C30" s="95">
        <v>0.25</v>
      </c>
      <c r="D30" s="99">
        <f>+D36</f>
        <v>500000000</v>
      </c>
      <c r="E30" s="104">
        <f>(G25+H25)</f>
        <v>676666666.65999997</v>
      </c>
      <c r="F30" s="107">
        <f>+G29</f>
        <v>76666666.680000067</v>
      </c>
      <c r="G30" s="110">
        <f>(((D30+F30)-E30))</f>
        <v>-99999999.9799999</v>
      </c>
      <c r="H30" s="2"/>
      <c r="I30" s="57"/>
      <c r="J30" s="57"/>
      <c r="K30" s="57"/>
    </row>
    <row r="31" spans="2:11" ht="15" thickBot="1" x14ac:dyDescent="0.4">
      <c r="B31" s="91" t="s">
        <v>111</v>
      </c>
      <c r="C31" s="111">
        <v>0.05</v>
      </c>
      <c r="D31" s="100">
        <f>+D37</f>
        <v>100000000</v>
      </c>
      <c r="E31" s="112">
        <f>(G26+H26)</f>
        <v>0</v>
      </c>
      <c r="F31" s="108">
        <f>+G30</f>
        <v>-99999999.9799999</v>
      </c>
      <c r="G31" s="113">
        <f>(D31+F31)</f>
        <v>2.0000100135803223E-2</v>
      </c>
      <c r="H31" s="2"/>
      <c r="I31" s="57"/>
      <c r="J31" s="61"/>
      <c r="K31" s="57"/>
    </row>
    <row r="32" spans="2:11" ht="15" thickBot="1" x14ac:dyDescent="0.4">
      <c r="B32" s="2"/>
      <c r="C32" s="2"/>
      <c r="D32" s="2"/>
      <c r="E32" s="2"/>
      <c r="F32" s="2"/>
      <c r="G32" s="2"/>
      <c r="H32" s="2"/>
      <c r="I32" s="57"/>
      <c r="J32" s="57"/>
      <c r="K32" s="57"/>
    </row>
    <row r="33" spans="2:11" ht="15" thickBot="1" x14ac:dyDescent="0.4">
      <c r="B33" s="49" t="s">
        <v>64</v>
      </c>
      <c r="C33" s="53" t="s">
        <v>65</v>
      </c>
      <c r="D33" s="49" t="s">
        <v>66</v>
      </c>
      <c r="E33" s="53" t="s">
        <v>67</v>
      </c>
      <c r="F33" s="49" t="s">
        <v>68</v>
      </c>
      <c r="G33" s="2"/>
      <c r="H33" s="2"/>
      <c r="I33" s="57"/>
      <c r="J33" s="57"/>
      <c r="K33" s="57"/>
    </row>
    <row r="34" spans="2:11" x14ac:dyDescent="0.35">
      <c r="B34" s="52">
        <v>1</v>
      </c>
      <c r="C34" s="54">
        <v>0.4</v>
      </c>
      <c r="D34" s="81">
        <f>($C$27*C34)</f>
        <v>800000000</v>
      </c>
      <c r="E34" s="83">
        <v>2.3E-2</v>
      </c>
      <c r="F34" s="86" t="s">
        <v>69</v>
      </c>
      <c r="G34" s="2"/>
      <c r="H34" s="2"/>
      <c r="I34" s="57"/>
      <c r="J34" s="57"/>
      <c r="K34" s="57"/>
    </row>
    <row r="35" spans="2:11" x14ac:dyDescent="0.35">
      <c r="B35" s="50">
        <v>2</v>
      </c>
      <c r="C35" s="55">
        <v>0.3</v>
      </c>
      <c r="D35" s="56">
        <f t="shared" ref="D35:D37" si="4">($C$27*C35)</f>
        <v>600000000</v>
      </c>
      <c r="E35" s="84">
        <v>0.4</v>
      </c>
      <c r="F35" s="50" t="s">
        <v>48</v>
      </c>
      <c r="G35" s="2"/>
      <c r="H35" s="2"/>
      <c r="I35" s="57"/>
      <c r="J35" s="57"/>
      <c r="K35" s="57"/>
    </row>
    <row r="36" spans="2:11" x14ac:dyDescent="0.35">
      <c r="B36" s="50">
        <v>3</v>
      </c>
      <c r="C36" s="55">
        <v>0.25</v>
      </c>
      <c r="D36" s="56">
        <f t="shared" si="4"/>
        <v>500000000</v>
      </c>
      <c r="E36" s="84">
        <v>0.7</v>
      </c>
      <c r="F36" s="50" t="s">
        <v>50</v>
      </c>
      <c r="G36" s="2"/>
      <c r="H36" s="2"/>
    </row>
    <row r="37" spans="2:11" ht="15" thickBot="1" x14ac:dyDescent="0.4">
      <c r="B37" s="51">
        <v>4</v>
      </c>
      <c r="C37" s="80">
        <v>0.05</v>
      </c>
      <c r="D37" s="82">
        <f t="shared" si="4"/>
        <v>100000000</v>
      </c>
      <c r="E37" s="85">
        <v>1</v>
      </c>
      <c r="F37" s="51" t="s">
        <v>112</v>
      </c>
    </row>
  </sheetData>
  <pageMargins left="0.7" right="0.7" top="0.75" bottom="0.75" header="0.3" footer="0.3"/>
  <pageSetup orientation="portrait" r:id="rId1"/>
  <ignoredErrors>
    <ignoredError sqref="D2" formula="1"/>
  </ignoredError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249977111117893"/>
  </sheetPr>
  <dimension ref="A1:K27"/>
  <sheetViews>
    <sheetView showGridLines="0" zoomScale="90" zoomScaleNormal="90" workbookViewId="0">
      <selection activeCell="F9" sqref="F9:G9"/>
    </sheetView>
  </sheetViews>
  <sheetFormatPr baseColWidth="10" defaultColWidth="11.453125" defaultRowHeight="14.5" x14ac:dyDescent="0.35"/>
  <cols>
    <col min="1" max="1" width="10" style="208" customWidth="1"/>
    <col min="2" max="2" width="60.54296875" style="208" customWidth="1"/>
    <col min="3" max="3" width="32.453125" style="208" customWidth="1"/>
    <col min="4" max="4" width="13.54296875" style="209" bestFit="1" customWidth="1"/>
    <col min="5" max="5" width="14.1796875" style="210" bestFit="1" customWidth="1"/>
    <col min="6" max="6" width="13.453125" style="208" customWidth="1"/>
    <col min="7" max="7" width="14.81640625" style="208" bestFit="1" customWidth="1"/>
    <col min="8" max="8" width="13.26953125" style="210" bestFit="1" customWidth="1"/>
    <col min="9" max="9" width="16.81640625" style="208" bestFit="1" customWidth="1"/>
    <col min="10" max="16384" width="11.453125" style="208"/>
  </cols>
  <sheetData>
    <row r="1" spans="1:11" ht="15" thickBot="1" x14ac:dyDescent="0.4">
      <c r="F1" s="211" t="s">
        <v>150</v>
      </c>
      <c r="G1" s="211" t="s">
        <v>151</v>
      </c>
      <c r="H1" s="212" t="s">
        <v>152</v>
      </c>
    </row>
    <row r="2" spans="1:11" ht="15.5" thickTop="1" thickBot="1" x14ac:dyDescent="0.4">
      <c r="A2" s="323" t="s">
        <v>84</v>
      </c>
      <c r="B2" s="324"/>
      <c r="C2" s="213">
        <v>2000000000</v>
      </c>
      <c r="E2" s="214" t="s">
        <v>148</v>
      </c>
      <c r="F2" s="215">
        <v>292840000</v>
      </c>
      <c r="G2" s="215">
        <v>132570000</v>
      </c>
      <c r="H2" s="215">
        <f>SUM(F2:G2)</f>
        <v>425410000</v>
      </c>
      <c r="K2" s="216"/>
    </row>
    <row r="3" spans="1:11" ht="17.5" thickBot="1" x14ac:dyDescent="0.45">
      <c r="A3" s="217"/>
      <c r="B3" s="217"/>
      <c r="C3" s="218"/>
      <c r="E3" s="214" t="s">
        <v>149</v>
      </c>
      <c r="F3" s="215">
        <v>30000000</v>
      </c>
      <c r="G3" s="215">
        <v>195780000</v>
      </c>
      <c r="H3" s="215">
        <f>SUM(F3:G3)</f>
        <v>225780000</v>
      </c>
      <c r="I3" s="219">
        <f>SUM(H3+H2)</f>
        <v>651190000</v>
      </c>
      <c r="K3" s="216"/>
    </row>
    <row r="4" spans="1:11" ht="15" thickBot="1" x14ac:dyDescent="0.4">
      <c r="C4" s="314" t="s">
        <v>190</v>
      </c>
      <c r="D4" s="315"/>
      <c r="E4" s="316"/>
      <c r="F4" s="311" t="s">
        <v>189</v>
      </c>
      <c r="G4" s="312"/>
      <c r="H4" s="313"/>
    </row>
    <row r="5" spans="1:11" ht="29.5" thickBot="1" x14ac:dyDescent="0.4">
      <c r="A5" s="220" t="s">
        <v>80</v>
      </c>
      <c r="B5" s="220" t="s">
        <v>81</v>
      </c>
      <c r="C5" s="221" t="s">
        <v>78</v>
      </c>
      <c r="D5" s="222" t="s">
        <v>82</v>
      </c>
      <c r="E5" s="223" t="s">
        <v>83</v>
      </c>
      <c r="F5" s="224" t="s">
        <v>148</v>
      </c>
      <c r="G5" s="225" t="s">
        <v>149</v>
      </c>
      <c r="H5" s="226" t="s">
        <v>83</v>
      </c>
    </row>
    <row r="6" spans="1:11" x14ac:dyDescent="0.35">
      <c r="A6" s="322" t="s">
        <v>70</v>
      </c>
      <c r="B6" s="321" t="s">
        <v>71</v>
      </c>
      <c r="C6" s="227" t="s">
        <v>7</v>
      </c>
      <c r="D6" s="228">
        <f>('Presupuesto Mensual'!C14+'Presupuesto Mensual'!C15+'Presupuesto Mensual'!C16)</f>
        <v>18700000</v>
      </c>
      <c r="E6" s="229">
        <f>(D6/C2)</f>
        <v>9.3500000000000007E-3</v>
      </c>
      <c r="F6" s="230">
        <f>+'PARTICIPACION % CONTRAPARTIDA'!D9*'PARTICIPACION % CONTRAPARTIDA'!E9+'PARTICIPACION % CONTRAPARTIDA'!D7*'PARTICIPACION % CONTRAPARTIDA'!E7</f>
        <v>30500000</v>
      </c>
      <c r="G6" s="231">
        <v>0</v>
      </c>
      <c r="H6" s="232">
        <f>+F6/I3</f>
        <v>4.6837328583055636E-2</v>
      </c>
    </row>
    <row r="7" spans="1:11" x14ac:dyDescent="0.35">
      <c r="A7" s="319"/>
      <c r="B7" s="317"/>
      <c r="C7" s="233" t="s">
        <v>108</v>
      </c>
      <c r="D7" s="234">
        <f>('Presupuesto Convenio'!F24*5%)</f>
        <v>9918000</v>
      </c>
      <c r="E7" s="235">
        <f>(D7/C2)</f>
        <v>4.9589999999999999E-3</v>
      </c>
      <c r="F7" s="236">
        <v>0</v>
      </c>
      <c r="G7" s="237">
        <f>'PARTICIPACION % CONTRAPARTIDA'!D40*'PARTICIPACION % CONTRAPARTIDA'!E40</f>
        <v>48945000</v>
      </c>
      <c r="H7" s="232">
        <f>+G7/I3</f>
        <v>7.5162394999923221E-2</v>
      </c>
    </row>
    <row r="8" spans="1:11" ht="15" thickBot="1" x14ac:dyDescent="0.4">
      <c r="A8" s="319"/>
      <c r="B8" s="317"/>
      <c r="C8" s="238" t="s">
        <v>107</v>
      </c>
      <c r="D8" s="239">
        <f>('Presupuesto Convenio'!F25*0.05)</f>
        <v>9999999.9989999998</v>
      </c>
      <c r="E8" s="240">
        <f>(D8/$C$2)</f>
        <v>4.9999999994999999E-3</v>
      </c>
      <c r="F8" s="241">
        <f>'PARTICIPACION % CONTRAPARTIDA'!D24*'PARTICIPACION % CONTRAPARTIDA'!E24</f>
        <v>33142500</v>
      </c>
      <c r="G8" s="242">
        <v>0</v>
      </c>
      <c r="H8" s="243">
        <f>+F8/I3</f>
        <v>5.089528401848923E-2</v>
      </c>
    </row>
    <row r="9" spans="1:11" ht="15" thickBot="1" x14ac:dyDescent="0.4">
      <c r="A9" s="319"/>
      <c r="B9" s="317"/>
      <c r="C9" s="244" t="s">
        <v>79</v>
      </c>
      <c r="D9" s="245">
        <f>SUM(D6:D8)</f>
        <v>38617999.998999998</v>
      </c>
      <c r="E9" s="246">
        <f>(D9/C2)</f>
        <v>1.93089999995E-2</v>
      </c>
      <c r="F9" s="247">
        <f>SUM(F6:F8)</f>
        <v>63642500</v>
      </c>
      <c r="G9" s="248">
        <f>SUM(G6:G8)</f>
        <v>48945000</v>
      </c>
      <c r="H9" s="249">
        <f>SUM(H6:H8)</f>
        <v>0.17289500760146809</v>
      </c>
    </row>
    <row r="10" spans="1:11" x14ac:dyDescent="0.35">
      <c r="A10" s="319" t="s">
        <v>72</v>
      </c>
      <c r="B10" s="317" t="s">
        <v>73</v>
      </c>
      <c r="C10" s="250" t="s">
        <v>7</v>
      </c>
      <c r="D10" s="251">
        <f>('Presupuesto Convenio'!F7+'Presupuesto Convenio'!F8)</f>
        <v>127200000</v>
      </c>
      <c r="E10" s="252">
        <f t="shared" ref="E10:E22" si="0">(D10/$C$2)</f>
        <v>6.3600000000000004E-2</v>
      </c>
      <c r="F10" s="253">
        <f>+'PARTICIPACION % CONTRAPARTIDA'!D8*'PARTICIPACION % CONTRAPARTIDA'!F8+'PARTICIPACION % CONTRAPARTIDA'!D9*'PARTICIPACION % CONTRAPARTIDA'!F9</f>
        <v>17300000</v>
      </c>
      <c r="G10" s="254">
        <f>'PARTICIPACION % CONTRAPARTIDA'!D41*'PARTICIPACION % CONTRAPARTIDA'!F41</f>
        <v>6000000</v>
      </c>
      <c r="H10" s="255">
        <f>(F10+G10)/I3</f>
        <v>3.5780647737219555E-2</v>
      </c>
    </row>
    <row r="11" spans="1:11" x14ac:dyDescent="0.35">
      <c r="A11" s="319"/>
      <c r="B11" s="317"/>
      <c r="C11" s="233" t="s">
        <v>108</v>
      </c>
      <c r="D11" s="256">
        <f>('Presupuesto Convenio'!F24*20%)</f>
        <v>39672000</v>
      </c>
      <c r="E11" s="257">
        <f t="shared" si="0"/>
        <v>1.9835999999999999E-2</v>
      </c>
      <c r="F11" s="258">
        <f>('[1]Presupuesto Convenio'!I25*20%)</f>
        <v>0</v>
      </c>
      <c r="G11" s="259">
        <f>'PARTICIPACION % CONTRAPARTIDA'!D40*'PARTICIPACION % CONTRAPARTIDA'!F40</f>
        <v>48945000</v>
      </c>
      <c r="H11" s="260">
        <f>+G11/I3</f>
        <v>7.5162394999923221E-2</v>
      </c>
    </row>
    <row r="12" spans="1:11" ht="15" thickBot="1" x14ac:dyDescent="0.4">
      <c r="A12" s="319"/>
      <c r="B12" s="317"/>
      <c r="C12" s="238" t="s">
        <v>107</v>
      </c>
      <c r="D12" s="261">
        <f>('Presupuesto Convenio'!F25*0.2)</f>
        <v>39999999.995999999</v>
      </c>
      <c r="E12" s="262">
        <f t="shared" si="0"/>
        <v>1.9999999998E-2</v>
      </c>
      <c r="F12" s="263">
        <f>+'PARTICIPACION % CONTRAPARTIDA'!D24*'PARTICIPACION % CONTRAPARTIDA'!F24</f>
        <v>33142500</v>
      </c>
      <c r="G12" s="264">
        <v>0</v>
      </c>
      <c r="H12" s="265">
        <f>+F12/I3</f>
        <v>5.089528401848923E-2</v>
      </c>
    </row>
    <row r="13" spans="1:11" ht="15" thickBot="1" x14ac:dyDescent="0.4">
      <c r="A13" s="319"/>
      <c r="B13" s="317"/>
      <c r="C13" s="244" t="s">
        <v>79</v>
      </c>
      <c r="D13" s="245">
        <f>SUM(D10:D12)</f>
        <v>206871999.99599999</v>
      </c>
      <c r="E13" s="246">
        <f t="shared" si="0"/>
        <v>0.103435999998</v>
      </c>
      <c r="F13" s="247">
        <f>SUM(F10:F12)</f>
        <v>50442500</v>
      </c>
      <c r="G13" s="248">
        <f>SUM(G10:G12)</f>
        <v>54945000</v>
      </c>
      <c r="H13" s="249">
        <f>SUM(H10:H12)</f>
        <v>0.16183832675563201</v>
      </c>
      <c r="I13" s="210"/>
    </row>
    <row r="14" spans="1:11" x14ac:dyDescent="0.35">
      <c r="A14" s="319" t="s">
        <v>74</v>
      </c>
      <c r="B14" s="317" t="s">
        <v>75</v>
      </c>
      <c r="C14" s="250" t="s">
        <v>7</v>
      </c>
      <c r="D14" s="251">
        <f>('Presupuesto Convenio'!F13+'Presupuesto Convenio'!F14)</f>
        <v>136800000</v>
      </c>
      <c r="E14" s="252">
        <f t="shared" si="0"/>
        <v>6.8400000000000002E-2</v>
      </c>
      <c r="F14" s="253">
        <f>+'PARTICIPACION % CONTRAPARTIDA'!D8*'PARTICIPACION % CONTRAPARTIDA'!G8+'PARTICIPACION % CONTRAPARTIDA'!D9*'PARTICIPACION % CONTRAPARTIDA'!G9</f>
        <v>29350000</v>
      </c>
      <c r="G14" s="254">
        <f>'PARTICIPACION % CONTRAPARTIDA'!D41*'PARTICIPACION % CONTRAPARTIDA'!G41</f>
        <v>12000000</v>
      </c>
      <c r="H14" s="255">
        <f>(F14+G14)/I3</f>
        <v>6.3499132357683619E-2</v>
      </c>
    </row>
    <row r="15" spans="1:11" x14ac:dyDescent="0.35">
      <c r="A15" s="319"/>
      <c r="B15" s="317"/>
      <c r="C15" s="233" t="s">
        <v>108</v>
      </c>
      <c r="D15" s="256">
        <f>('Presupuesto Convenio'!F24*20%)</f>
        <v>39672000</v>
      </c>
      <c r="E15" s="257">
        <f t="shared" si="0"/>
        <v>1.9835999999999999E-2</v>
      </c>
      <c r="F15" s="258">
        <f>('[1]Presupuesto Convenio'!I25*20%)</f>
        <v>0</v>
      </c>
      <c r="G15" s="259">
        <f>'PARTICIPACION % CONTRAPARTIDA'!D40*'PARTICIPACION % CONTRAPARTIDA'!G40</f>
        <v>48945000</v>
      </c>
      <c r="H15" s="260">
        <f>+G15/I3</f>
        <v>7.5162394999923221E-2</v>
      </c>
    </row>
    <row r="16" spans="1:11" ht="15" thickBot="1" x14ac:dyDescent="0.4">
      <c r="A16" s="319"/>
      <c r="B16" s="317"/>
      <c r="C16" s="238" t="s">
        <v>107</v>
      </c>
      <c r="D16" s="261">
        <f>('Presupuesto Convenio'!F25*0.2)</f>
        <v>39999999.995999999</v>
      </c>
      <c r="E16" s="262">
        <f t="shared" si="0"/>
        <v>1.9999999998E-2</v>
      </c>
      <c r="F16" s="263">
        <f>+'PARTICIPACION % CONTRAPARTIDA'!D24*'PARTICIPACION % CONTRAPARTIDA'!G24</f>
        <v>33142500</v>
      </c>
      <c r="G16" s="264">
        <v>0</v>
      </c>
      <c r="H16" s="265">
        <f>+F16/I3</f>
        <v>5.089528401848923E-2</v>
      </c>
    </row>
    <row r="17" spans="1:9" ht="15" thickBot="1" x14ac:dyDescent="0.4">
      <c r="A17" s="319"/>
      <c r="B17" s="317"/>
      <c r="C17" s="244" t="s">
        <v>79</v>
      </c>
      <c r="D17" s="245">
        <f>SUM(D14:D16)</f>
        <v>216471999.99599999</v>
      </c>
      <c r="E17" s="246">
        <f t="shared" si="0"/>
        <v>0.108235999998</v>
      </c>
      <c r="F17" s="247">
        <f>SUM(F14:F16)</f>
        <v>62492500</v>
      </c>
      <c r="G17" s="248">
        <f>SUM(G14:G16)</f>
        <v>60945000</v>
      </c>
      <c r="H17" s="249">
        <f>SUM(H14:H16)</f>
        <v>0.18955681137609606</v>
      </c>
      <c r="I17" s="210"/>
    </row>
    <row r="18" spans="1:9" ht="16.5" customHeight="1" x14ac:dyDescent="0.35">
      <c r="A18" s="319" t="s">
        <v>76</v>
      </c>
      <c r="B18" s="317" t="s">
        <v>77</v>
      </c>
      <c r="C18" s="277" t="s">
        <v>7</v>
      </c>
      <c r="D18" s="278">
        <f>('Presupuesto Convenio'!F3+'Presupuesto Convenio'!F4+'Presupuesto Convenio'!F5+'Presupuesto Convenio'!F6+'Presupuesto Convenio'!F7+'Presupuesto Convenio'!F8+'Presupuesto Convenio'!F9+'Presupuesto Convenio'!F10+'Presupuesto Convenio'!F11+'Presupuesto Convenio'!F12+'Presupuesto Convenio'!F15+'Presupuesto Convenio'!F16+'Presupuesto Convenio'!F17)-D6-D10</f>
        <v>636500000</v>
      </c>
      <c r="E18" s="279">
        <f t="shared" si="0"/>
        <v>0.31824999999999998</v>
      </c>
      <c r="F18" s="280">
        <f>+'PARTICIPACION % CONTRAPARTIDA'!D4*'PARTICIPACION % CONTRAPARTIDA'!H4+14562000*'PARTICIPACION % CONTRAPARTIDA'!H5+'PARTICIPACION % CONTRAPARTIDA'!D6*'PARTICIPACION % CONTRAPARTIDA'!H6+'PARTICIPACION % CONTRAPARTIDA'!D7*'PARTICIPACION % CONTRAPARTIDA'!H7+'PARTICIPACION % CONTRAPARTIDA'!D8*'PARTICIPACION % CONTRAPARTIDA'!H8+'PARTICIPACION % CONTRAPARTIDA'!D9*'PARTICIPACION % CONTRAPARTIDA'!H9</f>
        <v>200252000</v>
      </c>
      <c r="G18" s="254">
        <f>'PARTICIPACION % CONTRAPARTIDA'!D41*'PARTICIPACION % CONTRAPARTIDA'!H41</f>
        <v>12000000</v>
      </c>
      <c r="H18" s="255">
        <f>(F18+G18)/I3</f>
        <v>0.32594480873477788</v>
      </c>
    </row>
    <row r="19" spans="1:9" x14ac:dyDescent="0.35">
      <c r="A19" s="319"/>
      <c r="B19" s="317"/>
      <c r="C19" s="233" t="s">
        <v>109</v>
      </c>
      <c r="D19" s="256">
        <f>('Presupuesto Convenio'!F24-'Distribucion de Recursos'!D7-'Distribucion de Recursos'!D11-'Distribucion de Recursos'!D15)+'Presupuesto Convenio'!F26</f>
        <v>461538000</v>
      </c>
      <c r="E19" s="257">
        <f t="shared" si="0"/>
        <v>0.230769</v>
      </c>
      <c r="F19" s="282">
        <v>9000000</v>
      </c>
      <c r="G19" s="259">
        <f>'PARTICIPACION % CONTRAPARTIDA'!D40*'PARTICIPACION % CONTRAPARTIDA'!H40</f>
        <v>48945000</v>
      </c>
      <c r="H19" s="260">
        <f>+(G19+F19)/I3</f>
        <v>8.8983246057218329E-2</v>
      </c>
    </row>
    <row r="20" spans="1:9" x14ac:dyDescent="0.35">
      <c r="A20" s="319"/>
      <c r="B20" s="317"/>
      <c r="C20" s="266" t="s">
        <v>36</v>
      </c>
      <c r="D20" s="256">
        <f>('Presupuesto Convenio'!F22)</f>
        <v>330000000</v>
      </c>
      <c r="E20" s="257">
        <f t="shared" si="0"/>
        <v>0.16500000000000001</v>
      </c>
      <c r="F20" s="282">
        <v>6438000</v>
      </c>
      <c r="G20" s="259">
        <v>0</v>
      </c>
      <c r="H20" s="260">
        <f>+F20/I3</f>
        <v>9.8865154563184329E-3</v>
      </c>
    </row>
    <row r="21" spans="1:9" ht="15" thickBot="1" x14ac:dyDescent="0.4">
      <c r="A21" s="319"/>
      <c r="B21" s="317"/>
      <c r="C21" s="238" t="s">
        <v>107</v>
      </c>
      <c r="D21" s="261">
        <f>('Presupuesto Convenio'!F25-'Distribucion de Recursos'!D8-'Distribucion de Recursos'!D12-'Distribucion de Recursos'!D16)</f>
        <v>109999999.98899999</v>
      </c>
      <c r="E21" s="262">
        <f t="shared" si="0"/>
        <v>5.4999999994499997E-2</v>
      </c>
      <c r="F21" s="263">
        <f>+'PARTICIPACION % CONTRAPARTIDA'!D24*'PARTICIPACION % CONTRAPARTIDA'!H24</f>
        <v>33142500</v>
      </c>
      <c r="G21" s="264">
        <v>0</v>
      </c>
      <c r="H21" s="267">
        <f>+F21/I3</f>
        <v>5.089528401848923E-2</v>
      </c>
      <c r="I21" s="268"/>
    </row>
    <row r="22" spans="1:9" ht="15" thickBot="1" x14ac:dyDescent="0.4">
      <c r="A22" s="320"/>
      <c r="B22" s="318"/>
      <c r="C22" s="244" t="s">
        <v>79</v>
      </c>
      <c r="D22" s="245">
        <f>SUM(D18:D21)</f>
        <v>1538037999.9890001</v>
      </c>
      <c r="E22" s="246">
        <f t="shared" si="0"/>
        <v>0.76901899999450007</v>
      </c>
      <c r="F22" s="247">
        <f>SUM(F18:F21)</f>
        <v>248832500</v>
      </c>
      <c r="G22" s="248">
        <f>SUM(G18:G21)</f>
        <v>60945000</v>
      </c>
      <c r="H22" s="249">
        <f>SUM(H18:H21)</f>
        <v>0.4757098542668039</v>
      </c>
    </row>
    <row r="23" spans="1:9" ht="15" thickBot="1" x14ac:dyDescent="0.4">
      <c r="C23" s="269" t="s">
        <v>45</v>
      </c>
      <c r="D23" s="245">
        <f>+D9+D13+D17+D22</f>
        <v>1999999999.98</v>
      </c>
      <c r="E23" s="270">
        <f>(E9+E13+E17+E22)</f>
        <v>0.99999999999000011</v>
      </c>
      <c r="F23" s="271">
        <f>+F9+F13+F17+F22</f>
        <v>425410000</v>
      </c>
      <c r="G23" s="271">
        <f>+G9+G13+G17+G22</f>
        <v>225780000</v>
      </c>
      <c r="H23" s="272">
        <f>(H9+H13+H17+H22)</f>
        <v>1</v>
      </c>
    </row>
    <row r="24" spans="1:9" x14ac:dyDescent="0.35">
      <c r="F24" s="215"/>
      <c r="H24" s="208"/>
    </row>
    <row r="25" spans="1:9" x14ac:dyDescent="0.35">
      <c r="D25" s="274"/>
      <c r="E25" s="198"/>
      <c r="F25" s="215"/>
    </row>
    <row r="26" spans="1:9" x14ac:dyDescent="0.35">
      <c r="D26" s="274"/>
      <c r="F26" s="275"/>
    </row>
    <row r="27" spans="1:9" x14ac:dyDescent="0.35">
      <c r="D27" s="274"/>
    </row>
  </sheetData>
  <mergeCells count="11">
    <mergeCell ref="A2:B2"/>
    <mergeCell ref="B10:B13"/>
    <mergeCell ref="A10:A13"/>
    <mergeCell ref="B14:B17"/>
    <mergeCell ref="A14:A17"/>
    <mergeCell ref="F4:H4"/>
    <mergeCell ref="C4:E4"/>
    <mergeCell ref="B18:B22"/>
    <mergeCell ref="A18:A22"/>
    <mergeCell ref="B6:B9"/>
    <mergeCell ref="A6:A9"/>
  </mergeCells>
  <pageMargins left="0.7" right="0.7" top="0.75" bottom="0.75" header="0.3" footer="0.3"/>
  <pageSetup orientation="portrait" r:id="rId1"/>
  <ignoredErrors>
    <ignoredError sqref="E9"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E5434-EE60-4D80-9A72-AE9C309C55C1}">
  <sheetPr>
    <tabColor rgb="FFFFFF00"/>
  </sheetPr>
  <dimension ref="A2:U56"/>
  <sheetViews>
    <sheetView showGridLines="0" tabSelected="1" topLeftCell="J1" zoomScale="90" zoomScaleNormal="90" workbookViewId="0">
      <selection activeCell="U27" sqref="U27:U39"/>
    </sheetView>
  </sheetViews>
  <sheetFormatPr baseColWidth="10" defaultRowHeight="14.5" x14ac:dyDescent="0.35"/>
  <cols>
    <col min="1" max="1" width="4.453125" style="192" customWidth="1"/>
    <col min="2" max="2" width="19.81640625" customWidth="1"/>
    <col min="3" max="3" width="29.7265625" style="195" customWidth="1"/>
    <col min="4" max="4" width="16.54296875" bestFit="1" customWidth="1"/>
    <col min="5" max="8" width="20.81640625" bestFit="1" customWidth="1"/>
    <col min="9" max="9" width="17" customWidth="1"/>
    <col min="10" max="10" width="16" customWidth="1"/>
    <col min="11" max="12" width="14.7265625" customWidth="1"/>
    <col min="13" max="13" width="9.453125" customWidth="1"/>
    <col min="16" max="21" width="17.54296875" bestFit="1" customWidth="1"/>
  </cols>
  <sheetData>
    <row r="2" spans="1:21" ht="15" thickBot="1" x14ac:dyDescent="0.4">
      <c r="E2" s="363"/>
      <c r="F2" s="363"/>
      <c r="G2" s="363"/>
      <c r="H2" s="363"/>
      <c r="I2" s="363"/>
    </row>
    <row r="3" spans="1:21" s="144" customFormat="1" ht="16" thickBot="1" x14ac:dyDescent="0.4">
      <c r="A3" s="193"/>
      <c r="C3" s="161" t="s">
        <v>115</v>
      </c>
      <c r="D3" s="162" t="s">
        <v>116</v>
      </c>
      <c r="E3" s="159" t="s">
        <v>153</v>
      </c>
      <c r="F3" s="159" t="s">
        <v>154</v>
      </c>
      <c r="G3" s="159" t="s">
        <v>155</v>
      </c>
      <c r="H3" s="159" t="s">
        <v>156</v>
      </c>
      <c r="I3" s="367" t="s">
        <v>158</v>
      </c>
      <c r="J3" s="368"/>
      <c r="K3" s="368"/>
      <c r="L3" s="368"/>
      <c r="M3" s="369"/>
      <c r="P3" s="287" t="s">
        <v>195</v>
      </c>
      <c r="Q3" s="287" t="s">
        <v>196</v>
      </c>
      <c r="R3" s="287" t="s">
        <v>197</v>
      </c>
      <c r="S3" s="287" t="s">
        <v>198</v>
      </c>
      <c r="T3" s="287" t="s">
        <v>199</v>
      </c>
    </row>
    <row r="4" spans="1:21" ht="105.75" customHeight="1" thickBot="1" x14ac:dyDescent="0.4">
      <c r="B4" s="133" t="s">
        <v>117</v>
      </c>
      <c r="C4" s="169" t="s">
        <v>118</v>
      </c>
      <c r="D4" s="134">
        <v>74640000</v>
      </c>
      <c r="E4" s="156">
        <v>0</v>
      </c>
      <c r="F4" s="163">
        <v>0</v>
      </c>
      <c r="G4" s="163">
        <v>0</v>
      </c>
      <c r="H4" s="156">
        <v>1</v>
      </c>
      <c r="I4" s="370" t="s">
        <v>185</v>
      </c>
      <c r="J4" s="371"/>
      <c r="K4" s="371"/>
      <c r="L4" s="371"/>
      <c r="M4" s="372"/>
      <c r="N4" s="343" t="s">
        <v>193</v>
      </c>
      <c r="O4" s="344"/>
      <c r="P4" s="288">
        <f>+$D$4*E4</f>
        <v>0</v>
      </c>
      <c r="Q4" s="288">
        <f t="shared" ref="Q4:S4" si="0">+$D$4*F4</f>
        <v>0</v>
      </c>
      <c r="R4" s="288">
        <f t="shared" si="0"/>
        <v>0</v>
      </c>
      <c r="S4" s="288">
        <f t="shared" si="0"/>
        <v>74640000</v>
      </c>
      <c r="T4" s="289">
        <f>SUM(P4:S4)</f>
        <v>74640000</v>
      </c>
      <c r="U4" s="325">
        <f>+SUM(T4:T7)</f>
        <v>223640000</v>
      </c>
    </row>
    <row r="5" spans="1:21" ht="111.75" customHeight="1" x14ac:dyDescent="0.35">
      <c r="B5" s="379" t="s">
        <v>119</v>
      </c>
      <c r="C5" s="281" t="s">
        <v>120</v>
      </c>
      <c r="D5" s="164">
        <v>30000000</v>
      </c>
      <c r="E5" s="157">
        <v>0</v>
      </c>
      <c r="F5" s="165">
        <v>0</v>
      </c>
      <c r="G5" s="165">
        <v>0</v>
      </c>
      <c r="H5" s="157">
        <v>1</v>
      </c>
      <c r="I5" s="373" t="s">
        <v>191</v>
      </c>
      <c r="J5" s="374"/>
      <c r="K5" s="374"/>
      <c r="L5" s="374"/>
      <c r="M5" s="375"/>
      <c r="N5" s="345"/>
      <c r="O5" s="346"/>
      <c r="P5" s="288">
        <f>+$D$5*E5</f>
        <v>0</v>
      </c>
      <c r="Q5" s="288">
        <f t="shared" ref="Q5:S5" si="1">+$D$5*F5</f>
        <v>0</v>
      </c>
      <c r="R5" s="288">
        <f t="shared" si="1"/>
        <v>0</v>
      </c>
      <c r="S5" s="288">
        <f t="shared" si="1"/>
        <v>30000000</v>
      </c>
      <c r="T5" s="289">
        <f t="shared" ref="T5:T10" si="2">SUM(P5:S5)</f>
        <v>30000000</v>
      </c>
      <c r="U5" s="325"/>
    </row>
    <row r="6" spans="1:21" ht="60.75" customHeight="1" thickBot="1" x14ac:dyDescent="0.4">
      <c r="B6" s="380"/>
      <c r="C6" s="170" t="s">
        <v>121</v>
      </c>
      <c r="D6" s="166">
        <v>18000000</v>
      </c>
      <c r="E6" s="158">
        <v>0</v>
      </c>
      <c r="F6" s="167">
        <v>0</v>
      </c>
      <c r="G6" s="167">
        <v>0</v>
      </c>
      <c r="H6" s="158">
        <v>1</v>
      </c>
      <c r="I6" s="376" t="s">
        <v>188</v>
      </c>
      <c r="J6" s="377"/>
      <c r="K6" s="377"/>
      <c r="L6" s="377"/>
      <c r="M6" s="378"/>
      <c r="N6" s="345"/>
      <c r="O6" s="346"/>
      <c r="P6" s="288">
        <f>+$D$6*E6</f>
        <v>0</v>
      </c>
      <c r="Q6" s="288">
        <f t="shared" ref="Q6:S6" si="3">+$D$6*F6</f>
        <v>0</v>
      </c>
      <c r="R6" s="288">
        <f t="shared" si="3"/>
        <v>0</v>
      </c>
      <c r="S6" s="288">
        <f t="shared" si="3"/>
        <v>18000000</v>
      </c>
      <c r="T6" s="289">
        <f t="shared" si="2"/>
        <v>18000000</v>
      </c>
      <c r="U6" s="325"/>
    </row>
    <row r="7" spans="1:21" ht="100.5" customHeight="1" x14ac:dyDescent="0.35">
      <c r="B7" s="381" t="s">
        <v>117</v>
      </c>
      <c r="C7" s="176" t="s">
        <v>122</v>
      </c>
      <c r="D7" s="179">
        <v>101000000</v>
      </c>
      <c r="E7" s="174">
        <v>0.25</v>
      </c>
      <c r="F7" s="175">
        <v>0</v>
      </c>
      <c r="G7" s="175">
        <v>0</v>
      </c>
      <c r="H7" s="174">
        <v>0.75</v>
      </c>
      <c r="I7" s="384" t="s">
        <v>187</v>
      </c>
      <c r="J7" s="385"/>
      <c r="K7" s="385"/>
      <c r="L7" s="385"/>
      <c r="M7" s="386"/>
      <c r="N7" s="345"/>
      <c r="O7" s="346"/>
      <c r="P7" s="288">
        <f>+$D$7*E7</f>
        <v>25250000</v>
      </c>
      <c r="Q7" s="288">
        <f t="shared" ref="Q7:S7" si="4">+$D$7*F7</f>
        <v>0</v>
      </c>
      <c r="R7" s="288">
        <f t="shared" si="4"/>
        <v>0</v>
      </c>
      <c r="S7" s="288">
        <f t="shared" si="4"/>
        <v>75750000</v>
      </c>
      <c r="T7" s="289">
        <f t="shared" si="2"/>
        <v>101000000</v>
      </c>
      <c r="U7" s="325"/>
    </row>
    <row r="8" spans="1:21" ht="65.25" customHeight="1" x14ac:dyDescent="0.35">
      <c r="B8" s="382"/>
      <c r="C8" s="177" t="s">
        <v>123</v>
      </c>
      <c r="D8" s="141">
        <v>48200000</v>
      </c>
      <c r="E8" s="160">
        <v>0</v>
      </c>
      <c r="F8" s="160">
        <v>0.25</v>
      </c>
      <c r="G8" s="160">
        <v>0.5</v>
      </c>
      <c r="H8" s="188">
        <v>0.25</v>
      </c>
      <c r="I8" s="387" t="s">
        <v>186</v>
      </c>
      <c r="J8" s="388"/>
      <c r="K8" s="388"/>
      <c r="L8" s="388"/>
      <c r="M8" s="389"/>
      <c r="N8" s="347" t="s">
        <v>194</v>
      </c>
      <c r="O8" s="348"/>
      <c r="P8" s="288">
        <f>+$D$8*E8</f>
        <v>0</v>
      </c>
      <c r="Q8" s="288">
        <f t="shared" ref="Q8:S8" si="5">+$D$8*F8</f>
        <v>12050000</v>
      </c>
      <c r="R8" s="288">
        <f t="shared" si="5"/>
        <v>24100000</v>
      </c>
      <c r="S8" s="288">
        <f t="shared" si="5"/>
        <v>12050000</v>
      </c>
      <c r="T8" s="289">
        <f t="shared" si="2"/>
        <v>48200000</v>
      </c>
      <c r="U8" s="326">
        <f>+SUM(T8+T9)</f>
        <v>69200000</v>
      </c>
    </row>
    <row r="9" spans="1:21" ht="48" customHeight="1" thickBot="1" x14ac:dyDescent="0.4">
      <c r="B9" s="383"/>
      <c r="C9" s="178" t="s">
        <v>124</v>
      </c>
      <c r="D9" s="138">
        <v>21000000</v>
      </c>
      <c r="E9" s="158">
        <v>0.25</v>
      </c>
      <c r="F9" s="167">
        <v>0.25</v>
      </c>
      <c r="G9" s="167">
        <v>0.25</v>
      </c>
      <c r="H9" s="158">
        <v>0.25</v>
      </c>
      <c r="I9" s="376" t="s">
        <v>157</v>
      </c>
      <c r="J9" s="377"/>
      <c r="K9" s="377"/>
      <c r="L9" s="377"/>
      <c r="M9" s="378"/>
      <c r="N9" s="349"/>
      <c r="O9" s="350"/>
      <c r="P9" s="288">
        <f>+$D$9*E9</f>
        <v>5250000</v>
      </c>
      <c r="Q9" s="288">
        <f t="shared" ref="Q9:S9" si="6">+$D$9*F9</f>
        <v>5250000</v>
      </c>
      <c r="R9" s="288">
        <f t="shared" si="6"/>
        <v>5250000</v>
      </c>
      <c r="S9" s="288">
        <f t="shared" si="6"/>
        <v>5250000</v>
      </c>
      <c r="T9" s="289">
        <f t="shared" si="2"/>
        <v>21000000</v>
      </c>
      <c r="U9" s="327"/>
    </row>
    <row r="10" spans="1:21" ht="16" thickBot="1" x14ac:dyDescent="0.4">
      <c r="B10" s="185"/>
      <c r="C10" s="283"/>
      <c r="D10" s="194">
        <f>SUM(D4:D9)</f>
        <v>292840000</v>
      </c>
      <c r="E10" s="186">
        <f>SUM(E4:E9)/6</f>
        <v>8.3333333333333329E-2</v>
      </c>
      <c r="F10" s="187">
        <f t="shared" ref="F10:H10" si="7">SUM(F4:F9)/6</f>
        <v>8.3333333333333329E-2</v>
      </c>
      <c r="G10" s="187">
        <f t="shared" si="7"/>
        <v>0.125</v>
      </c>
      <c r="H10" s="187">
        <f t="shared" si="7"/>
        <v>0.70833333333333337</v>
      </c>
      <c r="I10" s="183"/>
      <c r="J10" s="183"/>
      <c r="K10" s="183"/>
      <c r="L10" s="183"/>
      <c r="M10" s="183"/>
      <c r="P10" s="290">
        <f>SUM(P4:P9)</f>
        <v>30500000</v>
      </c>
      <c r="Q10" s="290">
        <f t="shared" ref="Q10:S10" si="8">SUM(Q4:Q9)</f>
        <v>17300000</v>
      </c>
      <c r="R10" s="290">
        <f t="shared" si="8"/>
        <v>29350000</v>
      </c>
      <c r="S10" s="290">
        <f t="shared" si="8"/>
        <v>215690000</v>
      </c>
      <c r="T10" s="291">
        <f t="shared" si="2"/>
        <v>292840000</v>
      </c>
    </row>
    <row r="11" spans="1:21" ht="16" thickBot="1" x14ac:dyDescent="0.4">
      <c r="B11" s="185"/>
      <c r="C11" s="153" t="s">
        <v>115</v>
      </c>
      <c r="D11" s="154" t="s">
        <v>116</v>
      </c>
      <c r="E11" s="155" t="s">
        <v>153</v>
      </c>
      <c r="F11" s="155" t="s">
        <v>154</v>
      </c>
      <c r="G11" s="155" t="s">
        <v>155</v>
      </c>
      <c r="H11" s="155" t="s">
        <v>156</v>
      </c>
      <c r="I11" s="351" t="s">
        <v>158</v>
      </c>
      <c r="J11" s="352"/>
      <c r="K11" s="352"/>
      <c r="L11" s="352"/>
      <c r="M11" s="353"/>
    </row>
    <row r="12" spans="1:21" ht="30.75" customHeight="1" x14ac:dyDescent="0.35">
      <c r="B12" s="364" t="s">
        <v>125</v>
      </c>
      <c r="C12" s="273" t="s">
        <v>126</v>
      </c>
      <c r="D12" s="136">
        <v>36000000</v>
      </c>
      <c r="E12" s="168">
        <v>0.25</v>
      </c>
      <c r="F12" s="152">
        <v>0.25</v>
      </c>
      <c r="G12" s="152">
        <v>0.25</v>
      </c>
      <c r="H12" s="135">
        <v>0.25</v>
      </c>
      <c r="I12" s="360" t="s">
        <v>167</v>
      </c>
      <c r="J12" s="361"/>
      <c r="K12" s="361"/>
      <c r="L12" s="361"/>
      <c r="M12" s="362"/>
      <c r="N12" s="331" t="s">
        <v>194</v>
      </c>
      <c r="O12" s="332"/>
      <c r="P12" s="292">
        <f>+$D$12*E12</f>
        <v>9000000</v>
      </c>
      <c r="Q12" s="292">
        <f t="shared" ref="Q12:S12" si="9">+$D$12*F12</f>
        <v>9000000</v>
      </c>
      <c r="R12" s="292">
        <f t="shared" si="9"/>
        <v>9000000</v>
      </c>
      <c r="S12" s="292">
        <f t="shared" si="9"/>
        <v>9000000</v>
      </c>
      <c r="T12" s="289">
        <f t="shared" ref="T12:T24" si="10">SUM(P12:S12)</f>
        <v>36000000</v>
      </c>
      <c r="U12" s="328">
        <f>+SUM(T12:T23)</f>
        <v>132570000</v>
      </c>
    </row>
    <row r="13" spans="1:21" ht="74.25" customHeight="1" x14ac:dyDescent="0.35">
      <c r="B13" s="365"/>
      <c r="C13" s="171" t="s">
        <v>127</v>
      </c>
      <c r="D13" s="180">
        <v>6000000</v>
      </c>
      <c r="E13" s="160">
        <v>0.25</v>
      </c>
      <c r="F13" s="160">
        <v>0.25</v>
      </c>
      <c r="G13" s="160">
        <v>0.25</v>
      </c>
      <c r="H13" s="188">
        <v>0.25</v>
      </c>
      <c r="I13" s="354" t="s">
        <v>162</v>
      </c>
      <c r="J13" s="355"/>
      <c r="K13" s="355"/>
      <c r="L13" s="355"/>
      <c r="M13" s="356"/>
      <c r="N13" s="333"/>
      <c r="O13" s="334"/>
      <c r="P13" s="292">
        <f>+$D$13*E13</f>
        <v>1500000</v>
      </c>
      <c r="Q13" s="292">
        <f t="shared" ref="Q13:S13" si="11">+$D$13*F13</f>
        <v>1500000</v>
      </c>
      <c r="R13" s="292">
        <f t="shared" si="11"/>
        <v>1500000</v>
      </c>
      <c r="S13" s="292">
        <f t="shared" si="11"/>
        <v>1500000</v>
      </c>
      <c r="T13" s="289">
        <f t="shared" si="10"/>
        <v>6000000</v>
      </c>
      <c r="U13" s="328"/>
    </row>
    <row r="14" spans="1:21" ht="55.5" customHeight="1" x14ac:dyDescent="0.35">
      <c r="B14" s="365"/>
      <c r="C14" s="172" t="s">
        <v>128</v>
      </c>
      <c r="D14" s="180">
        <v>1800000</v>
      </c>
      <c r="E14" s="160">
        <v>0.25</v>
      </c>
      <c r="F14" s="160">
        <v>0.25</v>
      </c>
      <c r="G14" s="160">
        <v>0.25</v>
      </c>
      <c r="H14" s="188">
        <v>0.25</v>
      </c>
      <c r="I14" s="354" t="s">
        <v>163</v>
      </c>
      <c r="J14" s="355"/>
      <c r="K14" s="355"/>
      <c r="L14" s="355"/>
      <c r="M14" s="356"/>
      <c r="N14" s="333"/>
      <c r="O14" s="334"/>
      <c r="P14" s="292">
        <f>+$D$14*E14</f>
        <v>450000</v>
      </c>
      <c r="Q14" s="292">
        <f t="shared" ref="Q14:S14" si="12">+$D$14*F14</f>
        <v>450000</v>
      </c>
      <c r="R14" s="292">
        <f t="shared" si="12"/>
        <v>450000</v>
      </c>
      <c r="S14" s="292">
        <f t="shared" si="12"/>
        <v>450000</v>
      </c>
      <c r="T14" s="289">
        <f t="shared" si="10"/>
        <v>1800000</v>
      </c>
      <c r="U14" s="328"/>
    </row>
    <row r="15" spans="1:21" ht="29" x14ac:dyDescent="0.35">
      <c r="B15" s="365"/>
      <c r="C15" s="171" t="s">
        <v>129</v>
      </c>
      <c r="D15" s="180">
        <v>11250000</v>
      </c>
      <c r="E15" s="160">
        <v>0.25</v>
      </c>
      <c r="F15" s="160">
        <v>0.25</v>
      </c>
      <c r="G15" s="160">
        <v>0.25</v>
      </c>
      <c r="H15" s="188">
        <v>0.25</v>
      </c>
      <c r="I15" s="354" t="s">
        <v>168</v>
      </c>
      <c r="J15" s="355"/>
      <c r="K15" s="355"/>
      <c r="L15" s="355"/>
      <c r="M15" s="356"/>
      <c r="N15" s="333"/>
      <c r="O15" s="334"/>
      <c r="P15" s="292">
        <f>+$D$15*E15</f>
        <v>2812500</v>
      </c>
      <c r="Q15" s="292">
        <f t="shared" ref="Q15:S15" si="13">+$D$15*F15</f>
        <v>2812500</v>
      </c>
      <c r="R15" s="292">
        <f t="shared" si="13"/>
        <v>2812500</v>
      </c>
      <c r="S15" s="292">
        <f t="shared" si="13"/>
        <v>2812500</v>
      </c>
      <c r="T15" s="289">
        <f t="shared" si="10"/>
        <v>11250000</v>
      </c>
      <c r="U15" s="328"/>
    </row>
    <row r="16" spans="1:21" ht="81" customHeight="1" x14ac:dyDescent="0.35">
      <c r="B16" s="365"/>
      <c r="C16" s="171" t="s">
        <v>130</v>
      </c>
      <c r="D16" s="180">
        <v>12000000</v>
      </c>
      <c r="E16" s="160">
        <v>0.25</v>
      </c>
      <c r="F16" s="160">
        <v>0.25</v>
      </c>
      <c r="G16" s="160">
        <v>0.25</v>
      </c>
      <c r="H16" s="188">
        <v>0.25</v>
      </c>
      <c r="I16" s="354" t="s">
        <v>165</v>
      </c>
      <c r="J16" s="355"/>
      <c r="K16" s="355"/>
      <c r="L16" s="355"/>
      <c r="M16" s="356"/>
      <c r="N16" s="333"/>
      <c r="O16" s="334"/>
      <c r="P16" s="292">
        <f>+$D$16*E16</f>
        <v>3000000</v>
      </c>
      <c r="Q16" s="292">
        <f t="shared" ref="Q16:S16" si="14">+$D$16*F16</f>
        <v>3000000</v>
      </c>
      <c r="R16" s="292">
        <f t="shared" si="14"/>
        <v>3000000</v>
      </c>
      <c r="S16" s="292">
        <f t="shared" si="14"/>
        <v>3000000</v>
      </c>
      <c r="T16" s="289">
        <f t="shared" si="10"/>
        <v>12000000</v>
      </c>
      <c r="U16" s="328"/>
    </row>
    <row r="17" spans="1:21" ht="50.25" customHeight="1" x14ac:dyDescent="0.35">
      <c r="B17" s="365"/>
      <c r="C17" s="171" t="s">
        <v>131</v>
      </c>
      <c r="D17" s="180">
        <v>14400000</v>
      </c>
      <c r="E17" s="160">
        <v>0.25</v>
      </c>
      <c r="F17" s="160">
        <v>0.25</v>
      </c>
      <c r="G17" s="160">
        <v>0.25</v>
      </c>
      <c r="H17" s="188">
        <v>0.25</v>
      </c>
      <c r="I17" s="354" t="s">
        <v>166</v>
      </c>
      <c r="J17" s="355"/>
      <c r="K17" s="355"/>
      <c r="L17" s="355"/>
      <c r="M17" s="356"/>
      <c r="N17" s="333"/>
      <c r="O17" s="334"/>
      <c r="P17" s="292">
        <f>+$D$17*E17</f>
        <v>3600000</v>
      </c>
      <c r="Q17" s="292">
        <f t="shared" ref="Q17:S17" si="15">+$D$17*F17</f>
        <v>3600000</v>
      </c>
      <c r="R17" s="292">
        <f t="shared" si="15"/>
        <v>3600000</v>
      </c>
      <c r="S17" s="292">
        <f t="shared" si="15"/>
        <v>3600000</v>
      </c>
      <c r="T17" s="289">
        <f t="shared" si="10"/>
        <v>14400000</v>
      </c>
      <c r="U17" s="328"/>
    </row>
    <row r="18" spans="1:21" ht="44.25" customHeight="1" x14ac:dyDescent="0.35">
      <c r="B18" s="365"/>
      <c r="C18" s="171" t="s">
        <v>132</v>
      </c>
      <c r="D18" s="180">
        <v>9000000</v>
      </c>
      <c r="E18" s="160">
        <v>0.25</v>
      </c>
      <c r="F18" s="160">
        <v>0.25</v>
      </c>
      <c r="G18" s="160">
        <v>0.25</v>
      </c>
      <c r="H18" s="188">
        <v>0.25</v>
      </c>
      <c r="I18" s="354" t="s">
        <v>164</v>
      </c>
      <c r="J18" s="355"/>
      <c r="K18" s="355"/>
      <c r="L18" s="355"/>
      <c r="M18" s="356"/>
      <c r="N18" s="333"/>
      <c r="O18" s="334"/>
      <c r="P18" s="292">
        <f>+$D$18*E18</f>
        <v>2250000</v>
      </c>
      <c r="Q18" s="292">
        <f t="shared" ref="Q18:S18" si="16">+$D$18*F18</f>
        <v>2250000</v>
      </c>
      <c r="R18" s="292">
        <f t="shared" si="16"/>
        <v>2250000</v>
      </c>
      <c r="S18" s="292">
        <f t="shared" si="16"/>
        <v>2250000</v>
      </c>
      <c r="T18" s="289">
        <f t="shared" si="10"/>
        <v>9000000</v>
      </c>
      <c r="U18" s="328"/>
    </row>
    <row r="19" spans="1:21" ht="60" customHeight="1" x14ac:dyDescent="0.35">
      <c r="B19" s="365"/>
      <c r="C19" s="171" t="s">
        <v>133</v>
      </c>
      <c r="D19" s="180">
        <v>2520000</v>
      </c>
      <c r="E19" s="160">
        <v>0.25</v>
      </c>
      <c r="F19" s="160">
        <v>0.25</v>
      </c>
      <c r="G19" s="160">
        <v>0.25</v>
      </c>
      <c r="H19" s="188">
        <v>0.25</v>
      </c>
      <c r="I19" s="354" t="s">
        <v>169</v>
      </c>
      <c r="J19" s="355"/>
      <c r="K19" s="355"/>
      <c r="L19" s="355"/>
      <c r="M19" s="356"/>
      <c r="N19" s="333"/>
      <c r="O19" s="334"/>
      <c r="P19" s="292">
        <f>+$D$19*E19</f>
        <v>630000</v>
      </c>
      <c r="Q19" s="292">
        <f t="shared" ref="Q19:S19" si="17">+$D$19*F19</f>
        <v>630000</v>
      </c>
      <c r="R19" s="292">
        <f t="shared" si="17"/>
        <v>630000</v>
      </c>
      <c r="S19" s="292">
        <f t="shared" si="17"/>
        <v>630000</v>
      </c>
      <c r="T19" s="289">
        <f t="shared" si="10"/>
        <v>2520000</v>
      </c>
      <c r="U19" s="328"/>
    </row>
    <row r="20" spans="1:21" s="144" customFormat="1" ht="29" x14ac:dyDescent="0.35">
      <c r="A20" s="192"/>
      <c r="B20" s="365"/>
      <c r="C20" s="171" t="s">
        <v>134</v>
      </c>
      <c r="D20" s="180">
        <v>9000000</v>
      </c>
      <c r="E20" s="160">
        <v>0.25</v>
      </c>
      <c r="F20" s="160">
        <v>0.25</v>
      </c>
      <c r="G20" s="160">
        <v>0.25</v>
      </c>
      <c r="H20" s="188">
        <v>0.25</v>
      </c>
      <c r="I20" s="354" t="s">
        <v>170</v>
      </c>
      <c r="J20" s="355"/>
      <c r="K20" s="355"/>
      <c r="L20" s="355"/>
      <c r="M20" s="356"/>
      <c r="N20" s="333"/>
      <c r="O20" s="334"/>
      <c r="P20" s="292">
        <f>+$D$20*E20</f>
        <v>2250000</v>
      </c>
      <c r="Q20" s="292">
        <f t="shared" ref="Q20:S20" si="18">+$D$20*F20</f>
        <v>2250000</v>
      </c>
      <c r="R20" s="292">
        <f t="shared" si="18"/>
        <v>2250000</v>
      </c>
      <c r="S20" s="292">
        <f t="shared" si="18"/>
        <v>2250000</v>
      </c>
      <c r="T20" s="289">
        <f t="shared" si="10"/>
        <v>9000000</v>
      </c>
      <c r="U20" s="328"/>
    </row>
    <row r="21" spans="1:21" ht="29" x14ac:dyDescent="0.35">
      <c r="B21" s="365"/>
      <c r="C21" s="171" t="s">
        <v>135</v>
      </c>
      <c r="D21" s="180">
        <v>4800000</v>
      </c>
      <c r="E21" s="160">
        <v>0.25</v>
      </c>
      <c r="F21" s="160">
        <v>0.25</v>
      </c>
      <c r="G21" s="160">
        <v>0.25</v>
      </c>
      <c r="H21" s="188">
        <v>0.25</v>
      </c>
      <c r="I21" s="354" t="s">
        <v>171</v>
      </c>
      <c r="J21" s="355"/>
      <c r="K21" s="355"/>
      <c r="L21" s="355"/>
      <c r="M21" s="356"/>
      <c r="N21" s="333"/>
      <c r="O21" s="334"/>
      <c r="P21" s="292">
        <f>+$D$21*E21</f>
        <v>1200000</v>
      </c>
      <c r="Q21" s="292">
        <f t="shared" ref="Q21:S21" si="19">+$D$21*F21</f>
        <v>1200000</v>
      </c>
      <c r="R21" s="292">
        <f t="shared" si="19"/>
        <v>1200000</v>
      </c>
      <c r="S21" s="292">
        <f t="shared" si="19"/>
        <v>1200000</v>
      </c>
      <c r="T21" s="289">
        <f t="shared" si="10"/>
        <v>4800000</v>
      </c>
      <c r="U21" s="328"/>
    </row>
    <row r="22" spans="1:21" ht="29" x14ac:dyDescent="0.35">
      <c r="B22" s="365"/>
      <c r="C22" s="171" t="s">
        <v>136</v>
      </c>
      <c r="D22" s="180">
        <v>4800000</v>
      </c>
      <c r="E22" s="160">
        <v>0.25</v>
      </c>
      <c r="F22" s="160">
        <v>0.25</v>
      </c>
      <c r="G22" s="160">
        <v>0.25</v>
      </c>
      <c r="H22" s="188">
        <v>0.25</v>
      </c>
      <c r="I22" s="354" t="s">
        <v>172</v>
      </c>
      <c r="J22" s="355"/>
      <c r="K22" s="355"/>
      <c r="L22" s="355"/>
      <c r="M22" s="356"/>
      <c r="N22" s="333"/>
      <c r="O22" s="334"/>
      <c r="P22" s="292">
        <f>+$D$22*E22</f>
        <v>1200000</v>
      </c>
      <c r="Q22" s="292">
        <f t="shared" ref="Q22:S22" si="20">+$D$22*F22</f>
        <v>1200000</v>
      </c>
      <c r="R22" s="292">
        <f t="shared" si="20"/>
        <v>1200000</v>
      </c>
      <c r="S22" s="292">
        <f t="shared" si="20"/>
        <v>1200000</v>
      </c>
      <c r="T22" s="289">
        <f t="shared" si="10"/>
        <v>4800000</v>
      </c>
      <c r="U22" s="328"/>
    </row>
    <row r="23" spans="1:21" ht="62.25" customHeight="1" thickBot="1" x14ac:dyDescent="0.4">
      <c r="B23" s="366"/>
      <c r="C23" s="173" t="s">
        <v>137</v>
      </c>
      <c r="D23" s="181">
        <v>21000000</v>
      </c>
      <c r="E23" s="167">
        <v>0.25</v>
      </c>
      <c r="F23" s="167">
        <v>0.25</v>
      </c>
      <c r="G23" s="167">
        <v>0.25</v>
      </c>
      <c r="H23" s="158">
        <v>0.25</v>
      </c>
      <c r="I23" s="357" t="s">
        <v>177</v>
      </c>
      <c r="J23" s="358"/>
      <c r="K23" s="358"/>
      <c r="L23" s="358"/>
      <c r="M23" s="359"/>
      <c r="N23" s="335"/>
      <c r="O23" s="336"/>
      <c r="P23" s="292">
        <f>+$D$23*E23</f>
        <v>5250000</v>
      </c>
      <c r="Q23" s="292">
        <f t="shared" ref="Q23:S23" si="21">+$D$23*F23</f>
        <v>5250000</v>
      </c>
      <c r="R23" s="292">
        <f t="shared" si="21"/>
        <v>5250000</v>
      </c>
      <c r="S23" s="292">
        <f t="shared" si="21"/>
        <v>5250000</v>
      </c>
      <c r="T23" s="289">
        <f t="shared" si="10"/>
        <v>21000000</v>
      </c>
      <c r="U23" s="328"/>
    </row>
    <row r="24" spans="1:21" ht="16" thickBot="1" x14ac:dyDescent="0.4">
      <c r="C24" s="276"/>
      <c r="D24" s="189">
        <f>SUM(D12:D23)</f>
        <v>132570000</v>
      </c>
      <c r="E24" s="190">
        <f>SUM(E12:E23)/12</f>
        <v>0.25</v>
      </c>
      <c r="F24" s="190">
        <f t="shared" ref="F24:H24" si="22">SUM(F12:F23)/12</f>
        <v>0.25</v>
      </c>
      <c r="G24" s="190">
        <f t="shared" si="22"/>
        <v>0.25</v>
      </c>
      <c r="H24" s="191">
        <f t="shared" si="22"/>
        <v>0.25</v>
      </c>
      <c r="I24" s="184"/>
      <c r="J24" s="146"/>
      <c r="K24" s="147"/>
      <c r="L24" s="147"/>
      <c r="M24" s="147"/>
      <c r="P24" s="291">
        <f>SUM(P12:P23)</f>
        <v>33142500</v>
      </c>
      <c r="Q24" s="291">
        <f t="shared" ref="Q24:S24" si="23">SUM(Q12:Q23)</f>
        <v>33142500</v>
      </c>
      <c r="R24" s="291">
        <f t="shared" si="23"/>
        <v>33142500</v>
      </c>
      <c r="S24" s="291">
        <f t="shared" si="23"/>
        <v>33142500</v>
      </c>
      <c r="T24" s="291">
        <f t="shared" si="10"/>
        <v>132570000</v>
      </c>
    </row>
    <row r="25" spans="1:21" ht="15" thickBot="1" x14ac:dyDescent="0.4">
      <c r="B25" s="131"/>
      <c r="C25" s="202"/>
      <c r="H25" s="182"/>
      <c r="J25" s="145"/>
      <c r="K25" s="145"/>
      <c r="L25" s="145"/>
      <c r="M25" s="145"/>
    </row>
    <row r="26" spans="1:21" ht="15.75" customHeight="1" thickBot="1" x14ac:dyDescent="0.4">
      <c r="C26" s="132" t="s">
        <v>115</v>
      </c>
      <c r="D26" s="154" t="s">
        <v>116</v>
      </c>
      <c r="E26" s="155" t="s">
        <v>153</v>
      </c>
      <c r="F26" s="155" t="s">
        <v>154</v>
      </c>
      <c r="G26" s="155" t="s">
        <v>155</v>
      </c>
      <c r="H26" s="155" t="s">
        <v>156</v>
      </c>
      <c r="I26" s="351" t="s">
        <v>158</v>
      </c>
      <c r="J26" s="352"/>
      <c r="K26" s="352"/>
      <c r="L26" s="352"/>
      <c r="M26" s="353"/>
    </row>
    <row r="27" spans="1:21" ht="29" x14ac:dyDescent="0.35">
      <c r="B27" s="364" t="s">
        <v>178</v>
      </c>
      <c r="C27" s="203" t="s">
        <v>159</v>
      </c>
      <c r="D27" s="136">
        <v>60000000</v>
      </c>
      <c r="E27" s="165">
        <v>0.25</v>
      </c>
      <c r="F27" s="165">
        <v>0.25</v>
      </c>
      <c r="G27" s="165">
        <v>0.25</v>
      </c>
      <c r="H27" s="137">
        <v>0.25</v>
      </c>
      <c r="I27" s="360" t="s">
        <v>173</v>
      </c>
      <c r="J27" s="361"/>
      <c r="K27" s="361"/>
      <c r="L27" s="361"/>
      <c r="M27" s="362"/>
      <c r="N27" s="337" t="s">
        <v>192</v>
      </c>
      <c r="O27" s="338"/>
      <c r="P27" s="292">
        <f>+$D$27*E27</f>
        <v>15000000</v>
      </c>
      <c r="Q27" s="292">
        <f t="shared" ref="Q27:S27" si="24">+$D$27*F27</f>
        <v>15000000</v>
      </c>
      <c r="R27" s="292">
        <f t="shared" si="24"/>
        <v>15000000</v>
      </c>
      <c r="S27" s="292">
        <f t="shared" si="24"/>
        <v>15000000</v>
      </c>
      <c r="T27" s="289">
        <f>SUM(P27:S27)</f>
        <v>60000000</v>
      </c>
      <c r="U27" s="329">
        <f>+SUM(T27:T39)</f>
        <v>225780000</v>
      </c>
    </row>
    <row r="28" spans="1:21" ht="29" x14ac:dyDescent="0.35">
      <c r="B28" s="365"/>
      <c r="C28" s="204" t="s">
        <v>182</v>
      </c>
      <c r="D28" s="141">
        <v>5400000</v>
      </c>
      <c r="E28" s="160">
        <v>0.25</v>
      </c>
      <c r="F28" s="160">
        <v>0.25</v>
      </c>
      <c r="G28" s="160">
        <v>0.25</v>
      </c>
      <c r="H28" s="142">
        <v>0.25</v>
      </c>
      <c r="I28" s="354" t="s">
        <v>184</v>
      </c>
      <c r="J28" s="355"/>
      <c r="K28" s="355"/>
      <c r="L28" s="355"/>
      <c r="M28" s="356"/>
      <c r="N28" s="339"/>
      <c r="O28" s="340"/>
      <c r="P28" s="292">
        <f>+$D$28*E28</f>
        <v>1350000</v>
      </c>
      <c r="Q28" s="292">
        <f t="shared" ref="Q28:S28" si="25">+$D$28*F28</f>
        <v>1350000</v>
      </c>
      <c r="R28" s="292">
        <f t="shared" si="25"/>
        <v>1350000</v>
      </c>
      <c r="S28" s="292">
        <f t="shared" si="25"/>
        <v>1350000</v>
      </c>
      <c r="T28" s="289">
        <f t="shared" ref="T28:T39" si="26">SUM(P28:S28)</f>
        <v>5400000</v>
      </c>
      <c r="U28" s="329"/>
    </row>
    <row r="29" spans="1:21" ht="33" customHeight="1" x14ac:dyDescent="0.35">
      <c r="B29" s="365"/>
      <c r="C29" s="196" t="s">
        <v>138</v>
      </c>
      <c r="D29" s="197">
        <v>6000000</v>
      </c>
      <c r="E29" s="160">
        <v>0.25</v>
      </c>
      <c r="F29" s="160">
        <v>0.25</v>
      </c>
      <c r="G29" s="160">
        <v>0.25</v>
      </c>
      <c r="H29" s="142">
        <v>0.25</v>
      </c>
      <c r="I29" s="354" t="s">
        <v>179</v>
      </c>
      <c r="J29" s="355"/>
      <c r="K29" s="355"/>
      <c r="L29" s="355"/>
      <c r="M29" s="356"/>
      <c r="N29" s="339"/>
      <c r="O29" s="340"/>
      <c r="P29" s="292">
        <f>+$D$29*E29</f>
        <v>1500000</v>
      </c>
      <c r="Q29" s="292">
        <f t="shared" ref="Q29:S29" si="27">+$D$29*F29</f>
        <v>1500000</v>
      </c>
      <c r="R29" s="292">
        <f t="shared" si="27"/>
        <v>1500000</v>
      </c>
      <c r="S29" s="292">
        <f t="shared" si="27"/>
        <v>1500000</v>
      </c>
      <c r="T29" s="289">
        <f t="shared" si="26"/>
        <v>6000000</v>
      </c>
      <c r="U29" s="329"/>
    </row>
    <row r="30" spans="1:21" x14ac:dyDescent="0.35">
      <c r="B30" s="365"/>
      <c r="C30" s="205" t="s">
        <v>139</v>
      </c>
      <c r="D30" s="141">
        <v>25200000</v>
      </c>
      <c r="E30" s="160">
        <v>0.25</v>
      </c>
      <c r="F30" s="160">
        <v>0.25</v>
      </c>
      <c r="G30" s="160">
        <v>0.25</v>
      </c>
      <c r="H30" s="142">
        <v>0.25</v>
      </c>
      <c r="I30" s="354" t="s">
        <v>174</v>
      </c>
      <c r="J30" s="355"/>
      <c r="K30" s="355"/>
      <c r="L30" s="355"/>
      <c r="M30" s="356"/>
      <c r="N30" s="339"/>
      <c r="O30" s="340"/>
      <c r="P30" s="292">
        <f>+$D$30*E30</f>
        <v>6300000</v>
      </c>
      <c r="Q30" s="292">
        <f t="shared" ref="Q30:S30" si="28">+$D$30*F30</f>
        <v>6300000</v>
      </c>
      <c r="R30" s="292">
        <f t="shared" si="28"/>
        <v>6300000</v>
      </c>
      <c r="S30" s="292">
        <f t="shared" si="28"/>
        <v>6300000</v>
      </c>
      <c r="T30" s="289">
        <f t="shared" si="26"/>
        <v>25200000</v>
      </c>
      <c r="U30" s="329"/>
    </row>
    <row r="31" spans="1:21" ht="15.5" x14ac:dyDescent="0.35">
      <c r="B31" s="365"/>
      <c r="C31" s="206" t="s">
        <v>140</v>
      </c>
      <c r="D31" s="141">
        <v>27600000</v>
      </c>
      <c r="E31" s="160">
        <v>0.25</v>
      </c>
      <c r="F31" s="160">
        <v>0.25</v>
      </c>
      <c r="G31" s="160">
        <v>0.25</v>
      </c>
      <c r="H31" s="142">
        <v>0.25</v>
      </c>
      <c r="I31" s="354" t="s">
        <v>175</v>
      </c>
      <c r="J31" s="355"/>
      <c r="K31" s="355"/>
      <c r="L31" s="355"/>
      <c r="M31" s="356"/>
      <c r="N31" s="339"/>
      <c r="O31" s="340"/>
      <c r="P31" s="292">
        <f>+$D$31*E31</f>
        <v>6900000</v>
      </c>
      <c r="Q31" s="292">
        <f t="shared" ref="Q31:S31" si="29">+$D$31*F31</f>
        <v>6900000</v>
      </c>
      <c r="R31" s="292">
        <f t="shared" si="29"/>
        <v>6900000</v>
      </c>
      <c r="S31" s="292">
        <f t="shared" si="29"/>
        <v>6900000</v>
      </c>
      <c r="T31" s="289">
        <f t="shared" si="26"/>
        <v>27600000</v>
      </c>
      <c r="U31" s="329"/>
    </row>
    <row r="32" spans="1:21" x14ac:dyDescent="0.35">
      <c r="B32" s="365"/>
      <c r="C32" s="143" t="s">
        <v>141</v>
      </c>
      <c r="D32" s="141">
        <v>10080000</v>
      </c>
      <c r="E32" s="160">
        <v>0.25</v>
      </c>
      <c r="F32" s="160">
        <v>0.25</v>
      </c>
      <c r="G32" s="160">
        <v>0.25</v>
      </c>
      <c r="H32" s="142">
        <v>0.25</v>
      </c>
      <c r="I32" s="354" t="s">
        <v>160</v>
      </c>
      <c r="J32" s="355"/>
      <c r="K32" s="355"/>
      <c r="L32" s="355"/>
      <c r="M32" s="356"/>
      <c r="N32" s="339"/>
      <c r="O32" s="340"/>
      <c r="P32" s="292">
        <f>+$D$32*E32</f>
        <v>2520000</v>
      </c>
      <c r="Q32" s="292">
        <f t="shared" ref="Q32:S32" si="30">+$D$32*F32</f>
        <v>2520000</v>
      </c>
      <c r="R32" s="292">
        <f t="shared" si="30"/>
        <v>2520000</v>
      </c>
      <c r="S32" s="292">
        <f t="shared" si="30"/>
        <v>2520000</v>
      </c>
      <c r="T32" s="289">
        <f t="shared" si="26"/>
        <v>10080000</v>
      </c>
      <c r="U32" s="329"/>
    </row>
    <row r="33" spans="2:21" x14ac:dyDescent="0.35">
      <c r="B33" s="365"/>
      <c r="C33" s="140" t="s">
        <v>142</v>
      </c>
      <c r="D33" s="141">
        <v>2340000</v>
      </c>
      <c r="E33" s="160">
        <v>0.25</v>
      </c>
      <c r="F33" s="160">
        <v>0.25</v>
      </c>
      <c r="G33" s="160">
        <v>0.25</v>
      </c>
      <c r="H33" s="142">
        <v>0.25</v>
      </c>
      <c r="I33" s="354" t="s">
        <v>161</v>
      </c>
      <c r="J33" s="355"/>
      <c r="K33" s="355"/>
      <c r="L33" s="355"/>
      <c r="M33" s="356"/>
      <c r="N33" s="339"/>
      <c r="O33" s="340"/>
      <c r="P33" s="292">
        <f>+$D$33*E33</f>
        <v>585000</v>
      </c>
      <c r="Q33" s="292">
        <f t="shared" ref="Q33:S33" si="31">+$D$33*F33</f>
        <v>585000</v>
      </c>
      <c r="R33" s="292">
        <f t="shared" si="31"/>
        <v>585000</v>
      </c>
      <c r="S33" s="292">
        <f t="shared" si="31"/>
        <v>585000</v>
      </c>
      <c r="T33" s="289">
        <f t="shared" si="26"/>
        <v>2340000</v>
      </c>
      <c r="U33" s="329"/>
    </row>
    <row r="34" spans="2:21" x14ac:dyDescent="0.35">
      <c r="B34" s="365"/>
      <c r="C34" s="140" t="s">
        <v>143</v>
      </c>
      <c r="D34" s="141">
        <v>10080000</v>
      </c>
      <c r="E34" s="160">
        <v>0.25</v>
      </c>
      <c r="F34" s="160">
        <v>0.25</v>
      </c>
      <c r="G34" s="160">
        <v>0.25</v>
      </c>
      <c r="H34" s="142">
        <v>0.25</v>
      </c>
      <c r="I34" s="354" t="s">
        <v>161</v>
      </c>
      <c r="J34" s="355"/>
      <c r="K34" s="355"/>
      <c r="L34" s="355"/>
      <c r="M34" s="356"/>
      <c r="N34" s="339"/>
      <c r="O34" s="340"/>
      <c r="P34" s="292">
        <f>+$D$34*E34</f>
        <v>2520000</v>
      </c>
      <c r="Q34" s="292">
        <f t="shared" ref="Q34:S34" si="32">+$D$34*F34</f>
        <v>2520000</v>
      </c>
      <c r="R34" s="292">
        <f t="shared" si="32"/>
        <v>2520000</v>
      </c>
      <c r="S34" s="292">
        <f t="shared" si="32"/>
        <v>2520000</v>
      </c>
      <c r="T34" s="289">
        <f t="shared" si="26"/>
        <v>10080000</v>
      </c>
      <c r="U34" s="329"/>
    </row>
    <row r="35" spans="2:21" x14ac:dyDescent="0.35">
      <c r="B35" s="365"/>
      <c r="C35" s="143" t="s">
        <v>144</v>
      </c>
      <c r="D35" s="141">
        <v>4680000</v>
      </c>
      <c r="E35" s="160">
        <v>0.25</v>
      </c>
      <c r="F35" s="160">
        <v>0.25</v>
      </c>
      <c r="G35" s="160">
        <v>0.25</v>
      </c>
      <c r="H35" s="142">
        <v>0.25</v>
      </c>
      <c r="I35" s="354" t="s">
        <v>161</v>
      </c>
      <c r="J35" s="355"/>
      <c r="K35" s="355"/>
      <c r="L35" s="355"/>
      <c r="M35" s="356"/>
      <c r="N35" s="339"/>
      <c r="O35" s="340"/>
      <c r="P35" s="292">
        <f>+$D$35*E35</f>
        <v>1170000</v>
      </c>
      <c r="Q35" s="292">
        <f t="shared" ref="Q35:S35" si="33">+$D$35*F35</f>
        <v>1170000</v>
      </c>
      <c r="R35" s="292">
        <f t="shared" si="33"/>
        <v>1170000</v>
      </c>
      <c r="S35" s="292">
        <f t="shared" si="33"/>
        <v>1170000</v>
      </c>
      <c r="T35" s="289">
        <f t="shared" si="26"/>
        <v>4680000</v>
      </c>
      <c r="U35" s="329"/>
    </row>
    <row r="36" spans="2:21" ht="29" x14ac:dyDescent="0.35">
      <c r="B36" s="365"/>
      <c r="C36" s="204" t="s">
        <v>183</v>
      </c>
      <c r="D36" s="141">
        <v>1200000</v>
      </c>
      <c r="E36" s="160">
        <v>0.25</v>
      </c>
      <c r="F36" s="160">
        <v>0.25</v>
      </c>
      <c r="G36" s="160">
        <v>0.25</v>
      </c>
      <c r="H36" s="142">
        <v>0.25</v>
      </c>
      <c r="I36" s="354" t="s">
        <v>161</v>
      </c>
      <c r="J36" s="355"/>
      <c r="K36" s="355"/>
      <c r="L36" s="355"/>
      <c r="M36" s="356"/>
      <c r="N36" s="339"/>
      <c r="O36" s="340"/>
      <c r="P36" s="292">
        <f>+$D$36*E36</f>
        <v>300000</v>
      </c>
      <c r="Q36" s="292">
        <f t="shared" ref="Q36:S36" si="34">+$D$36*F36</f>
        <v>300000</v>
      </c>
      <c r="R36" s="292">
        <f t="shared" si="34"/>
        <v>300000</v>
      </c>
      <c r="S36" s="292">
        <f t="shared" si="34"/>
        <v>300000</v>
      </c>
      <c r="T36" s="289">
        <f t="shared" si="26"/>
        <v>1200000</v>
      </c>
      <c r="U36" s="329"/>
    </row>
    <row r="37" spans="2:21" ht="72" customHeight="1" x14ac:dyDescent="0.35">
      <c r="B37" s="365"/>
      <c r="C37" s="140" t="s">
        <v>145</v>
      </c>
      <c r="D37" s="141">
        <v>43200000</v>
      </c>
      <c r="E37" s="160">
        <v>0.25</v>
      </c>
      <c r="F37" s="160">
        <v>0.25</v>
      </c>
      <c r="G37" s="160">
        <v>0.25</v>
      </c>
      <c r="H37" s="142">
        <v>0.25</v>
      </c>
      <c r="I37" s="354" t="s">
        <v>181</v>
      </c>
      <c r="J37" s="355"/>
      <c r="K37" s="355"/>
      <c r="L37" s="355"/>
      <c r="M37" s="356"/>
      <c r="N37" s="339"/>
      <c r="O37" s="340"/>
      <c r="P37" s="292">
        <f>+$D$37*E37</f>
        <v>10800000</v>
      </c>
      <c r="Q37" s="292">
        <f t="shared" ref="Q37:S37" si="35">+$D$37*F37</f>
        <v>10800000</v>
      </c>
      <c r="R37" s="292">
        <f t="shared" si="35"/>
        <v>10800000</v>
      </c>
      <c r="S37" s="292">
        <f t="shared" si="35"/>
        <v>10800000</v>
      </c>
      <c r="T37" s="289">
        <f t="shared" si="26"/>
        <v>43200000</v>
      </c>
      <c r="U37" s="329"/>
    </row>
    <row r="38" spans="2:21" ht="43.5" x14ac:dyDescent="0.35">
      <c r="B38" s="365"/>
      <c r="C38" s="140" t="s">
        <v>146</v>
      </c>
      <c r="D38" s="141">
        <v>10000000</v>
      </c>
      <c r="E38" s="160">
        <v>0</v>
      </c>
      <c r="F38" s="160">
        <v>0.2</v>
      </c>
      <c r="G38" s="160">
        <v>0.4</v>
      </c>
      <c r="H38" s="142">
        <v>0.4</v>
      </c>
      <c r="I38" s="354" t="s">
        <v>176</v>
      </c>
      <c r="J38" s="355"/>
      <c r="K38" s="355"/>
      <c r="L38" s="355"/>
      <c r="M38" s="356"/>
      <c r="N38" s="339"/>
      <c r="O38" s="340"/>
      <c r="P38" s="292">
        <f>+$D$38*E38</f>
        <v>0</v>
      </c>
      <c r="Q38" s="292">
        <f t="shared" ref="Q38:S38" si="36">+$D$38*F38</f>
        <v>2000000</v>
      </c>
      <c r="R38" s="292">
        <f t="shared" si="36"/>
        <v>4000000</v>
      </c>
      <c r="S38" s="292">
        <f t="shared" si="36"/>
        <v>4000000</v>
      </c>
      <c r="T38" s="289">
        <f t="shared" si="26"/>
        <v>10000000</v>
      </c>
      <c r="U38" s="329"/>
    </row>
    <row r="39" spans="2:21" ht="73.5" customHeight="1" thickBot="1" x14ac:dyDescent="0.4">
      <c r="B39" s="366"/>
      <c r="C39" s="148" t="s">
        <v>147</v>
      </c>
      <c r="D39" s="149">
        <v>20000000</v>
      </c>
      <c r="E39" s="167">
        <v>0</v>
      </c>
      <c r="F39" s="167">
        <v>0.2</v>
      </c>
      <c r="G39" s="167">
        <v>0.4</v>
      </c>
      <c r="H39" s="139">
        <v>0.4</v>
      </c>
      <c r="I39" s="357" t="s">
        <v>180</v>
      </c>
      <c r="J39" s="358"/>
      <c r="K39" s="358"/>
      <c r="L39" s="358"/>
      <c r="M39" s="359"/>
      <c r="N39" s="341"/>
      <c r="O39" s="342"/>
      <c r="P39" s="292">
        <f>+$D$39*E39</f>
        <v>0</v>
      </c>
      <c r="Q39" s="292">
        <f t="shared" ref="Q39:S39" si="37">+$D$39*F39</f>
        <v>4000000</v>
      </c>
      <c r="R39" s="292">
        <f t="shared" si="37"/>
        <v>8000000</v>
      </c>
      <c r="S39" s="292">
        <f t="shared" si="37"/>
        <v>8000000</v>
      </c>
      <c r="T39" s="289">
        <f t="shared" si="26"/>
        <v>20000000</v>
      </c>
      <c r="U39" s="329"/>
    </row>
    <row r="40" spans="2:21" ht="19" thickBot="1" x14ac:dyDescent="0.7">
      <c r="C40" s="207"/>
      <c r="D40" s="150">
        <f>SUM(D27:D37)</f>
        <v>195780000</v>
      </c>
      <c r="E40" s="151">
        <f>SUM(E27:E39)/11</f>
        <v>0.25</v>
      </c>
      <c r="F40" s="151">
        <f>SUM(F27:F37)/11</f>
        <v>0.25</v>
      </c>
      <c r="G40" s="151">
        <f>SUM(G27:G37)/11</f>
        <v>0.25</v>
      </c>
      <c r="H40" s="151">
        <f>SUM(H27:H37)/11</f>
        <v>0.25</v>
      </c>
      <c r="I40" s="182"/>
      <c r="P40" s="285">
        <f>SUM(P27:P39)</f>
        <v>48945000</v>
      </c>
      <c r="Q40" s="285">
        <f t="shared" ref="Q40:T40" si="38">SUM(Q27:Q39)</f>
        <v>54945000</v>
      </c>
      <c r="R40" s="285">
        <f t="shared" si="38"/>
        <v>60945000</v>
      </c>
      <c r="S40" s="285">
        <f t="shared" si="38"/>
        <v>60945000</v>
      </c>
      <c r="T40" s="285">
        <f t="shared" si="38"/>
        <v>225780000</v>
      </c>
      <c r="U40" s="284"/>
    </row>
    <row r="41" spans="2:21" ht="39.75" customHeight="1" thickBot="1" x14ac:dyDescent="0.7">
      <c r="D41" s="150">
        <f>SUM(D38:D39)</f>
        <v>30000000</v>
      </c>
      <c r="E41" s="151">
        <f>SUM(E38:E39)</f>
        <v>0</v>
      </c>
      <c r="F41" s="151">
        <f>SUM(F38:F39)/2</f>
        <v>0.2</v>
      </c>
      <c r="G41" s="151">
        <f>SUM(G38:G39)/2</f>
        <v>0.4</v>
      </c>
      <c r="H41" s="151">
        <f>SUM(H38:H39)/2</f>
        <v>0.4</v>
      </c>
      <c r="I41" s="182"/>
      <c r="N41" s="330" t="s">
        <v>200</v>
      </c>
      <c r="O41" s="330"/>
      <c r="P41" s="286">
        <f>+P40+P24+P10</f>
        <v>112587500</v>
      </c>
      <c r="Q41" s="286">
        <f t="shared" ref="Q41:S41" si="39">+Q40+Q24+Q10</f>
        <v>105387500</v>
      </c>
      <c r="R41" s="286">
        <f t="shared" si="39"/>
        <v>123437500</v>
      </c>
      <c r="S41" s="286">
        <f t="shared" si="39"/>
        <v>309777500</v>
      </c>
      <c r="T41" s="286">
        <f>SUM(P41:S41)</f>
        <v>651190000</v>
      </c>
    </row>
    <row r="43" spans="2:21" x14ac:dyDescent="0.35">
      <c r="D43" s="145"/>
    </row>
    <row r="46" spans="2:21" x14ac:dyDescent="0.35">
      <c r="D46" s="201"/>
    </row>
    <row r="47" spans="2:21" x14ac:dyDescent="0.35">
      <c r="D47" s="198"/>
    </row>
    <row r="49" spans="4:6" x14ac:dyDescent="0.35">
      <c r="D49" s="198"/>
    </row>
    <row r="50" spans="4:6" x14ac:dyDescent="0.35">
      <c r="D50" s="198"/>
    </row>
    <row r="51" spans="4:6" x14ac:dyDescent="0.35">
      <c r="D51" s="199"/>
    </row>
    <row r="52" spans="4:6" ht="16" x14ac:dyDescent="0.5">
      <c r="D52" s="200"/>
      <c r="E52" s="199"/>
    </row>
    <row r="54" spans="4:6" x14ac:dyDescent="0.35">
      <c r="D54" s="198"/>
      <c r="F54" s="145"/>
    </row>
    <row r="55" spans="4:6" x14ac:dyDescent="0.35">
      <c r="D55" s="198"/>
    </row>
    <row r="56" spans="4:6" ht="16" x14ac:dyDescent="0.5">
      <c r="D56" s="200"/>
      <c r="E56" s="199"/>
    </row>
  </sheetData>
  <mergeCells count="48">
    <mergeCell ref="I7:M7"/>
    <mergeCell ref="I8:M8"/>
    <mergeCell ref="B12:B23"/>
    <mergeCell ref="I21:M21"/>
    <mergeCell ref="I22:M22"/>
    <mergeCell ref="I23:M23"/>
    <mergeCell ref="I9:M9"/>
    <mergeCell ref="I19:M19"/>
    <mergeCell ref="I20:M20"/>
    <mergeCell ref="E2:I2"/>
    <mergeCell ref="B27:B39"/>
    <mergeCell ref="I3:M3"/>
    <mergeCell ref="I11:M11"/>
    <mergeCell ref="I12:M12"/>
    <mergeCell ref="I13:M13"/>
    <mergeCell ref="I14:M14"/>
    <mergeCell ref="I15:M15"/>
    <mergeCell ref="I16:M16"/>
    <mergeCell ref="I17:M17"/>
    <mergeCell ref="I18:M18"/>
    <mergeCell ref="I4:M4"/>
    <mergeCell ref="I5:M5"/>
    <mergeCell ref="I6:M6"/>
    <mergeCell ref="B5:B6"/>
    <mergeCell ref="B7:B9"/>
    <mergeCell ref="I26:M26"/>
    <mergeCell ref="I37:M37"/>
    <mergeCell ref="I38:M38"/>
    <mergeCell ref="I39:M39"/>
    <mergeCell ref="I27:M27"/>
    <mergeCell ref="I28:M28"/>
    <mergeCell ref="I29:M29"/>
    <mergeCell ref="I30:M30"/>
    <mergeCell ref="I31:M31"/>
    <mergeCell ref="I32:M32"/>
    <mergeCell ref="I36:M36"/>
    <mergeCell ref="I35:M35"/>
    <mergeCell ref="I33:M33"/>
    <mergeCell ref="I34:M34"/>
    <mergeCell ref="U4:U7"/>
    <mergeCell ref="U8:U9"/>
    <mergeCell ref="U12:U23"/>
    <mergeCell ref="U27:U39"/>
    <mergeCell ref="N41:O41"/>
    <mergeCell ref="N12:O23"/>
    <mergeCell ref="N27:O39"/>
    <mergeCell ref="N4:O7"/>
    <mergeCell ref="N8:O9"/>
  </mergeCells>
  <phoneticPr fontId="27"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Presupuesto Convenio</vt:lpstr>
      <vt:lpstr>Presupuesto Mensual</vt:lpstr>
      <vt:lpstr>Distribucion de Recursos</vt:lpstr>
      <vt:lpstr>PARTICIPACION % CONTRAPARTIDA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ivan elizalde</cp:lastModifiedBy>
  <dcterms:created xsi:type="dcterms:W3CDTF">2021-01-26T17:41:32Z</dcterms:created>
  <dcterms:modified xsi:type="dcterms:W3CDTF">2021-07-22T19:45:22Z</dcterms:modified>
</cp:coreProperties>
</file>