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artinezm\Desktop\MÍNIMAS 2018\SMC  029 DE 2018 OVS POPAYAN\"/>
    </mc:Choice>
  </mc:AlternateContent>
  <bookViews>
    <workbookView xWindow="0" yWindow="0" windowWidth="28800" windowHeight="12030" activeTab="2"/>
  </bookViews>
  <sheets>
    <sheet name="HISTORICOS EN CONTRATACIÓN SGC" sheetId="10" r:id="rId1"/>
    <sheet name="DEMANDA" sheetId="16" r:id="rId2"/>
    <sheet name="PRESUPUESTO" sheetId="1" r:id="rId3"/>
    <sheet name="COMPARATIVO" sheetId="11" r:id="rId4"/>
    <sheet name="APUS" sheetId="17" r:id="rId5"/>
    <sheet name="AIU" sheetId="15" r:id="rId6"/>
  </sheets>
  <calcPr calcId="162913"/>
</workbook>
</file>

<file path=xl/calcChain.xml><?xml version="1.0" encoding="utf-8"?>
<calcChain xmlns="http://schemas.openxmlformats.org/spreadsheetml/2006/main">
  <c r="F186" i="17" l="1"/>
  <c r="F187" i="17"/>
  <c r="F188" i="17"/>
  <c r="F189" i="17"/>
  <c r="F234" i="17" l="1"/>
  <c r="G244" i="17" s="1"/>
  <c r="F235" i="17"/>
  <c r="F236" i="17"/>
  <c r="F248" i="17"/>
  <c r="F247" i="17"/>
  <c r="G251" i="17" s="1"/>
  <c r="F227" i="17" s="1"/>
  <c r="F198" i="17"/>
  <c r="F197" i="17"/>
  <c r="G201" i="17" s="1"/>
  <c r="F184" i="17"/>
  <c r="F185" i="17"/>
  <c r="A216" i="17"/>
  <c r="F138" i="17"/>
  <c r="F137" i="17"/>
  <c r="F136" i="17"/>
  <c r="F135" i="17"/>
  <c r="F134" i="17"/>
  <c r="F148" i="17"/>
  <c r="F147" i="17"/>
  <c r="A166" i="17"/>
  <c r="A116" i="17"/>
  <c r="A65" i="17"/>
  <c r="F97" i="17"/>
  <c r="F96" i="17"/>
  <c r="G100" i="17" s="1"/>
  <c r="F85" i="17"/>
  <c r="D84" i="17"/>
  <c r="F84" i="17" s="1"/>
  <c r="F83" i="17"/>
  <c r="F25" i="17"/>
  <c r="F46" i="17"/>
  <c r="F45" i="17"/>
  <c r="G49" i="17" s="1"/>
  <c r="F34" i="17"/>
  <c r="D33" i="17"/>
  <c r="F33" i="17" s="1"/>
  <c r="F32" i="17"/>
  <c r="F177" i="17" l="1"/>
  <c r="G181" i="17" s="1"/>
  <c r="G202" i="17" s="1"/>
  <c r="G231" i="17"/>
  <c r="F76" i="17"/>
  <c r="G80" i="17" s="1"/>
  <c r="G194" i="17"/>
  <c r="G252" i="17"/>
  <c r="G151" i="17"/>
  <c r="F127" i="17" s="1"/>
  <c r="G131" i="17" s="1"/>
  <c r="G144" i="17"/>
  <c r="G93" i="17"/>
  <c r="G29" i="17"/>
  <c r="G42" i="17"/>
  <c r="A14" i="17"/>
  <c r="G101" i="17" l="1"/>
  <c r="G152" i="17"/>
  <c r="G50" i="17"/>
  <c r="G4" i="11"/>
  <c r="E4" i="11"/>
  <c r="F4" i="11" s="1"/>
  <c r="F8" i="1"/>
  <c r="F7" i="1"/>
  <c r="F6" i="1"/>
  <c r="F5" i="1"/>
  <c r="F4" i="1"/>
  <c r="E8" i="11"/>
  <c r="G7" i="11"/>
  <c r="E7" i="11" s="1"/>
  <c r="F7" i="11" s="1"/>
  <c r="G5" i="11"/>
  <c r="E5" i="11" s="1"/>
  <c r="F5" i="11" s="1"/>
  <c r="L8" i="11"/>
  <c r="J4" i="11"/>
  <c r="J5" i="11"/>
  <c r="J6" i="11"/>
  <c r="J7" i="11"/>
  <c r="J8" i="11"/>
  <c r="G6" i="11"/>
  <c r="E6" i="11" s="1"/>
  <c r="F6" i="11" s="1"/>
  <c r="L7" i="11"/>
  <c r="L6" i="11"/>
  <c r="L5" i="11"/>
  <c r="L4" i="11"/>
  <c r="H8" i="11"/>
  <c r="H48" i="15"/>
  <c r="H50" i="15" s="1"/>
  <c r="J41" i="15"/>
  <c r="K41" i="15"/>
  <c r="O37" i="15"/>
  <c r="J33" i="15"/>
  <c r="P32" i="15"/>
  <c r="P31" i="15"/>
  <c r="P30" i="15"/>
  <c r="P29" i="15"/>
  <c r="P28" i="15"/>
  <c r="P27" i="15"/>
  <c r="P26" i="15"/>
  <c r="P25" i="15"/>
  <c r="P23" i="15"/>
  <c r="P22" i="15"/>
  <c r="K22" i="15"/>
  <c r="K24" i="15"/>
  <c r="K29" i="15"/>
  <c r="P21" i="15"/>
  <c r="P19" i="15"/>
  <c r="P18" i="15"/>
  <c r="K17" i="15"/>
  <c r="J17" i="15"/>
  <c r="P16" i="15"/>
  <c r="P15" i="15"/>
  <c r="K15" i="15"/>
  <c r="P14" i="15"/>
  <c r="K14" i="15"/>
  <c r="P13" i="15"/>
  <c r="K13" i="15"/>
  <c r="J13" i="15"/>
  <c r="P12" i="15"/>
  <c r="J12" i="15"/>
  <c r="K12" i="15"/>
  <c r="J11" i="15"/>
  <c r="K11" i="15"/>
  <c r="P10" i="15"/>
  <c r="K10" i="15"/>
  <c r="J10" i="15"/>
  <c r="P9" i="15"/>
  <c r="J8" i="15"/>
  <c r="K8" i="15" s="1"/>
  <c r="K21" i="15" s="1"/>
  <c r="J23" i="15" s="1"/>
  <c r="K3" i="15"/>
  <c r="K19" i="15"/>
  <c r="H4" i="11"/>
  <c r="K25" i="15"/>
  <c r="F8" i="11"/>
  <c r="J39" i="15" l="1"/>
  <c r="K23" i="15"/>
  <c r="K27" i="15" s="1"/>
  <c r="K33" i="15" s="1"/>
  <c r="J26" i="15"/>
  <c r="H6" i="11"/>
  <c r="H7" i="11"/>
  <c r="F9" i="11"/>
  <c r="H5" i="11"/>
  <c r="F10" i="1"/>
  <c r="F13" i="1" s="1"/>
  <c r="F14" i="1" s="1"/>
  <c r="K30" i="15" l="1"/>
  <c r="J29" i="15"/>
  <c r="K31" i="15"/>
  <c r="K32" i="15"/>
  <c r="K26" i="15"/>
  <c r="F11" i="11"/>
  <c r="F12" i="11"/>
  <c r="F13" i="11" s="1"/>
  <c r="F10" i="11"/>
  <c r="F15" i="11" s="1"/>
  <c r="F11" i="1"/>
  <c r="F12" i="1"/>
  <c r="J35" i="15" l="1"/>
  <c r="J37" i="15" s="1"/>
  <c r="K37" i="15" s="1"/>
  <c r="J42" i="15"/>
  <c r="K39" i="15" s="1"/>
  <c r="K42" i="15" s="1"/>
  <c r="K35" i="15"/>
  <c r="K38" i="15" s="1"/>
  <c r="F16" i="1"/>
  <c r="H17" i="1" s="1"/>
</calcChain>
</file>

<file path=xl/sharedStrings.xml><?xml version="1.0" encoding="utf-8"?>
<sst xmlns="http://schemas.openxmlformats.org/spreadsheetml/2006/main" count="463" uniqueCount="209">
  <si>
    <t>ITEMS</t>
  </si>
  <si>
    <t>DESCRIPCIÓN</t>
  </si>
  <si>
    <t>UND</t>
  </si>
  <si>
    <t>CANTIDAD</t>
  </si>
  <si>
    <t>VR. UNITARIO</t>
  </si>
  <si>
    <t>VR. TOTAL</t>
  </si>
  <si>
    <t>COSTO DIRECTO TOTAL</t>
  </si>
  <si>
    <t>COSTO TOTAL</t>
  </si>
  <si>
    <t>Administración</t>
  </si>
  <si>
    <t>Imprevistos</t>
  </si>
  <si>
    <t>Utilidad</t>
  </si>
  <si>
    <t>IVA/Utilidad</t>
  </si>
  <si>
    <t>m2</t>
  </si>
  <si>
    <t>Global</t>
  </si>
  <si>
    <t>Numero de Proceso</t>
  </si>
  <si>
    <t>Objeto</t>
  </si>
  <si>
    <t xml:space="preserve">Valor </t>
  </si>
  <si>
    <t>Empresa - Contratista</t>
  </si>
  <si>
    <t>SELECCIONAR EN IGUALDAD DE OPORTUNIDADES AL PROPONENTE QUE OFREZCA LAS MEJORES CONDICIONES TÉCNICAS Y COMERCIALES PARA REALIZAR LAS LABORES DE MANTENIMIENTO Y ADECUACION DE INFRAESTRUCTURA EN LA SEDE DEL INSTITUTO COLOMBIANO DE GEOLOGIA Y MINERIA - INGEOMINAS PARA EL OBSERVATORIO VULCANOLOGICO Y SISMOLOGICO DE LA CIUDAD DE MANIZALES.</t>
  </si>
  <si>
    <t>LIC 002 DE 2010</t>
  </si>
  <si>
    <t>$ 241,000,000</t>
  </si>
  <si>
    <t>CONSORCIO ANDES 2010</t>
  </si>
  <si>
    <t>SELECCIONAR EN IGUALDAD DE OPORTUNIDADES AL PROPONENTE QUE OFREZCA LAS MEJORES DE CONDICIONES TECNICAS Y COMERCIALES PARA REALIZAR LAS LABORES DE MANTENIMIENTO DE LA SEDE DEL OBSERVATORIO VULCANOLOGICO Y SISMOLOGICO DE MANIZALES DEL SERVICIO GEOLOGICO COLOMBIANO</t>
  </si>
  <si>
    <t>$ 22,525,000</t>
  </si>
  <si>
    <t>SMC 054 DE 2013</t>
  </si>
  <si>
    <t>DANIEL HORACIO LESMES OSORIO</t>
  </si>
  <si>
    <t>SMC 076 DE 2014</t>
  </si>
  <si>
    <t>CONTRATAR EN IGUALDAD DE OPORTUNIDADES AL PROPONENTE QUE OFREZCA LAS MEJORES CONDICIONES PARA EFECTUAR EL MANTENIMIENTO DE LA SEDE DEL OBSERVATORIO VULCANOLÓGICO Y SISMOLÓGICO DE MANIZALES</t>
  </si>
  <si>
    <t>$ 23,935,858</t>
  </si>
  <si>
    <t>SIPCO LTDA.</t>
  </si>
  <si>
    <t>EFECTUAR LAS OBRAS DE MANTENIMIENTO DEL OBSERVATORIO VULCANOLOGICO Y SISMOLOGICO DE MANIZALES DEL SERVICIO GEOLOGICO COLOMBIANO</t>
  </si>
  <si>
    <t>SMC 075 DE 2015</t>
  </si>
  <si>
    <t>$ 17,292,409</t>
  </si>
  <si>
    <t>INGENIERIA &amp; DISEÑOS INTEGRALES S.A.S.</t>
  </si>
  <si>
    <t>Ajuste al Peso</t>
  </si>
  <si>
    <t>NOTA</t>
  </si>
  <si>
    <t xml:space="preserve">No se tendrán en cuenta propuesta que se presenten superando los Precios Unitarios previstos por la entidad en el presente </t>
  </si>
  <si>
    <t xml:space="preserve">proceso de contratación; así mismo, el proponente no podrá modificar los porcentajes de AIU establecidos, los cuales son: </t>
  </si>
  <si>
    <t>PRESUPUESTO OBRAS DE MANTENIMIENTO OVS POPAYAN</t>
  </si>
  <si>
    <t>Valor Obra Directa</t>
  </si>
  <si>
    <t xml:space="preserve">Valor Obra </t>
  </si>
  <si>
    <t>Plazo de ejecución</t>
  </si>
  <si>
    <t>Descripcion</t>
  </si>
  <si>
    <t>Cantidad</t>
  </si>
  <si>
    <t>% Participación en el Proyecto</t>
  </si>
  <si>
    <t>EXP GENERAL</t>
  </si>
  <si>
    <t>EXP ESPECIF</t>
  </si>
  <si>
    <t>Profesional</t>
  </si>
  <si>
    <t>Sueldo</t>
  </si>
  <si>
    <t>% Prestacional</t>
  </si>
  <si>
    <t>Plazo (meses)</t>
  </si>
  <si>
    <t>Vr. Total</t>
  </si>
  <si>
    <t>Personal</t>
  </si>
  <si>
    <t>Ingeniero Residente de Obra Civil</t>
  </si>
  <si>
    <t>Papeleria y Equipos de Oficina</t>
  </si>
  <si>
    <t>Ingeniero eléctro mecánico</t>
  </si>
  <si>
    <t>Oficina Central</t>
  </si>
  <si>
    <t>Laboratorios</t>
  </si>
  <si>
    <t>Papeleria, fotocopias y otros</t>
  </si>
  <si>
    <t>Computadores e Impresora</t>
  </si>
  <si>
    <t>Equipos de comunicación</t>
  </si>
  <si>
    <t>Transportes varios</t>
  </si>
  <si>
    <t>Bancarios</t>
  </si>
  <si>
    <t>Transporte</t>
  </si>
  <si>
    <t>Transferencias</t>
  </si>
  <si>
    <t>Gastos Financieros</t>
  </si>
  <si>
    <t>Legalizacion del contrato</t>
  </si>
  <si>
    <t>Polizas</t>
  </si>
  <si>
    <t>Manejo del Anticipo</t>
  </si>
  <si>
    <t>1% valor contrato</t>
  </si>
  <si>
    <t>Subtotal Costos Administracion</t>
  </si>
  <si>
    <t>Garantías</t>
  </si>
  <si>
    <t>Costo Directo de obra</t>
  </si>
  <si>
    <t xml:space="preserve"> </t>
  </si>
  <si>
    <t>Campamento y otros</t>
  </si>
  <si>
    <t>Porcentaje Administracion</t>
  </si>
  <si>
    <t>Vigilancia de obra</t>
  </si>
  <si>
    <t>Impuestos</t>
  </si>
  <si>
    <t>Impuesto (IVA/Utilidad )</t>
  </si>
  <si>
    <t>SUBTOTAL A.I.U.</t>
  </si>
  <si>
    <t>Impuesto (4/1000)</t>
  </si>
  <si>
    <t>SUBTOTAL COSTO DE OBRA</t>
  </si>
  <si>
    <t>Imp. Industria y Comercio (6/1000)</t>
  </si>
  <si>
    <t>Retefuente</t>
  </si>
  <si>
    <t>Reteica (6*1000)</t>
  </si>
  <si>
    <t>Estampilla Pro Universidad de Nariño</t>
  </si>
  <si>
    <t>SENA y FIC</t>
  </si>
  <si>
    <t>Contribucion Especial  (5%)</t>
  </si>
  <si>
    <t>Salud y Pensión del contratista</t>
  </si>
  <si>
    <t xml:space="preserve">Contribucion Especial UNAL </t>
  </si>
  <si>
    <t>UTILIDAD</t>
  </si>
  <si>
    <t xml:space="preserve">Utilidad </t>
  </si>
  <si>
    <t>SUBTOTAL IMPUESTOS</t>
  </si>
  <si>
    <t>IMPREVISTOS</t>
  </si>
  <si>
    <t>TOTAL AIU</t>
  </si>
  <si>
    <t>Administracion</t>
  </si>
  <si>
    <t>SALARIO MINIMO</t>
  </si>
  <si>
    <t>COSTO OBRA</t>
  </si>
  <si>
    <t>SMMLV DEL PRESENTE PROYECTO</t>
  </si>
  <si>
    <t>%</t>
  </si>
  <si>
    <t>SMMLV</t>
  </si>
  <si>
    <t>BASE GRAVABLE</t>
  </si>
  <si>
    <t>AÑO</t>
  </si>
  <si>
    <t xml:space="preserve">Suministro e instalación de cerámica de piso tipo pomei y/o similar, incluye demolición y retiro de piso existente, construcción de afinado de piso de espesor promedio de 4cm en mortero 1:3, boquilla y demás actividades necesarias para la terminación y recibo a satisfacción </t>
  </si>
  <si>
    <t>Suministro e instalación de teja en fibrocemento tipo eternit y/o similar</t>
  </si>
  <si>
    <t>Reparación de Canales y Bajantes</t>
  </si>
  <si>
    <t>Arq. Andres Arevalo</t>
  </si>
  <si>
    <t>Jose Olano</t>
  </si>
  <si>
    <t>Carlos Villegas</t>
  </si>
  <si>
    <t>Pintura vinilo tipo 1 sobre muros</t>
  </si>
  <si>
    <t>Administración 17%, Imprevisots 3%, Utilidad 5% e IVA sobre la utilidad 19%, so pena de rechazo de la propuesta.</t>
  </si>
  <si>
    <t>Concepto</t>
  </si>
  <si>
    <t>Detalle</t>
  </si>
  <si>
    <t>Objeto a Contratar</t>
  </si>
  <si>
    <t xml:space="preserve">Modalidad de selección </t>
  </si>
  <si>
    <t>Detalle del proceso No de invitación</t>
  </si>
  <si>
    <t xml:space="preserve">Cuantía a contratar </t>
  </si>
  <si>
    <t>Entidad contratante</t>
  </si>
  <si>
    <t>Nombre del contratista</t>
  </si>
  <si>
    <t>Fecha de Inicio de ejecución del contrato</t>
  </si>
  <si>
    <t>Plazo de ejecución del contrato</t>
  </si>
  <si>
    <t>ADECUACION Y MANTENIMIENTO INFRAESTRUCTURA FISICA PLAZA DE FERIAS MUNICIPIO DE MALAGA SANTANDER</t>
  </si>
  <si>
    <t>Contratación Mínima Cuantía</t>
  </si>
  <si>
    <t>15 - 63</t>
  </si>
  <si>
    <t>$ 18,205,305</t>
  </si>
  <si>
    <t>SANTANDER - ALCALDÍA MUNICIPIO DE MÁLAGA</t>
  </si>
  <si>
    <t>PROSEGAR E.U</t>
  </si>
  <si>
    <t xml:space="preserve"> 28 de diciembre de 2015</t>
  </si>
  <si>
    <t>3 DÍAS</t>
  </si>
  <si>
    <t>Contratación Directa (Ley 1150 de 2007)</t>
  </si>
  <si>
    <t>$ 4,408,070</t>
  </si>
  <si>
    <t>RISARALDA - INSTITUCIÓN EDUCATIVA SANTA ANA - GUATICA</t>
  </si>
  <si>
    <t>ANGEL FAIBER GUAPACHA GUAPACHA</t>
  </si>
  <si>
    <t>17 de marzo de 2017</t>
  </si>
  <si>
    <t>30 DÍAS</t>
  </si>
  <si>
    <t>REALIZAR OBRAS A TODO COSTO DE MANTENIMIENTO Y ADECUACION DE UNIDADES SANITARIAS COMO COMPLEMENTO A LA ADECUACION REALIZADA POR EL DEPARTAMENTO DE RISARALDA EN LA SEDE CENTRAL DE LA INSTITUCION SANTA ANA</t>
  </si>
  <si>
    <t>MANTENIMIENTO Y ADECUACIÓN A TODO COSTO DEL TECHO DE LAS OFICINAS DEL ÁREA DE SALUD PUBLICA Y DEL PARQUEADERO (CAEDIZO) DE LAS MOTOS DE LA  SECRETARIA DEPARTAMENTAL DE SALUD</t>
  </si>
  <si>
    <t>01 -- 17</t>
  </si>
  <si>
    <t>$ 10,953,760</t>
  </si>
  <si>
    <t>083 --</t>
  </si>
  <si>
    <t>GUAVIARE - GOBERNACIÓN</t>
  </si>
  <si>
    <t>VLADIMIR VERA OYOLA</t>
  </si>
  <si>
    <t>1 MES</t>
  </si>
  <si>
    <t>C.M.C. 043-2016</t>
  </si>
  <si>
    <t>CÓRDOBA - ALCALDÍA MUNICIPIO DE MONTERÍA</t>
  </si>
  <si>
    <t>$ 44,033,411</t>
  </si>
  <si>
    <t>14 de diciembre de 2016</t>
  </si>
  <si>
    <t>15 DIAS</t>
  </si>
  <si>
    <t>ALBERTO RAFAEL TOLEDO VERGARA</t>
  </si>
  <si>
    <t>ADECUACIÓN Y MANTENIMIENTO DE LA UNIDAD DE ATENCIÓN Y ORIENTACIÓN A LA POBLACIÓN DESPLAZADA (UAO) EN EL MUNICIPIO DE MONTERÍA DEPARTAMENTO DE CÓRDOBA.</t>
  </si>
  <si>
    <t>Administración 17%, Imprevistos 3%, Utilidad 5% e IVA sobre la utilidad 19%, so pena de rechazo de la propuesta.</t>
  </si>
  <si>
    <t xml:space="preserve">No se tendrán en cuenta propuesta que se presenten superando los Precios Unitarios previstos por la entidad en el presente proceso de contratación; así mismo, el proponente no podrá modificar los porcentajes de AIU establecidos, los cuales son: </t>
  </si>
  <si>
    <t>Suministro e instalación de cielo raso en Dry Wall para oficinas, incluye el retiro del cielo raso existente</t>
  </si>
  <si>
    <t>SERVICIO GEOLOGICO COLOMBIANO</t>
  </si>
  <si>
    <t>ANALISIS DE PRECIOS UNITARIOS</t>
  </si>
  <si>
    <t>SUB ANALISIS</t>
  </si>
  <si>
    <t>UND:</t>
  </si>
  <si>
    <t>M2</t>
  </si>
  <si>
    <t>PROYECTO:</t>
  </si>
  <si>
    <t>ITEM</t>
  </si>
  <si>
    <t>I. EQUIPO</t>
  </si>
  <si>
    <t>Descripción</t>
  </si>
  <si>
    <t>Tipo</t>
  </si>
  <si>
    <t>Tarifa / Hora ($/H)</t>
  </si>
  <si>
    <t>Rendimiento
(Cantidad/H)</t>
  </si>
  <si>
    <t>Valor 
Unitario ($)</t>
  </si>
  <si>
    <t>Herramienta menor (5% M. de obra)</t>
  </si>
  <si>
    <t>Subtotal</t>
  </si>
  <si>
    <t>II. MATERIALES EN OBRA</t>
  </si>
  <si>
    <t>Unidad</t>
  </si>
  <si>
    <t>Precio de
Unidad ($)</t>
  </si>
  <si>
    <t>Piso tipo pizarra de primera calidad Kholer</t>
  </si>
  <si>
    <t>Pegacor</t>
  </si>
  <si>
    <t>kg</t>
  </si>
  <si>
    <t>Boquilla</t>
  </si>
  <si>
    <t>III. MANO DE OBRA</t>
  </si>
  <si>
    <t>Trabajador</t>
  </si>
  <si>
    <t>Jornal ($)</t>
  </si>
  <si>
    <t>Jornal con
Prestaciones</t>
  </si>
  <si>
    <t>Rendimiento
(Cant./día)</t>
  </si>
  <si>
    <t>Ayudante</t>
  </si>
  <si>
    <t>Maestro</t>
  </si>
  <si>
    <t>TOTAL COSTO DIRECTO</t>
  </si>
  <si>
    <t>und</t>
  </si>
  <si>
    <t>gl</t>
  </si>
  <si>
    <t>Pintura tipo Vinilo tipo 1</t>
  </si>
  <si>
    <t>Rodillo</t>
  </si>
  <si>
    <t>Material de resane tipo masilla (inlcuye lijas)</t>
  </si>
  <si>
    <t>SELECCIÓN ABREVIADA DE MÍNIMA CUANTIA</t>
  </si>
  <si>
    <t>MANTENIMIENTO Y ADECUACIÓN DEL OBSERVATORIO VULCANOLÓGICO Y SISMOLÓGICO DE POPAYÁN DEL SERVICIO GEOLÓGICO COLOMBIANO</t>
  </si>
  <si>
    <t xml:space="preserve">MANTENIMIENTO Y ADECUACIÓN DEL O.V.S. DE POPAYÁN </t>
  </si>
  <si>
    <t>Andamios y/o escaleras</t>
  </si>
  <si>
    <t>Amarre de teia No. 12</t>
  </si>
  <si>
    <t>Teja en fibrocemento tipo eternit y/o similar</t>
  </si>
  <si>
    <t>Mortero impermeabilizado 1:3</t>
  </si>
  <si>
    <t>m3</t>
  </si>
  <si>
    <t>Gl</t>
  </si>
  <si>
    <t>Sección de Canal similar a la existente</t>
  </si>
  <si>
    <t>Bajantes en PVC Aguas lluvias de 4"</t>
  </si>
  <si>
    <t>Uniones y Accesorios</t>
  </si>
  <si>
    <t>Manto Asfaltico</t>
  </si>
  <si>
    <t>ml</t>
  </si>
  <si>
    <t>Silicona para exteriores tipo Sikaflex y/o similar</t>
  </si>
  <si>
    <t>Lamina de Dry Wall de 1/2"</t>
  </si>
  <si>
    <t>Estructura en lamina galvanizada para Dry Wall</t>
  </si>
  <si>
    <t>Masilla y material de empaste</t>
  </si>
  <si>
    <t>Pintura vinilo tipo 2</t>
  </si>
  <si>
    <t>Pintura vinilo tipo 1</t>
  </si>
  <si>
    <t>Instalación de puntos eléctricos y lamparas existentes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</si>
</sst>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[$$-240A]\ * #,##0.00_ ;_-[$$-240A]\ * \-#,##0.00\ ;_-[$$-240A]\ * &quot;-&quot;??_ ;_-@_ "/>
    <numFmt numFmtId="170" formatCode="_ * #,##0.00_ \ [$$-240A]_ ;_ * \-#,##0.00\ \ [$$-240A]_ ;_ * &quot;-&quot;??_ \ [$$-240A]_ ;_ @_ "/>
    <numFmt numFmtId="171" formatCode="0.0%"/>
    <numFmt numFmtId="172" formatCode="0.000"/>
    <numFmt numFmtId="173" formatCode="_([$$-240A]\ * #,##0.00_);_([$$-240A]\ * \(#,##0.00\);_([$$-240A]\ * &quot;-&quot;??_);_(@_)"/>
    <numFmt numFmtId="174" formatCode="_-&quot;$&quot;* #,##0.00_-;\-&quot;$&quot;* #,##0.00_-;_-&quot;$&quot;* &quot;-&quot;_-;_-@_-"/>
    <numFmt numFmtId="177" formatCode="#,##0.00\ &quot;€&quot;;\-#,##0.00\ &quot;€&quot;"/>
    <numFmt numFmtId="178" formatCode="_-* #,##0.00\ &quot;€&quot;_-;\-* #,##0.00\ &quot;€&quot;_-;_-* &quot;-&quot;??\ &quot;€&quot;_-;_-@_-"/>
    <numFmt numFmtId="179" formatCode="_-* #,##0.00\ _€_-;\-* #,##0.00\ _€_-;_-* &quot;-&quot;??\ _€_-;_-@_-"/>
    <numFmt numFmtId="180" formatCode="0.0"/>
    <numFmt numFmtId="181" formatCode="&quot;$&quot;#,##0.00"/>
    <numFmt numFmtId="182" formatCode="#,##0.000"/>
    <numFmt numFmtId="183" formatCode="_-* #,##0\ _P_t_s_-;\-* #,##0\ _P_t_s_-;_-* &quot;-&quot;\ _P_t_s_-;_-@_-"/>
    <numFmt numFmtId="184" formatCode="#,##0.0;\-#,##0.0"/>
    <numFmt numFmtId="185" formatCode="_ * #,##0.00_ ;_ * \-#,##0.00_ ;_ * &quot;-&quot;??_ ;_ @_ "/>
    <numFmt numFmtId="186" formatCode="_ &quot;$&quot;\ * #,##0.00_ ;_ &quot;$&quot;\ * \-#,##0.00_ ;_ &quot;$&quot;\ * &quot;-&quot;??_ ;_ @_ "/>
    <numFmt numFmtId="187" formatCode="_([$€]* #,##0.00_);_([$€]* \(#,##0.00\);_([$€]* &quot;-&quot;??_);_(@_)"/>
    <numFmt numFmtId="188" formatCode="[$-C0A]dd\-mmm\-yy;@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sz val="11"/>
      <color rgb="FF3D3D3D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2"/>
      <color rgb="FF3D3D3D"/>
      <name val="Tahoma"/>
      <family val="2"/>
    </font>
    <font>
      <b/>
      <sz val="15"/>
      <color theme="3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b/>
      <sz val="18"/>
      <name val="Arial"/>
      <family val="2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11"/>
      <color indexed="20"/>
      <name val="Calibri"/>
      <family val="2"/>
    </font>
    <font>
      <sz val="8"/>
      <color indexed="8"/>
      <name val="Times New Roman"/>
      <family val="1"/>
    </font>
    <font>
      <sz val="11"/>
      <color indexed="60"/>
      <name val="Calibri"/>
      <family val="2"/>
    </font>
    <font>
      <sz val="12"/>
      <color theme="1"/>
      <name val="Calibri"/>
      <family val="2"/>
    </font>
    <font>
      <sz val="10"/>
      <color indexed="8"/>
      <name val="Arial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9">
    <xf numFmtId="0" fontId="0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0" borderId="0">
      <alignment vertical="center"/>
    </xf>
    <xf numFmtId="16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6" fillId="0" borderId="0" applyFont="0" applyFill="0" applyBorder="0" applyAlignment="0" applyProtection="0"/>
    <xf numFmtId="179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0" fontId="16" fillId="0" borderId="0" applyFont="0" applyFill="0" applyBorder="0" applyAlignment="0" applyProtection="0"/>
    <xf numFmtId="0" fontId="3" fillId="0" borderId="0"/>
    <xf numFmtId="0" fontId="3" fillId="0" borderId="0"/>
    <xf numFmtId="9" fontId="16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2" fillId="12" borderId="0" applyNumberFormat="0" applyBorder="0" applyAlignment="0" applyProtection="0"/>
    <xf numFmtId="0" fontId="23" fillId="24" borderId="38" applyNumberFormat="0" applyAlignment="0" applyProtection="0"/>
    <xf numFmtId="0" fontId="24" fillId="25" borderId="39" applyNumberFormat="0" applyAlignment="0" applyProtection="0"/>
    <xf numFmtId="0" fontId="25" fillId="0" borderId="40" applyNumberFormat="0" applyFill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6" fillId="0" borderId="0" applyFill="0" applyBorder="0" applyAlignment="0" applyProtection="0"/>
    <xf numFmtId="0" fontId="27" fillId="0" borderId="0" applyNumberFormat="0" applyFill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9" borderId="0" applyNumberFormat="0" applyBorder="0" applyAlignment="0" applyProtection="0"/>
    <xf numFmtId="0" fontId="28" fillId="15" borderId="38" applyNumberFormat="0" applyAlignment="0" applyProtection="0"/>
    <xf numFmtId="2" fontId="26" fillId="0" borderId="0" applyFill="0" applyBorder="0" applyAlignment="0" applyProtection="0"/>
    <xf numFmtId="0" fontId="2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11" borderId="0" applyNumberFormat="0" applyBorder="0" applyAlignment="0" applyProtection="0"/>
    <xf numFmtId="166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16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 applyFill="0" applyBorder="0" applyAlignment="0" applyProtection="0"/>
    <xf numFmtId="17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34" fillId="30" borderId="0" applyNumberFormat="0" applyBorder="0" applyAlignment="0" applyProtection="0"/>
    <xf numFmtId="0" fontId="3" fillId="0" borderId="0"/>
    <xf numFmtId="0" fontId="35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16" fillId="0" borderId="0"/>
    <xf numFmtId="0" fontId="2" fillId="0" borderId="0"/>
    <xf numFmtId="0" fontId="26" fillId="0" borderId="0"/>
    <xf numFmtId="0" fontId="3" fillId="0" borderId="0"/>
    <xf numFmtId="0" fontId="2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6" fillId="0" borderId="0"/>
    <xf numFmtId="188" fontId="3" fillId="0" borderId="0"/>
    <xf numFmtId="0" fontId="3" fillId="0" borderId="0"/>
    <xf numFmtId="0" fontId="26" fillId="0" borderId="0"/>
    <xf numFmtId="0" fontId="3" fillId="31" borderId="41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8" fillId="24" borderId="42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41" fillId="0" borderId="43" applyNumberFormat="0" applyFill="0" applyAlignment="0" applyProtection="0"/>
    <xf numFmtId="0" fontId="27" fillId="0" borderId="44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45" applyNumberFormat="0" applyFill="0" applyAlignment="0" applyProtection="0"/>
  </cellStyleXfs>
  <cellXfs count="176">
    <xf numFmtId="0" fontId="0" fillId="0" borderId="0" xfId="0"/>
    <xf numFmtId="0" fontId="4" fillId="2" borderId="0" xfId="3" applyFont="1" applyFill="1" applyAlignment="1">
      <alignment horizontal="right" vertical="center"/>
    </xf>
    <xf numFmtId="10" fontId="4" fillId="2" borderId="0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167" fontId="0" fillId="0" borderId="1" xfId="1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7" fontId="1" fillId="0" borderId="1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8" fontId="0" fillId="0" borderId="5" xfId="2" applyFont="1" applyBorder="1" applyAlignment="1">
      <alignment horizontal="right" vertical="center"/>
    </xf>
    <xf numFmtId="168" fontId="6" fillId="0" borderId="5" xfId="2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9" fontId="7" fillId="0" borderId="0" xfId="0" applyNumberFormat="1" applyFont="1" applyAlignment="1">
      <alignment vertical="center"/>
    </xf>
    <xf numFmtId="169" fontId="7" fillId="4" borderId="1" xfId="0" applyNumberFormat="1" applyFont="1" applyFill="1" applyBorder="1" applyAlignment="1">
      <alignment vertical="center"/>
    </xf>
    <xf numFmtId="167" fontId="7" fillId="0" borderId="0" xfId="0" applyNumberFormat="1" applyFont="1" applyAlignment="1">
      <alignment vertical="center"/>
    </xf>
    <xf numFmtId="3" fontId="7" fillId="4" borderId="1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169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9" fontId="7" fillId="0" borderId="1" xfId="5" applyFont="1" applyBorder="1" applyAlignment="1">
      <alignment horizontal="center" vertical="center"/>
    </xf>
    <xf numFmtId="9" fontId="10" fillId="0" borderId="1" xfId="5" applyFont="1" applyBorder="1" applyAlignment="1">
      <alignment horizontal="center" vertical="center"/>
    </xf>
    <xf numFmtId="170" fontId="7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71" fontId="10" fillId="0" borderId="1" xfId="5" applyNumberFormat="1" applyFont="1" applyBorder="1" applyAlignment="1">
      <alignment horizontal="center" vertical="center"/>
    </xf>
    <xf numFmtId="10" fontId="10" fillId="0" borderId="1" xfId="5" applyNumberFormat="1" applyFont="1" applyBorder="1" applyAlignment="1">
      <alignment horizontal="center" vertical="center"/>
    </xf>
    <xf numFmtId="169" fontId="7" fillId="6" borderId="1" xfId="0" applyNumberFormat="1" applyFont="1" applyFill="1" applyBorder="1" applyAlignment="1">
      <alignment vertical="center"/>
    </xf>
    <xf numFmtId="10" fontId="7" fillId="0" borderId="1" xfId="5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vertical="center"/>
    </xf>
    <xf numFmtId="0" fontId="7" fillId="7" borderId="1" xfId="0" applyFont="1" applyFill="1" applyBorder="1" applyAlignment="1">
      <alignment vertical="center"/>
    </xf>
    <xf numFmtId="169" fontId="7" fillId="7" borderId="1" xfId="0" applyNumberFormat="1" applyFont="1" applyFill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169" fontId="8" fillId="7" borderId="1" xfId="0" applyNumberFormat="1" applyFont="1" applyFill="1" applyBorder="1" applyAlignment="1">
      <alignment vertical="center"/>
    </xf>
    <xf numFmtId="10" fontId="7" fillId="0" borderId="1" xfId="0" applyNumberFormat="1" applyFont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69" fontId="8" fillId="0" borderId="1" xfId="0" applyNumberFormat="1" applyFont="1" applyBorder="1" applyAlignment="1">
      <alignment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72" fontId="7" fillId="0" borderId="1" xfId="0" applyNumberFormat="1" applyFont="1" applyBorder="1" applyAlignment="1">
      <alignment horizontal="center" vertical="center"/>
    </xf>
    <xf numFmtId="171" fontId="7" fillId="0" borderId="1" xfId="5" applyNumberFormat="1" applyFont="1" applyBorder="1" applyAlignment="1">
      <alignment horizontal="center" vertical="center"/>
    </xf>
    <xf numFmtId="9" fontId="7" fillId="0" borderId="1" xfId="5" applyFont="1" applyBorder="1" applyAlignment="1">
      <alignment horizontal="left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9" fontId="8" fillId="0" borderId="1" xfId="5" applyFont="1" applyBorder="1" applyAlignment="1">
      <alignment horizontal="center" vertical="center"/>
    </xf>
    <xf numFmtId="10" fontId="8" fillId="7" borderId="1" xfId="0" applyNumberFormat="1" applyFont="1" applyFill="1" applyBorder="1" applyAlignment="1">
      <alignment horizontal="center" vertical="center"/>
    </xf>
    <xf numFmtId="172" fontId="8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169" fontId="7" fillId="5" borderId="1" xfId="0" applyNumberFormat="1" applyFont="1" applyFill="1" applyBorder="1" applyAlignment="1">
      <alignment vertical="center"/>
    </xf>
    <xf numFmtId="172" fontId="8" fillId="5" borderId="1" xfId="0" applyNumberFormat="1" applyFont="1" applyFill="1" applyBorder="1" applyAlignment="1">
      <alignment horizontal="center" vertical="center"/>
    </xf>
    <xf numFmtId="9" fontId="8" fillId="5" borderId="1" xfId="0" applyNumberFormat="1" applyFont="1" applyFill="1" applyBorder="1" applyAlignment="1">
      <alignment horizontal="center" vertical="center"/>
    </xf>
    <xf numFmtId="9" fontId="8" fillId="5" borderId="1" xfId="5" applyFont="1" applyFill="1" applyBorder="1" applyAlignment="1">
      <alignment horizontal="center" vertical="center"/>
    </xf>
    <xf numFmtId="173" fontId="7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0" fontId="7" fillId="0" borderId="1" xfId="0" applyNumberFormat="1" applyFont="1" applyBorder="1" applyAlignment="1">
      <alignment vertical="center"/>
    </xf>
    <xf numFmtId="0" fontId="7" fillId="7" borderId="0" xfId="0" applyFont="1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169" fontId="7" fillId="7" borderId="0" xfId="0" applyNumberFormat="1" applyFont="1" applyFill="1" applyAlignment="1">
      <alignment vertical="center"/>
    </xf>
    <xf numFmtId="168" fontId="0" fillId="0" borderId="0" xfId="2" applyFont="1" applyAlignment="1">
      <alignment vertical="center"/>
    </xf>
    <xf numFmtId="0" fontId="12" fillId="8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17" fontId="11" fillId="0" borderId="1" xfId="0" applyNumberFormat="1" applyFont="1" applyBorder="1" applyAlignment="1">
      <alignment horizontal="center" vertical="center" wrapText="1"/>
    </xf>
    <xf numFmtId="174" fontId="0" fillId="0" borderId="6" xfId="6" applyNumberFormat="1" applyFont="1" applyBorder="1" applyAlignment="1">
      <alignment horizontal="center" vertical="center" wrapText="1"/>
    </xf>
    <xf numFmtId="174" fontId="0" fillId="0" borderId="1" xfId="6" applyNumberFormat="1" applyFont="1" applyBorder="1" applyAlignment="1">
      <alignment vertical="center"/>
    </xf>
    <xf numFmtId="167" fontId="0" fillId="0" borderId="0" xfId="0" applyNumberFormat="1" applyAlignment="1">
      <alignment vertical="center"/>
    </xf>
    <xf numFmtId="0" fontId="17" fillId="0" borderId="0" xfId="13" applyFont="1" applyBorder="1" applyAlignment="1">
      <alignment horizontal="center" vertical="center"/>
    </xf>
    <xf numFmtId="0" fontId="15" fillId="0" borderId="8" xfId="13" applyFont="1" applyBorder="1" applyAlignment="1">
      <alignment vertical="center" wrapText="1"/>
    </xf>
    <xf numFmtId="0" fontId="15" fillId="0" borderId="12" xfId="13" applyFont="1" applyBorder="1" applyAlignment="1">
      <alignment horizontal="center" vertical="center" wrapText="1"/>
    </xf>
    <xf numFmtId="0" fontId="18" fillId="0" borderId="1" xfId="13" applyFont="1" applyBorder="1" applyAlignment="1">
      <alignment horizontal="center" vertical="center"/>
    </xf>
    <xf numFmtId="0" fontId="18" fillId="0" borderId="1" xfId="13" applyFont="1" applyBorder="1" applyAlignment="1">
      <alignment horizontal="center" vertical="center" wrapText="1"/>
    </xf>
    <xf numFmtId="181" fontId="19" fillId="0" borderId="1" xfId="13" applyNumberFormat="1" applyFont="1" applyBorder="1" applyAlignment="1">
      <alignment horizontal="center" vertical="center"/>
    </xf>
    <xf numFmtId="3" fontId="19" fillId="0" borderId="1" xfId="13" applyNumberFormat="1" applyFont="1" applyBorder="1" applyAlignment="1">
      <alignment horizontal="right" vertical="center"/>
    </xf>
    <xf numFmtId="0" fontId="18" fillId="0" borderId="18" xfId="13" applyFont="1" applyBorder="1" applyAlignment="1">
      <alignment horizontal="center" vertical="center"/>
    </xf>
    <xf numFmtId="3" fontId="19" fillId="0" borderId="1" xfId="1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9" fillId="0" borderId="1" xfId="13" applyNumberFormat="1" applyFont="1" applyBorder="1" applyAlignment="1">
      <alignment vertical="center"/>
    </xf>
    <xf numFmtId="3" fontId="19" fillId="0" borderId="1" xfId="13" applyNumberFormat="1" applyFont="1" applyBorder="1" applyAlignment="1">
      <alignment vertical="center"/>
    </xf>
    <xf numFmtId="182" fontId="19" fillId="0" borderId="1" xfId="13" applyNumberFormat="1" applyFont="1" applyBorder="1" applyAlignment="1">
      <alignment vertical="center"/>
    </xf>
    <xf numFmtId="0" fontId="19" fillId="0" borderId="1" xfId="13" applyFont="1" applyBorder="1" applyAlignment="1">
      <alignment horizontal="center" vertical="center"/>
    </xf>
    <xf numFmtId="0" fontId="19" fillId="0" borderId="1" xfId="13" applyFont="1" applyBorder="1" applyAlignment="1">
      <alignment vertical="center"/>
    </xf>
    <xf numFmtId="0" fontId="3" fillId="0" borderId="0" xfId="13" applyFont="1" applyBorder="1" applyAlignment="1">
      <alignment vertical="center"/>
    </xf>
    <xf numFmtId="165" fontId="15" fillId="0" borderId="0" xfId="13" applyNumberFormat="1" applyFont="1" applyBorder="1" applyAlignment="1">
      <alignment vertical="center"/>
    </xf>
    <xf numFmtId="0" fontId="3" fillId="0" borderId="0" xfId="13" applyAlignment="1">
      <alignment vertical="center"/>
    </xf>
    <xf numFmtId="0" fontId="3" fillId="0" borderId="0" xfId="13" applyFont="1" applyAlignment="1">
      <alignment horizontal="center" vertical="center"/>
    </xf>
    <xf numFmtId="0" fontId="17" fillId="0" borderId="0" xfId="13" applyFont="1" applyBorder="1" applyAlignment="1">
      <alignment horizontal="right" vertical="center"/>
    </xf>
    <xf numFmtId="180" fontId="19" fillId="0" borderId="1" xfId="13" applyNumberFormat="1" applyFont="1" applyBorder="1" applyAlignment="1">
      <alignment horizontal="center" vertical="center"/>
    </xf>
    <xf numFmtId="2" fontId="19" fillId="0" borderId="1" xfId="13" applyNumberFormat="1" applyFont="1" applyBorder="1" applyAlignment="1">
      <alignment horizontal="center" vertical="center"/>
    </xf>
    <xf numFmtId="172" fontId="19" fillId="0" borderId="1" xfId="13" applyNumberFormat="1" applyFont="1" applyBorder="1" applyAlignment="1">
      <alignment horizontal="center" vertical="center"/>
    </xf>
    <xf numFmtId="0" fontId="19" fillId="0" borderId="1" xfId="13" applyFont="1" applyBorder="1" applyAlignment="1">
      <alignment horizontal="right" vertical="center"/>
    </xf>
    <xf numFmtId="3" fontId="19" fillId="0" borderId="35" xfId="13" applyNumberFormat="1" applyFont="1" applyBorder="1" applyAlignment="1">
      <alignment vertical="center"/>
    </xf>
    <xf numFmtId="3" fontId="19" fillId="0" borderId="16" xfId="13" applyNumberFormat="1" applyFont="1" applyBorder="1" applyAlignment="1">
      <alignment vertical="center"/>
    </xf>
    <xf numFmtId="0" fontId="19" fillId="0" borderId="15" xfId="13" applyFont="1" applyBorder="1" applyAlignment="1">
      <alignment vertical="center"/>
    </xf>
    <xf numFmtId="3" fontId="19" fillId="0" borderId="4" xfId="13" applyNumberFormat="1" applyFont="1" applyBorder="1" applyAlignment="1">
      <alignment horizontal="center" vertical="center"/>
    </xf>
    <xf numFmtId="4" fontId="19" fillId="0" borderId="1" xfId="13" applyNumberFormat="1" applyFont="1" applyBorder="1" applyAlignment="1">
      <alignment horizontal="center" vertical="center"/>
    </xf>
    <xf numFmtId="3" fontId="18" fillId="0" borderId="21" xfId="13" applyNumberFormat="1" applyFont="1" applyBorder="1" applyAlignment="1">
      <alignment vertical="center"/>
    </xf>
    <xf numFmtId="0" fontId="19" fillId="0" borderId="18" xfId="13" applyFont="1" applyBorder="1" applyAlignment="1">
      <alignment vertical="center"/>
    </xf>
    <xf numFmtId="0" fontId="19" fillId="0" borderId="3" xfId="13" applyFont="1" applyBorder="1" applyAlignment="1">
      <alignment vertical="center"/>
    </xf>
    <xf numFmtId="0" fontId="19" fillId="0" borderId="18" xfId="13" applyFont="1" applyBorder="1" applyAlignment="1">
      <alignment horizontal="left" vertical="center"/>
    </xf>
    <xf numFmtId="0" fontId="19" fillId="0" borderId="3" xfId="13" applyFont="1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9" fillId="0" borderId="18" xfId="13" applyFont="1" applyBorder="1" applyAlignment="1">
      <alignment horizontal="right" vertical="center"/>
    </xf>
    <xf numFmtId="0" fontId="19" fillId="0" borderId="2" xfId="13" applyFont="1" applyBorder="1" applyAlignment="1">
      <alignment horizontal="right" vertical="center"/>
    </xf>
    <xf numFmtId="0" fontId="19" fillId="0" borderId="3" xfId="13" applyFont="1" applyBorder="1" applyAlignment="1">
      <alignment horizontal="right" vertical="center"/>
    </xf>
    <xf numFmtId="0" fontId="15" fillId="0" borderId="18" xfId="13" applyFont="1" applyBorder="1" applyAlignment="1">
      <alignment vertical="center"/>
    </xf>
    <xf numFmtId="0" fontId="15" fillId="0" borderId="2" xfId="13" applyFont="1" applyBorder="1" applyAlignment="1">
      <alignment vertical="center"/>
    </xf>
    <xf numFmtId="0" fontId="15" fillId="0" borderId="35" xfId="13" applyFont="1" applyBorder="1" applyAlignment="1">
      <alignment vertical="center"/>
    </xf>
    <xf numFmtId="0" fontId="19" fillId="0" borderId="32" xfId="13" applyFont="1" applyBorder="1" applyAlignment="1">
      <alignment horizontal="center" vertical="center"/>
    </xf>
    <xf numFmtId="0" fontId="19" fillId="0" borderId="33" xfId="13" applyFont="1" applyBorder="1" applyAlignment="1">
      <alignment horizontal="center" vertical="center"/>
    </xf>
    <xf numFmtId="0" fontId="19" fillId="0" borderId="34" xfId="13" applyFont="1" applyBorder="1" applyAlignment="1">
      <alignment horizontal="center" vertical="center"/>
    </xf>
    <xf numFmtId="0" fontId="18" fillId="0" borderId="18" xfId="13" applyFont="1" applyBorder="1" applyAlignment="1">
      <alignment horizontal="right" vertical="center"/>
    </xf>
    <xf numFmtId="0" fontId="18" fillId="0" borderId="2" xfId="13" applyFont="1" applyBorder="1" applyAlignment="1">
      <alignment horizontal="right" vertical="center"/>
    </xf>
    <xf numFmtId="0" fontId="18" fillId="0" borderId="3" xfId="13" applyFont="1" applyBorder="1" applyAlignment="1">
      <alignment horizontal="right" vertical="center"/>
    </xf>
    <xf numFmtId="0" fontId="18" fillId="0" borderId="19" xfId="13" applyFont="1" applyBorder="1" applyAlignment="1">
      <alignment horizontal="right" vertical="center"/>
    </xf>
    <xf numFmtId="0" fontId="18" fillId="0" borderId="20" xfId="13" applyFont="1" applyBorder="1" applyAlignment="1">
      <alignment horizontal="right" vertical="center"/>
    </xf>
    <xf numFmtId="0" fontId="18" fillId="0" borderId="15" xfId="13" applyFont="1" applyBorder="1" applyAlignment="1">
      <alignment horizontal="center" vertical="center"/>
    </xf>
    <xf numFmtId="0" fontId="18" fillId="0" borderId="1" xfId="13" applyFont="1" applyBorder="1" applyAlignment="1">
      <alignment horizontal="center" vertical="center"/>
    </xf>
    <xf numFmtId="0" fontId="3" fillId="0" borderId="18" xfId="13" applyBorder="1" applyAlignment="1">
      <alignment horizontal="left" vertical="center"/>
    </xf>
    <xf numFmtId="0" fontId="3" fillId="0" borderId="3" xfId="13" applyBorder="1" applyAlignment="1">
      <alignment horizontal="left" vertical="center"/>
    </xf>
    <xf numFmtId="0" fontId="3" fillId="0" borderId="18" xfId="13" applyFont="1" applyBorder="1" applyAlignment="1">
      <alignment horizontal="left" vertical="center"/>
    </xf>
    <xf numFmtId="0" fontId="3" fillId="0" borderId="3" xfId="13" applyFont="1" applyBorder="1" applyAlignment="1">
      <alignment horizontal="left" vertical="center"/>
    </xf>
    <xf numFmtId="0" fontId="15" fillId="0" borderId="36" xfId="13" applyFont="1" applyBorder="1" applyAlignment="1">
      <alignment vertical="center"/>
    </xf>
    <xf numFmtId="0" fontId="15" fillId="0" borderId="10" xfId="13" applyFont="1" applyBorder="1" applyAlignment="1">
      <alignment vertical="center"/>
    </xf>
    <xf numFmtId="0" fontId="15" fillId="0" borderId="37" xfId="13" applyFont="1" applyBorder="1" applyAlignment="1">
      <alignment vertical="center"/>
    </xf>
    <xf numFmtId="0" fontId="19" fillId="0" borderId="18" xfId="13" applyFont="1" applyBorder="1" applyAlignment="1">
      <alignment vertical="center"/>
    </xf>
    <xf numFmtId="0" fontId="19" fillId="0" borderId="3" xfId="13" applyFont="1" applyBorder="1" applyAlignment="1">
      <alignment vertical="center"/>
    </xf>
    <xf numFmtId="0" fontId="19" fillId="0" borderId="18" xfId="13" applyFont="1" applyBorder="1" applyAlignment="1">
      <alignment horizontal="center" vertical="center"/>
    </xf>
    <xf numFmtId="0" fontId="19" fillId="0" borderId="3" xfId="13" applyFont="1" applyBorder="1" applyAlignment="1">
      <alignment horizontal="center" vertical="center"/>
    </xf>
    <xf numFmtId="0" fontId="20" fillId="0" borderId="0" xfId="13" applyFont="1" applyAlignment="1">
      <alignment horizontal="center" vertical="center"/>
    </xf>
    <xf numFmtId="0" fontId="3" fillId="0" borderId="0" xfId="13" applyFont="1" applyAlignment="1">
      <alignment horizontal="center" vertical="center"/>
    </xf>
    <xf numFmtId="0" fontId="15" fillId="0" borderId="1" xfId="13" applyFont="1" applyBorder="1" applyAlignment="1">
      <alignment horizontal="center" vertical="center" wrapText="1"/>
    </xf>
    <xf numFmtId="0" fontId="17" fillId="0" borderId="0" xfId="13" applyFont="1" applyBorder="1" applyAlignment="1">
      <alignment horizontal="center" vertical="center"/>
    </xf>
    <xf numFmtId="4" fontId="20" fillId="9" borderId="0" xfId="13" applyNumberFormat="1" applyFont="1" applyFill="1" applyBorder="1" applyAlignment="1">
      <alignment horizontal="center" vertical="center" wrapText="1"/>
    </xf>
    <xf numFmtId="0" fontId="15" fillId="0" borderId="13" xfId="13" applyFont="1" applyBorder="1" applyAlignment="1">
      <alignment horizontal="left" vertical="center" wrapText="1"/>
    </xf>
    <xf numFmtId="0" fontId="15" fillId="0" borderId="25" xfId="13" applyFont="1" applyBorder="1" applyAlignment="1">
      <alignment horizontal="left" vertical="center" wrapText="1"/>
    </xf>
    <xf numFmtId="0" fontId="15" fillId="0" borderId="11" xfId="13" applyFont="1" applyBorder="1" applyAlignment="1">
      <alignment horizontal="left" vertical="center" wrapText="1"/>
    </xf>
    <xf numFmtId="0" fontId="3" fillId="0" borderId="22" xfId="13" applyFont="1" applyBorder="1" applyAlignment="1">
      <alignment horizontal="justify" vertical="center" wrapText="1"/>
    </xf>
    <xf numFmtId="0" fontId="3" fillId="0" borderId="23" xfId="13" applyFont="1" applyBorder="1" applyAlignment="1">
      <alignment horizontal="justify" vertical="center" wrapText="1"/>
    </xf>
    <xf numFmtId="0" fontId="3" fillId="0" borderId="24" xfId="13" applyFont="1" applyBorder="1" applyAlignment="1">
      <alignment horizontal="justify" vertical="center" wrapText="1"/>
    </xf>
    <xf numFmtId="0" fontId="3" fillId="0" borderId="26" xfId="13" applyFont="1" applyBorder="1" applyAlignment="1">
      <alignment horizontal="justify" vertical="center" wrapText="1"/>
    </xf>
    <xf numFmtId="0" fontId="3" fillId="0" borderId="0" xfId="13" applyFont="1" applyBorder="1" applyAlignment="1">
      <alignment horizontal="justify" vertical="center" wrapText="1"/>
    </xf>
    <xf numFmtId="0" fontId="3" fillId="0" borderId="17" xfId="13" applyFont="1" applyBorder="1" applyAlignment="1">
      <alignment horizontal="justify" vertical="center" wrapText="1"/>
    </xf>
    <xf numFmtId="0" fontId="3" fillId="0" borderId="27" xfId="13" applyFont="1" applyBorder="1" applyAlignment="1">
      <alignment horizontal="justify" vertical="center" wrapText="1"/>
    </xf>
    <xf numFmtId="0" fontId="3" fillId="0" borderId="28" xfId="13" applyFont="1" applyBorder="1" applyAlignment="1">
      <alignment horizontal="justify" vertical="center" wrapText="1"/>
    </xf>
    <xf numFmtId="0" fontId="3" fillId="0" borderId="14" xfId="13" applyFont="1" applyBorder="1" applyAlignment="1">
      <alignment horizontal="justify" vertical="center" wrapText="1"/>
    </xf>
    <xf numFmtId="0" fontId="15" fillId="0" borderId="8" xfId="13" applyFont="1" applyBorder="1" applyAlignment="1">
      <alignment horizontal="center" vertical="center" wrapText="1"/>
    </xf>
    <xf numFmtId="0" fontId="15" fillId="0" borderId="9" xfId="13" applyFont="1" applyBorder="1" applyAlignment="1">
      <alignment horizontal="center" vertical="center" wrapText="1"/>
    </xf>
    <xf numFmtId="0" fontId="15" fillId="0" borderId="12" xfId="13" applyFont="1" applyBorder="1" applyAlignment="1">
      <alignment horizontal="center" vertical="center" wrapText="1"/>
    </xf>
    <xf numFmtId="0" fontId="15" fillId="0" borderId="29" xfId="13" applyFont="1" applyBorder="1" applyAlignment="1">
      <alignment vertical="center"/>
    </xf>
    <xf numFmtId="0" fontId="15" fillId="0" borderId="30" xfId="13" applyFont="1" applyBorder="1" applyAlignment="1">
      <alignment vertical="center"/>
    </xf>
    <xf numFmtId="0" fontId="15" fillId="0" borderId="31" xfId="13" applyFont="1" applyBorder="1" applyAlignment="1">
      <alignment vertical="center"/>
    </xf>
    <xf numFmtId="0" fontId="7" fillId="4" borderId="1" xfId="0" applyFont="1" applyFill="1" applyBorder="1" applyAlignment="1">
      <alignment horizontal="left" vertical="center"/>
    </xf>
  </cellXfs>
  <cellStyles count="219">
    <cellStyle name="20% - Énfasis1 2" xfId="20"/>
    <cellStyle name="20% - Énfasis2 2" xfId="21"/>
    <cellStyle name="20% - Énfasis3 2" xfId="22"/>
    <cellStyle name="20% - Énfasis4 2" xfId="23"/>
    <cellStyle name="20% - Énfasis5 2" xfId="24"/>
    <cellStyle name="20% - Énfasis6 2" xfId="25"/>
    <cellStyle name="40% - Énfasis1 2" xfId="26"/>
    <cellStyle name="40% - Énfasis2 2" xfId="27"/>
    <cellStyle name="40% - Énfasis3 2" xfId="28"/>
    <cellStyle name="40% - Énfasis4 2" xfId="29"/>
    <cellStyle name="40% - Énfasis5 2" xfId="30"/>
    <cellStyle name="40% - Énfasis6 2" xfId="31"/>
    <cellStyle name="60% - Énfasis1 2" xfId="32"/>
    <cellStyle name="60% - Énfasis2 2" xfId="33"/>
    <cellStyle name="60% - Énfasis3 2" xfId="34"/>
    <cellStyle name="60% - Énfasis4 2" xfId="35"/>
    <cellStyle name="60% - Énfasis5 2" xfId="36"/>
    <cellStyle name="60% - Énfasis6 2" xfId="37"/>
    <cellStyle name="Buena 2" xfId="38"/>
    <cellStyle name="Cálculo 2" xfId="39"/>
    <cellStyle name="Celda de comprobación 2" xfId="40"/>
    <cellStyle name="Celda vinculada 2" xfId="41"/>
    <cellStyle name="Comma 2" xfId="42"/>
    <cellStyle name="Comma_ACTA Mod 1 puente UNION_1" xfId="43"/>
    <cellStyle name="Date" xfId="44"/>
    <cellStyle name="Encabezado 4 2" xfId="45"/>
    <cellStyle name="Énfasis1 2" xfId="46"/>
    <cellStyle name="Énfasis2 2" xfId="47"/>
    <cellStyle name="Énfasis3 2" xfId="48"/>
    <cellStyle name="Énfasis4 2" xfId="49"/>
    <cellStyle name="Énfasis5 2" xfId="50"/>
    <cellStyle name="Énfasis6 2" xfId="51"/>
    <cellStyle name="Entrada 2" xfId="52"/>
    <cellStyle name="Euro" xfId="9"/>
    <cellStyle name="Euro 2" xfId="18"/>
    <cellStyle name="Fixed" xfId="53"/>
    <cellStyle name="HEADING1" xfId="54"/>
    <cellStyle name="HEADING2" xfId="55"/>
    <cellStyle name="Hipervínculo 2" xfId="56"/>
    <cellStyle name="Hipervínculo visitado 2" xfId="57"/>
    <cellStyle name="Incorrecto 2" xfId="58"/>
    <cellStyle name="Millares" xfId="2" builtinId="3"/>
    <cellStyle name="Millares [0] 4 4" xfId="59"/>
    <cellStyle name="Millares [0] 6" xfId="60"/>
    <cellStyle name="Millares 10" xfId="61"/>
    <cellStyle name="Millares 11" xfId="62"/>
    <cellStyle name="Millares 12" xfId="63"/>
    <cellStyle name="Millares 13" xfId="64"/>
    <cellStyle name="Millares 14" xfId="65"/>
    <cellStyle name="Millares 15" xfId="66"/>
    <cellStyle name="Millares 16" xfId="67"/>
    <cellStyle name="Millares 17" xfId="68"/>
    <cellStyle name="Millares 18" xfId="69"/>
    <cellStyle name="Millares 19" xfId="70"/>
    <cellStyle name="Millares 2" xfId="19"/>
    <cellStyle name="Millares 2 2" xfId="71"/>
    <cellStyle name="Millares 2 2 2" xfId="72"/>
    <cellStyle name="Millares 2 2 3_Libro1 2" xfId="73"/>
    <cellStyle name="Millares 2 3" xfId="74"/>
    <cellStyle name="Millares 2 4" xfId="75"/>
    <cellStyle name="Millares 2 4 3 2" xfId="76"/>
    <cellStyle name="Millares 2 5" xfId="77"/>
    <cellStyle name="Millares 20" xfId="78"/>
    <cellStyle name="Millares 21" xfId="79"/>
    <cellStyle name="Millares 22" xfId="80"/>
    <cellStyle name="Millares 23" xfId="81"/>
    <cellStyle name="Millares 24" xfId="82"/>
    <cellStyle name="Millares 24 2" xfId="83"/>
    <cellStyle name="Millares 25" xfId="84"/>
    <cellStyle name="Millares 26" xfId="85"/>
    <cellStyle name="Millares 27" xfId="86"/>
    <cellStyle name="Millares 28" xfId="87"/>
    <cellStyle name="Millares 29" xfId="88"/>
    <cellStyle name="Millares 3" xfId="17"/>
    <cellStyle name="Millares 3 2" xfId="89"/>
    <cellStyle name="Millares 3 3" xfId="90"/>
    <cellStyle name="Millares 30" xfId="91"/>
    <cellStyle name="Millares 31" xfId="92"/>
    <cellStyle name="Millares 32" xfId="93"/>
    <cellStyle name="Millares 33" xfId="94"/>
    <cellStyle name="Millares 34" xfId="95"/>
    <cellStyle name="Millares 35" xfId="96"/>
    <cellStyle name="Millares 36" xfId="97"/>
    <cellStyle name="Millares 37" xfId="98"/>
    <cellStyle name="Millares 38" xfId="99"/>
    <cellStyle name="Millares 39" xfId="100"/>
    <cellStyle name="Millares 4" xfId="101"/>
    <cellStyle name="Millares 4 2" xfId="102"/>
    <cellStyle name="Millares 4 2 2" xfId="103"/>
    <cellStyle name="Millares 40" xfId="104"/>
    <cellStyle name="Millares 41" xfId="105"/>
    <cellStyle name="Millares 42" xfId="106"/>
    <cellStyle name="Millares 43" xfId="107"/>
    <cellStyle name="Millares 43 2" xfId="108"/>
    <cellStyle name="Millares 44" xfId="109"/>
    <cellStyle name="Millares 45" xfId="110"/>
    <cellStyle name="Millares 46" xfId="111"/>
    <cellStyle name="Millares 47" xfId="112"/>
    <cellStyle name="Millares 48" xfId="113"/>
    <cellStyle name="Millares 49" xfId="114"/>
    <cellStyle name="Millares 5" xfId="115"/>
    <cellStyle name="Millares 50" xfId="116"/>
    <cellStyle name="Millares 51" xfId="117"/>
    <cellStyle name="Millares 52" xfId="118"/>
    <cellStyle name="Millares 53" xfId="119"/>
    <cellStyle name="Millares 54" xfId="120"/>
    <cellStyle name="Millares 55" xfId="121"/>
    <cellStyle name="Millares 56" xfId="122"/>
    <cellStyle name="Millares 57" xfId="123"/>
    <cellStyle name="Millares 58" xfId="124"/>
    <cellStyle name="Millares 59" xfId="125"/>
    <cellStyle name="Millares 6" xfId="126"/>
    <cellStyle name="Millares 60" xfId="127"/>
    <cellStyle name="Millares 61" xfId="128"/>
    <cellStyle name="Millares 62" xfId="129"/>
    <cellStyle name="Millares 63" xfId="130"/>
    <cellStyle name="Millares 64" xfId="131"/>
    <cellStyle name="Millares 65" xfId="132"/>
    <cellStyle name="Millares 66" xfId="133"/>
    <cellStyle name="Millares 67" xfId="134"/>
    <cellStyle name="Millares 68" xfId="135"/>
    <cellStyle name="Millares 69" xfId="136"/>
    <cellStyle name="Millares 7" xfId="137"/>
    <cellStyle name="Millares 70" xfId="138"/>
    <cellStyle name="Millares 71" xfId="139"/>
    <cellStyle name="Millares 72" xfId="140"/>
    <cellStyle name="Millares 73" xfId="141"/>
    <cellStyle name="Millares 74" xfId="142"/>
    <cellStyle name="Millares 75" xfId="143"/>
    <cellStyle name="Millares 76" xfId="144"/>
    <cellStyle name="Millares 77" xfId="145"/>
    <cellStyle name="Millares 78" xfId="146"/>
    <cellStyle name="Millares 79" xfId="147"/>
    <cellStyle name="Millares 8" xfId="148"/>
    <cellStyle name="Millares 80" xfId="149"/>
    <cellStyle name="Millares 81" xfId="150"/>
    <cellStyle name="Millares 9" xfId="151"/>
    <cellStyle name="Moneda" xfId="1" builtinId="4"/>
    <cellStyle name="Moneda [0]" xfId="6" builtinId="7"/>
    <cellStyle name="Moneda 10" xfId="16"/>
    <cellStyle name="Moneda 10 2" xfId="152"/>
    <cellStyle name="Moneda 13" xfId="153"/>
    <cellStyle name="Moneda 2" xfId="4"/>
    <cellStyle name="Moneda 2 19" xfId="154"/>
    <cellStyle name="Moneda 2 2" xfId="8"/>
    <cellStyle name="Moneda 2 2 2" xfId="10"/>
    <cellStyle name="Moneda 2 2 3" xfId="155"/>
    <cellStyle name="Moneda 2 3" xfId="11"/>
    <cellStyle name="Moneda 2 3 5" xfId="156"/>
    <cellStyle name="Moneda 2 4" xfId="157"/>
    <cellStyle name="Moneda 2 5" xfId="7"/>
    <cellStyle name="Moneda 3" xfId="12"/>
    <cellStyle name="Moneda 3 2" xfId="158"/>
    <cellStyle name="Moneda 4" xfId="159"/>
    <cellStyle name="Moneda 5" xfId="160"/>
    <cellStyle name="Moneda 6" xfId="161"/>
    <cellStyle name="Moneda 7" xfId="162"/>
    <cellStyle name="Moneda 8" xfId="163"/>
    <cellStyle name="Moneda 9" xfId="164"/>
    <cellStyle name="Neutral 2" xfId="165"/>
    <cellStyle name="Normal" xfId="0" builtinId="0"/>
    <cellStyle name="Normal 10" xfId="166"/>
    <cellStyle name="Normal 11" xfId="167"/>
    <cellStyle name="Normal 12" xfId="168"/>
    <cellStyle name="Normal 13" xfId="169"/>
    <cellStyle name="Normal 2" xfId="13"/>
    <cellStyle name="Normal 2 10" xfId="170"/>
    <cellStyle name="Normal 2 10 2" xfId="171"/>
    <cellStyle name="Normal 2 10 3" xfId="172"/>
    <cellStyle name="Normal 2 2" xfId="173"/>
    <cellStyle name="Normal 2 2 2" xfId="174"/>
    <cellStyle name="Normal 2 2 3" xfId="175"/>
    <cellStyle name="Normal 2 2 50 2" xfId="176"/>
    <cellStyle name="Normal 2 4" xfId="177"/>
    <cellStyle name="Normal 2 4 2" xfId="178"/>
    <cellStyle name="Normal 2 5" xfId="179"/>
    <cellStyle name="Normal 2 5 3" xfId="180"/>
    <cellStyle name="Normal 2_DOBLECALZADA-BMANGA-CUCUTA-16-03-09" xfId="181"/>
    <cellStyle name="Normal 3" xfId="14"/>
    <cellStyle name="Normal 3 11" xfId="182"/>
    <cellStyle name="Normal 3 2" xfId="183"/>
    <cellStyle name="Normal 3 2 14" xfId="184"/>
    <cellStyle name="Normal 3 30" xfId="185"/>
    <cellStyle name="Normal 3_Formato 7 Multas y Sanciones" xfId="186"/>
    <cellStyle name="Normal 4" xfId="187"/>
    <cellStyle name="Normal 4 2" xfId="188"/>
    <cellStyle name="Normal 4 2 9" xfId="189"/>
    <cellStyle name="Normal 5" xfId="190"/>
    <cellStyle name="Normal 5 2" xfId="191"/>
    <cellStyle name="Normal 6" xfId="192"/>
    <cellStyle name="Normal 68 2" xfId="193"/>
    <cellStyle name="Normal 7" xfId="194"/>
    <cellStyle name="Normal 7 2" xfId="195"/>
    <cellStyle name="Normal 8" xfId="196"/>
    <cellStyle name="Normal 9" xfId="197"/>
    <cellStyle name="Normal_cantidades" xfId="3"/>
    <cellStyle name="Notas 2" xfId="198"/>
    <cellStyle name="Porcentaje" xfId="5" builtinId="5"/>
    <cellStyle name="Porcentaje 2" xfId="199"/>
    <cellStyle name="Porcentaje 2 2" xfId="200"/>
    <cellStyle name="Porcentaje 3" xfId="201"/>
    <cellStyle name="Porcentaje 4" xfId="202"/>
    <cellStyle name="Porcentaje 5" xfId="203"/>
    <cellStyle name="Porcentual 10" xfId="204"/>
    <cellStyle name="Porcentual 2" xfId="205"/>
    <cellStyle name="Porcentual 2 2" xfId="15"/>
    <cellStyle name="Porcentual 2 25" xfId="206"/>
    <cellStyle name="Porcentual 2 3 3" xfId="207"/>
    <cellStyle name="Porcentual 3" xfId="208"/>
    <cellStyle name="Porcentual 4" xfId="209"/>
    <cellStyle name="Porcentual 6 2" xfId="210"/>
    <cellStyle name="Salida 2" xfId="211"/>
    <cellStyle name="Texto de advertencia 2" xfId="212"/>
    <cellStyle name="Texto explicativo 2" xfId="213"/>
    <cellStyle name="Título 1 2" xfId="214"/>
    <cellStyle name="Título 2 2" xfId="215"/>
    <cellStyle name="Título 3 2" xfId="216"/>
    <cellStyle name="Título 4" xfId="217"/>
    <cellStyle name="Total 2" xfId="2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44823</xdr:colOff>
      <xdr:row>0</xdr:row>
      <xdr:rowOff>190499</xdr:rowOff>
    </xdr:from>
    <xdr:to>
      <xdr:col>7</xdr:col>
      <xdr:colOff>11206</xdr:colOff>
      <xdr:row>4</xdr:row>
      <xdr:rowOff>132788</xdr:rowOff>
    </xdr:to>
    <xdr:pic>
      <xdr:nvPicPr>
        <xdr:cNvPr id="2" name="gráficos1"/>
        <xdr:cNvPicPr/>
      </xdr:nvPicPr>
      <xdr:blipFill>
        <a:blip xmlns:r="http://schemas.openxmlformats.org/officeDocument/2006/relationships" r:embed="rId1" cstate="print">
          <a:alphaModFix/>
          <a:lum/>
        </a:blip>
        <a:srcRect r="27397"/>
        <a:stretch>
          <a:fillRect/>
        </a:stretch>
      </xdr:blipFill>
      <xdr:spPr>
        <a:xfrm>
          <a:off x="6252882" y="190499"/>
          <a:ext cx="2386853" cy="704289"/>
        </a:xfrm>
        <a:prstGeom prst="rect">
          <a:avLst/>
        </a:prstGeom>
      </xdr:spPr>
    </xdr:pic>
    <xdr:clientData/>
  </xdr:twoCellAnchor>
  <xdr:twoCellAnchor editAs="oneCell">
    <xdr:from>
      <xdr:col>5</xdr:col>
      <xdr:colOff>33618</xdr:colOff>
      <xdr:row>52</xdr:row>
      <xdr:rowOff>22411</xdr:rowOff>
    </xdr:from>
    <xdr:to>
      <xdr:col>7</xdr:col>
      <xdr:colOff>1</xdr:colOff>
      <xdr:row>55</xdr:row>
      <xdr:rowOff>155200</xdr:rowOff>
    </xdr:to>
    <xdr:pic>
      <xdr:nvPicPr>
        <xdr:cNvPr id="3" name="gráficos1"/>
        <xdr:cNvPicPr/>
      </xdr:nvPicPr>
      <xdr:blipFill>
        <a:blip xmlns:r="http://schemas.openxmlformats.org/officeDocument/2006/relationships" r:embed="rId1" cstate="print">
          <a:alphaModFix/>
          <a:lum/>
        </a:blip>
        <a:srcRect r="27397"/>
        <a:stretch>
          <a:fillRect/>
        </a:stretch>
      </xdr:blipFill>
      <xdr:spPr>
        <a:xfrm>
          <a:off x="6241677" y="10298205"/>
          <a:ext cx="2386853" cy="704289"/>
        </a:xfrm>
        <a:prstGeom prst="rect">
          <a:avLst/>
        </a:prstGeom>
      </xdr:spPr>
    </xdr:pic>
    <xdr:clientData/>
  </xdr:twoCellAnchor>
  <xdr:twoCellAnchor editAs="oneCell">
    <xdr:from>
      <xdr:col>5</xdr:col>
      <xdr:colOff>44823</xdr:colOff>
      <xdr:row>102</xdr:row>
      <xdr:rowOff>168088</xdr:rowOff>
    </xdr:from>
    <xdr:to>
      <xdr:col>7</xdr:col>
      <xdr:colOff>11206</xdr:colOff>
      <xdr:row>106</xdr:row>
      <xdr:rowOff>110377</xdr:rowOff>
    </xdr:to>
    <xdr:pic>
      <xdr:nvPicPr>
        <xdr:cNvPr id="4" name="gráficos1"/>
        <xdr:cNvPicPr/>
      </xdr:nvPicPr>
      <xdr:blipFill>
        <a:blip xmlns:r="http://schemas.openxmlformats.org/officeDocument/2006/relationships" r:embed="rId1" cstate="print">
          <a:alphaModFix/>
          <a:lum/>
        </a:blip>
        <a:srcRect r="27397"/>
        <a:stretch>
          <a:fillRect/>
        </a:stretch>
      </xdr:blipFill>
      <xdr:spPr>
        <a:xfrm>
          <a:off x="6252882" y="20338676"/>
          <a:ext cx="2386853" cy="704289"/>
        </a:xfrm>
        <a:prstGeom prst="rect">
          <a:avLst/>
        </a:prstGeom>
      </xdr:spPr>
    </xdr:pic>
    <xdr:clientData/>
  </xdr:twoCellAnchor>
  <xdr:oneCellAnchor>
    <xdr:from>
      <xdr:col>5</xdr:col>
      <xdr:colOff>44823</xdr:colOff>
      <xdr:row>152</xdr:row>
      <xdr:rowOff>168088</xdr:rowOff>
    </xdr:from>
    <xdr:ext cx="2386853" cy="704289"/>
    <xdr:pic>
      <xdr:nvPicPr>
        <xdr:cNvPr id="5" name="gráficos1"/>
        <xdr:cNvPicPr/>
      </xdr:nvPicPr>
      <xdr:blipFill>
        <a:blip xmlns:r="http://schemas.openxmlformats.org/officeDocument/2006/relationships" r:embed="rId1" cstate="print">
          <a:alphaModFix/>
          <a:lum/>
        </a:blip>
        <a:srcRect r="27397"/>
        <a:stretch>
          <a:fillRect/>
        </a:stretch>
      </xdr:blipFill>
      <xdr:spPr>
        <a:xfrm>
          <a:off x="6252882" y="20338676"/>
          <a:ext cx="2386853" cy="704289"/>
        </a:xfrm>
        <a:prstGeom prst="rect">
          <a:avLst/>
        </a:prstGeom>
      </xdr:spPr>
    </xdr:pic>
    <xdr:clientData/>
  </xdr:oneCellAnchor>
  <xdr:oneCellAnchor>
    <xdr:from>
      <xdr:col>5</xdr:col>
      <xdr:colOff>44823</xdr:colOff>
      <xdr:row>202</xdr:row>
      <xdr:rowOff>168088</xdr:rowOff>
    </xdr:from>
    <xdr:ext cx="2386853" cy="704289"/>
    <xdr:pic>
      <xdr:nvPicPr>
        <xdr:cNvPr id="6" name="gráficos1"/>
        <xdr:cNvPicPr/>
      </xdr:nvPicPr>
      <xdr:blipFill>
        <a:blip xmlns:r="http://schemas.openxmlformats.org/officeDocument/2006/relationships" r:embed="rId1" cstate="print">
          <a:alphaModFix/>
          <a:lum/>
        </a:blip>
        <a:srcRect r="27397"/>
        <a:stretch>
          <a:fillRect/>
        </a:stretch>
      </xdr:blipFill>
      <xdr:spPr>
        <a:xfrm>
          <a:off x="6252882" y="20338676"/>
          <a:ext cx="2386853" cy="7042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18" sqref="D18"/>
    </sheetView>
  </sheetViews>
  <sheetFormatPr baseColWidth="10" defaultColWidth="19.140625" defaultRowHeight="15" x14ac:dyDescent="0.25"/>
  <cols>
    <col min="2" max="2" width="60.42578125" customWidth="1"/>
    <col min="4" max="4" width="34.7109375" customWidth="1"/>
  </cols>
  <sheetData>
    <row r="1" spans="1:4" ht="29.25" customHeight="1" thickBot="1" x14ac:dyDescent="0.3">
      <c r="A1" s="15" t="s">
        <v>14</v>
      </c>
      <c r="B1" s="15" t="s">
        <v>15</v>
      </c>
      <c r="C1" s="15" t="s">
        <v>16</v>
      </c>
      <c r="D1" s="15" t="s">
        <v>17</v>
      </c>
    </row>
    <row r="2" spans="1:4" ht="105.75" thickBot="1" x14ac:dyDescent="0.3">
      <c r="A2" s="16" t="s">
        <v>19</v>
      </c>
      <c r="B2" s="17" t="s">
        <v>18</v>
      </c>
      <c r="C2" s="20" t="s">
        <v>20</v>
      </c>
      <c r="D2" s="18" t="s">
        <v>21</v>
      </c>
    </row>
    <row r="3" spans="1:4" ht="75.75" thickBot="1" x14ac:dyDescent="0.3">
      <c r="A3" s="16" t="s">
        <v>24</v>
      </c>
      <c r="B3" s="17" t="s">
        <v>22</v>
      </c>
      <c r="C3" s="21" t="s">
        <v>23</v>
      </c>
      <c r="D3" s="19" t="s">
        <v>25</v>
      </c>
    </row>
    <row r="4" spans="1:4" ht="60.75" thickBot="1" x14ac:dyDescent="0.3">
      <c r="A4" s="16" t="s">
        <v>26</v>
      </c>
      <c r="B4" s="17" t="s">
        <v>27</v>
      </c>
      <c r="C4" s="21" t="s">
        <v>28</v>
      </c>
      <c r="D4" s="19" t="s">
        <v>29</v>
      </c>
    </row>
    <row r="5" spans="1:4" ht="62.25" customHeight="1" thickBot="1" x14ac:dyDescent="0.3">
      <c r="A5" s="16" t="s">
        <v>31</v>
      </c>
      <c r="B5" s="17" t="s">
        <v>30</v>
      </c>
      <c r="C5" s="21" t="s">
        <v>32</v>
      </c>
      <c r="D5" s="19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opLeftCell="A7" workbookViewId="0">
      <selection activeCell="D44" sqref="D44"/>
    </sheetView>
  </sheetViews>
  <sheetFormatPr baseColWidth="10" defaultRowHeight="15" x14ac:dyDescent="0.25"/>
  <cols>
    <col min="1" max="1" width="34" customWidth="1"/>
    <col min="2" max="2" width="72.7109375" customWidth="1"/>
  </cols>
  <sheetData>
    <row r="1" spans="1:2" ht="42" customHeight="1" x14ac:dyDescent="0.25">
      <c r="A1" s="79" t="s">
        <v>111</v>
      </c>
      <c r="B1" s="79" t="s">
        <v>112</v>
      </c>
    </row>
    <row r="2" spans="1:2" ht="45" x14ac:dyDescent="0.25">
      <c r="A2" s="80" t="s">
        <v>113</v>
      </c>
      <c r="B2" s="80" t="s">
        <v>149</v>
      </c>
    </row>
    <row r="3" spans="1:2" x14ac:dyDescent="0.25">
      <c r="A3" s="81" t="s">
        <v>114</v>
      </c>
      <c r="B3" s="82" t="s">
        <v>122</v>
      </c>
    </row>
    <row r="4" spans="1:2" ht="30" x14ac:dyDescent="0.25">
      <c r="A4" s="81" t="s">
        <v>115</v>
      </c>
      <c r="B4" s="83" t="s">
        <v>143</v>
      </c>
    </row>
    <row r="5" spans="1:2" x14ac:dyDescent="0.25">
      <c r="A5" s="81" t="s">
        <v>116</v>
      </c>
      <c r="B5" s="80" t="s">
        <v>145</v>
      </c>
    </row>
    <row r="6" spans="1:2" x14ac:dyDescent="0.25">
      <c r="A6" s="81" t="s">
        <v>117</v>
      </c>
      <c r="B6" s="80" t="s">
        <v>144</v>
      </c>
    </row>
    <row r="7" spans="1:2" x14ac:dyDescent="0.25">
      <c r="A7" s="81" t="s">
        <v>118</v>
      </c>
      <c r="B7" s="80" t="s">
        <v>148</v>
      </c>
    </row>
    <row r="8" spans="1:2" ht="30" x14ac:dyDescent="0.25">
      <c r="A8" s="81" t="s">
        <v>119</v>
      </c>
      <c r="B8" s="80" t="s">
        <v>146</v>
      </c>
    </row>
    <row r="9" spans="1:2" x14ac:dyDescent="0.25">
      <c r="A9" s="80" t="s">
        <v>120</v>
      </c>
      <c r="B9" s="80" t="s">
        <v>147</v>
      </c>
    </row>
    <row r="11" spans="1:2" ht="42" customHeight="1" x14ac:dyDescent="0.25">
      <c r="A11" s="79" t="s">
        <v>111</v>
      </c>
      <c r="B11" s="79" t="s">
        <v>112</v>
      </c>
    </row>
    <row r="12" spans="1:2" ht="30" x14ac:dyDescent="0.25">
      <c r="A12" s="80" t="s">
        <v>113</v>
      </c>
      <c r="B12" s="80" t="s">
        <v>121</v>
      </c>
    </row>
    <row r="13" spans="1:2" x14ac:dyDescent="0.25">
      <c r="A13" s="81" t="s">
        <v>114</v>
      </c>
      <c r="B13" s="82" t="s">
        <v>122</v>
      </c>
    </row>
    <row r="14" spans="1:2" ht="30" x14ac:dyDescent="0.25">
      <c r="A14" s="81" t="s">
        <v>115</v>
      </c>
      <c r="B14" s="82" t="s">
        <v>123</v>
      </c>
    </row>
    <row r="15" spans="1:2" x14ac:dyDescent="0.25">
      <c r="A15" s="81" t="s">
        <v>116</v>
      </c>
      <c r="B15" s="80" t="s">
        <v>124</v>
      </c>
    </row>
    <row r="16" spans="1:2" x14ac:dyDescent="0.25">
      <c r="A16" s="81" t="s">
        <v>117</v>
      </c>
      <c r="B16" s="80" t="s">
        <v>125</v>
      </c>
    </row>
    <row r="17" spans="1:2" x14ac:dyDescent="0.25">
      <c r="A17" s="81" t="s">
        <v>118</v>
      </c>
      <c r="B17" s="80" t="s">
        <v>126</v>
      </c>
    </row>
    <row r="18" spans="1:2" ht="30" x14ac:dyDescent="0.25">
      <c r="A18" s="81" t="s">
        <v>119</v>
      </c>
      <c r="B18" s="80" t="s">
        <v>127</v>
      </c>
    </row>
    <row r="19" spans="1:2" x14ac:dyDescent="0.25">
      <c r="A19" s="80" t="s">
        <v>120</v>
      </c>
      <c r="B19" s="80" t="s">
        <v>128</v>
      </c>
    </row>
    <row r="21" spans="1:2" ht="42" customHeight="1" x14ac:dyDescent="0.25">
      <c r="A21" s="79" t="s">
        <v>111</v>
      </c>
      <c r="B21" s="79" t="s">
        <v>112</v>
      </c>
    </row>
    <row r="22" spans="1:2" ht="75" x14ac:dyDescent="0.25">
      <c r="A22" s="80" t="s">
        <v>113</v>
      </c>
      <c r="B22" s="80" t="s">
        <v>135</v>
      </c>
    </row>
    <row r="23" spans="1:2" x14ac:dyDescent="0.25">
      <c r="A23" s="81" t="s">
        <v>114</v>
      </c>
      <c r="B23" s="82" t="s">
        <v>129</v>
      </c>
    </row>
    <row r="24" spans="1:2" ht="30" x14ac:dyDescent="0.25">
      <c r="A24" s="81" t="s">
        <v>115</v>
      </c>
      <c r="B24" s="83" t="s">
        <v>137</v>
      </c>
    </row>
    <row r="25" spans="1:2" x14ac:dyDescent="0.25">
      <c r="A25" s="81" t="s">
        <v>116</v>
      </c>
      <c r="B25" s="80" t="s">
        <v>130</v>
      </c>
    </row>
    <row r="26" spans="1:2" x14ac:dyDescent="0.25">
      <c r="A26" s="81" t="s">
        <v>117</v>
      </c>
      <c r="B26" s="80" t="s">
        <v>131</v>
      </c>
    </row>
    <row r="27" spans="1:2" x14ac:dyDescent="0.25">
      <c r="A27" s="81" t="s">
        <v>118</v>
      </c>
      <c r="B27" s="80" t="s">
        <v>132</v>
      </c>
    </row>
    <row r="28" spans="1:2" ht="30" x14ac:dyDescent="0.25">
      <c r="A28" s="81" t="s">
        <v>119</v>
      </c>
      <c r="B28" s="80" t="s">
        <v>133</v>
      </c>
    </row>
    <row r="29" spans="1:2" x14ac:dyDescent="0.25">
      <c r="A29" s="80" t="s">
        <v>120</v>
      </c>
      <c r="B29" s="80" t="s">
        <v>134</v>
      </c>
    </row>
    <row r="31" spans="1:2" ht="42" customHeight="1" x14ac:dyDescent="0.25">
      <c r="A31" s="79" t="s">
        <v>111</v>
      </c>
      <c r="B31" s="79" t="s">
        <v>112</v>
      </c>
    </row>
    <row r="32" spans="1:2" ht="60" x14ac:dyDescent="0.25">
      <c r="A32" s="80" t="s">
        <v>113</v>
      </c>
      <c r="B32" s="80" t="s">
        <v>136</v>
      </c>
    </row>
    <row r="33" spans="1:2" x14ac:dyDescent="0.25">
      <c r="A33" s="81" t="s">
        <v>114</v>
      </c>
      <c r="B33" s="82" t="s">
        <v>122</v>
      </c>
    </row>
    <row r="34" spans="1:2" ht="30" x14ac:dyDescent="0.25">
      <c r="A34" s="81" t="s">
        <v>115</v>
      </c>
      <c r="B34" s="83" t="s">
        <v>139</v>
      </c>
    </row>
    <row r="35" spans="1:2" x14ac:dyDescent="0.25">
      <c r="A35" s="81" t="s">
        <v>116</v>
      </c>
      <c r="B35" s="80" t="s">
        <v>138</v>
      </c>
    </row>
    <row r="36" spans="1:2" x14ac:dyDescent="0.25">
      <c r="A36" s="81" t="s">
        <v>117</v>
      </c>
      <c r="B36" s="80" t="s">
        <v>140</v>
      </c>
    </row>
    <row r="37" spans="1:2" x14ac:dyDescent="0.25">
      <c r="A37" s="81" t="s">
        <v>118</v>
      </c>
      <c r="B37" s="80" t="s">
        <v>141</v>
      </c>
    </row>
    <row r="38" spans="1:2" ht="30" x14ac:dyDescent="0.25">
      <c r="A38" s="81" t="s">
        <v>119</v>
      </c>
      <c r="B38" s="80" t="s">
        <v>133</v>
      </c>
    </row>
    <row r="39" spans="1:2" x14ac:dyDescent="0.25">
      <c r="A39" s="80" t="s">
        <v>120</v>
      </c>
      <c r="B39" s="80" t="s">
        <v>142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="115" zoomScaleNormal="115" zoomScaleSheetLayoutView="100" workbookViewId="0">
      <selection activeCell="E4" sqref="E4:E8"/>
    </sheetView>
  </sheetViews>
  <sheetFormatPr baseColWidth="10" defaultRowHeight="15" x14ac:dyDescent="0.25"/>
  <cols>
    <col min="1" max="1" width="6.85546875" style="3" customWidth="1"/>
    <col min="2" max="2" width="61" style="3" bestFit="1" customWidth="1"/>
    <col min="3" max="3" width="11.140625" style="12" customWidth="1"/>
    <col min="4" max="4" width="11.42578125" style="3"/>
    <col min="5" max="5" width="16.7109375" style="3" customWidth="1"/>
    <col min="6" max="6" width="20.140625" style="3" customWidth="1"/>
    <col min="7" max="7" width="14" style="3" customWidth="1"/>
    <col min="8" max="8" width="15" style="3" bestFit="1" customWidth="1"/>
    <col min="9" max="9" width="15.28515625" style="3" customWidth="1"/>
    <col min="10" max="10" width="31.42578125" style="3" customWidth="1"/>
    <col min="11" max="16384" width="11.42578125" style="3"/>
  </cols>
  <sheetData>
    <row r="1" spans="1:8" x14ac:dyDescent="0.25">
      <c r="A1" s="122" t="s">
        <v>38</v>
      </c>
      <c r="B1" s="122"/>
      <c r="C1" s="122"/>
      <c r="D1" s="122"/>
      <c r="E1" s="122"/>
      <c r="F1" s="122"/>
    </row>
    <row r="3" spans="1:8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8" s="6" customFormat="1" ht="75" x14ac:dyDescent="0.25">
      <c r="A4" s="10">
        <v>1</v>
      </c>
      <c r="B4" s="13" t="s">
        <v>103</v>
      </c>
      <c r="C4" s="10" t="s">
        <v>12</v>
      </c>
      <c r="D4" s="11">
        <v>26</v>
      </c>
      <c r="E4" s="5">
        <v>73128</v>
      </c>
      <c r="F4" s="5">
        <f>+D4*E4</f>
        <v>1901328</v>
      </c>
    </row>
    <row r="5" spans="1:8" ht="30" x14ac:dyDescent="0.25">
      <c r="A5" s="10">
        <v>2</v>
      </c>
      <c r="B5" s="13" t="s">
        <v>104</v>
      </c>
      <c r="C5" s="10" t="s">
        <v>12</v>
      </c>
      <c r="D5" s="11">
        <v>89</v>
      </c>
      <c r="E5" s="5">
        <v>77255</v>
      </c>
      <c r="F5" s="5">
        <f t="shared" ref="F5:F7" si="0">+D5*E5</f>
        <v>6875695</v>
      </c>
    </row>
    <row r="6" spans="1:8" ht="22.5" customHeight="1" x14ac:dyDescent="0.25">
      <c r="A6" s="10">
        <v>3</v>
      </c>
      <c r="B6" s="13" t="s">
        <v>105</v>
      </c>
      <c r="C6" s="10" t="s">
        <v>13</v>
      </c>
      <c r="D6" s="11">
        <v>1</v>
      </c>
      <c r="E6" s="5">
        <v>1609341</v>
      </c>
      <c r="F6" s="5">
        <f t="shared" si="0"/>
        <v>1609341</v>
      </c>
    </row>
    <row r="7" spans="1:8" ht="30" x14ac:dyDescent="0.25">
      <c r="A7" s="10">
        <v>4</v>
      </c>
      <c r="B7" s="13" t="s">
        <v>152</v>
      </c>
      <c r="C7" s="10" t="s">
        <v>12</v>
      </c>
      <c r="D7" s="11">
        <v>74</v>
      </c>
      <c r="E7" s="5">
        <v>74354.8</v>
      </c>
      <c r="F7" s="5">
        <f t="shared" si="0"/>
        <v>5502255.2000000002</v>
      </c>
    </row>
    <row r="8" spans="1:8" x14ac:dyDescent="0.25">
      <c r="A8" s="10">
        <v>5</v>
      </c>
      <c r="B8" s="13" t="s">
        <v>109</v>
      </c>
      <c r="C8" s="10" t="s">
        <v>12</v>
      </c>
      <c r="D8" s="11">
        <v>105.27</v>
      </c>
      <c r="E8" s="5">
        <v>9700</v>
      </c>
      <c r="F8" s="5">
        <f>+D8*E8</f>
        <v>1021119</v>
      </c>
    </row>
    <row r="10" spans="1:8" x14ac:dyDescent="0.25">
      <c r="C10" s="14"/>
      <c r="D10" s="6"/>
      <c r="E10" s="7" t="s">
        <v>6</v>
      </c>
      <c r="F10" s="8">
        <f>SUM(F4:F9)</f>
        <v>16909738.199999999</v>
      </c>
    </row>
    <row r="11" spans="1:8" x14ac:dyDescent="0.25">
      <c r="C11" s="14"/>
      <c r="D11" s="1" t="s">
        <v>8</v>
      </c>
      <c r="E11" s="2">
        <v>0.17</v>
      </c>
      <c r="F11" s="5">
        <f>+E11*$F$10</f>
        <v>2874655.4939999999</v>
      </c>
    </row>
    <row r="12" spans="1:8" x14ac:dyDescent="0.25">
      <c r="C12" s="14"/>
      <c r="D12" s="1" t="s">
        <v>9</v>
      </c>
      <c r="E12" s="2">
        <v>0.03</v>
      </c>
      <c r="F12" s="5">
        <f>+E12*$F$10</f>
        <v>507292.14599999995</v>
      </c>
    </row>
    <row r="13" spans="1:8" x14ac:dyDescent="0.25">
      <c r="C13" s="14"/>
      <c r="D13" s="1" t="s">
        <v>10</v>
      </c>
      <c r="E13" s="2">
        <v>0.05</v>
      </c>
      <c r="F13" s="5">
        <f>+E13*$F$10</f>
        <v>845486.91</v>
      </c>
    </row>
    <row r="14" spans="1:8" x14ac:dyDescent="0.25">
      <c r="C14" s="14"/>
      <c r="D14" s="1" t="s">
        <v>11</v>
      </c>
      <c r="E14" s="2">
        <v>0.19</v>
      </c>
      <c r="F14" s="5">
        <f>+E14*F13</f>
        <v>160642.5129</v>
      </c>
    </row>
    <row r="15" spans="1:8" x14ac:dyDescent="0.25">
      <c r="C15" s="14"/>
      <c r="D15" s="1"/>
      <c r="E15" s="2" t="s">
        <v>34</v>
      </c>
      <c r="F15" s="5">
        <v>-0.26</v>
      </c>
    </row>
    <row r="16" spans="1:8" x14ac:dyDescent="0.25">
      <c r="C16" s="14"/>
      <c r="D16" s="6"/>
      <c r="E16" s="7" t="s">
        <v>7</v>
      </c>
      <c r="F16" s="8">
        <f>SUM(F10:F15)</f>
        <v>21297815.002899997</v>
      </c>
      <c r="H16" s="78">
        <v>21297885.004900001</v>
      </c>
    </row>
    <row r="17" spans="1:8" x14ac:dyDescent="0.25">
      <c r="C17" s="14"/>
      <c r="D17" s="9"/>
      <c r="E17" s="9"/>
      <c r="F17" s="9"/>
      <c r="H17" s="86">
        <f>+H16-F16</f>
        <v>70.002000004053116</v>
      </c>
    </row>
    <row r="18" spans="1:8" x14ac:dyDescent="0.25">
      <c r="A18" s="3" t="s">
        <v>35</v>
      </c>
      <c r="B18" s="3" t="s">
        <v>36</v>
      </c>
    </row>
    <row r="19" spans="1:8" x14ac:dyDescent="0.25">
      <c r="B19" s="3" t="s">
        <v>37</v>
      </c>
    </row>
    <row r="20" spans="1:8" x14ac:dyDescent="0.25">
      <c r="B20" s="3" t="s">
        <v>150</v>
      </c>
    </row>
  </sheetData>
  <mergeCells count="1">
    <mergeCell ref="A1:F1"/>
  </mergeCells>
  <pageMargins left="0.7" right="0.7" top="0.75" bottom="0.75" header="0.3" footer="0.3"/>
  <pageSetup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opLeftCell="B4" zoomScale="115" zoomScaleNormal="115" zoomScaleSheetLayoutView="100" workbookViewId="0">
      <selection activeCell="B4" sqref="B4"/>
    </sheetView>
  </sheetViews>
  <sheetFormatPr baseColWidth="10" defaultRowHeight="15" x14ac:dyDescent="0.25"/>
  <cols>
    <col min="1" max="1" width="6.85546875" style="3" customWidth="1"/>
    <col min="2" max="2" width="61" style="3" bestFit="1" customWidth="1"/>
    <col min="3" max="3" width="8.7109375" style="12" customWidth="1"/>
    <col min="4" max="4" width="11.42578125" style="3"/>
    <col min="5" max="5" width="16.7109375" style="3" customWidth="1"/>
    <col min="6" max="6" width="20.140625" style="3" customWidth="1"/>
    <col min="7" max="7" width="16.140625" style="3" customWidth="1"/>
    <col min="8" max="8" width="18" style="3" customWidth="1"/>
    <col min="9" max="9" width="16.7109375" style="3" bestFit="1" customWidth="1"/>
    <col min="10" max="10" width="18" style="3" customWidth="1"/>
    <col min="11" max="11" width="15.42578125" style="3" customWidth="1"/>
    <col min="12" max="12" width="18" style="3" customWidth="1"/>
    <col min="13" max="16384" width="11.42578125" style="3"/>
  </cols>
  <sheetData>
    <row r="1" spans="1:12" x14ac:dyDescent="0.25">
      <c r="A1" s="122" t="s">
        <v>38</v>
      </c>
      <c r="B1" s="122"/>
      <c r="C1" s="122"/>
      <c r="D1" s="122"/>
      <c r="E1" s="122"/>
      <c r="F1" s="122"/>
    </row>
    <row r="2" spans="1:12" x14ac:dyDescent="0.25">
      <c r="G2" s="124" t="s">
        <v>106</v>
      </c>
      <c r="H2" s="124"/>
      <c r="I2" s="124" t="s">
        <v>107</v>
      </c>
      <c r="J2" s="124"/>
      <c r="K2" s="124" t="s">
        <v>108</v>
      </c>
      <c r="L2" s="124"/>
    </row>
    <row r="3" spans="1:12" s="6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4</v>
      </c>
      <c r="H3" s="4" t="s">
        <v>5</v>
      </c>
      <c r="I3" s="4" t="s">
        <v>4</v>
      </c>
      <c r="J3" s="4" t="s">
        <v>5</v>
      </c>
      <c r="K3" s="4" t="s">
        <v>4</v>
      </c>
      <c r="L3" s="4" t="s">
        <v>5</v>
      </c>
    </row>
    <row r="4" spans="1:12" ht="75" x14ac:dyDescent="0.25">
      <c r="A4" s="10">
        <v>1</v>
      </c>
      <c r="B4" s="13" t="s">
        <v>103</v>
      </c>
      <c r="C4" s="10" t="s">
        <v>12</v>
      </c>
      <c r="D4" s="11">
        <v>26</v>
      </c>
      <c r="E4" s="5">
        <f>+MIN(G4,I4,K4)</f>
        <v>73128</v>
      </c>
      <c r="F4" s="5">
        <f>+D4*E4</f>
        <v>1901328</v>
      </c>
      <c r="G4" s="5">
        <f>43128+30000</f>
        <v>73128</v>
      </c>
      <c r="H4" s="5">
        <f t="shared" ref="H4:H8" si="0">+G4*D4</f>
        <v>1901328</v>
      </c>
      <c r="I4" s="84">
        <v>83128</v>
      </c>
      <c r="J4" s="5">
        <f t="shared" ref="J4:J8" si="1">+I4*D4</f>
        <v>2161328</v>
      </c>
      <c r="K4" s="84">
        <v>81128</v>
      </c>
      <c r="L4" s="5">
        <f t="shared" ref="L4:L8" si="2">+K4*D4</f>
        <v>2109328</v>
      </c>
    </row>
    <row r="5" spans="1:12" ht="30" x14ac:dyDescent="0.25">
      <c r="A5" s="10">
        <v>2</v>
      </c>
      <c r="B5" s="13" t="s">
        <v>104</v>
      </c>
      <c r="C5" s="10" t="s">
        <v>12</v>
      </c>
      <c r="D5" s="11">
        <v>89</v>
      </c>
      <c r="E5" s="5">
        <f t="shared" ref="E5:E8" si="3">+MIN(G5,I5,K5)</f>
        <v>77255</v>
      </c>
      <c r="F5" s="5">
        <f t="shared" ref="F5:F7" si="4">+D5*E5</f>
        <v>6875695</v>
      </c>
      <c r="G5" s="5">
        <f>61255+16000</f>
        <v>77255</v>
      </c>
      <c r="H5" s="5">
        <f t="shared" si="0"/>
        <v>6875695</v>
      </c>
      <c r="I5" s="85">
        <v>85255</v>
      </c>
      <c r="J5" s="5">
        <f t="shared" si="1"/>
        <v>7587695</v>
      </c>
      <c r="K5" s="85">
        <v>79255</v>
      </c>
      <c r="L5" s="5">
        <f t="shared" si="2"/>
        <v>7053695</v>
      </c>
    </row>
    <row r="6" spans="1:12" x14ac:dyDescent="0.25">
      <c r="A6" s="10">
        <v>3</v>
      </c>
      <c r="B6" s="13" t="s">
        <v>105</v>
      </c>
      <c r="C6" s="10" t="s">
        <v>13</v>
      </c>
      <c r="D6" s="11">
        <v>1</v>
      </c>
      <c r="E6" s="5">
        <f t="shared" si="3"/>
        <v>1609341</v>
      </c>
      <c r="F6" s="5">
        <f t="shared" si="4"/>
        <v>1609341</v>
      </c>
      <c r="G6" s="5">
        <f>1169341+440000</f>
        <v>1609341</v>
      </c>
      <c r="H6" s="5">
        <f t="shared" si="0"/>
        <v>1609341</v>
      </c>
      <c r="I6" s="85">
        <v>1669341</v>
      </c>
      <c r="J6" s="5">
        <f t="shared" si="1"/>
        <v>1669341</v>
      </c>
      <c r="K6" s="85">
        <v>1614341</v>
      </c>
      <c r="L6" s="5">
        <f t="shared" si="2"/>
        <v>1614341</v>
      </c>
    </row>
    <row r="7" spans="1:12" ht="30" x14ac:dyDescent="0.25">
      <c r="A7" s="10">
        <v>4</v>
      </c>
      <c r="B7" s="13" t="s">
        <v>152</v>
      </c>
      <c r="C7" s="10" t="s">
        <v>12</v>
      </c>
      <c r="D7" s="11">
        <v>74</v>
      </c>
      <c r="E7" s="5">
        <f t="shared" si="3"/>
        <v>74354.8</v>
      </c>
      <c r="F7" s="5">
        <f t="shared" si="4"/>
        <v>5502255.2000000002</v>
      </c>
      <c r="G7" s="5">
        <f>58354.8+16000</f>
        <v>74354.8</v>
      </c>
      <c r="H7" s="5">
        <f t="shared" si="0"/>
        <v>5502255.2000000002</v>
      </c>
      <c r="I7" s="85">
        <v>80354.8</v>
      </c>
      <c r="J7" s="5">
        <f t="shared" si="1"/>
        <v>5946255.2000000002</v>
      </c>
      <c r="K7" s="85">
        <v>76354.8</v>
      </c>
      <c r="L7" s="5">
        <f t="shared" si="2"/>
        <v>5650255.2000000002</v>
      </c>
    </row>
    <row r="8" spans="1:12" x14ac:dyDescent="0.25">
      <c r="A8" s="10">
        <v>6</v>
      </c>
      <c r="B8" s="13" t="s">
        <v>109</v>
      </c>
      <c r="C8" s="10" t="s">
        <v>12</v>
      </c>
      <c r="D8" s="11">
        <v>105.27</v>
      </c>
      <c r="E8" s="5">
        <f t="shared" si="3"/>
        <v>9700</v>
      </c>
      <c r="F8" s="5">
        <f>+D8*E8</f>
        <v>1021119</v>
      </c>
      <c r="G8" s="5">
        <v>9700</v>
      </c>
      <c r="H8" s="5">
        <f t="shared" si="0"/>
        <v>1021119</v>
      </c>
      <c r="I8" s="85">
        <v>10100</v>
      </c>
      <c r="J8" s="5">
        <f t="shared" si="1"/>
        <v>1063227</v>
      </c>
      <c r="K8" s="85">
        <v>10200</v>
      </c>
      <c r="L8" s="5">
        <f t="shared" si="2"/>
        <v>1073754</v>
      </c>
    </row>
    <row r="9" spans="1:12" x14ac:dyDescent="0.25">
      <c r="C9" s="14"/>
      <c r="D9" s="6"/>
      <c r="E9" s="7" t="s">
        <v>6</v>
      </c>
      <c r="F9" s="8">
        <f>SUM(F4:F8)</f>
        <v>16909738.199999999</v>
      </c>
    </row>
    <row r="10" spans="1:12" x14ac:dyDescent="0.25">
      <c r="C10" s="14"/>
      <c r="D10" s="1" t="s">
        <v>8</v>
      </c>
      <c r="E10" s="2">
        <v>0.17</v>
      </c>
      <c r="F10" s="5">
        <f>+E10*$F$9</f>
        <v>2874655.4939999999</v>
      </c>
    </row>
    <row r="11" spans="1:12" x14ac:dyDescent="0.25">
      <c r="C11" s="14"/>
      <c r="D11" s="1" t="s">
        <v>9</v>
      </c>
      <c r="E11" s="2">
        <v>0.03</v>
      </c>
      <c r="F11" s="5">
        <f>+E11*$F$9</f>
        <v>507292.14599999995</v>
      </c>
    </row>
    <row r="12" spans="1:12" x14ac:dyDescent="0.25">
      <c r="C12" s="14"/>
      <c r="D12" s="1" t="s">
        <v>10</v>
      </c>
      <c r="E12" s="2">
        <v>0.05</v>
      </c>
      <c r="F12" s="5">
        <f>+E12*$F$9</f>
        <v>845486.91</v>
      </c>
    </row>
    <row r="13" spans="1:12" x14ac:dyDescent="0.25">
      <c r="C13" s="14"/>
      <c r="D13" s="1" t="s">
        <v>11</v>
      </c>
      <c r="E13" s="2">
        <v>0.19</v>
      </c>
      <c r="F13" s="5">
        <f>+E13*F12</f>
        <v>160642.5129</v>
      </c>
    </row>
    <row r="14" spans="1:12" x14ac:dyDescent="0.25">
      <c r="C14" s="14"/>
      <c r="D14" s="1"/>
      <c r="E14" s="2" t="s">
        <v>34</v>
      </c>
      <c r="F14" s="5">
        <v>-0.26</v>
      </c>
    </row>
    <row r="15" spans="1:12" x14ac:dyDescent="0.25">
      <c r="C15" s="14"/>
      <c r="D15" s="6"/>
      <c r="E15" s="7" t="s">
        <v>7</v>
      </c>
      <c r="F15" s="8">
        <f>SUM(F9:F14)</f>
        <v>21297815.002899997</v>
      </c>
      <c r="H15" s="78"/>
    </row>
    <row r="16" spans="1:12" x14ac:dyDescent="0.25">
      <c r="C16" s="14"/>
      <c r="D16" s="9"/>
      <c r="E16" s="9"/>
      <c r="F16" s="9"/>
      <c r="H16" s="78"/>
    </row>
    <row r="17" spans="1:12" x14ac:dyDescent="0.25">
      <c r="A17" s="3" t="s">
        <v>35</v>
      </c>
      <c r="B17" s="123" t="s">
        <v>151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</row>
    <row r="18" spans="1:12" x14ac:dyDescent="0.25">
      <c r="B18" s="123" t="s">
        <v>110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</row>
  </sheetData>
  <mergeCells count="6">
    <mergeCell ref="B18:L18"/>
    <mergeCell ref="G2:H2"/>
    <mergeCell ref="I2:J2"/>
    <mergeCell ref="K2:L2"/>
    <mergeCell ref="A1:F1"/>
    <mergeCell ref="B17:L17"/>
  </mergeCells>
  <pageMargins left="0.7" right="0.7" top="0.75" bottom="0.75" header="0.3" footer="0.3"/>
  <pageSetup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zoomScale="85" zoomScaleNormal="85" zoomScaleSheetLayoutView="100" workbookViewId="0">
      <selection activeCell="I198" sqref="I198:I208"/>
    </sheetView>
  </sheetViews>
  <sheetFormatPr baseColWidth="10" defaultRowHeight="15" x14ac:dyDescent="0.25"/>
  <cols>
    <col min="1" max="1" width="25.85546875" style="3" customWidth="1"/>
    <col min="2" max="2" width="30.42578125" style="3" customWidth="1"/>
    <col min="3" max="3" width="8.7109375" style="96" customWidth="1"/>
    <col min="4" max="4" width="11.42578125" style="3"/>
    <col min="5" max="5" width="16.7109375" style="3" customWidth="1"/>
    <col min="6" max="6" width="20.140625" style="3" customWidth="1"/>
    <col min="7" max="7" width="16.140625" style="3" customWidth="1"/>
    <col min="8" max="8" width="11.42578125" style="3"/>
    <col min="9" max="9" width="15.28515625" style="3" bestFit="1" customWidth="1"/>
    <col min="10" max="16384" width="11.42578125" style="3"/>
  </cols>
  <sheetData>
    <row r="1" spans="1:7" x14ac:dyDescent="0.25">
      <c r="A1" s="102"/>
      <c r="B1" s="102"/>
      <c r="C1" s="102"/>
      <c r="D1" s="102"/>
      <c r="E1" s="102"/>
      <c r="F1" s="102"/>
      <c r="G1" s="103"/>
    </row>
    <row r="2" spans="1:7" x14ac:dyDescent="0.25">
      <c r="A2" s="152" t="s">
        <v>153</v>
      </c>
      <c r="B2" s="152"/>
      <c r="C2" s="152"/>
      <c r="D2" s="152"/>
      <c r="E2" s="152"/>
      <c r="F2" s="152"/>
      <c r="G2" s="152"/>
    </row>
    <row r="3" spans="1:7" s="6" customFormat="1" x14ac:dyDescent="0.25">
      <c r="A3" s="153" t="s">
        <v>154</v>
      </c>
      <c r="B3" s="153"/>
      <c r="C3" s="153"/>
      <c r="D3" s="153"/>
      <c r="E3" s="153"/>
      <c r="F3" s="153"/>
      <c r="G3" s="153"/>
    </row>
    <row r="4" spans="1:7" x14ac:dyDescent="0.25">
      <c r="A4" s="153"/>
      <c r="B4" s="153"/>
      <c r="C4" s="153"/>
      <c r="D4" s="153"/>
      <c r="E4" s="153"/>
      <c r="F4" s="153"/>
      <c r="G4" s="153"/>
    </row>
    <row r="5" spans="1:7" x14ac:dyDescent="0.25">
      <c r="A5" s="105"/>
      <c r="B5" s="105"/>
      <c r="C5" s="105"/>
      <c r="D5" s="105"/>
      <c r="E5" s="105"/>
      <c r="F5" s="105"/>
      <c r="G5" s="105"/>
    </row>
    <row r="6" spans="1:7" x14ac:dyDescent="0.25">
      <c r="A6" s="153" t="s">
        <v>188</v>
      </c>
      <c r="B6" s="153"/>
      <c r="C6" s="153"/>
      <c r="D6" s="153"/>
      <c r="E6" s="153"/>
      <c r="F6" s="153"/>
      <c r="G6" s="153"/>
    </row>
    <row r="7" spans="1:7" x14ac:dyDescent="0.25">
      <c r="A7" s="105"/>
      <c r="B7" s="105"/>
      <c r="C7" s="105"/>
      <c r="D7" s="105"/>
      <c r="E7" s="105"/>
      <c r="F7" s="105"/>
      <c r="G7" s="105"/>
    </row>
    <row r="8" spans="1:7" x14ac:dyDescent="0.25">
      <c r="A8" s="154" t="s">
        <v>190</v>
      </c>
      <c r="B8" s="154"/>
      <c r="C8" s="154"/>
      <c r="D8" s="154"/>
      <c r="E8" s="154"/>
      <c r="F8" s="154"/>
      <c r="G8" s="154"/>
    </row>
    <row r="9" spans="1:7" x14ac:dyDescent="0.25">
      <c r="A9" s="154"/>
      <c r="B9" s="154"/>
      <c r="C9" s="154"/>
      <c r="D9" s="154"/>
      <c r="E9" s="154"/>
      <c r="F9" s="154"/>
      <c r="G9" s="154"/>
    </row>
    <row r="10" spans="1:7" x14ac:dyDescent="0.25">
      <c r="A10" s="154"/>
      <c r="B10" s="154"/>
      <c r="C10" s="154"/>
      <c r="D10" s="154"/>
      <c r="E10" s="154"/>
      <c r="F10" s="154"/>
      <c r="G10" s="154"/>
    </row>
    <row r="11" spans="1:7" x14ac:dyDescent="0.25">
      <c r="A11" s="154"/>
      <c r="B11" s="154"/>
      <c r="C11" s="154"/>
      <c r="D11" s="154"/>
      <c r="E11" s="154"/>
      <c r="F11" s="154"/>
      <c r="G11" s="154"/>
    </row>
    <row r="12" spans="1:7" x14ac:dyDescent="0.25">
      <c r="A12" s="105"/>
      <c r="B12" s="105"/>
      <c r="C12" s="105"/>
      <c r="D12" s="105"/>
      <c r="E12" s="105"/>
      <c r="F12" s="105"/>
      <c r="G12" s="105"/>
    </row>
    <row r="13" spans="1:7" ht="15.75" x14ac:dyDescent="0.25">
      <c r="A13" s="155" t="s">
        <v>155</v>
      </c>
      <c r="B13" s="155"/>
      <c r="C13" s="155"/>
      <c r="D13" s="155"/>
      <c r="E13" s="155"/>
      <c r="F13" s="155"/>
      <c r="G13" s="155"/>
    </row>
    <row r="14" spans="1:7" x14ac:dyDescent="0.25">
      <c r="A14" s="156" t="str">
        <f>+COMPARATIVO!B4</f>
        <v xml:space="preserve">Suministro e instalación de cerámica de piso tipo pomei y/o similar, incluye demolición y retiro de piso existente, construcción de afinado de piso de espesor promedio de 4cm en mortero 1:3, boquilla y demás actividades necesarias para la terminación y recibo a satisfacción </v>
      </c>
      <c r="B14" s="156"/>
      <c r="C14" s="156"/>
      <c r="D14" s="156"/>
      <c r="E14" s="156"/>
      <c r="F14" s="156"/>
      <c r="G14" s="156"/>
    </row>
    <row r="15" spans="1:7" x14ac:dyDescent="0.25">
      <c r="A15" s="156"/>
      <c r="B15" s="156"/>
      <c r="C15" s="156"/>
      <c r="D15" s="156"/>
      <c r="E15" s="156"/>
      <c r="F15" s="156"/>
      <c r="G15" s="156"/>
    </row>
    <row r="16" spans="1:7" x14ac:dyDescent="0.25">
      <c r="A16" s="156"/>
      <c r="B16" s="156"/>
      <c r="C16" s="156"/>
      <c r="D16" s="156"/>
      <c r="E16" s="156"/>
      <c r="F16" s="156"/>
      <c r="G16" s="156"/>
    </row>
    <row r="17" spans="1:7" ht="16.5" thickBot="1" x14ac:dyDescent="0.3">
      <c r="A17" s="87"/>
      <c r="B17" s="87"/>
      <c r="C17" s="106" t="s">
        <v>156</v>
      </c>
      <c r="D17" s="87" t="s">
        <v>157</v>
      </c>
      <c r="E17" s="87"/>
      <c r="F17" s="87"/>
      <c r="G17" s="87"/>
    </row>
    <row r="18" spans="1:7" ht="15" customHeight="1" x14ac:dyDescent="0.25">
      <c r="A18" s="157" t="s">
        <v>158</v>
      </c>
      <c r="B18" s="160" t="s">
        <v>189</v>
      </c>
      <c r="C18" s="161"/>
      <c r="D18" s="161"/>
      <c r="E18" s="161"/>
      <c r="F18" s="161"/>
      <c r="G18" s="162"/>
    </row>
    <row r="19" spans="1:7" x14ac:dyDescent="0.25">
      <c r="A19" s="158"/>
      <c r="B19" s="163"/>
      <c r="C19" s="164"/>
      <c r="D19" s="164"/>
      <c r="E19" s="164"/>
      <c r="F19" s="164"/>
      <c r="G19" s="165"/>
    </row>
    <row r="20" spans="1:7" x14ac:dyDescent="0.25">
      <c r="A20" s="158"/>
      <c r="B20" s="163"/>
      <c r="C20" s="164"/>
      <c r="D20" s="164"/>
      <c r="E20" s="164"/>
      <c r="F20" s="164"/>
      <c r="G20" s="165"/>
    </row>
    <row r="21" spans="1:7" ht="15.75" thickBot="1" x14ac:dyDescent="0.3">
      <c r="A21" s="159"/>
      <c r="B21" s="166"/>
      <c r="C21" s="167"/>
      <c r="D21" s="167"/>
      <c r="E21" s="167"/>
      <c r="F21" s="167"/>
      <c r="G21" s="168"/>
    </row>
    <row r="22" spans="1:7" ht="15.75" thickBot="1" x14ac:dyDescent="0.3">
      <c r="A22" s="88"/>
      <c r="B22" s="89"/>
      <c r="C22" s="169" t="s">
        <v>159</v>
      </c>
      <c r="D22" s="170"/>
      <c r="E22" s="171"/>
      <c r="F22" s="169">
        <v>1</v>
      </c>
      <c r="G22" s="171"/>
    </row>
    <row r="23" spans="1:7" x14ac:dyDescent="0.25">
      <c r="A23" s="172" t="s">
        <v>160</v>
      </c>
      <c r="B23" s="173"/>
      <c r="C23" s="173"/>
      <c r="D23" s="173"/>
      <c r="E23" s="173"/>
      <c r="F23" s="173"/>
      <c r="G23" s="174"/>
    </row>
    <row r="24" spans="1:7" ht="22.5" x14ac:dyDescent="0.25">
      <c r="A24" s="139" t="s">
        <v>161</v>
      </c>
      <c r="B24" s="140"/>
      <c r="C24" s="90" t="s">
        <v>162</v>
      </c>
      <c r="D24" s="91" t="s">
        <v>163</v>
      </c>
      <c r="E24" s="91" t="s">
        <v>164</v>
      </c>
      <c r="F24" s="91" t="s">
        <v>165</v>
      </c>
      <c r="G24" s="131"/>
    </row>
    <row r="25" spans="1:7" x14ac:dyDescent="0.25">
      <c r="A25" s="141" t="s">
        <v>166</v>
      </c>
      <c r="B25" s="142"/>
      <c r="C25" s="100"/>
      <c r="D25" s="93"/>
      <c r="E25" s="107"/>
      <c r="F25" s="98">
        <f>(G49*0.05)+918</f>
        <v>1648</v>
      </c>
      <c r="G25" s="132"/>
    </row>
    <row r="26" spans="1:7" x14ac:dyDescent="0.25">
      <c r="A26" s="143"/>
      <c r="B26" s="144"/>
      <c r="C26" s="100"/>
      <c r="D26" s="93"/>
      <c r="E26" s="108"/>
      <c r="F26" s="98"/>
      <c r="G26" s="132"/>
    </row>
    <row r="27" spans="1:7" x14ac:dyDescent="0.25">
      <c r="A27" s="141"/>
      <c r="B27" s="142"/>
      <c r="C27" s="100"/>
      <c r="D27" s="93"/>
      <c r="E27" s="109"/>
      <c r="F27" s="98"/>
      <c r="G27" s="132"/>
    </row>
    <row r="28" spans="1:7" x14ac:dyDescent="0.25">
      <c r="A28" s="141"/>
      <c r="B28" s="142"/>
      <c r="C28" s="100"/>
      <c r="D28" s="110"/>
      <c r="E28" s="107"/>
      <c r="F28" s="98"/>
      <c r="G28" s="133"/>
    </row>
    <row r="29" spans="1:7" x14ac:dyDescent="0.25">
      <c r="A29" s="134" t="s">
        <v>167</v>
      </c>
      <c r="B29" s="135"/>
      <c r="C29" s="135"/>
      <c r="D29" s="135"/>
      <c r="E29" s="135"/>
      <c r="F29" s="136"/>
      <c r="G29" s="111">
        <f>SUM(F25:F28)</f>
        <v>1648</v>
      </c>
    </row>
    <row r="30" spans="1:7" x14ac:dyDescent="0.25">
      <c r="A30" s="145" t="s">
        <v>168</v>
      </c>
      <c r="B30" s="146"/>
      <c r="C30" s="146"/>
      <c r="D30" s="146"/>
      <c r="E30" s="146"/>
      <c r="F30" s="146"/>
      <c r="G30" s="147"/>
    </row>
    <row r="31" spans="1:7" ht="22.5" x14ac:dyDescent="0.25">
      <c r="A31" s="139" t="s">
        <v>161</v>
      </c>
      <c r="B31" s="140"/>
      <c r="C31" s="90" t="s">
        <v>169</v>
      </c>
      <c r="D31" s="91" t="s">
        <v>170</v>
      </c>
      <c r="E31" s="90" t="s">
        <v>43</v>
      </c>
      <c r="F31" s="91" t="s">
        <v>165</v>
      </c>
      <c r="G31" s="131"/>
    </row>
    <row r="32" spans="1:7" x14ac:dyDescent="0.25">
      <c r="A32" s="148" t="s">
        <v>171</v>
      </c>
      <c r="B32" s="149"/>
      <c r="C32" s="92" t="s">
        <v>157</v>
      </c>
      <c r="D32" s="93">
        <v>47100</v>
      </c>
      <c r="E32" s="97">
        <v>1</v>
      </c>
      <c r="F32" s="98">
        <f>D32*E32</f>
        <v>47100</v>
      </c>
      <c r="G32" s="132"/>
    </row>
    <row r="33" spans="1:7" x14ac:dyDescent="0.25">
      <c r="A33" s="148" t="s">
        <v>172</v>
      </c>
      <c r="B33" s="149"/>
      <c r="C33" s="92" t="s">
        <v>173</v>
      </c>
      <c r="D33" s="93">
        <f>35000/25</f>
        <v>1400</v>
      </c>
      <c r="E33" s="99">
        <v>6</v>
      </c>
      <c r="F33" s="98">
        <f t="shared" ref="F33:F34" si="0">D33*E33</f>
        <v>8400</v>
      </c>
      <c r="G33" s="132"/>
    </row>
    <row r="34" spans="1:7" x14ac:dyDescent="0.25">
      <c r="A34" s="148" t="s">
        <v>174</v>
      </c>
      <c r="B34" s="149"/>
      <c r="C34" s="92" t="s">
        <v>173</v>
      </c>
      <c r="D34" s="93">
        <v>4600</v>
      </c>
      <c r="E34" s="97">
        <v>0.3</v>
      </c>
      <c r="F34" s="98">
        <f t="shared" si="0"/>
        <v>1380</v>
      </c>
      <c r="G34" s="132"/>
    </row>
    <row r="35" spans="1:7" x14ac:dyDescent="0.25">
      <c r="A35" s="148"/>
      <c r="B35" s="149"/>
      <c r="C35" s="92"/>
      <c r="D35" s="93"/>
      <c r="E35" s="97"/>
      <c r="F35" s="98"/>
      <c r="G35" s="132"/>
    </row>
    <row r="36" spans="1:7" x14ac:dyDescent="0.25">
      <c r="A36" s="150"/>
      <c r="B36" s="151"/>
      <c r="C36" s="100"/>
      <c r="D36" s="98"/>
      <c r="E36" s="97"/>
      <c r="F36" s="98"/>
      <c r="G36" s="132"/>
    </row>
    <row r="37" spans="1:7" x14ac:dyDescent="0.25">
      <c r="A37" s="148"/>
      <c r="B37" s="149"/>
      <c r="C37" s="100"/>
      <c r="D37" s="98"/>
      <c r="E37" s="97"/>
      <c r="F37" s="98"/>
      <c r="G37" s="132"/>
    </row>
    <row r="38" spans="1:7" x14ac:dyDescent="0.25">
      <c r="A38" s="148"/>
      <c r="B38" s="149"/>
      <c r="C38" s="100"/>
      <c r="D38" s="98"/>
      <c r="E38" s="97"/>
      <c r="F38" s="98"/>
      <c r="G38" s="132"/>
    </row>
    <row r="39" spans="1:7" x14ac:dyDescent="0.25">
      <c r="A39" s="148"/>
      <c r="B39" s="149"/>
      <c r="C39" s="100"/>
      <c r="D39" s="98"/>
      <c r="E39" s="97"/>
      <c r="F39" s="98"/>
      <c r="G39" s="132"/>
    </row>
    <row r="40" spans="1:7" x14ac:dyDescent="0.25">
      <c r="A40" s="148"/>
      <c r="B40" s="149"/>
      <c r="C40" s="100"/>
      <c r="D40" s="98"/>
      <c r="E40" s="97"/>
      <c r="F40" s="98"/>
      <c r="G40" s="132"/>
    </row>
    <row r="41" spans="1:7" x14ac:dyDescent="0.25">
      <c r="A41" s="148"/>
      <c r="B41" s="149"/>
      <c r="C41" s="100"/>
      <c r="D41" s="101"/>
      <c r="E41" s="97"/>
      <c r="F41" s="98"/>
      <c r="G41" s="133"/>
    </row>
    <row r="42" spans="1:7" x14ac:dyDescent="0.25">
      <c r="A42" s="125" t="s">
        <v>167</v>
      </c>
      <c r="B42" s="126"/>
      <c r="C42" s="126"/>
      <c r="D42" s="126"/>
      <c r="E42" s="126"/>
      <c r="F42" s="127"/>
      <c r="G42" s="112">
        <f>SUM(F32:F41)</f>
        <v>56880</v>
      </c>
    </row>
    <row r="43" spans="1:7" x14ac:dyDescent="0.25">
      <c r="A43" s="128" t="s">
        <v>175</v>
      </c>
      <c r="B43" s="129"/>
      <c r="C43" s="129"/>
      <c r="D43" s="129"/>
      <c r="E43" s="129"/>
      <c r="F43" s="129"/>
      <c r="G43" s="130"/>
    </row>
    <row r="44" spans="1:7" ht="22.5" x14ac:dyDescent="0.25">
      <c r="A44" s="94" t="s">
        <v>176</v>
      </c>
      <c r="B44" s="90" t="s">
        <v>177</v>
      </c>
      <c r="C44" s="91" t="s">
        <v>43</v>
      </c>
      <c r="D44" s="91" t="s">
        <v>178</v>
      </c>
      <c r="E44" s="91" t="s">
        <v>179</v>
      </c>
      <c r="F44" s="91" t="s">
        <v>165</v>
      </c>
      <c r="G44" s="131"/>
    </row>
    <row r="45" spans="1:7" x14ac:dyDescent="0.25">
      <c r="A45" s="113" t="s">
        <v>180</v>
      </c>
      <c r="B45" s="95">
        <v>17220</v>
      </c>
      <c r="C45" s="114">
        <v>1</v>
      </c>
      <c r="D45" s="95">
        <v>32000</v>
      </c>
      <c r="E45" s="115">
        <v>5</v>
      </c>
      <c r="F45" s="95">
        <f>D45/E45</f>
        <v>6400</v>
      </c>
      <c r="G45" s="132"/>
    </row>
    <row r="46" spans="1:7" x14ac:dyDescent="0.25">
      <c r="A46" s="113" t="s">
        <v>181</v>
      </c>
      <c r="B46" s="95">
        <v>23000</v>
      </c>
      <c r="C46" s="114">
        <v>1</v>
      </c>
      <c r="D46" s="95">
        <v>41000</v>
      </c>
      <c r="E46" s="115">
        <v>5</v>
      </c>
      <c r="F46" s="95">
        <f>D46/E46</f>
        <v>8200</v>
      </c>
      <c r="G46" s="132"/>
    </row>
    <row r="47" spans="1:7" x14ac:dyDescent="0.25">
      <c r="A47" s="113"/>
      <c r="B47" s="98"/>
      <c r="C47" s="95"/>
      <c r="D47" s="95"/>
      <c r="E47" s="104"/>
      <c r="F47" s="95"/>
      <c r="G47" s="132"/>
    </row>
    <row r="48" spans="1:7" x14ac:dyDescent="0.25">
      <c r="A48" s="113"/>
      <c r="B48" s="98"/>
      <c r="C48" s="95"/>
      <c r="D48" s="95"/>
      <c r="E48" s="95"/>
      <c r="F48" s="95"/>
      <c r="G48" s="133"/>
    </row>
    <row r="49" spans="1:9" x14ac:dyDescent="0.25">
      <c r="A49" s="134" t="s">
        <v>167</v>
      </c>
      <c r="B49" s="135"/>
      <c r="C49" s="135"/>
      <c r="D49" s="135"/>
      <c r="E49" s="135"/>
      <c r="F49" s="136"/>
      <c r="G49" s="112">
        <f>SUM(F45:F48)</f>
        <v>14600</v>
      </c>
    </row>
    <row r="50" spans="1:9" ht="15.75" thickBot="1" x14ac:dyDescent="0.3">
      <c r="A50" s="137" t="s">
        <v>182</v>
      </c>
      <c r="B50" s="138"/>
      <c r="C50" s="138"/>
      <c r="D50" s="138"/>
      <c r="E50" s="138"/>
      <c r="F50" s="138"/>
      <c r="G50" s="116">
        <f>G29+G42+G49</f>
        <v>73128</v>
      </c>
    </row>
    <row r="51" spans="1:9" x14ac:dyDescent="0.25">
      <c r="C51" s="3"/>
      <c r="I51" s="121"/>
    </row>
    <row r="52" spans="1:9" x14ac:dyDescent="0.25">
      <c r="A52" s="102"/>
      <c r="B52" s="102"/>
      <c r="C52" s="102"/>
      <c r="D52" s="102"/>
      <c r="E52" s="102"/>
      <c r="F52" s="102"/>
      <c r="G52" s="103"/>
    </row>
    <row r="53" spans="1:9" x14ac:dyDescent="0.25">
      <c r="A53" s="152" t="s">
        <v>153</v>
      </c>
      <c r="B53" s="152"/>
      <c r="C53" s="152"/>
      <c r="D53" s="152"/>
      <c r="E53" s="152"/>
      <c r="F53" s="152"/>
      <c r="G53" s="152"/>
    </row>
    <row r="54" spans="1:9" x14ac:dyDescent="0.25">
      <c r="A54" s="153" t="s">
        <v>154</v>
      </c>
      <c r="B54" s="153"/>
      <c r="C54" s="153"/>
      <c r="D54" s="153"/>
      <c r="E54" s="153"/>
      <c r="F54" s="153"/>
      <c r="G54" s="153"/>
    </row>
    <row r="55" spans="1:9" x14ac:dyDescent="0.25">
      <c r="A55" s="153"/>
      <c r="B55" s="153"/>
      <c r="C55" s="153"/>
      <c r="D55" s="153"/>
      <c r="E55" s="153"/>
      <c r="F55" s="153"/>
      <c r="G55" s="153"/>
    </row>
    <row r="56" spans="1:9" x14ac:dyDescent="0.25">
      <c r="A56" s="105"/>
      <c r="B56" s="105"/>
      <c r="C56" s="105"/>
      <c r="D56" s="105"/>
      <c r="E56" s="105"/>
      <c r="F56" s="105"/>
      <c r="G56" s="105"/>
    </row>
    <row r="57" spans="1:9" x14ac:dyDescent="0.25">
      <c r="A57" s="153" t="s">
        <v>188</v>
      </c>
      <c r="B57" s="153"/>
      <c r="C57" s="153"/>
      <c r="D57" s="153"/>
      <c r="E57" s="153"/>
      <c r="F57" s="153"/>
      <c r="G57" s="153"/>
    </row>
    <row r="58" spans="1:9" x14ac:dyDescent="0.25">
      <c r="A58" s="105"/>
      <c r="B58" s="105"/>
      <c r="C58" s="105"/>
      <c r="D58" s="105"/>
      <c r="E58" s="105"/>
      <c r="F58" s="105"/>
      <c r="G58" s="105"/>
    </row>
    <row r="59" spans="1:9" ht="15" customHeight="1" x14ac:dyDescent="0.25">
      <c r="A59" s="154" t="s">
        <v>190</v>
      </c>
      <c r="B59" s="154"/>
      <c r="C59" s="154"/>
      <c r="D59" s="154"/>
      <c r="E59" s="154"/>
      <c r="F59" s="154"/>
      <c r="G59" s="154"/>
    </row>
    <row r="60" spans="1:9" x14ac:dyDescent="0.25">
      <c r="A60" s="154"/>
      <c r="B60" s="154"/>
      <c r="C60" s="154"/>
      <c r="D60" s="154"/>
      <c r="E60" s="154"/>
      <c r="F60" s="154"/>
      <c r="G60" s="154"/>
    </row>
    <row r="61" spans="1:9" x14ac:dyDescent="0.25">
      <c r="A61" s="154"/>
      <c r="B61" s="154"/>
      <c r="C61" s="154"/>
      <c r="D61" s="154"/>
      <c r="E61" s="154"/>
      <c r="F61" s="154"/>
      <c r="G61" s="154"/>
    </row>
    <row r="62" spans="1:9" x14ac:dyDescent="0.25">
      <c r="A62" s="154"/>
      <c r="B62" s="154"/>
      <c r="C62" s="154"/>
      <c r="D62" s="154"/>
      <c r="E62" s="154"/>
      <c r="F62" s="154"/>
      <c r="G62" s="154"/>
    </row>
    <row r="63" spans="1:9" x14ac:dyDescent="0.25">
      <c r="A63" s="105"/>
      <c r="B63" s="105"/>
      <c r="C63" s="105"/>
      <c r="D63" s="105"/>
      <c r="E63" s="105"/>
      <c r="F63" s="105"/>
      <c r="G63" s="105"/>
    </row>
    <row r="64" spans="1:9" ht="15.75" x14ac:dyDescent="0.25">
      <c r="A64" s="155" t="s">
        <v>155</v>
      </c>
      <c r="B64" s="155"/>
      <c r="C64" s="155"/>
      <c r="D64" s="155"/>
      <c r="E64" s="155"/>
      <c r="F64" s="155"/>
      <c r="G64" s="155"/>
    </row>
    <row r="65" spans="1:7" x14ac:dyDescent="0.25">
      <c r="A65" s="156" t="str">
        <f>+COMPARATIVO!B5</f>
        <v>Suministro e instalación de teja en fibrocemento tipo eternit y/o similar</v>
      </c>
      <c r="B65" s="156"/>
      <c r="C65" s="156"/>
      <c r="D65" s="156"/>
      <c r="E65" s="156"/>
      <c r="F65" s="156"/>
      <c r="G65" s="156"/>
    </row>
    <row r="66" spans="1:7" x14ac:dyDescent="0.25">
      <c r="A66" s="156"/>
      <c r="B66" s="156"/>
      <c r="C66" s="156"/>
      <c r="D66" s="156"/>
      <c r="E66" s="156"/>
      <c r="F66" s="156"/>
      <c r="G66" s="156"/>
    </row>
    <row r="67" spans="1:7" x14ac:dyDescent="0.25">
      <c r="A67" s="156"/>
      <c r="B67" s="156"/>
      <c r="C67" s="156"/>
      <c r="D67" s="156"/>
      <c r="E67" s="156"/>
      <c r="F67" s="156"/>
      <c r="G67" s="156"/>
    </row>
    <row r="68" spans="1:7" ht="16.5" thickBot="1" x14ac:dyDescent="0.3">
      <c r="A68" s="87"/>
      <c r="B68" s="87"/>
      <c r="C68" s="106" t="s">
        <v>156</v>
      </c>
      <c r="D68" s="87" t="s">
        <v>157</v>
      </c>
      <c r="E68" s="87"/>
      <c r="F68" s="87"/>
      <c r="G68" s="87"/>
    </row>
    <row r="69" spans="1:7" ht="15" customHeight="1" x14ac:dyDescent="0.25">
      <c r="A69" s="157" t="s">
        <v>158</v>
      </c>
      <c r="B69" s="160" t="s">
        <v>189</v>
      </c>
      <c r="C69" s="161"/>
      <c r="D69" s="161"/>
      <c r="E69" s="161"/>
      <c r="F69" s="161"/>
      <c r="G69" s="162"/>
    </row>
    <row r="70" spans="1:7" x14ac:dyDescent="0.25">
      <c r="A70" s="158"/>
      <c r="B70" s="163"/>
      <c r="C70" s="164"/>
      <c r="D70" s="164"/>
      <c r="E70" s="164"/>
      <c r="F70" s="164"/>
      <c r="G70" s="165"/>
    </row>
    <row r="71" spans="1:7" x14ac:dyDescent="0.25">
      <c r="A71" s="158"/>
      <c r="B71" s="163"/>
      <c r="C71" s="164"/>
      <c r="D71" s="164"/>
      <c r="E71" s="164"/>
      <c r="F71" s="164"/>
      <c r="G71" s="165"/>
    </row>
    <row r="72" spans="1:7" ht="15.75" thickBot="1" x14ac:dyDescent="0.3">
      <c r="A72" s="159"/>
      <c r="B72" s="166"/>
      <c r="C72" s="167"/>
      <c r="D72" s="167"/>
      <c r="E72" s="167"/>
      <c r="F72" s="167"/>
      <c r="G72" s="168"/>
    </row>
    <row r="73" spans="1:7" ht="15.75" thickBot="1" x14ac:dyDescent="0.3">
      <c r="A73" s="88"/>
      <c r="B73" s="89"/>
      <c r="C73" s="169" t="s">
        <v>159</v>
      </c>
      <c r="D73" s="170"/>
      <c r="E73" s="171"/>
      <c r="F73" s="169">
        <v>2</v>
      </c>
      <c r="G73" s="171"/>
    </row>
    <row r="74" spans="1:7" x14ac:dyDescent="0.25">
      <c r="A74" s="172" t="s">
        <v>160</v>
      </c>
      <c r="B74" s="173"/>
      <c r="C74" s="173"/>
      <c r="D74" s="173"/>
      <c r="E74" s="173"/>
      <c r="F74" s="173"/>
      <c r="G74" s="174"/>
    </row>
    <row r="75" spans="1:7" ht="22.5" x14ac:dyDescent="0.25">
      <c r="A75" s="139" t="s">
        <v>161</v>
      </c>
      <c r="B75" s="140"/>
      <c r="C75" s="90" t="s">
        <v>162</v>
      </c>
      <c r="D75" s="91" t="s">
        <v>163</v>
      </c>
      <c r="E75" s="91" t="s">
        <v>164</v>
      </c>
      <c r="F75" s="91" t="s">
        <v>165</v>
      </c>
      <c r="G75" s="131"/>
    </row>
    <row r="76" spans="1:7" x14ac:dyDescent="0.25">
      <c r="A76" s="141" t="s">
        <v>166</v>
      </c>
      <c r="B76" s="142"/>
      <c r="C76" s="100"/>
      <c r="D76" s="93"/>
      <c r="E76" s="107"/>
      <c r="F76" s="98">
        <f>(G100*0.05)+305</f>
        <v>1521.6666666666667</v>
      </c>
      <c r="G76" s="132"/>
    </row>
    <row r="77" spans="1:7" x14ac:dyDescent="0.25">
      <c r="A77" s="143" t="s">
        <v>191</v>
      </c>
      <c r="B77" s="144"/>
      <c r="C77" s="100" t="s">
        <v>196</v>
      </c>
      <c r="D77" s="93"/>
      <c r="E77" s="108"/>
      <c r="F77" s="98">
        <v>6800</v>
      </c>
      <c r="G77" s="132"/>
    </row>
    <row r="78" spans="1:7" x14ac:dyDescent="0.25">
      <c r="A78" s="141"/>
      <c r="B78" s="142"/>
      <c r="C78" s="100"/>
      <c r="D78" s="93"/>
      <c r="E78" s="109"/>
      <c r="F78" s="98"/>
      <c r="G78" s="132"/>
    </row>
    <row r="79" spans="1:7" x14ac:dyDescent="0.25">
      <c r="A79" s="141"/>
      <c r="B79" s="142"/>
      <c r="C79" s="100"/>
      <c r="D79" s="110"/>
      <c r="E79" s="107"/>
      <c r="F79" s="98"/>
      <c r="G79" s="133"/>
    </row>
    <row r="80" spans="1:7" x14ac:dyDescent="0.25">
      <c r="A80" s="134" t="s">
        <v>167</v>
      </c>
      <c r="B80" s="135"/>
      <c r="C80" s="135"/>
      <c r="D80" s="135"/>
      <c r="E80" s="135"/>
      <c r="F80" s="136"/>
      <c r="G80" s="111">
        <f>SUM(F76:F79)</f>
        <v>8321.6666666666661</v>
      </c>
    </row>
    <row r="81" spans="1:7" x14ac:dyDescent="0.25">
      <c r="A81" s="145" t="s">
        <v>168</v>
      </c>
      <c r="B81" s="146"/>
      <c r="C81" s="146"/>
      <c r="D81" s="146"/>
      <c r="E81" s="146"/>
      <c r="F81" s="146"/>
      <c r="G81" s="147"/>
    </row>
    <row r="82" spans="1:7" ht="22.5" x14ac:dyDescent="0.25">
      <c r="A82" s="139" t="s">
        <v>161</v>
      </c>
      <c r="B82" s="140"/>
      <c r="C82" s="90" t="s">
        <v>169</v>
      </c>
      <c r="D82" s="91" t="s">
        <v>170</v>
      </c>
      <c r="E82" s="90" t="s">
        <v>43</v>
      </c>
      <c r="F82" s="91" t="s">
        <v>165</v>
      </c>
      <c r="G82" s="131"/>
    </row>
    <row r="83" spans="1:7" x14ac:dyDescent="0.25">
      <c r="A83" s="148" t="s">
        <v>193</v>
      </c>
      <c r="B83" s="149"/>
      <c r="C83" s="92" t="s">
        <v>183</v>
      </c>
      <c r="D83" s="93">
        <v>25000</v>
      </c>
      <c r="E83" s="97">
        <v>1</v>
      </c>
      <c r="F83" s="98">
        <f>D83*E83</f>
        <v>25000</v>
      </c>
      <c r="G83" s="132"/>
    </row>
    <row r="84" spans="1:7" x14ac:dyDescent="0.25">
      <c r="A84" s="148" t="s">
        <v>192</v>
      </c>
      <c r="B84" s="149"/>
      <c r="C84" s="92" t="s">
        <v>183</v>
      </c>
      <c r="D84" s="93">
        <f>35000/25</f>
        <v>1400</v>
      </c>
      <c r="E84" s="99">
        <v>8</v>
      </c>
      <c r="F84" s="98">
        <f t="shared" ref="F84:F85" si="1">D84*E84</f>
        <v>11200</v>
      </c>
      <c r="G84" s="132"/>
    </row>
    <row r="85" spans="1:7" x14ac:dyDescent="0.25">
      <c r="A85" s="148" t="s">
        <v>194</v>
      </c>
      <c r="B85" s="149"/>
      <c r="C85" s="92" t="s">
        <v>195</v>
      </c>
      <c r="D85" s="93">
        <v>280000</v>
      </c>
      <c r="E85" s="97">
        <v>0.03</v>
      </c>
      <c r="F85" s="98">
        <f t="shared" si="1"/>
        <v>8400</v>
      </c>
      <c r="G85" s="132"/>
    </row>
    <row r="86" spans="1:7" x14ac:dyDescent="0.25">
      <c r="A86" s="148"/>
      <c r="B86" s="149"/>
      <c r="C86" s="92"/>
      <c r="D86" s="93"/>
      <c r="E86" s="97"/>
      <c r="F86" s="98"/>
      <c r="G86" s="132"/>
    </row>
    <row r="87" spans="1:7" x14ac:dyDescent="0.25">
      <c r="A87" s="150"/>
      <c r="B87" s="151"/>
      <c r="C87" s="100"/>
      <c r="D87" s="98"/>
      <c r="E87" s="97"/>
      <c r="F87" s="98"/>
      <c r="G87" s="132"/>
    </row>
    <row r="88" spans="1:7" x14ac:dyDescent="0.25">
      <c r="A88" s="148"/>
      <c r="B88" s="149"/>
      <c r="C88" s="100"/>
      <c r="D88" s="98"/>
      <c r="E88" s="97"/>
      <c r="F88" s="98"/>
      <c r="G88" s="132"/>
    </row>
    <row r="89" spans="1:7" x14ac:dyDescent="0.25">
      <c r="A89" s="148"/>
      <c r="B89" s="149"/>
      <c r="C89" s="100"/>
      <c r="D89" s="98"/>
      <c r="E89" s="97"/>
      <c r="F89" s="98"/>
      <c r="G89" s="132"/>
    </row>
    <row r="90" spans="1:7" x14ac:dyDescent="0.25">
      <c r="A90" s="148"/>
      <c r="B90" s="149"/>
      <c r="C90" s="100"/>
      <c r="D90" s="98"/>
      <c r="E90" s="97"/>
      <c r="F90" s="98"/>
      <c r="G90" s="132"/>
    </row>
    <row r="91" spans="1:7" x14ac:dyDescent="0.25">
      <c r="A91" s="148"/>
      <c r="B91" s="149"/>
      <c r="C91" s="100"/>
      <c r="D91" s="98"/>
      <c r="E91" s="97"/>
      <c r="F91" s="98"/>
      <c r="G91" s="132"/>
    </row>
    <row r="92" spans="1:7" x14ac:dyDescent="0.25">
      <c r="A92" s="148"/>
      <c r="B92" s="149"/>
      <c r="C92" s="100"/>
      <c r="D92" s="101"/>
      <c r="E92" s="97"/>
      <c r="F92" s="98"/>
      <c r="G92" s="133"/>
    </row>
    <row r="93" spans="1:7" x14ac:dyDescent="0.25">
      <c r="A93" s="125" t="s">
        <v>167</v>
      </c>
      <c r="B93" s="126"/>
      <c r="C93" s="126"/>
      <c r="D93" s="126"/>
      <c r="E93" s="126"/>
      <c r="F93" s="127"/>
      <c r="G93" s="112">
        <f>SUM(F83:F92)</f>
        <v>44600</v>
      </c>
    </row>
    <row r="94" spans="1:7" x14ac:dyDescent="0.25">
      <c r="A94" s="128" t="s">
        <v>175</v>
      </c>
      <c r="B94" s="129"/>
      <c r="C94" s="129"/>
      <c r="D94" s="129"/>
      <c r="E94" s="129"/>
      <c r="F94" s="129"/>
      <c r="G94" s="130"/>
    </row>
    <row r="95" spans="1:7" ht="22.5" x14ac:dyDescent="0.25">
      <c r="A95" s="94" t="s">
        <v>176</v>
      </c>
      <c r="B95" s="90" t="s">
        <v>177</v>
      </c>
      <c r="C95" s="91" t="s">
        <v>43</v>
      </c>
      <c r="D95" s="91" t="s">
        <v>178</v>
      </c>
      <c r="E95" s="91" t="s">
        <v>179</v>
      </c>
      <c r="F95" s="91" t="s">
        <v>165</v>
      </c>
      <c r="G95" s="131"/>
    </row>
    <row r="96" spans="1:7" x14ac:dyDescent="0.25">
      <c r="A96" s="113" t="s">
        <v>180</v>
      </c>
      <c r="B96" s="95">
        <v>17220</v>
      </c>
      <c r="C96" s="114">
        <v>1</v>
      </c>
      <c r="D96" s="95">
        <v>32000</v>
      </c>
      <c r="E96" s="115">
        <v>3</v>
      </c>
      <c r="F96" s="95">
        <f>D96/E96</f>
        <v>10666.666666666666</v>
      </c>
      <c r="G96" s="132"/>
    </row>
    <row r="97" spans="1:9" x14ac:dyDescent="0.25">
      <c r="A97" s="113" t="s">
        <v>181</v>
      </c>
      <c r="B97" s="95">
        <v>23000</v>
      </c>
      <c r="C97" s="114">
        <v>1</v>
      </c>
      <c r="D97" s="95">
        <v>41000</v>
      </c>
      <c r="E97" s="115">
        <v>3</v>
      </c>
      <c r="F97" s="95">
        <f>D97/E97</f>
        <v>13666.666666666666</v>
      </c>
      <c r="G97" s="132"/>
    </row>
    <row r="98" spans="1:9" x14ac:dyDescent="0.25">
      <c r="A98" s="113"/>
      <c r="B98" s="98"/>
      <c r="C98" s="95"/>
      <c r="D98" s="95"/>
      <c r="E98" s="104"/>
      <c r="F98" s="95"/>
      <c r="G98" s="132"/>
    </row>
    <row r="99" spans="1:9" x14ac:dyDescent="0.25">
      <c r="A99" s="113"/>
      <c r="B99" s="98"/>
      <c r="C99" s="95"/>
      <c r="D99" s="95"/>
      <c r="E99" s="95"/>
      <c r="F99" s="95"/>
      <c r="G99" s="133"/>
    </row>
    <row r="100" spans="1:9" x14ac:dyDescent="0.25">
      <c r="A100" s="134" t="s">
        <v>167</v>
      </c>
      <c r="B100" s="135"/>
      <c r="C100" s="135"/>
      <c r="D100" s="135"/>
      <c r="E100" s="135"/>
      <c r="F100" s="136"/>
      <c r="G100" s="112">
        <f>SUM(F96:F99)</f>
        <v>24333.333333333332</v>
      </c>
    </row>
    <row r="101" spans="1:9" ht="15.75" thickBot="1" x14ac:dyDescent="0.3">
      <c r="A101" s="137" t="s">
        <v>182</v>
      </c>
      <c r="B101" s="138"/>
      <c r="C101" s="138"/>
      <c r="D101" s="138"/>
      <c r="E101" s="138"/>
      <c r="F101" s="138"/>
      <c r="G101" s="116">
        <f>G80+G93+G100</f>
        <v>77255</v>
      </c>
      <c r="I101" s="86"/>
    </row>
    <row r="102" spans="1:9" x14ac:dyDescent="0.25">
      <c r="C102" s="3"/>
      <c r="I102" s="86"/>
    </row>
    <row r="103" spans="1:9" x14ac:dyDescent="0.25">
      <c r="A103" s="102"/>
      <c r="B103" s="102"/>
      <c r="C103" s="102"/>
      <c r="D103" s="102"/>
      <c r="E103" s="102"/>
      <c r="F103" s="102"/>
      <c r="G103" s="103"/>
    </row>
    <row r="104" spans="1:9" x14ac:dyDescent="0.25">
      <c r="A104" s="152" t="s">
        <v>153</v>
      </c>
      <c r="B104" s="152"/>
      <c r="C104" s="152"/>
      <c r="D104" s="152"/>
      <c r="E104" s="152"/>
      <c r="F104" s="152"/>
      <c r="G104" s="152"/>
    </row>
    <row r="105" spans="1:9" x14ac:dyDescent="0.25">
      <c r="A105" s="153" t="s">
        <v>154</v>
      </c>
      <c r="B105" s="153"/>
      <c r="C105" s="153"/>
      <c r="D105" s="153"/>
      <c r="E105" s="153"/>
      <c r="F105" s="153"/>
      <c r="G105" s="153"/>
    </row>
    <row r="106" spans="1:9" x14ac:dyDescent="0.25">
      <c r="A106" s="153"/>
      <c r="B106" s="153"/>
      <c r="C106" s="153"/>
      <c r="D106" s="153"/>
      <c r="E106" s="153"/>
      <c r="F106" s="153"/>
      <c r="G106" s="153"/>
    </row>
    <row r="107" spans="1:9" x14ac:dyDescent="0.25">
      <c r="A107" s="105"/>
      <c r="B107" s="105"/>
      <c r="C107" s="105"/>
      <c r="D107" s="105"/>
      <c r="E107" s="105"/>
      <c r="F107" s="105"/>
      <c r="G107" s="105"/>
    </row>
    <row r="108" spans="1:9" x14ac:dyDescent="0.25">
      <c r="A108" s="153" t="s">
        <v>188</v>
      </c>
      <c r="B108" s="153"/>
      <c r="C108" s="153"/>
      <c r="D108" s="153"/>
      <c r="E108" s="153"/>
      <c r="F108" s="153"/>
      <c r="G108" s="153"/>
    </row>
    <row r="109" spans="1:9" x14ac:dyDescent="0.25">
      <c r="A109" s="105"/>
      <c r="B109" s="105"/>
      <c r="C109" s="105"/>
      <c r="D109" s="105"/>
      <c r="E109" s="105"/>
      <c r="F109" s="105"/>
      <c r="G109" s="105"/>
    </row>
    <row r="110" spans="1:9" ht="15" customHeight="1" x14ac:dyDescent="0.25">
      <c r="A110" s="154" t="s">
        <v>190</v>
      </c>
      <c r="B110" s="154"/>
      <c r="C110" s="154"/>
      <c r="D110" s="154"/>
      <c r="E110" s="154"/>
      <c r="F110" s="154"/>
      <c r="G110" s="154"/>
    </row>
    <row r="111" spans="1:9" x14ac:dyDescent="0.25">
      <c r="A111" s="154"/>
      <c r="B111" s="154"/>
      <c r="C111" s="154"/>
      <c r="D111" s="154"/>
      <c r="E111" s="154"/>
      <c r="F111" s="154"/>
      <c r="G111" s="154"/>
    </row>
    <row r="112" spans="1:9" x14ac:dyDescent="0.25">
      <c r="A112" s="154"/>
      <c r="B112" s="154"/>
      <c r="C112" s="154"/>
      <c r="D112" s="154"/>
      <c r="E112" s="154"/>
      <c r="F112" s="154"/>
      <c r="G112" s="154"/>
    </row>
    <row r="113" spans="1:7" x14ac:dyDescent="0.25">
      <c r="A113" s="154"/>
      <c r="B113" s="154"/>
      <c r="C113" s="154"/>
      <c r="D113" s="154"/>
      <c r="E113" s="154"/>
      <c r="F113" s="154"/>
      <c r="G113" s="154"/>
    </row>
    <row r="114" spans="1:7" x14ac:dyDescent="0.25">
      <c r="A114" s="105"/>
      <c r="B114" s="105"/>
      <c r="C114" s="105"/>
      <c r="D114" s="105"/>
      <c r="E114" s="105"/>
      <c r="F114" s="105"/>
      <c r="G114" s="105"/>
    </row>
    <row r="115" spans="1:7" ht="15.75" x14ac:dyDescent="0.25">
      <c r="A115" s="155" t="s">
        <v>155</v>
      </c>
      <c r="B115" s="155"/>
      <c r="C115" s="155"/>
      <c r="D115" s="155"/>
      <c r="E115" s="155"/>
      <c r="F115" s="155"/>
      <c r="G115" s="155"/>
    </row>
    <row r="116" spans="1:7" x14ac:dyDescent="0.25">
      <c r="A116" s="156" t="str">
        <f>+COMPARATIVO!B6</f>
        <v>Reparación de Canales y Bajantes</v>
      </c>
      <c r="B116" s="156"/>
      <c r="C116" s="156"/>
      <c r="D116" s="156"/>
      <c r="E116" s="156"/>
      <c r="F116" s="156"/>
      <c r="G116" s="156"/>
    </row>
    <row r="117" spans="1:7" x14ac:dyDescent="0.25">
      <c r="A117" s="156"/>
      <c r="B117" s="156"/>
      <c r="C117" s="156"/>
      <c r="D117" s="156"/>
      <c r="E117" s="156"/>
      <c r="F117" s="156"/>
      <c r="G117" s="156"/>
    </row>
    <row r="118" spans="1:7" x14ac:dyDescent="0.25">
      <c r="A118" s="156"/>
      <c r="B118" s="156"/>
      <c r="C118" s="156"/>
      <c r="D118" s="156"/>
      <c r="E118" s="156"/>
      <c r="F118" s="156"/>
      <c r="G118" s="156"/>
    </row>
    <row r="119" spans="1:7" ht="16.5" thickBot="1" x14ac:dyDescent="0.3">
      <c r="A119" s="87"/>
      <c r="B119" s="87"/>
      <c r="C119" s="106" t="s">
        <v>156</v>
      </c>
      <c r="D119" s="87" t="s">
        <v>13</v>
      </c>
      <c r="E119" s="87"/>
      <c r="F119" s="87"/>
      <c r="G119" s="87"/>
    </row>
    <row r="120" spans="1:7" ht="15" customHeight="1" x14ac:dyDescent="0.25">
      <c r="A120" s="157" t="s">
        <v>158</v>
      </c>
      <c r="B120" s="160" t="s">
        <v>189</v>
      </c>
      <c r="C120" s="161"/>
      <c r="D120" s="161"/>
      <c r="E120" s="161"/>
      <c r="F120" s="161"/>
      <c r="G120" s="162"/>
    </row>
    <row r="121" spans="1:7" x14ac:dyDescent="0.25">
      <c r="A121" s="158"/>
      <c r="B121" s="163"/>
      <c r="C121" s="164"/>
      <c r="D121" s="164"/>
      <c r="E121" s="164"/>
      <c r="F121" s="164"/>
      <c r="G121" s="165"/>
    </row>
    <row r="122" spans="1:7" x14ac:dyDescent="0.25">
      <c r="A122" s="158"/>
      <c r="B122" s="163"/>
      <c r="C122" s="164"/>
      <c r="D122" s="164"/>
      <c r="E122" s="164"/>
      <c r="F122" s="164"/>
      <c r="G122" s="165"/>
    </row>
    <row r="123" spans="1:7" ht="15.75" thickBot="1" x14ac:dyDescent="0.3">
      <c r="A123" s="159"/>
      <c r="B123" s="166"/>
      <c r="C123" s="167"/>
      <c r="D123" s="167"/>
      <c r="E123" s="167"/>
      <c r="F123" s="167"/>
      <c r="G123" s="168"/>
    </row>
    <row r="124" spans="1:7" ht="15.75" thickBot="1" x14ac:dyDescent="0.3">
      <c r="A124" s="88"/>
      <c r="B124" s="89"/>
      <c r="C124" s="169" t="s">
        <v>159</v>
      </c>
      <c r="D124" s="170"/>
      <c r="E124" s="171"/>
      <c r="F124" s="169">
        <v>3</v>
      </c>
      <c r="G124" s="171"/>
    </row>
    <row r="125" spans="1:7" x14ac:dyDescent="0.25">
      <c r="A125" s="172" t="s">
        <v>160</v>
      </c>
      <c r="B125" s="173"/>
      <c r="C125" s="173"/>
      <c r="D125" s="173"/>
      <c r="E125" s="173"/>
      <c r="F125" s="173"/>
      <c r="G125" s="174"/>
    </row>
    <row r="126" spans="1:7" ht="22.5" x14ac:dyDescent="0.25">
      <c r="A126" s="139" t="s">
        <v>161</v>
      </c>
      <c r="B126" s="140"/>
      <c r="C126" s="90" t="s">
        <v>162</v>
      </c>
      <c r="D126" s="91" t="s">
        <v>163</v>
      </c>
      <c r="E126" s="91" t="s">
        <v>164</v>
      </c>
      <c r="F126" s="91" t="s">
        <v>165</v>
      </c>
      <c r="G126" s="131"/>
    </row>
    <row r="127" spans="1:7" x14ac:dyDescent="0.25">
      <c r="A127" s="141" t="s">
        <v>166</v>
      </c>
      <c r="B127" s="142"/>
      <c r="C127" s="100"/>
      <c r="D127" s="93"/>
      <c r="E127" s="107"/>
      <c r="F127" s="98">
        <f>(G151*0.05)+305+3286</f>
        <v>34007.666666666672</v>
      </c>
      <c r="G127" s="132"/>
    </row>
    <row r="128" spans="1:7" x14ac:dyDescent="0.25">
      <c r="A128" s="143" t="s">
        <v>191</v>
      </c>
      <c r="B128" s="144"/>
      <c r="C128" s="100" t="s">
        <v>196</v>
      </c>
      <c r="D128" s="93"/>
      <c r="E128" s="108"/>
      <c r="F128" s="98">
        <v>121300</v>
      </c>
      <c r="G128" s="132"/>
    </row>
    <row r="129" spans="1:7" x14ac:dyDescent="0.25">
      <c r="A129" s="141"/>
      <c r="B129" s="142"/>
      <c r="C129" s="100"/>
      <c r="D129" s="93"/>
      <c r="E129" s="109"/>
      <c r="F129" s="98"/>
      <c r="G129" s="132"/>
    </row>
    <row r="130" spans="1:7" x14ac:dyDescent="0.25">
      <c r="A130" s="141"/>
      <c r="B130" s="142"/>
      <c r="C130" s="100"/>
      <c r="D130" s="110"/>
      <c r="E130" s="107"/>
      <c r="F130" s="98"/>
      <c r="G130" s="133"/>
    </row>
    <row r="131" spans="1:7" x14ac:dyDescent="0.25">
      <c r="A131" s="134" t="s">
        <v>167</v>
      </c>
      <c r="B131" s="135"/>
      <c r="C131" s="135"/>
      <c r="D131" s="135"/>
      <c r="E131" s="135"/>
      <c r="F131" s="136"/>
      <c r="G131" s="111">
        <f>SUM(F127:F130)</f>
        <v>155307.66666666669</v>
      </c>
    </row>
    <row r="132" spans="1:7" x14ac:dyDescent="0.25">
      <c r="A132" s="145" t="s">
        <v>168</v>
      </c>
      <c r="B132" s="146"/>
      <c r="C132" s="146"/>
      <c r="D132" s="146"/>
      <c r="E132" s="146"/>
      <c r="F132" s="146"/>
      <c r="G132" s="147"/>
    </row>
    <row r="133" spans="1:7" ht="22.5" x14ac:dyDescent="0.25">
      <c r="A133" s="139" t="s">
        <v>161</v>
      </c>
      <c r="B133" s="140"/>
      <c r="C133" s="90" t="s">
        <v>169</v>
      </c>
      <c r="D133" s="91" t="s">
        <v>170</v>
      </c>
      <c r="E133" s="90" t="s">
        <v>43</v>
      </c>
      <c r="F133" s="91" t="s">
        <v>165</v>
      </c>
      <c r="G133" s="131"/>
    </row>
    <row r="134" spans="1:7" x14ac:dyDescent="0.25">
      <c r="A134" s="117" t="s">
        <v>202</v>
      </c>
      <c r="B134" s="118"/>
      <c r="C134" s="92" t="s">
        <v>183</v>
      </c>
      <c r="D134" s="93">
        <v>29500</v>
      </c>
      <c r="E134" s="99">
        <v>1</v>
      </c>
      <c r="F134" s="98">
        <f t="shared" ref="F134:F138" si="2">+D134*E134</f>
        <v>29500</v>
      </c>
      <c r="G134" s="132"/>
    </row>
    <row r="135" spans="1:7" x14ac:dyDescent="0.25">
      <c r="A135" s="117" t="s">
        <v>197</v>
      </c>
      <c r="B135" s="118"/>
      <c r="C135" s="92" t="s">
        <v>201</v>
      </c>
      <c r="D135" s="93">
        <v>45600</v>
      </c>
      <c r="E135" s="97">
        <v>12</v>
      </c>
      <c r="F135" s="98">
        <f t="shared" si="2"/>
        <v>547200</v>
      </c>
      <c r="G135" s="132"/>
    </row>
    <row r="136" spans="1:7" x14ac:dyDescent="0.25">
      <c r="A136" s="117" t="s">
        <v>198</v>
      </c>
      <c r="B136" s="118"/>
      <c r="C136" s="92" t="s">
        <v>201</v>
      </c>
      <c r="D136" s="93">
        <v>16200</v>
      </c>
      <c r="E136" s="97">
        <v>12</v>
      </c>
      <c r="F136" s="98">
        <f t="shared" si="2"/>
        <v>194400</v>
      </c>
      <c r="G136" s="132"/>
    </row>
    <row r="137" spans="1:7" x14ac:dyDescent="0.25">
      <c r="A137" s="119" t="s">
        <v>199</v>
      </c>
      <c r="B137" s="120"/>
      <c r="C137" s="100" t="s">
        <v>184</v>
      </c>
      <c r="D137" s="98">
        <v>56000</v>
      </c>
      <c r="E137" s="97">
        <v>1</v>
      </c>
      <c r="F137" s="98">
        <f t="shared" si="2"/>
        <v>56000</v>
      </c>
      <c r="G137" s="132"/>
    </row>
    <row r="138" spans="1:7" x14ac:dyDescent="0.25">
      <c r="A138" s="148" t="s">
        <v>200</v>
      </c>
      <c r="B138" s="149"/>
      <c r="C138" s="100" t="s">
        <v>12</v>
      </c>
      <c r="D138" s="98">
        <v>18600</v>
      </c>
      <c r="E138" s="97">
        <v>1</v>
      </c>
      <c r="F138" s="98">
        <f t="shared" si="2"/>
        <v>18600</v>
      </c>
      <c r="G138" s="132"/>
    </row>
    <row r="139" spans="1:7" x14ac:dyDescent="0.25">
      <c r="A139" s="148"/>
      <c r="B139" s="149"/>
      <c r="C139" s="100"/>
      <c r="D139" s="98"/>
      <c r="E139" s="97"/>
      <c r="F139" s="98"/>
      <c r="G139" s="132"/>
    </row>
    <row r="140" spans="1:7" x14ac:dyDescent="0.25">
      <c r="A140" s="148"/>
      <c r="B140" s="149"/>
      <c r="C140" s="100"/>
      <c r="D140" s="98"/>
      <c r="E140" s="97"/>
      <c r="F140" s="98"/>
      <c r="G140" s="132"/>
    </row>
    <row r="141" spans="1:7" x14ac:dyDescent="0.25">
      <c r="A141" s="148"/>
      <c r="B141" s="149"/>
      <c r="C141" s="100"/>
      <c r="D141" s="98"/>
      <c r="E141" s="97"/>
      <c r="F141" s="98"/>
      <c r="G141" s="132"/>
    </row>
    <row r="142" spans="1:7" x14ac:dyDescent="0.25">
      <c r="A142" s="148"/>
      <c r="B142" s="149"/>
      <c r="C142" s="100"/>
      <c r="D142" s="98"/>
      <c r="E142" s="97"/>
      <c r="F142" s="98"/>
      <c r="G142" s="132"/>
    </row>
    <row r="143" spans="1:7" x14ac:dyDescent="0.25">
      <c r="A143" s="148"/>
      <c r="B143" s="149"/>
      <c r="C143" s="100"/>
      <c r="D143" s="101"/>
      <c r="E143" s="97"/>
      <c r="F143" s="98"/>
      <c r="G143" s="133"/>
    </row>
    <row r="144" spans="1:7" x14ac:dyDescent="0.25">
      <c r="A144" s="125" t="s">
        <v>167</v>
      </c>
      <c r="B144" s="126"/>
      <c r="C144" s="126"/>
      <c r="D144" s="126"/>
      <c r="E144" s="126"/>
      <c r="F144" s="127"/>
      <c r="G144" s="112">
        <f>SUM(F134:F143)</f>
        <v>845700</v>
      </c>
    </row>
    <row r="145" spans="1:9" x14ac:dyDescent="0.25">
      <c r="A145" s="128" t="s">
        <v>175</v>
      </c>
      <c r="B145" s="129"/>
      <c r="C145" s="129"/>
      <c r="D145" s="129"/>
      <c r="E145" s="129"/>
      <c r="F145" s="129"/>
      <c r="G145" s="130"/>
    </row>
    <row r="146" spans="1:9" ht="22.5" x14ac:dyDescent="0.25">
      <c r="A146" s="94" t="s">
        <v>176</v>
      </c>
      <c r="B146" s="90" t="s">
        <v>177</v>
      </c>
      <c r="C146" s="91" t="s">
        <v>43</v>
      </c>
      <c r="D146" s="91" t="s">
        <v>178</v>
      </c>
      <c r="E146" s="91" t="s">
        <v>179</v>
      </c>
      <c r="F146" s="91" t="s">
        <v>165</v>
      </c>
      <c r="G146" s="131"/>
    </row>
    <row r="147" spans="1:9" x14ac:dyDescent="0.25">
      <c r="A147" s="113" t="s">
        <v>180</v>
      </c>
      <c r="B147" s="95">
        <v>17220</v>
      </c>
      <c r="C147" s="114">
        <v>1</v>
      </c>
      <c r="D147" s="95">
        <v>32000</v>
      </c>
      <c r="E147" s="115">
        <v>0.12</v>
      </c>
      <c r="F147" s="95">
        <f>D147/E147</f>
        <v>266666.66666666669</v>
      </c>
      <c r="G147" s="132"/>
    </row>
    <row r="148" spans="1:9" x14ac:dyDescent="0.25">
      <c r="A148" s="113" t="s">
        <v>181</v>
      </c>
      <c r="B148" s="95">
        <v>23000</v>
      </c>
      <c r="C148" s="114">
        <v>1</v>
      </c>
      <c r="D148" s="95">
        <v>41000</v>
      </c>
      <c r="E148" s="115">
        <v>0.12</v>
      </c>
      <c r="F148" s="95">
        <f>D148/E148</f>
        <v>341666.66666666669</v>
      </c>
      <c r="G148" s="132"/>
    </row>
    <row r="149" spans="1:9" x14ac:dyDescent="0.25">
      <c r="A149" s="113"/>
      <c r="B149" s="98"/>
      <c r="C149" s="95"/>
      <c r="D149" s="95"/>
      <c r="E149" s="104"/>
      <c r="F149" s="95"/>
      <c r="G149" s="132"/>
    </row>
    <row r="150" spans="1:9" x14ac:dyDescent="0.25">
      <c r="A150" s="113"/>
      <c r="B150" s="98"/>
      <c r="C150" s="95"/>
      <c r="D150" s="95"/>
      <c r="E150" s="95"/>
      <c r="F150" s="95"/>
      <c r="G150" s="133"/>
    </row>
    <row r="151" spans="1:9" x14ac:dyDescent="0.25">
      <c r="A151" s="134" t="s">
        <v>167</v>
      </c>
      <c r="B151" s="135"/>
      <c r="C151" s="135"/>
      <c r="D151" s="135"/>
      <c r="E151" s="135"/>
      <c r="F151" s="136"/>
      <c r="G151" s="112">
        <f>SUM(F147:F150)</f>
        <v>608333.33333333337</v>
      </c>
      <c r="I151" s="86"/>
    </row>
    <row r="152" spans="1:9" ht="15.75" thickBot="1" x14ac:dyDescent="0.3">
      <c r="A152" s="137" t="s">
        <v>182</v>
      </c>
      <c r="B152" s="138"/>
      <c r="C152" s="138"/>
      <c r="D152" s="138"/>
      <c r="E152" s="138"/>
      <c r="F152" s="138"/>
      <c r="G152" s="116">
        <f>G131+G144+G151</f>
        <v>1609341</v>
      </c>
      <c r="I152" s="86"/>
    </row>
    <row r="153" spans="1:9" x14ac:dyDescent="0.25">
      <c r="C153" s="3"/>
    </row>
    <row r="154" spans="1:9" x14ac:dyDescent="0.25">
      <c r="A154" s="152" t="s">
        <v>153</v>
      </c>
      <c r="B154" s="152"/>
      <c r="C154" s="152"/>
      <c r="D154" s="152"/>
      <c r="E154" s="152"/>
      <c r="F154" s="152"/>
      <c r="G154" s="152"/>
    </row>
    <row r="155" spans="1:9" x14ac:dyDescent="0.25">
      <c r="A155" s="153" t="s">
        <v>154</v>
      </c>
      <c r="B155" s="153"/>
      <c r="C155" s="153"/>
      <c r="D155" s="153"/>
      <c r="E155" s="153"/>
      <c r="F155" s="153"/>
      <c r="G155" s="153"/>
    </row>
    <row r="156" spans="1:9" x14ac:dyDescent="0.25">
      <c r="A156" s="153"/>
      <c r="B156" s="153"/>
      <c r="C156" s="153"/>
      <c r="D156" s="153"/>
      <c r="E156" s="153"/>
      <c r="F156" s="153"/>
      <c r="G156" s="153"/>
    </row>
    <row r="157" spans="1:9" x14ac:dyDescent="0.25">
      <c r="A157" s="105"/>
      <c r="B157" s="105"/>
      <c r="C157" s="105"/>
      <c r="D157" s="105"/>
      <c r="E157" s="105"/>
      <c r="F157" s="105"/>
      <c r="G157" s="105"/>
    </row>
    <row r="158" spans="1:9" x14ac:dyDescent="0.25">
      <c r="A158" s="153" t="s">
        <v>188</v>
      </c>
      <c r="B158" s="153"/>
      <c r="C158" s="153"/>
      <c r="D158" s="153"/>
      <c r="E158" s="153"/>
      <c r="F158" s="153"/>
      <c r="G158" s="153"/>
    </row>
    <row r="159" spans="1:9" x14ac:dyDescent="0.25">
      <c r="A159" s="105"/>
      <c r="B159" s="105"/>
      <c r="C159" s="105"/>
      <c r="D159" s="105"/>
      <c r="E159" s="105"/>
      <c r="F159" s="105"/>
      <c r="G159" s="105"/>
    </row>
    <row r="160" spans="1:9" x14ac:dyDescent="0.25">
      <c r="A160" s="154" t="s">
        <v>190</v>
      </c>
      <c r="B160" s="154"/>
      <c r="C160" s="154"/>
      <c r="D160" s="154"/>
      <c r="E160" s="154"/>
      <c r="F160" s="154"/>
      <c r="G160" s="154"/>
    </row>
    <row r="161" spans="1:7" x14ac:dyDescent="0.25">
      <c r="A161" s="154"/>
      <c r="B161" s="154"/>
      <c r="C161" s="154"/>
      <c r="D161" s="154"/>
      <c r="E161" s="154"/>
      <c r="F161" s="154"/>
      <c r="G161" s="154"/>
    </row>
    <row r="162" spans="1:7" x14ac:dyDescent="0.25">
      <c r="A162" s="154"/>
      <c r="B162" s="154"/>
      <c r="C162" s="154"/>
      <c r="D162" s="154"/>
      <c r="E162" s="154"/>
      <c r="F162" s="154"/>
      <c r="G162" s="154"/>
    </row>
    <row r="163" spans="1:7" x14ac:dyDescent="0.25">
      <c r="A163" s="154"/>
      <c r="B163" s="154"/>
      <c r="C163" s="154"/>
      <c r="D163" s="154"/>
      <c r="E163" s="154"/>
      <c r="F163" s="154"/>
      <c r="G163" s="154"/>
    </row>
    <row r="164" spans="1:7" x14ac:dyDescent="0.25">
      <c r="A164" s="105"/>
      <c r="B164" s="105"/>
      <c r="C164" s="105"/>
      <c r="D164" s="105"/>
      <c r="E164" s="105"/>
      <c r="F164" s="105"/>
      <c r="G164" s="105"/>
    </row>
    <row r="165" spans="1:7" ht="15.75" x14ac:dyDescent="0.25">
      <c r="A165" s="155" t="s">
        <v>155</v>
      </c>
      <c r="B165" s="155"/>
      <c r="C165" s="155"/>
      <c r="D165" s="155"/>
      <c r="E165" s="155"/>
      <c r="F165" s="155"/>
      <c r="G165" s="155"/>
    </row>
    <row r="166" spans="1:7" x14ac:dyDescent="0.25">
      <c r="A166" s="156" t="str">
        <f>+COMPARATIVO!B7</f>
        <v>Suministro e instalación de cielo raso en Dry Wall para oficinas, incluye el retiro del cielo raso existente</v>
      </c>
      <c r="B166" s="156"/>
      <c r="C166" s="156"/>
      <c r="D166" s="156"/>
      <c r="E166" s="156"/>
      <c r="F166" s="156"/>
      <c r="G166" s="156"/>
    </row>
    <row r="167" spans="1:7" x14ac:dyDescent="0.25">
      <c r="A167" s="156"/>
      <c r="B167" s="156"/>
      <c r="C167" s="156"/>
      <c r="D167" s="156"/>
      <c r="E167" s="156"/>
      <c r="F167" s="156"/>
      <c r="G167" s="156"/>
    </row>
    <row r="168" spans="1:7" x14ac:dyDescent="0.25">
      <c r="A168" s="156"/>
      <c r="B168" s="156"/>
      <c r="C168" s="156"/>
      <c r="D168" s="156"/>
      <c r="E168" s="156"/>
      <c r="F168" s="156"/>
      <c r="G168" s="156"/>
    </row>
    <row r="169" spans="1:7" ht="16.5" thickBot="1" x14ac:dyDescent="0.3">
      <c r="A169" s="87"/>
      <c r="B169" s="87"/>
      <c r="C169" s="106" t="s">
        <v>156</v>
      </c>
      <c r="D169" s="87" t="s">
        <v>157</v>
      </c>
      <c r="E169" s="87"/>
      <c r="F169" s="87"/>
      <c r="G169" s="87"/>
    </row>
    <row r="170" spans="1:7" x14ac:dyDescent="0.25">
      <c r="A170" s="157" t="s">
        <v>158</v>
      </c>
      <c r="B170" s="160" t="s">
        <v>189</v>
      </c>
      <c r="C170" s="161"/>
      <c r="D170" s="161"/>
      <c r="E170" s="161"/>
      <c r="F170" s="161"/>
      <c r="G170" s="162"/>
    </row>
    <row r="171" spans="1:7" x14ac:dyDescent="0.25">
      <c r="A171" s="158"/>
      <c r="B171" s="163"/>
      <c r="C171" s="164"/>
      <c r="D171" s="164"/>
      <c r="E171" s="164"/>
      <c r="F171" s="164"/>
      <c r="G171" s="165"/>
    </row>
    <row r="172" spans="1:7" x14ac:dyDescent="0.25">
      <c r="A172" s="158"/>
      <c r="B172" s="163"/>
      <c r="C172" s="164"/>
      <c r="D172" s="164"/>
      <c r="E172" s="164"/>
      <c r="F172" s="164"/>
      <c r="G172" s="165"/>
    </row>
    <row r="173" spans="1:7" ht="15.75" thickBot="1" x14ac:dyDescent="0.3">
      <c r="A173" s="159"/>
      <c r="B173" s="166"/>
      <c r="C173" s="167"/>
      <c r="D173" s="167"/>
      <c r="E173" s="167"/>
      <c r="F173" s="167"/>
      <c r="G173" s="168"/>
    </row>
    <row r="174" spans="1:7" ht="15.75" thickBot="1" x14ac:dyDescent="0.3">
      <c r="A174" s="88"/>
      <c r="B174" s="89"/>
      <c r="C174" s="169" t="s">
        <v>159</v>
      </c>
      <c r="D174" s="170"/>
      <c r="E174" s="171"/>
      <c r="F174" s="169">
        <v>4</v>
      </c>
      <c r="G174" s="171"/>
    </row>
    <row r="175" spans="1:7" x14ac:dyDescent="0.25">
      <c r="A175" s="172" t="s">
        <v>160</v>
      </c>
      <c r="B175" s="173"/>
      <c r="C175" s="173"/>
      <c r="D175" s="173"/>
      <c r="E175" s="173"/>
      <c r="F175" s="173"/>
      <c r="G175" s="174"/>
    </row>
    <row r="176" spans="1:7" ht="22.5" x14ac:dyDescent="0.25">
      <c r="A176" s="139" t="s">
        <v>161</v>
      </c>
      <c r="B176" s="140"/>
      <c r="C176" s="90" t="s">
        <v>162</v>
      </c>
      <c r="D176" s="91" t="s">
        <v>163</v>
      </c>
      <c r="E176" s="91" t="s">
        <v>164</v>
      </c>
      <c r="F176" s="91" t="s">
        <v>165</v>
      </c>
      <c r="G176" s="131"/>
    </row>
    <row r="177" spans="1:7" x14ac:dyDescent="0.25">
      <c r="A177" s="141" t="s">
        <v>166</v>
      </c>
      <c r="B177" s="142"/>
      <c r="C177" s="100"/>
      <c r="D177" s="93"/>
      <c r="E177" s="107"/>
      <c r="F177" s="98">
        <f>(G201*0.05)+1397</f>
        <v>3222</v>
      </c>
      <c r="G177" s="132"/>
    </row>
    <row r="178" spans="1:7" x14ac:dyDescent="0.25">
      <c r="A178" s="143"/>
      <c r="B178" s="144"/>
      <c r="C178" s="100"/>
      <c r="D178" s="93"/>
      <c r="E178" s="108"/>
      <c r="F178" s="98"/>
      <c r="G178" s="132"/>
    </row>
    <row r="179" spans="1:7" x14ac:dyDescent="0.25">
      <c r="A179" s="141"/>
      <c r="B179" s="142"/>
      <c r="C179" s="100"/>
      <c r="D179" s="93"/>
      <c r="E179" s="109"/>
      <c r="F179" s="98"/>
      <c r="G179" s="132"/>
    </row>
    <row r="180" spans="1:7" x14ac:dyDescent="0.25">
      <c r="A180" s="141"/>
      <c r="B180" s="142"/>
      <c r="C180" s="100"/>
      <c r="D180" s="110"/>
      <c r="E180" s="107"/>
      <c r="F180" s="98"/>
      <c r="G180" s="133"/>
    </row>
    <row r="181" spans="1:7" x14ac:dyDescent="0.25">
      <c r="A181" s="134" t="s">
        <v>167</v>
      </c>
      <c r="B181" s="135"/>
      <c r="C181" s="135"/>
      <c r="D181" s="135"/>
      <c r="E181" s="135"/>
      <c r="F181" s="136"/>
      <c r="G181" s="111">
        <f>SUM(F177:F180)</f>
        <v>3222</v>
      </c>
    </row>
    <row r="182" spans="1:7" x14ac:dyDescent="0.25">
      <c r="A182" s="145" t="s">
        <v>168</v>
      </c>
      <c r="B182" s="146"/>
      <c r="C182" s="146"/>
      <c r="D182" s="146"/>
      <c r="E182" s="146"/>
      <c r="F182" s="146"/>
      <c r="G182" s="147"/>
    </row>
    <row r="183" spans="1:7" ht="22.5" x14ac:dyDescent="0.25">
      <c r="A183" s="139" t="s">
        <v>161</v>
      </c>
      <c r="B183" s="140"/>
      <c r="C183" s="90" t="s">
        <v>169</v>
      </c>
      <c r="D183" s="91" t="s">
        <v>170</v>
      </c>
      <c r="E183" s="90" t="s">
        <v>43</v>
      </c>
      <c r="F183" s="91" t="s">
        <v>165</v>
      </c>
      <c r="G183" s="131"/>
    </row>
    <row r="184" spans="1:7" x14ac:dyDescent="0.25">
      <c r="A184" s="148" t="s">
        <v>203</v>
      </c>
      <c r="B184" s="149"/>
      <c r="C184" s="92" t="s">
        <v>183</v>
      </c>
      <c r="D184" s="93">
        <v>23500</v>
      </c>
      <c r="E184" s="97">
        <v>0.5</v>
      </c>
      <c r="F184" s="98">
        <f t="shared" ref="F184:F185" si="3">+D184*E184</f>
        <v>11750</v>
      </c>
      <c r="G184" s="132"/>
    </row>
    <row r="185" spans="1:7" x14ac:dyDescent="0.25">
      <c r="A185" s="148" t="s">
        <v>204</v>
      </c>
      <c r="B185" s="149"/>
      <c r="C185" s="92" t="s">
        <v>12</v>
      </c>
      <c r="D185" s="93">
        <v>8900</v>
      </c>
      <c r="E185" s="99">
        <v>1</v>
      </c>
      <c r="F185" s="98">
        <f t="shared" si="3"/>
        <v>8900</v>
      </c>
      <c r="G185" s="132"/>
    </row>
    <row r="186" spans="1:7" x14ac:dyDescent="0.25">
      <c r="A186" s="148" t="s">
        <v>205</v>
      </c>
      <c r="B186" s="149"/>
      <c r="C186" s="92" t="s">
        <v>12</v>
      </c>
      <c r="D186" s="93">
        <v>10000</v>
      </c>
      <c r="E186" s="97">
        <v>0.08</v>
      </c>
      <c r="F186" s="98">
        <f t="shared" ref="F186:F189" si="4">+D186*E186</f>
        <v>800</v>
      </c>
      <c r="G186" s="132"/>
    </row>
    <row r="187" spans="1:7" x14ac:dyDescent="0.25">
      <c r="A187" s="148" t="s">
        <v>206</v>
      </c>
      <c r="B187" s="149"/>
      <c r="C187" s="92" t="s">
        <v>184</v>
      </c>
      <c r="D187" s="93">
        <v>38900</v>
      </c>
      <c r="E187" s="97">
        <v>0.15</v>
      </c>
      <c r="F187" s="98">
        <f t="shared" si="4"/>
        <v>5835</v>
      </c>
      <c r="G187" s="132"/>
    </row>
    <row r="188" spans="1:7" x14ac:dyDescent="0.25">
      <c r="A188" s="148" t="s">
        <v>207</v>
      </c>
      <c r="B188" s="149"/>
      <c r="C188" s="100" t="s">
        <v>184</v>
      </c>
      <c r="D188" s="93">
        <v>45600</v>
      </c>
      <c r="E188" s="97">
        <v>0.08</v>
      </c>
      <c r="F188" s="98">
        <f t="shared" si="4"/>
        <v>3648</v>
      </c>
      <c r="G188" s="132"/>
    </row>
    <row r="189" spans="1:7" x14ac:dyDescent="0.25">
      <c r="A189" s="148" t="s">
        <v>208</v>
      </c>
      <c r="B189" s="149"/>
      <c r="C189" s="100" t="s">
        <v>183</v>
      </c>
      <c r="D189" s="98">
        <v>3700</v>
      </c>
      <c r="E189" s="97">
        <v>1</v>
      </c>
      <c r="F189" s="98">
        <f t="shared" si="4"/>
        <v>3700</v>
      </c>
      <c r="G189" s="132"/>
    </row>
    <row r="190" spans="1:7" x14ac:dyDescent="0.25">
      <c r="A190" s="148"/>
      <c r="B190" s="149"/>
      <c r="C190" s="100"/>
      <c r="D190" s="98"/>
      <c r="E190" s="97"/>
      <c r="F190" s="98"/>
      <c r="G190" s="132"/>
    </row>
    <row r="191" spans="1:7" x14ac:dyDescent="0.25">
      <c r="A191" s="148"/>
      <c r="B191" s="149"/>
      <c r="C191" s="100"/>
      <c r="D191" s="98"/>
      <c r="E191" s="97"/>
      <c r="F191" s="98"/>
      <c r="G191" s="132"/>
    </row>
    <row r="192" spans="1:7" x14ac:dyDescent="0.25">
      <c r="A192" s="148"/>
      <c r="B192" s="149"/>
      <c r="C192" s="100"/>
      <c r="D192" s="98"/>
      <c r="E192" s="97"/>
      <c r="F192" s="98"/>
      <c r="G192" s="132"/>
    </row>
    <row r="193" spans="1:9" x14ac:dyDescent="0.25">
      <c r="A193" s="148"/>
      <c r="B193" s="149"/>
      <c r="C193" s="100"/>
      <c r="D193" s="101"/>
      <c r="E193" s="97"/>
      <c r="F193" s="98"/>
      <c r="G193" s="133"/>
    </row>
    <row r="194" spans="1:9" x14ac:dyDescent="0.25">
      <c r="A194" s="125" t="s">
        <v>167</v>
      </c>
      <c r="B194" s="126"/>
      <c r="C194" s="126"/>
      <c r="D194" s="126"/>
      <c r="E194" s="126"/>
      <c r="F194" s="127"/>
      <c r="G194" s="112">
        <f>SUM(F184:F193)</f>
        <v>34633</v>
      </c>
    </row>
    <row r="195" spans="1:9" x14ac:dyDescent="0.25">
      <c r="A195" s="128" t="s">
        <v>175</v>
      </c>
      <c r="B195" s="129"/>
      <c r="C195" s="129"/>
      <c r="D195" s="129"/>
      <c r="E195" s="129"/>
      <c r="F195" s="129"/>
      <c r="G195" s="130"/>
    </row>
    <row r="196" spans="1:9" ht="22.5" x14ac:dyDescent="0.25">
      <c r="A196" s="94" t="s">
        <v>176</v>
      </c>
      <c r="B196" s="90" t="s">
        <v>177</v>
      </c>
      <c r="C196" s="91" t="s">
        <v>43</v>
      </c>
      <c r="D196" s="91" t="s">
        <v>178</v>
      </c>
      <c r="E196" s="91" t="s">
        <v>179</v>
      </c>
      <c r="F196" s="91" t="s">
        <v>165</v>
      </c>
      <c r="G196" s="131"/>
    </row>
    <row r="197" spans="1:9" x14ac:dyDescent="0.25">
      <c r="A197" s="113" t="s">
        <v>180</v>
      </c>
      <c r="B197" s="95">
        <v>17220</v>
      </c>
      <c r="C197" s="114">
        <v>1</v>
      </c>
      <c r="D197" s="95">
        <v>32000</v>
      </c>
      <c r="E197" s="115">
        <v>2</v>
      </c>
      <c r="F197" s="95">
        <f>D197/E197</f>
        <v>16000</v>
      </c>
      <c r="G197" s="132"/>
    </row>
    <row r="198" spans="1:9" x14ac:dyDescent="0.25">
      <c r="A198" s="113" t="s">
        <v>181</v>
      </c>
      <c r="B198" s="95">
        <v>23000</v>
      </c>
      <c r="C198" s="114">
        <v>1</v>
      </c>
      <c r="D198" s="95">
        <v>41000</v>
      </c>
      <c r="E198" s="115">
        <v>2</v>
      </c>
      <c r="F198" s="95">
        <f>D198/E198</f>
        <v>20500</v>
      </c>
      <c r="G198" s="132"/>
    </row>
    <row r="199" spans="1:9" x14ac:dyDescent="0.25">
      <c r="A199" s="113"/>
      <c r="B199" s="98"/>
      <c r="C199" s="95"/>
      <c r="D199" s="95"/>
      <c r="E199" s="104"/>
      <c r="F199" s="95"/>
      <c r="G199" s="132"/>
    </row>
    <row r="200" spans="1:9" x14ac:dyDescent="0.25">
      <c r="A200" s="113"/>
      <c r="B200" s="98"/>
      <c r="C200" s="95"/>
      <c r="D200" s="95"/>
      <c r="E200" s="95"/>
      <c r="F200" s="95"/>
      <c r="G200" s="133"/>
    </row>
    <row r="201" spans="1:9" x14ac:dyDescent="0.25">
      <c r="A201" s="134" t="s">
        <v>167</v>
      </c>
      <c r="B201" s="135"/>
      <c r="C201" s="135"/>
      <c r="D201" s="135"/>
      <c r="E201" s="135"/>
      <c r="F201" s="136"/>
      <c r="G201" s="112">
        <f>SUM(F197:F200)</f>
        <v>36500</v>
      </c>
      <c r="I201" s="86"/>
    </row>
    <row r="202" spans="1:9" ht="15.75" thickBot="1" x14ac:dyDescent="0.3">
      <c r="A202" s="137" t="s">
        <v>182</v>
      </c>
      <c r="B202" s="138"/>
      <c r="C202" s="138"/>
      <c r="D202" s="138"/>
      <c r="E202" s="138"/>
      <c r="F202" s="138"/>
      <c r="G202" s="116">
        <f>G181+G194+G201</f>
        <v>74355</v>
      </c>
      <c r="I202" s="121"/>
    </row>
    <row r="204" spans="1:9" x14ac:dyDescent="0.25">
      <c r="A204" s="152" t="s">
        <v>153</v>
      </c>
      <c r="B204" s="152"/>
      <c r="C204" s="152"/>
      <c r="D204" s="152"/>
      <c r="E204" s="152"/>
      <c r="F204" s="152"/>
      <c r="G204" s="152"/>
    </row>
    <row r="205" spans="1:9" x14ac:dyDescent="0.25">
      <c r="A205" s="153" t="s">
        <v>154</v>
      </c>
      <c r="B205" s="153"/>
      <c r="C205" s="153"/>
      <c r="D205" s="153"/>
      <c r="E205" s="153"/>
      <c r="F205" s="153"/>
      <c r="G205" s="153"/>
    </row>
    <row r="206" spans="1:9" x14ac:dyDescent="0.25">
      <c r="A206" s="153"/>
      <c r="B206" s="153"/>
      <c r="C206" s="153"/>
      <c r="D206" s="153"/>
      <c r="E206" s="153"/>
      <c r="F206" s="153"/>
      <c r="G206" s="153"/>
    </row>
    <row r="207" spans="1:9" x14ac:dyDescent="0.25">
      <c r="A207" s="105"/>
      <c r="B207" s="105"/>
      <c r="C207" s="105"/>
      <c r="D207" s="105"/>
      <c r="E207" s="105"/>
      <c r="F207" s="105"/>
      <c r="G207" s="105"/>
    </row>
    <row r="208" spans="1:9" x14ac:dyDescent="0.25">
      <c r="A208" s="153" t="s">
        <v>188</v>
      </c>
      <c r="B208" s="153"/>
      <c r="C208" s="153"/>
      <c r="D208" s="153"/>
      <c r="E208" s="153"/>
      <c r="F208" s="153"/>
      <c r="G208" s="153"/>
    </row>
    <row r="209" spans="1:7" x14ac:dyDescent="0.25">
      <c r="A209" s="105"/>
      <c r="B209" s="105"/>
      <c r="C209" s="105"/>
      <c r="D209" s="105"/>
      <c r="E209" s="105"/>
      <c r="F209" s="105"/>
      <c r="G209" s="105"/>
    </row>
    <row r="210" spans="1:7" x14ac:dyDescent="0.25">
      <c r="A210" s="154" t="s">
        <v>190</v>
      </c>
      <c r="B210" s="154"/>
      <c r="C210" s="154"/>
      <c r="D210" s="154"/>
      <c r="E210" s="154"/>
      <c r="F210" s="154"/>
      <c r="G210" s="154"/>
    </row>
    <row r="211" spans="1:7" x14ac:dyDescent="0.25">
      <c r="A211" s="154"/>
      <c r="B211" s="154"/>
      <c r="C211" s="154"/>
      <c r="D211" s="154"/>
      <c r="E211" s="154"/>
      <c r="F211" s="154"/>
      <c r="G211" s="154"/>
    </row>
    <row r="212" spans="1:7" x14ac:dyDescent="0.25">
      <c r="A212" s="154"/>
      <c r="B212" s="154"/>
      <c r="C212" s="154"/>
      <c r="D212" s="154"/>
      <c r="E212" s="154"/>
      <c r="F212" s="154"/>
      <c r="G212" s="154"/>
    </row>
    <row r="213" spans="1:7" x14ac:dyDescent="0.25">
      <c r="A213" s="154"/>
      <c r="B213" s="154"/>
      <c r="C213" s="154"/>
      <c r="D213" s="154"/>
      <c r="E213" s="154"/>
      <c r="F213" s="154"/>
      <c r="G213" s="154"/>
    </row>
    <row r="214" spans="1:7" x14ac:dyDescent="0.25">
      <c r="A214" s="105"/>
      <c r="B214" s="105"/>
      <c r="C214" s="105"/>
      <c r="D214" s="105"/>
      <c r="E214" s="105"/>
      <c r="F214" s="105"/>
      <c r="G214" s="105"/>
    </row>
    <row r="215" spans="1:7" ht="15.75" x14ac:dyDescent="0.25">
      <c r="A215" s="155" t="s">
        <v>155</v>
      </c>
      <c r="B215" s="155"/>
      <c r="C215" s="155"/>
      <c r="D215" s="155"/>
      <c r="E215" s="155"/>
      <c r="F215" s="155"/>
      <c r="G215" s="155"/>
    </row>
    <row r="216" spans="1:7" x14ac:dyDescent="0.25">
      <c r="A216" s="156" t="str">
        <f>+COMPARATIVO!B8</f>
        <v>Pintura vinilo tipo 1 sobre muros</v>
      </c>
      <c r="B216" s="156"/>
      <c r="C216" s="156"/>
      <c r="D216" s="156"/>
      <c r="E216" s="156"/>
      <c r="F216" s="156"/>
      <c r="G216" s="156"/>
    </row>
    <row r="217" spans="1:7" x14ac:dyDescent="0.25">
      <c r="A217" s="156"/>
      <c r="B217" s="156"/>
      <c r="C217" s="156"/>
      <c r="D217" s="156"/>
      <c r="E217" s="156"/>
      <c r="F217" s="156"/>
      <c r="G217" s="156"/>
    </row>
    <row r="218" spans="1:7" x14ac:dyDescent="0.25">
      <c r="A218" s="156"/>
      <c r="B218" s="156"/>
      <c r="C218" s="156"/>
      <c r="D218" s="156"/>
      <c r="E218" s="156"/>
      <c r="F218" s="156"/>
      <c r="G218" s="156"/>
    </row>
    <row r="219" spans="1:7" ht="16.5" thickBot="1" x14ac:dyDescent="0.3">
      <c r="A219" s="87"/>
      <c r="B219" s="87"/>
      <c r="C219" s="106" t="s">
        <v>156</v>
      </c>
      <c r="D219" s="87" t="s">
        <v>157</v>
      </c>
      <c r="E219" s="87"/>
      <c r="F219" s="87"/>
      <c r="G219" s="87"/>
    </row>
    <row r="220" spans="1:7" x14ac:dyDescent="0.25">
      <c r="A220" s="157" t="s">
        <v>158</v>
      </c>
      <c r="B220" s="160" t="s">
        <v>189</v>
      </c>
      <c r="C220" s="161"/>
      <c r="D220" s="161"/>
      <c r="E220" s="161"/>
      <c r="F220" s="161"/>
      <c r="G220" s="162"/>
    </row>
    <row r="221" spans="1:7" x14ac:dyDescent="0.25">
      <c r="A221" s="158"/>
      <c r="B221" s="163"/>
      <c r="C221" s="164"/>
      <c r="D221" s="164"/>
      <c r="E221" s="164"/>
      <c r="F221" s="164"/>
      <c r="G221" s="165"/>
    </row>
    <row r="222" spans="1:7" x14ac:dyDescent="0.25">
      <c r="A222" s="158"/>
      <c r="B222" s="163"/>
      <c r="C222" s="164"/>
      <c r="D222" s="164"/>
      <c r="E222" s="164"/>
      <c r="F222" s="164"/>
      <c r="G222" s="165"/>
    </row>
    <row r="223" spans="1:7" ht="15.75" thickBot="1" x14ac:dyDescent="0.3">
      <c r="A223" s="159"/>
      <c r="B223" s="166"/>
      <c r="C223" s="167"/>
      <c r="D223" s="167"/>
      <c r="E223" s="167"/>
      <c r="F223" s="167"/>
      <c r="G223" s="168"/>
    </row>
    <row r="224" spans="1:7" ht="15.75" thickBot="1" x14ac:dyDescent="0.3">
      <c r="A224" s="88"/>
      <c r="B224" s="89"/>
      <c r="C224" s="169" t="s">
        <v>159</v>
      </c>
      <c r="D224" s="170"/>
      <c r="E224" s="171"/>
      <c r="F224" s="169">
        <v>5</v>
      </c>
      <c r="G224" s="171"/>
    </row>
    <row r="225" spans="1:7" x14ac:dyDescent="0.25">
      <c r="A225" s="172" t="s">
        <v>160</v>
      </c>
      <c r="B225" s="173"/>
      <c r="C225" s="173"/>
      <c r="D225" s="173"/>
      <c r="E225" s="173"/>
      <c r="F225" s="173"/>
      <c r="G225" s="174"/>
    </row>
    <row r="226" spans="1:7" ht="22.5" x14ac:dyDescent="0.25">
      <c r="A226" s="139" t="s">
        <v>161</v>
      </c>
      <c r="B226" s="140"/>
      <c r="C226" s="90" t="s">
        <v>162</v>
      </c>
      <c r="D226" s="91" t="s">
        <v>163</v>
      </c>
      <c r="E226" s="91" t="s">
        <v>164</v>
      </c>
      <c r="F226" s="91" t="s">
        <v>165</v>
      </c>
      <c r="G226" s="131"/>
    </row>
    <row r="227" spans="1:7" x14ac:dyDescent="0.25">
      <c r="A227" s="141" t="s">
        <v>166</v>
      </c>
      <c r="B227" s="142"/>
      <c r="C227" s="100"/>
      <c r="D227" s="93"/>
      <c r="E227" s="107"/>
      <c r="F227" s="98">
        <f>(G251*0.05)+283</f>
        <v>404.66666666666669</v>
      </c>
      <c r="G227" s="132"/>
    </row>
    <row r="228" spans="1:7" x14ac:dyDescent="0.25">
      <c r="A228" s="143"/>
      <c r="B228" s="144"/>
      <c r="C228" s="100"/>
      <c r="D228" s="93"/>
      <c r="E228" s="108"/>
      <c r="F228" s="98"/>
      <c r="G228" s="132"/>
    </row>
    <row r="229" spans="1:7" x14ac:dyDescent="0.25">
      <c r="A229" s="141"/>
      <c r="B229" s="142"/>
      <c r="C229" s="100"/>
      <c r="D229" s="93"/>
      <c r="E229" s="109"/>
      <c r="F229" s="98"/>
      <c r="G229" s="132"/>
    </row>
    <row r="230" spans="1:7" x14ac:dyDescent="0.25">
      <c r="A230" s="141"/>
      <c r="B230" s="142"/>
      <c r="C230" s="100"/>
      <c r="D230" s="110"/>
      <c r="E230" s="107"/>
      <c r="F230" s="98"/>
      <c r="G230" s="133"/>
    </row>
    <row r="231" spans="1:7" x14ac:dyDescent="0.25">
      <c r="A231" s="134" t="s">
        <v>167</v>
      </c>
      <c r="B231" s="135"/>
      <c r="C231" s="135"/>
      <c r="D231" s="135"/>
      <c r="E231" s="135"/>
      <c r="F231" s="136"/>
      <c r="G231" s="111">
        <f>SUM(F227:F230)</f>
        <v>404.66666666666669</v>
      </c>
    </row>
    <row r="232" spans="1:7" x14ac:dyDescent="0.25">
      <c r="A232" s="145" t="s">
        <v>168</v>
      </c>
      <c r="B232" s="146"/>
      <c r="C232" s="146"/>
      <c r="D232" s="146"/>
      <c r="E232" s="146"/>
      <c r="F232" s="146"/>
      <c r="G232" s="147"/>
    </row>
    <row r="233" spans="1:7" ht="22.5" x14ac:dyDescent="0.25">
      <c r="A233" s="139" t="s">
        <v>161</v>
      </c>
      <c r="B233" s="140"/>
      <c r="C233" s="90" t="s">
        <v>169</v>
      </c>
      <c r="D233" s="91" t="s">
        <v>170</v>
      </c>
      <c r="E233" s="90" t="s">
        <v>43</v>
      </c>
      <c r="F233" s="91" t="s">
        <v>165</v>
      </c>
      <c r="G233" s="131"/>
    </row>
    <row r="234" spans="1:7" x14ac:dyDescent="0.25">
      <c r="A234" s="148" t="s">
        <v>185</v>
      </c>
      <c r="B234" s="149"/>
      <c r="C234" s="92" t="s">
        <v>184</v>
      </c>
      <c r="D234" s="93">
        <v>45600</v>
      </c>
      <c r="E234" s="97">
        <v>0.12</v>
      </c>
      <c r="F234" s="98">
        <f t="shared" ref="F234:F236" si="5">+D234*E234</f>
        <v>5472</v>
      </c>
      <c r="G234" s="132"/>
    </row>
    <row r="235" spans="1:7" x14ac:dyDescent="0.25">
      <c r="A235" s="148" t="s">
        <v>186</v>
      </c>
      <c r="B235" s="149"/>
      <c r="C235" s="92" t="s">
        <v>183</v>
      </c>
      <c r="D235" s="93">
        <v>8900</v>
      </c>
      <c r="E235" s="97">
        <v>0.1</v>
      </c>
      <c r="F235" s="98">
        <f t="shared" si="5"/>
        <v>890</v>
      </c>
      <c r="G235" s="132"/>
    </row>
    <row r="236" spans="1:7" x14ac:dyDescent="0.25">
      <c r="A236" s="148" t="s">
        <v>187</v>
      </c>
      <c r="B236" s="149"/>
      <c r="C236" s="92" t="s">
        <v>12</v>
      </c>
      <c r="D236" s="93">
        <v>10000</v>
      </c>
      <c r="E236" s="97">
        <v>0.05</v>
      </c>
      <c r="F236" s="98">
        <f t="shared" si="5"/>
        <v>500</v>
      </c>
      <c r="G236" s="132"/>
    </row>
    <row r="237" spans="1:7" x14ac:dyDescent="0.25">
      <c r="A237" s="148"/>
      <c r="B237" s="149"/>
      <c r="C237" s="92"/>
      <c r="D237" s="93"/>
      <c r="E237" s="97"/>
      <c r="F237" s="98"/>
      <c r="G237" s="132"/>
    </row>
    <row r="238" spans="1:7" x14ac:dyDescent="0.25">
      <c r="A238" s="150"/>
      <c r="B238" s="151"/>
      <c r="C238" s="100"/>
      <c r="D238" s="98"/>
      <c r="E238" s="97"/>
      <c r="F238" s="98"/>
      <c r="G238" s="132"/>
    </row>
    <row r="239" spans="1:7" x14ac:dyDescent="0.25">
      <c r="A239" s="148"/>
      <c r="B239" s="149"/>
      <c r="C239" s="100"/>
      <c r="D239" s="98"/>
      <c r="E239" s="97"/>
      <c r="F239" s="98"/>
      <c r="G239" s="132"/>
    </row>
    <row r="240" spans="1:7" x14ac:dyDescent="0.25">
      <c r="A240" s="148"/>
      <c r="B240" s="149"/>
      <c r="C240" s="100"/>
      <c r="D240" s="98"/>
      <c r="E240" s="97"/>
      <c r="F240" s="98"/>
      <c r="G240" s="132"/>
    </row>
    <row r="241" spans="1:9" x14ac:dyDescent="0.25">
      <c r="A241" s="148"/>
      <c r="B241" s="149"/>
      <c r="C241" s="100"/>
      <c r="D241" s="98"/>
      <c r="E241" s="97"/>
      <c r="F241" s="98"/>
      <c r="G241" s="132"/>
    </row>
    <row r="242" spans="1:9" x14ac:dyDescent="0.25">
      <c r="A242" s="148"/>
      <c r="B242" s="149"/>
      <c r="C242" s="100"/>
      <c r="D242" s="98"/>
      <c r="E242" s="97"/>
      <c r="F242" s="98"/>
      <c r="G242" s="132"/>
    </row>
    <row r="243" spans="1:9" x14ac:dyDescent="0.25">
      <c r="A243" s="148"/>
      <c r="B243" s="149"/>
      <c r="C243" s="100"/>
      <c r="D243" s="101"/>
      <c r="E243" s="97"/>
      <c r="F243" s="98"/>
      <c r="G243" s="133"/>
    </row>
    <row r="244" spans="1:9" x14ac:dyDescent="0.25">
      <c r="A244" s="125" t="s">
        <v>167</v>
      </c>
      <c r="B244" s="126"/>
      <c r="C244" s="126"/>
      <c r="D244" s="126"/>
      <c r="E244" s="126"/>
      <c r="F244" s="127"/>
      <c r="G244" s="112">
        <f>SUM(F234:F243)</f>
        <v>6862</v>
      </c>
    </row>
    <row r="245" spans="1:9" x14ac:dyDescent="0.25">
      <c r="A245" s="128" t="s">
        <v>175</v>
      </c>
      <c r="B245" s="129"/>
      <c r="C245" s="129"/>
      <c r="D245" s="129"/>
      <c r="E245" s="129"/>
      <c r="F245" s="129"/>
      <c r="G245" s="130"/>
    </row>
    <row r="246" spans="1:9" ht="22.5" x14ac:dyDescent="0.25">
      <c r="A246" s="94" t="s">
        <v>176</v>
      </c>
      <c r="B246" s="90" t="s">
        <v>177</v>
      </c>
      <c r="C246" s="91" t="s">
        <v>43</v>
      </c>
      <c r="D246" s="91" t="s">
        <v>178</v>
      </c>
      <c r="E246" s="91" t="s">
        <v>179</v>
      </c>
      <c r="F246" s="91" t="s">
        <v>165</v>
      </c>
      <c r="G246" s="131"/>
    </row>
    <row r="247" spans="1:9" x14ac:dyDescent="0.25">
      <c r="A247" s="113" t="s">
        <v>180</v>
      </c>
      <c r="B247" s="95">
        <v>17220</v>
      </c>
      <c r="C247" s="114">
        <v>1</v>
      </c>
      <c r="D247" s="95">
        <v>32000</v>
      </c>
      <c r="E247" s="115">
        <v>30</v>
      </c>
      <c r="F247" s="95">
        <f>D247/E247</f>
        <v>1066.6666666666667</v>
      </c>
      <c r="G247" s="132"/>
    </row>
    <row r="248" spans="1:9" x14ac:dyDescent="0.25">
      <c r="A248" s="113" t="s">
        <v>181</v>
      </c>
      <c r="B248" s="95">
        <v>23000</v>
      </c>
      <c r="C248" s="114">
        <v>1</v>
      </c>
      <c r="D248" s="95">
        <v>41000</v>
      </c>
      <c r="E248" s="115">
        <v>30</v>
      </c>
      <c r="F248" s="95">
        <f>D248/E248</f>
        <v>1366.6666666666667</v>
      </c>
      <c r="G248" s="132"/>
    </row>
    <row r="249" spans="1:9" x14ac:dyDescent="0.25">
      <c r="A249" s="113"/>
      <c r="B249" s="98"/>
      <c r="C249" s="95"/>
      <c r="D249" s="95"/>
      <c r="E249" s="104"/>
      <c r="F249" s="95"/>
      <c r="G249" s="132"/>
    </row>
    <row r="250" spans="1:9" x14ac:dyDescent="0.25">
      <c r="A250" s="113"/>
      <c r="B250" s="98"/>
      <c r="C250" s="95"/>
      <c r="D250" s="95"/>
      <c r="E250" s="95"/>
      <c r="F250" s="95"/>
      <c r="G250" s="133"/>
    </row>
    <row r="251" spans="1:9" x14ac:dyDescent="0.25">
      <c r="A251" s="134" t="s">
        <v>167</v>
      </c>
      <c r="B251" s="135"/>
      <c r="C251" s="135"/>
      <c r="D251" s="135"/>
      <c r="E251" s="135"/>
      <c r="F251" s="136"/>
      <c r="G251" s="112">
        <f>SUM(F247:F250)</f>
        <v>2433.3333333333335</v>
      </c>
    </row>
    <row r="252" spans="1:9" ht="15.75" thickBot="1" x14ac:dyDescent="0.3">
      <c r="A252" s="137" t="s">
        <v>182</v>
      </c>
      <c r="B252" s="138"/>
      <c r="C252" s="138"/>
      <c r="D252" s="138"/>
      <c r="E252" s="138"/>
      <c r="F252" s="138"/>
      <c r="G252" s="116">
        <f>G231+G244+G251</f>
        <v>9700</v>
      </c>
      <c r="I252" s="86"/>
    </row>
    <row r="253" spans="1:9" x14ac:dyDescent="0.25">
      <c r="I253" s="121"/>
    </row>
  </sheetData>
  <mergeCells count="181">
    <mergeCell ref="A2:G2"/>
    <mergeCell ref="A3:G3"/>
    <mergeCell ref="A4:G4"/>
    <mergeCell ref="A29:F29"/>
    <mergeCell ref="A30:G30"/>
    <mergeCell ref="A31:B31"/>
    <mergeCell ref="G31:G41"/>
    <mergeCell ref="A32:B32"/>
    <mergeCell ref="A33:B33"/>
    <mergeCell ref="A34:B34"/>
    <mergeCell ref="A35:B35"/>
    <mergeCell ref="A36:B36"/>
    <mergeCell ref="A37:B37"/>
    <mergeCell ref="A23:G23"/>
    <mergeCell ref="A24:B24"/>
    <mergeCell ref="G24:G28"/>
    <mergeCell ref="A25:B25"/>
    <mergeCell ref="A40:B40"/>
    <mergeCell ref="A41:B41"/>
    <mergeCell ref="A38:B38"/>
    <mergeCell ref="A39:B39"/>
    <mergeCell ref="A6:G6"/>
    <mergeCell ref="A42:F42"/>
    <mergeCell ref="A43:G43"/>
    <mergeCell ref="A14:G16"/>
    <mergeCell ref="A65:G67"/>
    <mergeCell ref="A116:G118"/>
    <mergeCell ref="A8:G11"/>
    <mergeCell ref="A13:G13"/>
    <mergeCell ref="A18:A21"/>
    <mergeCell ref="B18:G21"/>
    <mergeCell ref="C22:E22"/>
    <mergeCell ref="F22:G22"/>
    <mergeCell ref="A74:G74"/>
    <mergeCell ref="A75:B75"/>
    <mergeCell ref="G75:G79"/>
    <mergeCell ref="A76:B76"/>
    <mergeCell ref="A77:B77"/>
    <mergeCell ref="A78:B78"/>
    <mergeCell ref="A79:B79"/>
    <mergeCell ref="A26:B26"/>
    <mergeCell ref="A27:B27"/>
    <mergeCell ref="A28:B28"/>
    <mergeCell ref="A59:G62"/>
    <mergeCell ref="A64:G64"/>
    <mergeCell ref="A69:A72"/>
    <mergeCell ref="B69:G72"/>
    <mergeCell ref="C73:E73"/>
    <mergeCell ref="F73:G73"/>
    <mergeCell ref="G44:G48"/>
    <mergeCell ref="A49:F49"/>
    <mergeCell ref="A50:F50"/>
    <mergeCell ref="A53:G53"/>
    <mergeCell ref="A54:G54"/>
    <mergeCell ref="A55:G55"/>
    <mergeCell ref="A57:G57"/>
    <mergeCell ref="A80:F80"/>
    <mergeCell ref="A81:G81"/>
    <mergeCell ref="A82:B82"/>
    <mergeCell ref="G82:G92"/>
    <mergeCell ref="A83:B83"/>
    <mergeCell ref="A84:B84"/>
    <mergeCell ref="A85:B85"/>
    <mergeCell ref="A86:B86"/>
    <mergeCell ref="A87:B87"/>
    <mergeCell ref="A88:B88"/>
    <mergeCell ref="G95:G99"/>
    <mergeCell ref="A100:F100"/>
    <mergeCell ref="A101:F101"/>
    <mergeCell ref="A104:G104"/>
    <mergeCell ref="A105:G105"/>
    <mergeCell ref="A106:G106"/>
    <mergeCell ref="A108:G108"/>
    <mergeCell ref="A89:B89"/>
    <mergeCell ref="A90:B90"/>
    <mergeCell ref="A91:B91"/>
    <mergeCell ref="A92:B92"/>
    <mergeCell ref="A93:F93"/>
    <mergeCell ref="A94:G94"/>
    <mergeCell ref="A154:G154"/>
    <mergeCell ref="A155:G155"/>
    <mergeCell ref="A156:G156"/>
    <mergeCell ref="A158:G158"/>
    <mergeCell ref="A160:G163"/>
    <mergeCell ref="A131:F131"/>
    <mergeCell ref="A132:G132"/>
    <mergeCell ref="A133:B133"/>
    <mergeCell ref="G133:G143"/>
    <mergeCell ref="A138:B138"/>
    <mergeCell ref="A139:B139"/>
    <mergeCell ref="G146:G150"/>
    <mergeCell ref="A151:F151"/>
    <mergeCell ref="A152:F152"/>
    <mergeCell ref="A140:B140"/>
    <mergeCell ref="A141:B141"/>
    <mergeCell ref="A142:B142"/>
    <mergeCell ref="A143:B143"/>
    <mergeCell ref="A144:F144"/>
    <mergeCell ref="A145:G145"/>
    <mergeCell ref="A125:G125"/>
    <mergeCell ref="A126:B126"/>
    <mergeCell ref="G126:G130"/>
    <mergeCell ref="A127:B127"/>
    <mergeCell ref="A128:B128"/>
    <mergeCell ref="A129:B129"/>
    <mergeCell ref="A130:B130"/>
    <mergeCell ref="A110:G113"/>
    <mergeCell ref="A115:G115"/>
    <mergeCell ref="A120:A123"/>
    <mergeCell ref="B120:G123"/>
    <mergeCell ref="C124:E124"/>
    <mergeCell ref="F124:G124"/>
    <mergeCell ref="A181:F181"/>
    <mergeCell ref="A182:G182"/>
    <mergeCell ref="A183:B183"/>
    <mergeCell ref="G183:G19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65:G165"/>
    <mergeCell ref="A166:G168"/>
    <mergeCell ref="A170:A173"/>
    <mergeCell ref="B170:G173"/>
    <mergeCell ref="C174:E174"/>
    <mergeCell ref="F174:G174"/>
    <mergeCell ref="A175:G175"/>
    <mergeCell ref="A176:B176"/>
    <mergeCell ref="G176:G180"/>
    <mergeCell ref="A177:B177"/>
    <mergeCell ref="A178:B178"/>
    <mergeCell ref="A179:B179"/>
    <mergeCell ref="A180:B180"/>
    <mergeCell ref="A243:B243"/>
    <mergeCell ref="A194:F194"/>
    <mergeCell ref="A195:G195"/>
    <mergeCell ref="G196:G200"/>
    <mergeCell ref="A201:F201"/>
    <mergeCell ref="A202:F202"/>
    <mergeCell ref="A204:G204"/>
    <mergeCell ref="A205:G205"/>
    <mergeCell ref="A206:G206"/>
    <mergeCell ref="A208:G208"/>
    <mergeCell ref="A210:G213"/>
    <mergeCell ref="A215:G215"/>
    <mergeCell ref="A216:G218"/>
    <mergeCell ref="A220:A223"/>
    <mergeCell ref="B220:G223"/>
    <mergeCell ref="C224:E224"/>
    <mergeCell ref="F224:G224"/>
    <mergeCell ref="A225:G225"/>
    <mergeCell ref="A244:F244"/>
    <mergeCell ref="A245:G245"/>
    <mergeCell ref="G246:G250"/>
    <mergeCell ref="A251:F251"/>
    <mergeCell ref="A252:F252"/>
    <mergeCell ref="A226:B226"/>
    <mergeCell ref="G226:G230"/>
    <mergeCell ref="A227:B227"/>
    <mergeCell ref="A228:B228"/>
    <mergeCell ref="A229:B229"/>
    <mergeCell ref="A230:B230"/>
    <mergeCell ref="A231:F231"/>
    <mergeCell ref="A232:G232"/>
    <mergeCell ref="A233:B233"/>
    <mergeCell ref="G233:G24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</mergeCells>
  <pageMargins left="0.7" right="0.7" top="0.75" bottom="0.75" header="0.3" footer="0.3"/>
  <pageSetup scale="7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"/>
  <sheetViews>
    <sheetView topLeftCell="A25" workbookViewId="0">
      <selection activeCell="P25" sqref="P25:P32"/>
    </sheetView>
  </sheetViews>
  <sheetFormatPr baseColWidth="10" defaultColWidth="10.85546875" defaultRowHeight="12.75" x14ac:dyDescent="0.25"/>
  <cols>
    <col min="1" max="1" width="5.28515625" style="22" customWidth="1"/>
    <col min="2" max="2" width="25.140625" style="23" bestFit="1" customWidth="1"/>
    <col min="3" max="3" width="7.28515625" style="23" bestFit="1" customWidth="1"/>
    <col min="4" max="4" width="17.85546875" style="23" customWidth="1"/>
    <col min="5" max="5" width="10.42578125" style="23" bestFit="1" customWidth="1"/>
    <col min="6" max="6" width="9.42578125" style="23" bestFit="1" customWidth="1"/>
    <col min="7" max="7" width="9" style="23" bestFit="1" customWidth="1"/>
    <col min="8" max="8" width="17.7109375" style="24" bestFit="1" customWidth="1"/>
    <col min="9" max="9" width="11.42578125" style="23" bestFit="1" customWidth="1"/>
    <col min="10" max="10" width="7.7109375" style="22" bestFit="1" customWidth="1"/>
    <col min="11" max="11" width="16.140625" style="23" customWidth="1"/>
    <col min="12" max="12" width="14.85546875" style="23" bestFit="1" customWidth="1"/>
    <col min="13" max="13" width="8.7109375" style="23" customWidth="1"/>
    <col min="14" max="14" width="21.5703125" style="23" customWidth="1"/>
    <col min="15" max="15" width="10.85546875" style="23"/>
    <col min="16" max="16" width="15.85546875" style="23" customWidth="1"/>
    <col min="17" max="17" width="17.140625" style="23" customWidth="1"/>
    <col min="18" max="18" width="10.85546875" style="23"/>
    <col min="19" max="19" width="12.42578125" style="23" bestFit="1" customWidth="1"/>
    <col min="20" max="16384" width="10.85546875" style="23"/>
  </cols>
  <sheetData>
    <row r="1" spans="1:16" x14ac:dyDescent="0.25">
      <c r="J1" s="23"/>
    </row>
    <row r="2" spans="1:16" x14ac:dyDescent="0.25">
      <c r="H2" s="23"/>
      <c r="I2" s="175" t="s">
        <v>39</v>
      </c>
      <c r="J2" s="175"/>
      <c r="K2" s="25">
        <v>15939794.199999999</v>
      </c>
      <c r="L2" s="26"/>
      <c r="M2" s="25"/>
    </row>
    <row r="3" spans="1:16" x14ac:dyDescent="0.25">
      <c r="H3" s="23"/>
      <c r="I3" s="175" t="s">
        <v>40</v>
      </c>
      <c r="J3" s="175"/>
      <c r="K3" s="25">
        <f>+K2</f>
        <v>15939794.199999999</v>
      </c>
      <c r="L3" s="26"/>
      <c r="M3" s="26"/>
    </row>
    <row r="4" spans="1:16" x14ac:dyDescent="0.25">
      <c r="H4" s="23"/>
      <c r="I4" s="175" t="s">
        <v>41</v>
      </c>
      <c r="J4" s="175"/>
      <c r="K4" s="27">
        <v>2</v>
      </c>
    </row>
    <row r="6" spans="1:16" s="22" customFormat="1" ht="32.25" customHeight="1" x14ac:dyDescent="0.25">
      <c r="A6" s="28"/>
      <c r="B6" s="28" t="s">
        <v>42</v>
      </c>
      <c r="C6" s="28" t="s">
        <v>43</v>
      </c>
      <c r="D6" s="29" t="s">
        <v>44</v>
      </c>
      <c r="E6" s="28" t="s">
        <v>45</v>
      </c>
      <c r="F6" s="28" t="s">
        <v>46</v>
      </c>
      <c r="G6" s="28" t="s">
        <v>47</v>
      </c>
      <c r="H6" s="30" t="s">
        <v>48</v>
      </c>
      <c r="I6" s="28" t="s">
        <v>49</v>
      </c>
      <c r="J6" s="29" t="s">
        <v>50</v>
      </c>
      <c r="K6" s="28" t="s">
        <v>51</v>
      </c>
    </row>
    <row r="7" spans="1:16" x14ac:dyDescent="0.25">
      <c r="A7" s="31"/>
      <c r="B7" s="32" t="s">
        <v>52</v>
      </c>
      <c r="C7" s="32"/>
      <c r="D7" s="32"/>
      <c r="E7" s="32"/>
      <c r="F7" s="32"/>
      <c r="G7" s="32"/>
      <c r="H7" s="33"/>
      <c r="I7" s="34"/>
      <c r="J7" s="31"/>
      <c r="K7" s="34"/>
    </row>
    <row r="8" spans="1:16" x14ac:dyDescent="0.25">
      <c r="A8" s="31">
        <v>2</v>
      </c>
      <c r="B8" s="34" t="s">
        <v>53</v>
      </c>
      <c r="C8" s="31">
        <v>1</v>
      </c>
      <c r="D8" s="35">
        <v>0.1</v>
      </c>
      <c r="E8" s="31">
        <v>10</v>
      </c>
      <c r="F8" s="31">
        <v>3</v>
      </c>
      <c r="G8" s="31">
        <v>2</v>
      </c>
      <c r="H8" s="33">
        <v>1500000</v>
      </c>
      <c r="I8" s="34">
        <v>1.65</v>
      </c>
      <c r="J8" s="36">
        <f t="shared" ref="J8:J17" si="0">$K$4</f>
        <v>2</v>
      </c>
      <c r="K8" s="33">
        <f t="shared" ref="K8" si="1">+C8*H8*I8*J8*D8</f>
        <v>495000</v>
      </c>
      <c r="M8" s="31"/>
      <c r="N8" s="32" t="s">
        <v>52</v>
      </c>
      <c r="O8" s="37"/>
    </row>
    <row r="9" spans="1:16" x14ac:dyDescent="0.25">
      <c r="A9" s="31"/>
      <c r="B9" s="32" t="s">
        <v>54</v>
      </c>
      <c r="C9" s="31"/>
      <c r="D9" s="31"/>
      <c r="E9" s="31"/>
      <c r="F9" s="31"/>
      <c r="G9" s="31"/>
      <c r="H9" s="33"/>
      <c r="I9" s="34"/>
      <c r="J9" s="40"/>
      <c r="K9" s="34"/>
      <c r="M9" s="31">
        <v>5</v>
      </c>
      <c r="N9" s="34" t="s">
        <v>55</v>
      </c>
      <c r="O9" s="38">
        <v>7.0000000000000001E-3</v>
      </c>
      <c r="P9" s="39">
        <f t="shared" ref="P9:P32" si="2">+O9*$K$2</f>
        <v>111578.5594</v>
      </c>
    </row>
    <row r="10" spans="1:16" x14ac:dyDescent="0.25">
      <c r="A10" s="31">
        <v>7</v>
      </c>
      <c r="B10" s="34" t="s">
        <v>56</v>
      </c>
      <c r="C10" s="31">
        <v>1</v>
      </c>
      <c r="D10" s="31"/>
      <c r="E10" s="31"/>
      <c r="F10" s="31"/>
      <c r="G10" s="31"/>
      <c r="H10" s="33">
        <v>45000</v>
      </c>
      <c r="I10" s="34">
        <v>1</v>
      </c>
      <c r="J10" s="36">
        <f t="shared" si="0"/>
        <v>2</v>
      </c>
      <c r="K10" s="33">
        <f t="shared" ref="K10:K15" si="3">+C10*H10*J10</f>
        <v>90000</v>
      </c>
      <c r="M10" s="31">
        <v>6</v>
      </c>
      <c r="N10" s="34" t="s">
        <v>57</v>
      </c>
      <c r="O10" s="41">
        <v>4.0000000000000001E-3</v>
      </c>
      <c r="P10" s="39">
        <f t="shared" si="2"/>
        <v>63759.176800000001</v>
      </c>
    </row>
    <row r="11" spans="1:16" x14ac:dyDescent="0.25">
      <c r="A11" s="31">
        <v>8</v>
      </c>
      <c r="B11" s="34" t="s">
        <v>58</v>
      </c>
      <c r="C11" s="31">
        <v>1</v>
      </c>
      <c r="D11" s="31"/>
      <c r="E11" s="31"/>
      <c r="F11" s="31"/>
      <c r="G11" s="31"/>
      <c r="H11" s="33">
        <v>30000</v>
      </c>
      <c r="I11" s="34">
        <v>1</v>
      </c>
      <c r="J11" s="36">
        <f t="shared" si="0"/>
        <v>2</v>
      </c>
      <c r="K11" s="33">
        <f t="shared" si="3"/>
        <v>60000</v>
      </c>
      <c r="M11" s="31"/>
      <c r="N11" s="32" t="s">
        <v>54</v>
      </c>
      <c r="O11" s="38"/>
      <c r="P11" s="39"/>
    </row>
    <row r="12" spans="1:16" x14ac:dyDescent="0.25">
      <c r="A12" s="31">
        <v>9</v>
      </c>
      <c r="B12" s="34" t="s">
        <v>59</v>
      </c>
      <c r="C12" s="31">
        <v>1</v>
      </c>
      <c r="D12" s="31"/>
      <c r="E12" s="31"/>
      <c r="F12" s="31"/>
      <c r="G12" s="31"/>
      <c r="H12" s="33">
        <v>120000</v>
      </c>
      <c r="I12" s="34">
        <v>1</v>
      </c>
      <c r="J12" s="36">
        <f t="shared" si="0"/>
        <v>2</v>
      </c>
      <c r="K12" s="33">
        <f t="shared" si="3"/>
        <v>240000</v>
      </c>
      <c r="M12" s="31">
        <v>7</v>
      </c>
      <c r="N12" s="34" t="s">
        <v>56</v>
      </c>
      <c r="O12" s="42">
        <v>1.4E-3</v>
      </c>
      <c r="P12" s="39">
        <f t="shared" si="2"/>
        <v>22315.711879999999</v>
      </c>
    </row>
    <row r="13" spans="1:16" x14ac:dyDescent="0.25">
      <c r="A13" s="31">
        <v>10</v>
      </c>
      <c r="B13" s="34" t="s">
        <v>60</v>
      </c>
      <c r="C13" s="31">
        <v>1</v>
      </c>
      <c r="D13" s="31"/>
      <c r="E13" s="31"/>
      <c r="F13" s="31"/>
      <c r="G13" s="31"/>
      <c r="H13" s="33">
        <v>70000</v>
      </c>
      <c r="I13" s="34">
        <v>1</v>
      </c>
      <c r="J13" s="36">
        <f t="shared" si="0"/>
        <v>2</v>
      </c>
      <c r="K13" s="33">
        <f t="shared" si="3"/>
        <v>140000</v>
      </c>
      <c r="M13" s="31">
        <v>8</v>
      </c>
      <c r="N13" s="34" t="s">
        <v>58</v>
      </c>
      <c r="O13" s="42">
        <v>1.4E-3</v>
      </c>
      <c r="P13" s="39">
        <f t="shared" si="2"/>
        <v>22315.711879999999</v>
      </c>
    </row>
    <row r="14" spans="1:16" x14ac:dyDescent="0.25">
      <c r="A14" s="31">
        <v>11</v>
      </c>
      <c r="B14" s="34" t="s">
        <v>61</v>
      </c>
      <c r="C14" s="31">
        <v>1</v>
      </c>
      <c r="D14" s="31"/>
      <c r="E14" s="31"/>
      <c r="F14" s="31"/>
      <c r="G14" s="31"/>
      <c r="H14" s="33">
        <v>10000</v>
      </c>
      <c r="I14" s="34">
        <v>1</v>
      </c>
      <c r="J14" s="36">
        <v>4</v>
      </c>
      <c r="K14" s="33">
        <f t="shared" si="3"/>
        <v>40000</v>
      </c>
      <c r="M14" s="31">
        <v>9</v>
      </c>
      <c r="N14" s="34" t="s">
        <v>59</v>
      </c>
      <c r="O14" s="42">
        <v>2.0999999999999999E-3</v>
      </c>
      <c r="P14" s="39">
        <f t="shared" si="2"/>
        <v>33473.567819999997</v>
      </c>
    </row>
    <row r="15" spans="1:16" x14ac:dyDescent="0.25">
      <c r="A15" s="31">
        <v>12</v>
      </c>
      <c r="B15" s="34" t="s">
        <v>57</v>
      </c>
      <c r="C15" s="31">
        <v>1</v>
      </c>
      <c r="D15" s="31"/>
      <c r="E15" s="31"/>
      <c r="F15" s="31"/>
      <c r="G15" s="31"/>
      <c r="H15" s="33"/>
      <c r="I15" s="34">
        <v>1</v>
      </c>
      <c r="J15" s="36">
        <v>4</v>
      </c>
      <c r="K15" s="33">
        <f t="shared" si="3"/>
        <v>0</v>
      </c>
      <c r="M15" s="31">
        <v>10</v>
      </c>
      <c r="N15" s="34" t="s">
        <v>60</v>
      </c>
      <c r="O15" s="42">
        <v>2.5000000000000001E-3</v>
      </c>
      <c r="P15" s="39">
        <f t="shared" si="2"/>
        <v>39849.485500000003</v>
      </c>
    </row>
    <row r="16" spans="1:16" x14ac:dyDescent="0.25">
      <c r="A16" s="31"/>
      <c r="B16" s="32" t="s">
        <v>62</v>
      </c>
      <c r="C16" s="31"/>
      <c r="D16" s="31"/>
      <c r="E16" s="31"/>
      <c r="F16" s="31"/>
      <c r="G16" s="31"/>
      <c r="H16" s="33"/>
      <c r="I16" s="34"/>
      <c r="J16" s="40"/>
      <c r="K16" s="34"/>
      <c r="M16" s="31">
        <v>11</v>
      </c>
      <c r="N16" s="34" t="s">
        <v>63</v>
      </c>
      <c r="O16" s="42">
        <v>2E-3</v>
      </c>
      <c r="P16" s="39">
        <f t="shared" si="2"/>
        <v>31879.588400000001</v>
      </c>
    </row>
    <row r="17" spans="1:16" x14ac:dyDescent="0.25">
      <c r="A17" s="31">
        <v>13</v>
      </c>
      <c r="B17" s="34" t="s">
        <v>64</v>
      </c>
      <c r="C17" s="31">
        <v>1</v>
      </c>
      <c r="D17" s="31"/>
      <c r="E17" s="31"/>
      <c r="F17" s="31"/>
      <c r="G17" s="31"/>
      <c r="H17" s="33">
        <v>40000</v>
      </c>
      <c r="I17" s="34">
        <v>1</v>
      </c>
      <c r="J17" s="36">
        <f t="shared" si="0"/>
        <v>2</v>
      </c>
      <c r="K17" s="33">
        <f>+C17*H17*I17*J17</f>
        <v>80000</v>
      </c>
      <c r="M17" s="31"/>
      <c r="N17" s="32" t="s">
        <v>65</v>
      </c>
      <c r="O17" s="42"/>
      <c r="P17" s="39"/>
    </row>
    <row r="18" spans="1:16" x14ac:dyDescent="0.25">
      <c r="A18" s="31"/>
      <c r="B18" s="32" t="s">
        <v>66</v>
      </c>
      <c r="C18" s="34"/>
      <c r="D18" s="34"/>
      <c r="E18" s="34"/>
      <c r="F18" s="34"/>
      <c r="G18" s="34"/>
      <c r="H18" s="33"/>
      <c r="I18" s="34"/>
      <c r="J18" s="31"/>
      <c r="K18" s="34"/>
      <c r="M18" s="31">
        <v>12</v>
      </c>
      <c r="N18" s="34" t="s">
        <v>64</v>
      </c>
      <c r="O18" s="42">
        <v>1.4E-3</v>
      </c>
      <c r="P18" s="39">
        <f t="shared" si="2"/>
        <v>22315.711879999999</v>
      </c>
    </row>
    <row r="19" spans="1:16" x14ac:dyDescent="0.25">
      <c r="A19" s="31">
        <v>14</v>
      </c>
      <c r="B19" s="34" t="s">
        <v>67</v>
      </c>
      <c r="C19" s="34"/>
      <c r="D19" s="34"/>
      <c r="E19" s="34"/>
      <c r="F19" s="34"/>
      <c r="G19" s="34"/>
      <c r="H19" s="33"/>
      <c r="I19" s="34"/>
      <c r="J19" s="31"/>
      <c r="K19" s="43">
        <f>+K3*0.01</f>
        <v>159397.94200000001</v>
      </c>
      <c r="M19" s="31">
        <v>13</v>
      </c>
      <c r="N19" s="34" t="s">
        <v>68</v>
      </c>
      <c r="O19" s="42">
        <v>2.0000000000000001E-4</v>
      </c>
      <c r="P19" s="39">
        <f t="shared" si="2"/>
        <v>3187.9588399999998</v>
      </c>
    </row>
    <row r="20" spans="1:16" x14ac:dyDescent="0.25">
      <c r="A20" s="31"/>
      <c r="B20" s="34"/>
      <c r="C20" s="34"/>
      <c r="D20" s="34"/>
      <c r="E20" s="34"/>
      <c r="F20" s="34"/>
      <c r="G20" s="34"/>
      <c r="H20" s="33"/>
      <c r="I20" s="34"/>
      <c r="J20" s="31"/>
      <c r="K20" s="34"/>
      <c r="L20" s="23" t="s">
        <v>69</v>
      </c>
      <c r="M20" s="31"/>
      <c r="N20" s="32" t="s">
        <v>66</v>
      </c>
      <c r="O20" s="44"/>
      <c r="P20" s="39"/>
    </row>
    <row r="21" spans="1:16" x14ac:dyDescent="0.25">
      <c r="A21" s="31"/>
      <c r="B21" s="32" t="s">
        <v>70</v>
      </c>
      <c r="C21" s="34"/>
      <c r="D21" s="34"/>
      <c r="E21" s="34"/>
      <c r="F21" s="34"/>
      <c r="G21" s="34"/>
      <c r="H21" s="33"/>
      <c r="I21" s="34"/>
      <c r="J21" s="31"/>
      <c r="K21" s="33">
        <f>SUM(K8:K19)</f>
        <v>1304397.942</v>
      </c>
      <c r="M21" s="31">
        <v>14</v>
      </c>
      <c r="N21" s="34" t="s">
        <v>71</v>
      </c>
      <c r="O21" s="44">
        <v>0.01</v>
      </c>
      <c r="P21" s="39">
        <f t="shared" si="2"/>
        <v>159397.94200000001</v>
      </c>
    </row>
    <row r="22" spans="1:16" x14ac:dyDescent="0.25">
      <c r="A22" s="31"/>
      <c r="B22" s="45" t="s">
        <v>72</v>
      </c>
      <c r="C22" s="46" t="s">
        <v>73</v>
      </c>
      <c r="D22" s="46"/>
      <c r="E22" s="46"/>
      <c r="F22" s="46"/>
      <c r="G22" s="46"/>
      <c r="H22" s="47"/>
      <c r="I22" s="46"/>
      <c r="J22" s="48"/>
      <c r="K22" s="49">
        <f>+K2</f>
        <v>15939794.199999999</v>
      </c>
      <c r="M22" s="31">
        <v>15</v>
      </c>
      <c r="N22" s="34" t="s">
        <v>74</v>
      </c>
      <c r="O22" s="44">
        <v>4.0000000000000001E-3</v>
      </c>
      <c r="P22" s="39">
        <f t="shared" si="2"/>
        <v>63759.176800000001</v>
      </c>
    </row>
    <row r="23" spans="1:16" x14ac:dyDescent="0.25">
      <c r="A23" s="31"/>
      <c r="B23" s="32" t="s">
        <v>75</v>
      </c>
      <c r="C23" s="34"/>
      <c r="D23" s="34"/>
      <c r="E23" s="34"/>
      <c r="F23" s="34"/>
      <c r="G23" s="34"/>
      <c r="H23" s="33"/>
      <c r="I23" s="34"/>
      <c r="J23" s="50">
        <f>K21/K22</f>
        <v>8.183279693786763E-2</v>
      </c>
      <c r="K23" s="33">
        <f>+K22*J23</f>
        <v>1304397.942</v>
      </c>
      <c r="M23" s="31">
        <v>16</v>
      </c>
      <c r="N23" s="34" t="s">
        <v>76</v>
      </c>
      <c r="O23" s="44">
        <v>1.32E-2</v>
      </c>
      <c r="P23" s="39">
        <f t="shared" si="2"/>
        <v>210405.28344</v>
      </c>
    </row>
    <row r="24" spans="1:16" x14ac:dyDescent="0.25">
      <c r="A24" s="31"/>
      <c r="B24" s="32" t="s">
        <v>10</v>
      </c>
      <c r="C24" s="34"/>
      <c r="D24" s="34"/>
      <c r="E24" s="34"/>
      <c r="F24" s="34"/>
      <c r="G24" s="34"/>
      <c r="H24" s="33"/>
      <c r="I24" s="34"/>
      <c r="J24" s="50">
        <v>0.05</v>
      </c>
      <c r="K24" s="33">
        <f>+K22*J24</f>
        <v>796989.71</v>
      </c>
      <c r="M24" s="31"/>
      <c r="N24" s="32" t="s">
        <v>77</v>
      </c>
      <c r="O24" s="37"/>
      <c r="P24" s="39"/>
    </row>
    <row r="25" spans="1:16" x14ac:dyDescent="0.25">
      <c r="A25" s="31"/>
      <c r="B25" s="32" t="s">
        <v>9</v>
      </c>
      <c r="C25" s="34"/>
      <c r="D25" s="34"/>
      <c r="E25" s="34"/>
      <c r="F25" s="34"/>
      <c r="G25" s="34"/>
      <c r="H25" s="33"/>
      <c r="I25" s="34"/>
      <c r="J25" s="50">
        <v>0.01</v>
      </c>
      <c r="K25" s="33">
        <f>+K22*J25</f>
        <v>159397.94200000001</v>
      </c>
      <c r="M25" s="31">
        <v>17</v>
      </c>
      <c r="N25" s="34" t="s">
        <v>78</v>
      </c>
      <c r="O25" s="37">
        <v>6.7165465012359593E-3</v>
      </c>
      <c r="P25" s="39">
        <f t="shared" si="2"/>
        <v>107060.36896443123</v>
      </c>
    </row>
    <row r="26" spans="1:16" x14ac:dyDescent="0.25">
      <c r="A26" s="31"/>
      <c r="B26" s="32" t="s">
        <v>79</v>
      </c>
      <c r="C26" s="34"/>
      <c r="D26" s="34"/>
      <c r="E26" s="34"/>
      <c r="F26" s="34"/>
      <c r="G26" s="34"/>
      <c r="H26" s="33"/>
      <c r="I26" s="34"/>
      <c r="J26" s="51">
        <f>SUM(J23:J25)</f>
        <v>0.14183279693786766</v>
      </c>
      <c r="K26" s="52">
        <f>+K25+K24+K23</f>
        <v>2260785.594</v>
      </c>
      <c r="M26" s="31">
        <v>18</v>
      </c>
      <c r="N26" s="34" t="s">
        <v>80</v>
      </c>
      <c r="O26" s="37">
        <v>5.0000000000000001E-3</v>
      </c>
      <c r="P26" s="39">
        <f t="shared" si="2"/>
        <v>79698.971000000005</v>
      </c>
    </row>
    <row r="27" spans="1:16" x14ac:dyDescent="0.25">
      <c r="A27" s="31"/>
      <c r="B27" s="45" t="s">
        <v>81</v>
      </c>
      <c r="C27" s="46"/>
      <c r="D27" s="46"/>
      <c r="E27" s="46"/>
      <c r="F27" s="46"/>
      <c r="G27" s="46"/>
      <c r="H27" s="47"/>
      <c r="I27" s="46"/>
      <c r="J27" s="53"/>
      <c r="K27" s="47">
        <f>+K25+K24+K23+K22</f>
        <v>18200579.794</v>
      </c>
      <c r="M27" s="31">
        <v>19</v>
      </c>
      <c r="N27" s="34" t="s">
        <v>82</v>
      </c>
      <c r="O27" s="44">
        <v>6.0000000000000001E-3</v>
      </c>
      <c r="P27" s="39">
        <f t="shared" si="2"/>
        <v>95638.765199999994</v>
      </c>
    </row>
    <row r="28" spans="1:16" x14ac:dyDescent="0.25">
      <c r="A28" s="31"/>
      <c r="B28" s="32" t="s">
        <v>77</v>
      </c>
      <c r="C28" s="34"/>
      <c r="D28" s="34"/>
      <c r="E28" s="34"/>
      <c r="F28" s="34"/>
      <c r="G28" s="34"/>
      <c r="H28" s="33"/>
      <c r="I28" s="34"/>
      <c r="J28" s="54"/>
      <c r="K28" s="33"/>
      <c r="M28" s="31">
        <v>20</v>
      </c>
      <c r="N28" s="34" t="s">
        <v>83</v>
      </c>
      <c r="O28" s="37">
        <v>0.02</v>
      </c>
      <c r="P28" s="39">
        <f t="shared" si="2"/>
        <v>318795.88400000002</v>
      </c>
    </row>
    <row r="29" spans="1:16" x14ac:dyDescent="0.25">
      <c r="A29" s="31">
        <v>15</v>
      </c>
      <c r="B29" s="34" t="s">
        <v>78</v>
      </c>
      <c r="C29" s="34"/>
      <c r="D29" s="34"/>
      <c r="E29" s="34"/>
      <c r="F29" s="34"/>
      <c r="G29" s="34"/>
      <c r="H29" s="33"/>
      <c r="I29" s="34"/>
      <c r="J29" s="55">
        <f>+K29/K27</f>
        <v>7.0062797473099004E-3</v>
      </c>
      <c r="K29" s="33">
        <f>+K24*0.16</f>
        <v>127518.3536</v>
      </c>
      <c r="M29" s="31">
        <v>21</v>
      </c>
      <c r="N29" s="34" t="s">
        <v>84</v>
      </c>
      <c r="O29" s="56">
        <v>6.0000000000000001E-3</v>
      </c>
      <c r="P29" s="39">
        <f t="shared" si="2"/>
        <v>95638.765199999994</v>
      </c>
    </row>
    <row r="30" spans="1:16" x14ac:dyDescent="0.25">
      <c r="A30" s="31">
        <v>16</v>
      </c>
      <c r="B30" s="34" t="s">
        <v>80</v>
      </c>
      <c r="C30" s="34"/>
      <c r="D30" s="34"/>
      <c r="E30" s="34"/>
      <c r="F30" s="34"/>
      <c r="G30" s="34"/>
      <c r="H30" s="33"/>
      <c r="I30" s="34"/>
      <c r="J30" s="55">
        <v>5.0000000000000001E-3</v>
      </c>
      <c r="K30" s="33">
        <f>+J30*K$27</f>
        <v>91002.898969999995</v>
      </c>
      <c r="M30" s="31">
        <v>22</v>
      </c>
      <c r="N30" s="34" t="s">
        <v>85</v>
      </c>
      <c r="O30" s="56">
        <v>5.0000000000000001E-3</v>
      </c>
      <c r="P30" s="39">
        <f t="shared" si="2"/>
        <v>79698.971000000005</v>
      </c>
    </row>
    <row r="31" spans="1:16" x14ac:dyDescent="0.25">
      <c r="A31" s="31">
        <v>17</v>
      </c>
      <c r="B31" s="34" t="s">
        <v>82</v>
      </c>
      <c r="C31" s="34"/>
      <c r="D31" s="34"/>
      <c r="E31" s="34"/>
      <c r="F31" s="34"/>
      <c r="G31" s="34"/>
      <c r="H31" s="33"/>
      <c r="I31" s="34"/>
      <c r="J31" s="55">
        <v>7.0000000000000001E-3</v>
      </c>
      <c r="K31" s="33">
        <f>+J31*K$27</f>
        <v>127404.058558</v>
      </c>
      <c r="M31" s="31">
        <v>23</v>
      </c>
      <c r="N31" s="34" t="s">
        <v>86</v>
      </c>
      <c r="O31" s="44">
        <v>2.5000000000000001E-3</v>
      </c>
      <c r="P31" s="39">
        <f t="shared" si="2"/>
        <v>39849.485500000003</v>
      </c>
    </row>
    <row r="32" spans="1:16" x14ac:dyDescent="0.25">
      <c r="A32" s="31">
        <v>18</v>
      </c>
      <c r="B32" s="34" t="s">
        <v>87</v>
      </c>
      <c r="C32" s="34"/>
      <c r="D32" s="34"/>
      <c r="E32" s="34"/>
      <c r="F32" s="34"/>
      <c r="G32" s="34"/>
      <c r="H32" s="33"/>
      <c r="I32" s="34"/>
      <c r="J32" s="55">
        <v>5.8999999999999997E-2</v>
      </c>
      <c r="K32" s="33">
        <f>+J32*K$27</f>
        <v>1073834.2078459999</v>
      </c>
      <c r="M32" s="31">
        <v>24</v>
      </c>
      <c r="N32" s="57" t="s">
        <v>88</v>
      </c>
      <c r="O32" s="44">
        <v>5.8999999999999999E-3</v>
      </c>
      <c r="P32" s="39">
        <f t="shared" si="2"/>
        <v>94044.785779999991</v>
      </c>
    </row>
    <row r="33" spans="1:27" ht="14.25" customHeight="1" x14ac:dyDescent="0.25">
      <c r="A33" s="31">
        <v>19</v>
      </c>
      <c r="B33" s="34" t="s">
        <v>89</v>
      </c>
      <c r="C33" s="34"/>
      <c r="D33" s="34"/>
      <c r="E33" s="34"/>
      <c r="F33" s="34"/>
      <c r="G33" s="34"/>
      <c r="H33" s="33"/>
      <c r="I33" s="34"/>
      <c r="J33" s="55">
        <f>+H51</f>
        <v>5.0000000000000001E-3</v>
      </c>
      <c r="K33" s="33">
        <f>+J33*K$27</f>
        <v>91002.898969999995</v>
      </c>
      <c r="M33" s="58" t="s">
        <v>90</v>
      </c>
      <c r="N33" s="59"/>
      <c r="O33" s="60"/>
    </row>
    <row r="34" spans="1:27" x14ac:dyDescent="0.25">
      <c r="A34" s="31"/>
      <c r="B34" s="34"/>
      <c r="C34" s="34"/>
      <c r="D34" s="34"/>
      <c r="E34" s="34"/>
      <c r="F34" s="34"/>
      <c r="G34" s="34"/>
      <c r="H34" s="33"/>
      <c r="I34" s="34"/>
      <c r="J34" s="54"/>
      <c r="K34" s="34"/>
      <c r="M34" s="31"/>
      <c r="N34" s="34" t="s">
        <v>91</v>
      </c>
      <c r="O34" s="61">
        <v>0.05</v>
      </c>
    </row>
    <row r="35" spans="1:27" x14ac:dyDescent="0.25">
      <c r="A35" s="31"/>
      <c r="B35" s="45" t="s">
        <v>92</v>
      </c>
      <c r="C35" s="46"/>
      <c r="D35" s="46"/>
      <c r="E35" s="46"/>
      <c r="F35" s="46"/>
      <c r="G35" s="46"/>
      <c r="H35" s="47"/>
      <c r="I35" s="46"/>
      <c r="J35" s="62">
        <f>SUM(J29:J33)</f>
        <v>8.3006279747309897E-2</v>
      </c>
      <c r="K35" s="47">
        <f>SUM(K29:K34)</f>
        <v>1510762.4179439999</v>
      </c>
      <c r="M35" s="58" t="s">
        <v>93</v>
      </c>
      <c r="N35" s="59"/>
      <c r="O35" s="60"/>
    </row>
    <row r="36" spans="1:27" x14ac:dyDescent="0.25">
      <c r="A36" s="31"/>
      <c r="B36" s="32"/>
      <c r="C36" s="34"/>
      <c r="D36" s="34"/>
      <c r="E36" s="34"/>
      <c r="F36" s="34"/>
      <c r="G36" s="34"/>
      <c r="H36" s="33"/>
      <c r="I36" s="34"/>
      <c r="J36" s="63"/>
      <c r="K36" s="34"/>
      <c r="M36" s="31"/>
      <c r="N36" s="34" t="s">
        <v>9</v>
      </c>
      <c r="O36" s="61">
        <v>0.02</v>
      </c>
    </row>
    <row r="37" spans="1:27" x14ac:dyDescent="0.25">
      <c r="A37" s="28"/>
      <c r="B37" s="64" t="s">
        <v>94</v>
      </c>
      <c r="C37" s="65"/>
      <c r="D37" s="65"/>
      <c r="E37" s="65"/>
      <c r="F37" s="65"/>
      <c r="G37" s="65"/>
      <c r="H37" s="66"/>
      <c r="I37" s="65"/>
      <c r="J37" s="67">
        <f>+J26+J35</f>
        <v>0.22483907668517755</v>
      </c>
      <c r="K37" s="68">
        <f>+J37</f>
        <v>0.22483907668517755</v>
      </c>
      <c r="M37" s="28"/>
      <c r="N37" s="64" t="s">
        <v>94</v>
      </c>
      <c r="O37" s="69">
        <f>SUM(O9:O36)</f>
        <v>0.17631654650123599</v>
      </c>
    </row>
    <row r="38" spans="1:27" x14ac:dyDescent="0.25">
      <c r="K38" s="24">
        <f>+K27+K35</f>
        <v>19711342.211943999</v>
      </c>
    </row>
    <row r="39" spans="1:27" x14ac:dyDescent="0.25">
      <c r="I39" s="34" t="s">
        <v>95</v>
      </c>
      <c r="J39" s="50">
        <f>+J23</f>
        <v>8.183279693786763E-2</v>
      </c>
      <c r="K39" s="35">
        <f>+J39+J42</f>
        <v>0.16483907668517753</v>
      </c>
    </row>
    <row r="40" spans="1:27" x14ac:dyDescent="0.25">
      <c r="I40" s="34" t="s">
        <v>9</v>
      </c>
      <c r="J40" s="50">
        <v>0.03</v>
      </c>
      <c r="K40" s="35">
        <v>0.03</v>
      </c>
    </row>
    <row r="41" spans="1:27" x14ac:dyDescent="0.25">
      <c r="I41" s="34" t="s">
        <v>10</v>
      </c>
      <c r="J41" s="50">
        <f>+J24</f>
        <v>0.05</v>
      </c>
      <c r="K41" s="35">
        <f>+J41</f>
        <v>0.05</v>
      </c>
    </row>
    <row r="42" spans="1:27" s="22" customFormat="1" x14ac:dyDescent="0.25">
      <c r="B42" s="23"/>
      <c r="C42" s="23"/>
      <c r="D42" s="23"/>
      <c r="E42" s="23"/>
      <c r="F42" s="23"/>
      <c r="G42" s="23"/>
      <c r="H42" s="24"/>
      <c r="I42" s="23"/>
      <c r="J42" s="50">
        <f>SUM(J29:J33)</f>
        <v>8.3006279747309897E-2</v>
      </c>
      <c r="K42" s="50">
        <f>SUM(K39:K41)</f>
        <v>0.24483907668517751</v>
      </c>
      <c r="L42" s="23"/>
      <c r="M42" s="23"/>
      <c r="N42" s="23"/>
      <c r="O42" s="23"/>
      <c r="P42" s="23"/>
      <c r="T42" s="23"/>
      <c r="U42" s="23"/>
      <c r="V42" s="23"/>
      <c r="W42" s="23"/>
      <c r="X42" s="23"/>
      <c r="Y42" s="23"/>
      <c r="Z42" s="23"/>
      <c r="AA42" s="23"/>
    </row>
    <row r="43" spans="1:27" s="22" customFormat="1" x14ac:dyDescent="0.25">
      <c r="B43" s="23"/>
      <c r="C43" s="23"/>
      <c r="D43" s="23"/>
      <c r="E43" s="23"/>
      <c r="F43" s="23"/>
      <c r="G43" s="23"/>
      <c r="H43" s="24"/>
      <c r="I43" s="23"/>
      <c r="K43" s="70"/>
      <c r="L43" s="23"/>
      <c r="M43" s="23"/>
      <c r="N43" s="23"/>
      <c r="O43" s="23"/>
      <c r="P43" s="23"/>
      <c r="T43" s="23"/>
      <c r="U43" s="23"/>
      <c r="V43" s="23"/>
      <c r="W43" s="23"/>
      <c r="X43" s="23"/>
      <c r="Y43" s="23"/>
      <c r="Z43" s="23"/>
      <c r="AA43" s="23"/>
    </row>
    <row r="44" spans="1:27" s="22" customFormat="1" x14ac:dyDescent="0.25">
      <c r="B44" s="23"/>
      <c r="C44" s="23"/>
      <c r="D44" s="23"/>
      <c r="E44" s="23"/>
      <c r="F44" s="23"/>
      <c r="G44" s="23"/>
      <c r="H44" s="23"/>
      <c r="I44" s="23"/>
      <c r="K44" s="23"/>
      <c r="L44" s="23"/>
      <c r="M44" s="23"/>
      <c r="N44" s="23"/>
      <c r="O44" s="23"/>
      <c r="P44" s="23"/>
      <c r="T44" s="23"/>
      <c r="U44" s="23"/>
      <c r="V44" s="23"/>
      <c r="W44" s="23"/>
      <c r="X44" s="23"/>
      <c r="Y44" s="23"/>
      <c r="Z44" s="23"/>
      <c r="AA44" s="23"/>
    </row>
    <row r="45" spans="1:27" s="22" customFormat="1" x14ac:dyDescent="0.25">
      <c r="B45" s="23"/>
      <c r="C45" s="23"/>
      <c r="D45" s="23"/>
      <c r="E45" s="23"/>
      <c r="F45" s="23"/>
      <c r="G45" s="23"/>
      <c r="H45" s="23"/>
      <c r="I45" s="23"/>
      <c r="K45" s="23"/>
      <c r="L45" s="23"/>
      <c r="M45" s="23"/>
      <c r="N45" s="23"/>
      <c r="O45" s="23"/>
      <c r="P45" s="23"/>
      <c r="T45" s="23"/>
      <c r="U45" s="23"/>
      <c r="V45" s="23"/>
      <c r="W45" s="23"/>
      <c r="X45" s="23"/>
      <c r="Y45" s="23"/>
      <c r="Z45" s="23"/>
      <c r="AA45" s="23"/>
    </row>
    <row r="46" spans="1:27" s="22" customFormat="1" x14ac:dyDescent="0.25">
      <c r="B46" s="23"/>
      <c r="C46" s="23"/>
      <c r="D46" s="23"/>
      <c r="E46" s="23"/>
      <c r="F46" s="23"/>
      <c r="G46" s="23"/>
      <c r="H46" s="23"/>
      <c r="I46" s="23"/>
      <c r="K46" s="23"/>
      <c r="L46" s="23"/>
      <c r="M46" s="23"/>
      <c r="N46" s="23"/>
      <c r="O46" s="23"/>
      <c r="P46" s="23"/>
      <c r="T46" s="23"/>
      <c r="U46" s="23"/>
      <c r="V46" s="23"/>
      <c r="W46" s="23"/>
      <c r="X46" s="23"/>
      <c r="Y46" s="23"/>
      <c r="Z46" s="23"/>
      <c r="AA46" s="23"/>
    </row>
    <row r="47" spans="1:27" s="22" customFormat="1" x14ac:dyDescent="0.25">
      <c r="B47" s="23"/>
      <c r="C47" s="23"/>
      <c r="D47" s="23"/>
      <c r="E47" s="23"/>
      <c r="F47" s="23"/>
      <c r="G47" s="23"/>
      <c r="H47" s="23"/>
      <c r="I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</row>
    <row r="48" spans="1:27" s="22" customFormat="1" x14ac:dyDescent="0.25">
      <c r="B48" s="34" t="s">
        <v>96</v>
      </c>
      <c r="C48" s="34">
        <v>2018</v>
      </c>
      <c r="D48" s="71"/>
      <c r="E48" s="71"/>
      <c r="F48" s="71"/>
      <c r="G48" s="71"/>
      <c r="H48" s="33">
        <f>+VLOOKUP(C48,Z93:AA99,2,FALSE)</f>
        <v>781242</v>
      </c>
      <c r="I48" s="34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</row>
    <row r="49" spans="2:27" s="22" customFormat="1" x14ac:dyDescent="0.25">
      <c r="B49" s="34" t="s">
        <v>97</v>
      </c>
      <c r="C49" s="34"/>
      <c r="D49" s="34"/>
      <c r="E49" s="34"/>
      <c r="F49" s="34"/>
      <c r="G49" s="34"/>
      <c r="H49" s="25">
        <v>482405518.37</v>
      </c>
      <c r="I49" s="34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</row>
    <row r="50" spans="2:27" x14ac:dyDescent="0.25">
      <c r="B50" s="34" t="s">
        <v>98</v>
      </c>
      <c r="C50" s="31" t="s">
        <v>99</v>
      </c>
      <c r="D50" s="34"/>
      <c r="E50" s="34"/>
      <c r="F50" s="34"/>
      <c r="G50" s="34"/>
      <c r="H50" s="72">
        <f>+H49/H48</f>
        <v>617.4853865639584</v>
      </c>
      <c r="I50" s="34" t="s">
        <v>100</v>
      </c>
    </row>
    <row r="51" spans="2:27" x14ac:dyDescent="0.25">
      <c r="B51" s="73" t="s">
        <v>101</v>
      </c>
      <c r="C51" s="34">
        <v>6001</v>
      </c>
      <c r="D51" s="31"/>
      <c r="E51" s="31"/>
      <c r="F51" s="31"/>
      <c r="G51" s="31"/>
      <c r="H51" s="74">
        <v>5.0000000000000001E-3</v>
      </c>
      <c r="I51" s="34"/>
    </row>
    <row r="52" spans="2:27" x14ac:dyDescent="0.25">
      <c r="B52" s="34"/>
      <c r="D52" s="34"/>
      <c r="E52" s="34"/>
      <c r="F52" s="34"/>
      <c r="G52" s="34"/>
      <c r="H52" s="33"/>
      <c r="I52" s="34">
        <v>2</v>
      </c>
    </row>
    <row r="92" spans="1:27" s="75" customFormat="1" x14ac:dyDescent="0.25">
      <c r="A92" s="22"/>
      <c r="B92" s="23"/>
      <c r="C92" s="23"/>
      <c r="D92" s="23"/>
      <c r="E92" s="23"/>
      <c r="F92" s="23"/>
      <c r="G92" s="23"/>
      <c r="H92" s="24"/>
      <c r="I92" s="23"/>
      <c r="J92" s="22"/>
      <c r="K92" s="23"/>
      <c r="Z92" s="76" t="s">
        <v>102</v>
      </c>
    </row>
    <row r="93" spans="1:27" s="75" customFormat="1" x14ac:dyDescent="0.25">
      <c r="A93" s="22"/>
      <c r="B93" s="23"/>
      <c r="C93" s="23"/>
      <c r="D93" s="23"/>
      <c r="E93" s="23"/>
      <c r="F93" s="23"/>
      <c r="G93" s="23"/>
      <c r="H93" s="24"/>
      <c r="I93" s="23"/>
      <c r="J93" s="22"/>
      <c r="K93" s="23"/>
      <c r="Z93" s="75">
        <v>2013</v>
      </c>
      <c r="AA93" s="75">
        <v>589500</v>
      </c>
    </row>
    <row r="94" spans="1:27" s="75" customFormat="1" x14ac:dyDescent="0.25">
      <c r="A94" s="22"/>
      <c r="B94" s="23"/>
      <c r="D94" s="23"/>
      <c r="E94" s="23"/>
      <c r="F94" s="23"/>
      <c r="G94" s="23"/>
      <c r="H94" s="24"/>
      <c r="I94" s="23"/>
      <c r="J94" s="22"/>
      <c r="K94" s="23"/>
      <c r="Z94" s="75">
        <v>2014</v>
      </c>
      <c r="AA94" s="75">
        <v>616000</v>
      </c>
    </row>
    <row r="95" spans="1:27" s="75" customFormat="1" x14ac:dyDescent="0.25">
      <c r="A95" s="76"/>
      <c r="H95" s="77"/>
      <c r="J95" s="76"/>
      <c r="Z95" s="75">
        <v>2015</v>
      </c>
      <c r="AA95" s="75">
        <v>644350</v>
      </c>
    </row>
    <row r="96" spans="1:27" x14ac:dyDescent="0.25">
      <c r="A96" s="76"/>
      <c r="B96" s="75"/>
      <c r="C96" s="75"/>
      <c r="D96" s="75"/>
      <c r="E96" s="75"/>
      <c r="F96" s="75"/>
      <c r="G96" s="75"/>
      <c r="H96" s="77"/>
      <c r="I96" s="75"/>
      <c r="J96" s="76"/>
      <c r="K96" s="75"/>
      <c r="Z96" s="75">
        <v>2016</v>
      </c>
      <c r="AA96" s="23">
        <v>689455</v>
      </c>
    </row>
    <row r="97" spans="1:27" x14ac:dyDescent="0.25">
      <c r="A97" s="76"/>
      <c r="B97" s="75"/>
      <c r="C97" s="75"/>
      <c r="D97" s="75"/>
      <c r="E97" s="75"/>
      <c r="F97" s="75"/>
      <c r="G97" s="75"/>
      <c r="H97" s="77"/>
      <c r="I97" s="75"/>
      <c r="J97" s="76"/>
      <c r="K97" s="75"/>
      <c r="Z97" s="75">
        <v>2017</v>
      </c>
      <c r="AA97" s="23">
        <v>737717</v>
      </c>
    </row>
    <row r="98" spans="1:27" x14ac:dyDescent="0.25">
      <c r="A98" s="76"/>
      <c r="B98" s="75"/>
      <c r="D98" s="75"/>
      <c r="E98" s="75"/>
      <c r="F98" s="75"/>
      <c r="G98" s="75"/>
      <c r="H98" s="77"/>
      <c r="I98" s="75"/>
      <c r="J98" s="76"/>
      <c r="K98" s="75"/>
      <c r="Z98" s="75">
        <v>2018</v>
      </c>
      <c r="AA98" s="23">
        <v>781242</v>
      </c>
    </row>
  </sheetData>
  <mergeCells count="3">
    <mergeCell ref="I2:J2"/>
    <mergeCell ref="I3:J3"/>
    <mergeCell ref="I4:J4"/>
  </mergeCells>
  <dataValidations disablePrompts="1" count="1">
    <dataValidation type="list" allowBlank="1" showInputMessage="1" showErrorMessage="1" sqref="D48:G48">
      <formula1>$Z$93:$Z$95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HISTORICOS EN CONTRATACIÓN SGC</vt:lpstr>
      <vt:lpstr>DEMANDA</vt:lpstr>
      <vt:lpstr>PRESUPUESTO</vt:lpstr>
      <vt:lpstr>COMPARATIVO</vt:lpstr>
      <vt:lpstr>APUS</vt:lpstr>
      <vt:lpstr>AIU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funuser</dc:creator>
  <cp:lastModifiedBy>Mario Andrés Martínez</cp:lastModifiedBy>
  <cp:lastPrinted>2018-09-11T14:16:40Z</cp:lastPrinted>
  <dcterms:created xsi:type="dcterms:W3CDTF">2015-08-13T15:28:51Z</dcterms:created>
  <dcterms:modified xsi:type="dcterms:W3CDTF">2018-09-28T14:02:46Z</dcterms:modified>
</cp:coreProperties>
</file>