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01"/>
  <workbookPr defaultThemeVersion="166925"/>
  <mc:AlternateContent xmlns:mc="http://schemas.openxmlformats.org/markup-compatibility/2006">
    <mc:Choice Requires="x15">
      <x15ac:absPath xmlns:x15ac="http://schemas.microsoft.com/office/spreadsheetml/2010/11/ac" url="C:\Users\sandra.gaitan\Desktop\SANDRA\INTERVENTORIA MALLA VIAL SECOP II - AGOSTO 2018\Evaluacion preliminar\"/>
    </mc:Choice>
  </mc:AlternateContent>
  <bookViews>
    <workbookView xWindow="0" yWindow="0" windowWidth="28800" windowHeight="13500" tabRatio="636" activeTab="4"/>
  </bookViews>
  <sheets>
    <sheet name="Evaluación JM" sheetId="5" r:id="rId1"/>
    <sheet name="Evaluación Jenny" sheetId="6" r:id="rId2"/>
    <sheet name="Evaluación Jeisson" sheetId="7" r:id="rId3"/>
    <sheet name="Evaluación Marleny" sheetId="9" r:id="rId4"/>
    <sheet name="INDICES FINANCIEROS" sheetId="8" r:id="rId5"/>
  </sheets>
  <definedNames>
    <definedName name="_xlnm.Print_Area" localSheetId="2">'Evaluación Jeisson'!$A$1:$E$98</definedName>
    <definedName name="_xlnm.Print_Area" localSheetId="1">'Evaluación Jenny'!$A$1:$E$98</definedName>
    <definedName name="_xlnm.Print_Area" localSheetId="0">'Evaluación JM'!$A$1:$E$98</definedName>
    <definedName name="_xlnm.Print_Area" localSheetId="3">'Evaluación Marleny'!$A$1:$E$98</definedName>
    <definedName name="_xlnm.Print_Titles" localSheetId="2">'Evaluación Jeisson'!$1:$10</definedName>
    <definedName name="_xlnm.Print_Titles" localSheetId="1">'Evaluación Jenny'!$1:$10</definedName>
    <definedName name="_xlnm.Print_Titles" localSheetId="0">'Evaluación JM'!$1:$10</definedName>
    <definedName name="_xlnm.Print_Titles" localSheetId="3">'Evaluación Marleny'!$1:$10</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Q83" i="9" l="1"/>
  <c r="AP83" i="9"/>
  <c r="AO83" i="9"/>
  <c r="AN83" i="9"/>
  <c r="AM83" i="9"/>
  <c r="AL83" i="9"/>
  <c r="AK83" i="9"/>
  <c r="AJ83" i="9"/>
  <c r="AI83" i="9"/>
  <c r="AH83" i="9"/>
  <c r="AG83" i="9"/>
  <c r="AF83" i="9"/>
  <c r="AE83" i="9"/>
  <c r="AD83" i="9"/>
  <c r="AC83" i="9"/>
  <c r="AB83" i="9"/>
  <c r="AA83" i="9"/>
  <c r="Z83" i="9"/>
  <c r="Y83" i="9"/>
  <c r="X83" i="9"/>
  <c r="W83" i="9"/>
  <c r="V83" i="9"/>
  <c r="U83" i="9"/>
  <c r="T83" i="9"/>
  <c r="I83" i="9"/>
  <c r="H83" i="9"/>
  <c r="G83" i="9"/>
  <c r="F83" i="9"/>
  <c r="E83" i="9"/>
  <c r="D83" i="9"/>
  <c r="C83" i="9"/>
  <c r="B83" i="9"/>
  <c r="AQ78" i="9"/>
  <c r="AP78" i="9"/>
  <c r="AO78" i="9"/>
  <c r="AN78" i="9"/>
  <c r="AN79" i="9" s="1"/>
  <c r="AM78" i="9"/>
  <c r="AL78" i="9"/>
  <c r="AJ78" i="9"/>
  <c r="AI78" i="9"/>
  <c r="AF78" i="9"/>
  <c r="AE78" i="9"/>
  <c r="AD78" i="9"/>
  <c r="AC78" i="9"/>
  <c r="U78" i="9"/>
  <c r="T78" i="9"/>
  <c r="I78" i="9"/>
  <c r="H78" i="9"/>
  <c r="G78" i="9"/>
  <c r="F78" i="9"/>
  <c r="E78" i="9"/>
  <c r="D78" i="9"/>
  <c r="C78" i="9"/>
  <c r="B78" i="9"/>
  <c r="AQ76" i="9"/>
  <c r="AP76" i="9"/>
  <c r="AP77" i="9" s="1"/>
  <c r="AO76" i="9"/>
  <c r="AN76" i="9"/>
  <c r="AM76" i="9"/>
  <c r="AL76" i="9"/>
  <c r="AL77" i="9" s="1"/>
  <c r="AJ76" i="9"/>
  <c r="AJ61" i="9" s="1"/>
  <c r="AI76" i="9"/>
  <c r="AF76" i="9"/>
  <c r="AF61" i="9" s="1"/>
  <c r="AE76" i="9"/>
  <c r="AE77" i="9" s="1"/>
  <c r="AD76" i="9"/>
  <c r="AC76" i="9"/>
  <c r="U76" i="9"/>
  <c r="T76" i="9"/>
  <c r="T77" i="9" s="1"/>
  <c r="I76" i="9"/>
  <c r="H76" i="9"/>
  <c r="G76" i="9"/>
  <c r="F76" i="9"/>
  <c r="F77" i="9" s="1"/>
  <c r="E76" i="9"/>
  <c r="D76" i="9"/>
  <c r="C76" i="9"/>
  <c r="B76" i="9"/>
  <c r="B77" i="9" s="1"/>
  <c r="B62" i="9" s="1"/>
  <c r="B89" i="9" s="1"/>
  <c r="AK74" i="9"/>
  <c r="AH74" i="9"/>
  <c r="AG74" i="9"/>
  <c r="AB74" i="9"/>
  <c r="AA74" i="9"/>
  <c r="AA59" i="9" s="1"/>
  <c r="AA88" i="9" s="1"/>
  <c r="Z74" i="9"/>
  <c r="Y74" i="9"/>
  <c r="X74" i="9"/>
  <c r="W74" i="9"/>
  <c r="W59" i="9" s="1"/>
  <c r="W88" i="9" s="1"/>
  <c r="V74" i="9"/>
  <c r="AQ72" i="9"/>
  <c r="AP72" i="9"/>
  <c r="AO72" i="9"/>
  <c r="AN72" i="9"/>
  <c r="AM72" i="9"/>
  <c r="AL72" i="9"/>
  <c r="AJ72" i="9"/>
  <c r="AI72" i="9"/>
  <c r="AF72" i="9"/>
  <c r="AE72" i="9"/>
  <c r="AD72" i="9"/>
  <c r="AC72" i="9"/>
  <c r="U72" i="9"/>
  <c r="T72" i="9"/>
  <c r="I72" i="9"/>
  <c r="I74" i="9" s="1"/>
  <c r="H72" i="9"/>
  <c r="G72" i="9"/>
  <c r="F72" i="9"/>
  <c r="E72" i="9"/>
  <c r="D72" i="9"/>
  <c r="C72" i="9"/>
  <c r="B72" i="9"/>
  <c r="AQ70" i="9"/>
  <c r="AP70" i="9"/>
  <c r="AO70" i="9"/>
  <c r="AN70" i="9"/>
  <c r="AM70" i="9"/>
  <c r="AL70" i="9"/>
  <c r="AJ70" i="9"/>
  <c r="AI71" i="9" s="1"/>
  <c r="AI70" i="9"/>
  <c r="AF70" i="9"/>
  <c r="AE70" i="9"/>
  <c r="AD70" i="9"/>
  <c r="AC70" i="9"/>
  <c r="U70" i="9"/>
  <c r="T70" i="9"/>
  <c r="I70" i="9"/>
  <c r="H70" i="9"/>
  <c r="H71" i="9" s="1"/>
  <c r="G70" i="9"/>
  <c r="F70" i="9"/>
  <c r="E70" i="9"/>
  <c r="D70" i="9"/>
  <c r="C70" i="9"/>
  <c r="B70" i="9"/>
  <c r="B69" i="9"/>
  <c r="AQ68" i="9"/>
  <c r="AQ74" i="9" s="1"/>
  <c r="AQ59" i="9" s="1"/>
  <c r="AP68" i="9"/>
  <c r="AO68" i="9"/>
  <c r="AN68" i="9"/>
  <c r="AN61" i="9" s="1"/>
  <c r="AM68" i="9"/>
  <c r="AM74" i="9" s="1"/>
  <c r="AL68" i="9"/>
  <c r="AL69" i="9" s="1"/>
  <c r="AL62" i="9" s="1"/>
  <c r="AL89" i="9" s="1"/>
  <c r="AJ68" i="9"/>
  <c r="AI68" i="9"/>
  <c r="AI69" i="9" s="1"/>
  <c r="AF68" i="9"/>
  <c r="AE68" i="9"/>
  <c r="AD68" i="9"/>
  <c r="AC68" i="9"/>
  <c r="AC61" i="9" s="1"/>
  <c r="U68" i="9"/>
  <c r="T68" i="9"/>
  <c r="T69" i="9" s="1"/>
  <c r="T62" i="9" s="1"/>
  <c r="T89" i="9" s="1"/>
  <c r="I68" i="9"/>
  <c r="H68" i="9"/>
  <c r="H61" i="9" s="1"/>
  <c r="G68" i="9"/>
  <c r="F68" i="9"/>
  <c r="E68" i="9"/>
  <c r="E74" i="9" s="1"/>
  <c r="D68" i="9"/>
  <c r="D61" i="9" s="1"/>
  <c r="C68" i="9"/>
  <c r="B68" i="9"/>
  <c r="AQ66" i="9"/>
  <c r="AP66" i="9"/>
  <c r="AO66" i="9"/>
  <c r="AN67" i="9" s="1"/>
  <c r="AN66" i="9"/>
  <c r="AM66" i="9"/>
  <c r="AL66" i="9"/>
  <c r="AJ66" i="9"/>
  <c r="AI66" i="9"/>
  <c r="AF66" i="9"/>
  <c r="AE66" i="9"/>
  <c r="AD66" i="9"/>
  <c r="AC67" i="9" s="1"/>
  <c r="AC66" i="9"/>
  <c r="U66" i="9"/>
  <c r="T66" i="9"/>
  <c r="I66" i="9"/>
  <c r="H66" i="9"/>
  <c r="G66" i="9"/>
  <c r="F66" i="9"/>
  <c r="E66" i="9"/>
  <c r="D66" i="9"/>
  <c r="D67" i="9" s="1"/>
  <c r="C66" i="9"/>
  <c r="B66" i="9"/>
  <c r="AO63" i="9"/>
  <c r="AN63" i="9"/>
  <c r="AQ61" i="9"/>
  <c r="AP61" i="9"/>
  <c r="AO61" i="9"/>
  <c r="AM61" i="9"/>
  <c r="AL61" i="9"/>
  <c r="AK61" i="9"/>
  <c r="AK89" i="9" s="1"/>
  <c r="AI61" i="9"/>
  <c r="AH61" i="9"/>
  <c r="AH89" i="9" s="1"/>
  <c r="AG61" i="9"/>
  <c r="AG89" i="9" s="1"/>
  <c r="AE61" i="9"/>
  <c r="AD61" i="9"/>
  <c r="AB61" i="9"/>
  <c r="AB89" i="9" s="1"/>
  <c r="AA61" i="9"/>
  <c r="AA89" i="9" s="1"/>
  <c r="Z61" i="9"/>
  <c r="Z89" i="9" s="1"/>
  <c r="Y61" i="9"/>
  <c r="Y89" i="9" s="1"/>
  <c r="X61" i="9"/>
  <c r="X89" i="9" s="1"/>
  <c r="W61" i="9"/>
  <c r="W89" i="9" s="1"/>
  <c r="V61" i="9"/>
  <c r="V89" i="9" s="1"/>
  <c r="U61" i="9"/>
  <c r="T61" i="9"/>
  <c r="I61" i="9"/>
  <c r="G61" i="9"/>
  <c r="F61" i="9"/>
  <c r="E61" i="9"/>
  <c r="C61" i="9"/>
  <c r="B61" i="9"/>
  <c r="AK59" i="9"/>
  <c r="AK88" i="9" s="1"/>
  <c r="AH59" i="9"/>
  <c r="AH88" i="9" s="1"/>
  <c r="AG59" i="9"/>
  <c r="AG88" i="9" s="1"/>
  <c r="AB59" i="9"/>
  <c r="AB88" i="9" s="1"/>
  <c r="Z59" i="9"/>
  <c r="Z88" i="9" s="1"/>
  <c r="Y59" i="9"/>
  <c r="Y88" i="9" s="1"/>
  <c r="X59" i="9"/>
  <c r="X88" i="9" s="1"/>
  <c r="V59" i="9"/>
  <c r="V88" i="9" s="1"/>
  <c r="AK47" i="9"/>
  <c r="AK90" i="9" s="1"/>
  <c r="AH47" i="9"/>
  <c r="AH90" i="9" s="1"/>
  <c r="AG47" i="9"/>
  <c r="AG90" i="9" s="1"/>
  <c r="AB47" i="9"/>
  <c r="AB90" i="9" s="1"/>
  <c r="Z47" i="9"/>
  <c r="Z90" i="9" s="1"/>
  <c r="Y47" i="9"/>
  <c r="Y90" i="9" s="1"/>
  <c r="X47" i="9"/>
  <c r="X90" i="9" s="1"/>
  <c r="V47" i="9"/>
  <c r="V90" i="9" s="1"/>
  <c r="AQ44" i="9"/>
  <c r="AP44" i="9"/>
  <c r="AO44" i="9"/>
  <c r="AN44" i="9"/>
  <c r="AM44" i="9"/>
  <c r="AL44" i="9"/>
  <c r="AK44" i="9"/>
  <c r="AK87" i="9" s="1"/>
  <c r="AJ44" i="9"/>
  <c r="AI44" i="9"/>
  <c r="AH44" i="9"/>
  <c r="AH87" i="9" s="1"/>
  <c r="AG44" i="9"/>
  <c r="AG87" i="9" s="1"/>
  <c r="AF44" i="9"/>
  <c r="AE44" i="9"/>
  <c r="AE46" i="9" s="1"/>
  <c r="AE87" i="9" s="1"/>
  <c r="AD44" i="9"/>
  <c r="AC44" i="9"/>
  <c r="AC46" i="9" s="1"/>
  <c r="AC87" i="9" s="1"/>
  <c r="AB44" i="9"/>
  <c r="AB87" i="9" s="1"/>
  <c r="AA44" i="9"/>
  <c r="AA87" i="9" s="1"/>
  <c r="Z44" i="9"/>
  <c r="Z87" i="9" s="1"/>
  <c r="Y44" i="9"/>
  <c r="Y87" i="9" s="1"/>
  <c r="X44" i="9"/>
  <c r="X87" i="9" s="1"/>
  <c r="W44" i="9"/>
  <c r="W87" i="9" s="1"/>
  <c r="V44" i="9"/>
  <c r="V87" i="9" s="1"/>
  <c r="U44" i="9"/>
  <c r="T44" i="9"/>
  <c r="T46" i="9" s="1"/>
  <c r="T87" i="9" s="1"/>
  <c r="I44" i="9"/>
  <c r="H44" i="9"/>
  <c r="H46" i="9" s="1"/>
  <c r="H87" i="9" s="1"/>
  <c r="G44" i="9"/>
  <c r="F44" i="9"/>
  <c r="F46" i="9" s="1"/>
  <c r="F87" i="9" s="1"/>
  <c r="E44" i="9"/>
  <c r="D44" i="9"/>
  <c r="D46" i="9" s="1"/>
  <c r="D87" i="9" s="1"/>
  <c r="C44" i="9"/>
  <c r="B44" i="9"/>
  <c r="B46" i="9" s="1"/>
  <c r="B87" i="9" s="1"/>
  <c r="AQ42" i="9"/>
  <c r="AP42" i="9"/>
  <c r="AO42" i="9"/>
  <c r="AN42" i="9"/>
  <c r="AM42" i="9"/>
  <c r="AL42" i="9"/>
  <c r="AK42" i="9"/>
  <c r="AK86" i="9" s="1"/>
  <c r="AJ42" i="9"/>
  <c r="AI42" i="9"/>
  <c r="AH42" i="9"/>
  <c r="AH86" i="9" s="1"/>
  <c r="AG42" i="9"/>
  <c r="AG86" i="9" s="1"/>
  <c r="AF42" i="9"/>
  <c r="AE42" i="9"/>
  <c r="AD42" i="9"/>
  <c r="AC42" i="9"/>
  <c r="AB42" i="9"/>
  <c r="AB86" i="9" s="1"/>
  <c r="AA42" i="9"/>
  <c r="AA86" i="9" s="1"/>
  <c r="Z42" i="9"/>
  <c r="Z86" i="9" s="1"/>
  <c r="Y42" i="9"/>
  <c r="Y86" i="9" s="1"/>
  <c r="X42" i="9"/>
  <c r="X86" i="9" s="1"/>
  <c r="W42" i="9"/>
  <c r="W86" i="9" s="1"/>
  <c r="V42" i="9"/>
  <c r="V86" i="9" s="1"/>
  <c r="U42" i="9"/>
  <c r="T42" i="9"/>
  <c r="I42" i="9"/>
  <c r="H42" i="9"/>
  <c r="G42" i="9"/>
  <c r="F42" i="9"/>
  <c r="E42" i="9"/>
  <c r="D42" i="9"/>
  <c r="C42" i="9"/>
  <c r="B42" i="9"/>
  <c r="AQ40" i="9"/>
  <c r="AO40" i="9"/>
  <c r="AN40" i="9"/>
  <c r="AM40" i="9"/>
  <c r="AK40" i="9"/>
  <c r="AK85" i="9" s="1"/>
  <c r="AJ40" i="9"/>
  <c r="AI40" i="9"/>
  <c r="AH40" i="9"/>
  <c r="AH85" i="9" s="1"/>
  <c r="AG40" i="9"/>
  <c r="AG85" i="9" s="1"/>
  <c r="AF40" i="9"/>
  <c r="AE40" i="9"/>
  <c r="AD40" i="9"/>
  <c r="AC40" i="9"/>
  <c r="AB40" i="9"/>
  <c r="AB85" i="9" s="1"/>
  <c r="AA40" i="9"/>
  <c r="AA85" i="9" s="1"/>
  <c r="Z40" i="9"/>
  <c r="Z85" i="9" s="1"/>
  <c r="Y40" i="9"/>
  <c r="Y85" i="9" s="1"/>
  <c r="X40" i="9"/>
  <c r="X85" i="9" s="1"/>
  <c r="W40" i="9"/>
  <c r="W85" i="9" s="1"/>
  <c r="V40" i="9"/>
  <c r="V85" i="9" s="1"/>
  <c r="U40" i="9"/>
  <c r="I40" i="9"/>
  <c r="H40" i="9"/>
  <c r="G40" i="9"/>
  <c r="E40" i="9"/>
  <c r="D40" i="9"/>
  <c r="C40" i="9"/>
  <c r="AQ38" i="9"/>
  <c r="AP38" i="9"/>
  <c r="AO38" i="9"/>
  <c r="AN38" i="9"/>
  <c r="AM38" i="9"/>
  <c r="AL38" i="9"/>
  <c r="AK38" i="9"/>
  <c r="AK84" i="9" s="1"/>
  <c r="AJ38" i="9"/>
  <c r="AI38" i="9"/>
  <c r="AH38" i="9"/>
  <c r="AH84" i="9" s="1"/>
  <c r="AG38" i="9"/>
  <c r="AG84" i="9" s="1"/>
  <c r="AF38" i="9"/>
  <c r="AE38" i="9"/>
  <c r="AD38" i="9"/>
  <c r="AC38" i="9"/>
  <c r="AB38" i="9"/>
  <c r="AB84" i="9" s="1"/>
  <c r="AA38" i="9"/>
  <c r="AA84" i="9" s="1"/>
  <c r="Z38" i="9"/>
  <c r="Z84" i="9" s="1"/>
  <c r="Y38" i="9"/>
  <c r="Y84" i="9" s="1"/>
  <c r="X38" i="9"/>
  <c r="X84" i="9" s="1"/>
  <c r="W38" i="9"/>
  <c r="W84" i="9" s="1"/>
  <c r="V38" i="9"/>
  <c r="V84" i="9" s="1"/>
  <c r="U38" i="9"/>
  <c r="T38" i="9"/>
  <c r="I38" i="9"/>
  <c r="H38" i="9"/>
  <c r="G38" i="9"/>
  <c r="F38" i="9"/>
  <c r="E38" i="9"/>
  <c r="D38" i="9"/>
  <c r="C38" i="9"/>
  <c r="B38" i="9"/>
  <c r="AQ37" i="9"/>
  <c r="AQ58" i="9" s="1"/>
  <c r="AQ65" i="9" s="1"/>
  <c r="AQ82" i="9" s="1"/>
  <c r="AP37" i="9"/>
  <c r="AP58" i="9" s="1"/>
  <c r="AP65" i="9" s="1"/>
  <c r="AP82" i="9" s="1"/>
  <c r="AO37" i="9"/>
  <c r="AO58" i="9" s="1"/>
  <c r="AO65" i="9" s="1"/>
  <c r="AO82" i="9" s="1"/>
  <c r="AN37" i="9"/>
  <c r="AN58" i="9" s="1"/>
  <c r="AN65" i="9" s="1"/>
  <c r="AN82" i="9" s="1"/>
  <c r="AM37" i="9"/>
  <c r="AM58" i="9" s="1"/>
  <c r="AM65" i="9" s="1"/>
  <c r="AM82" i="9" s="1"/>
  <c r="AL37" i="9"/>
  <c r="AL58" i="9" s="1"/>
  <c r="AL65" i="9" s="1"/>
  <c r="AL82" i="9" s="1"/>
  <c r="AJ37" i="9"/>
  <c r="AJ58" i="9" s="1"/>
  <c r="AJ65" i="9" s="1"/>
  <c r="AJ82" i="9" s="1"/>
  <c r="AI37" i="9"/>
  <c r="AI58" i="9" s="1"/>
  <c r="AI65" i="9" s="1"/>
  <c r="AI82" i="9" s="1"/>
  <c r="AF37" i="9"/>
  <c r="AF58" i="9" s="1"/>
  <c r="AF65" i="9" s="1"/>
  <c r="AF82" i="9" s="1"/>
  <c r="AE37" i="9"/>
  <c r="AE58" i="9" s="1"/>
  <c r="AE65" i="9" s="1"/>
  <c r="AE82" i="9" s="1"/>
  <c r="AD37" i="9"/>
  <c r="AD58" i="9" s="1"/>
  <c r="AD65" i="9" s="1"/>
  <c r="AD82" i="9" s="1"/>
  <c r="AC37" i="9"/>
  <c r="AC58" i="9" s="1"/>
  <c r="AC65" i="9" s="1"/>
  <c r="AC82" i="9" s="1"/>
  <c r="U37" i="9"/>
  <c r="U58" i="9" s="1"/>
  <c r="U65" i="9" s="1"/>
  <c r="U82" i="9" s="1"/>
  <c r="T37" i="9"/>
  <c r="T58" i="9" s="1"/>
  <c r="T65" i="9" s="1"/>
  <c r="T82" i="9" s="1"/>
  <c r="I37" i="9"/>
  <c r="I58" i="9" s="1"/>
  <c r="I65" i="9" s="1"/>
  <c r="I82" i="9" s="1"/>
  <c r="H37" i="9"/>
  <c r="H58" i="9" s="1"/>
  <c r="H65" i="9" s="1"/>
  <c r="H82" i="9" s="1"/>
  <c r="G37" i="9"/>
  <c r="G58" i="9" s="1"/>
  <c r="G65" i="9" s="1"/>
  <c r="G82" i="9" s="1"/>
  <c r="F37" i="9"/>
  <c r="F58" i="9" s="1"/>
  <c r="F65" i="9" s="1"/>
  <c r="F82" i="9" s="1"/>
  <c r="E37" i="9"/>
  <c r="E58" i="9" s="1"/>
  <c r="E65" i="9" s="1"/>
  <c r="E82" i="9" s="1"/>
  <c r="D37" i="9"/>
  <c r="D58" i="9" s="1"/>
  <c r="D65" i="9" s="1"/>
  <c r="D82" i="9" s="1"/>
  <c r="C37" i="9"/>
  <c r="C58" i="9" s="1"/>
  <c r="C65" i="9" s="1"/>
  <c r="C82" i="9" s="1"/>
  <c r="B37" i="9"/>
  <c r="B58" i="9" s="1"/>
  <c r="B65" i="9" s="1"/>
  <c r="B82" i="9" s="1"/>
  <c r="AP36" i="9"/>
  <c r="AP57" i="9" s="1"/>
  <c r="AP64" i="9" s="1"/>
  <c r="AP81" i="9" s="1"/>
  <c r="AN36" i="9"/>
  <c r="AN57" i="9" s="1"/>
  <c r="AN64" i="9" s="1"/>
  <c r="AN81" i="9" s="1"/>
  <c r="AL36" i="9"/>
  <c r="AL57" i="9" s="1"/>
  <c r="AL64" i="9" s="1"/>
  <c r="AL81" i="9" s="1"/>
  <c r="AK36" i="9"/>
  <c r="AK57" i="9" s="1"/>
  <c r="AK64" i="9" s="1"/>
  <c r="AK81" i="9" s="1"/>
  <c r="AI36" i="9"/>
  <c r="AI57" i="9" s="1"/>
  <c r="AI64" i="9" s="1"/>
  <c r="AI81" i="9" s="1"/>
  <c r="AH36" i="9"/>
  <c r="AH57" i="9" s="1"/>
  <c r="AH64" i="9" s="1"/>
  <c r="AH81" i="9" s="1"/>
  <c r="AG36" i="9"/>
  <c r="AG57" i="9" s="1"/>
  <c r="AG64" i="9" s="1"/>
  <c r="AG81" i="9" s="1"/>
  <c r="AE36" i="9"/>
  <c r="AE57" i="9" s="1"/>
  <c r="AE64" i="9" s="1"/>
  <c r="AE81" i="9" s="1"/>
  <c r="AC36" i="9"/>
  <c r="AC57" i="9" s="1"/>
  <c r="AC64" i="9" s="1"/>
  <c r="AC81" i="9" s="1"/>
  <c r="AB36" i="9"/>
  <c r="AB57" i="9" s="1"/>
  <c r="AB64" i="9" s="1"/>
  <c r="AB81" i="9" s="1"/>
  <c r="AA36" i="9"/>
  <c r="AA57" i="9" s="1"/>
  <c r="AA64" i="9" s="1"/>
  <c r="AA81" i="9" s="1"/>
  <c r="Z36" i="9"/>
  <c r="Z57" i="9" s="1"/>
  <c r="Z64" i="9" s="1"/>
  <c r="Z81" i="9" s="1"/>
  <c r="Y36" i="9"/>
  <c r="Y57" i="9" s="1"/>
  <c r="Y64" i="9" s="1"/>
  <c r="Y81" i="9" s="1"/>
  <c r="X36" i="9"/>
  <c r="X57" i="9" s="1"/>
  <c r="X64" i="9" s="1"/>
  <c r="X81" i="9" s="1"/>
  <c r="W36" i="9"/>
  <c r="W57" i="9" s="1"/>
  <c r="W64" i="9" s="1"/>
  <c r="W81" i="9" s="1"/>
  <c r="V36" i="9"/>
  <c r="V57" i="9" s="1"/>
  <c r="V64" i="9" s="1"/>
  <c r="V81" i="9" s="1"/>
  <c r="T36" i="9"/>
  <c r="T57" i="9" s="1"/>
  <c r="T64" i="9" s="1"/>
  <c r="T81" i="9" s="1"/>
  <c r="H36" i="9"/>
  <c r="H57" i="9" s="1"/>
  <c r="H64" i="9" s="1"/>
  <c r="H81" i="9" s="1"/>
  <c r="F36" i="9"/>
  <c r="F57" i="9" s="1"/>
  <c r="F64" i="9" s="1"/>
  <c r="F81" i="9" s="1"/>
  <c r="D36" i="9"/>
  <c r="D57" i="9" s="1"/>
  <c r="D64" i="9" s="1"/>
  <c r="D81" i="9" s="1"/>
  <c r="B36" i="9"/>
  <c r="B57" i="9" s="1"/>
  <c r="B64" i="9" s="1"/>
  <c r="B81" i="9" s="1"/>
  <c r="G34" i="9"/>
  <c r="AM59" i="9" l="1"/>
  <c r="AM47" i="9"/>
  <c r="E59" i="9"/>
  <c r="E47" i="9"/>
  <c r="I59" i="9"/>
  <c r="I47" i="9"/>
  <c r="AN46" i="9"/>
  <c r="AN87" i="9" s="1"/>
  <c r="AP63" i="9"/>
  <c r="H67" i="9"/>
  <c r="H39" i="9" s="1"/>
  <c r="H84" i="9" s="1"/>
  <c r="AI67" i="9"/>
  <c r="AI39" i="9" s="1"/>
  <c r="AI84" i="9" s="1"/>
  <c r="AD74" i="9"/>
  <c r="AJ74" i="9"/>
  <c r="AO74" i="9"/>
  <c r="D71" i="9"/>
  <c r="D39" i="9" s="1"/>
  <c r="D84" i="9" s="1"/>
  <c r="AC71" i="9"/>
  <c r="AN71" i="9"/>
  <c r="D73" i="9"/>
  <c r="H73" i="9"/>
  <c r="AC73" i="9"/>
  <c r="AI73" i="9"/>
  <c r="AI41" i="9" s="1"/>
  <c r="AI85" i="9" s="1"/>
  <c r="AN73" i="9"/>
  <c r="D77" i="9"/>
  <c r="H77" i="9"/>
  <c r="AC77" i="9"/>
  <c r="AI77" i="9"/>
  <c r="AI62" i="9" s="1"/>
  <c r="AI89" i="9" s="1"/>
  <c r="AN77" i="9"/>
  <c r="AN43" i="9" s="1"/>
  <c r="AN86" i="9" s="1"/>
  <c r="B79" i="9"/>
  <c r="B43" i="9" s="1"/>
  <c r="B86" i="9" s="1"/>
  <c r="F79" i="9"/>
  <c r="T79" i="9"/>
  <c r="T43" i="9" s="1"/>
  <c r="T86" i="9" s="1"/>
  <c r="AE79" i="9"/>
  <c r="AL79" i="9"/>
  <c r="AL43" i="9" s="1"/>
  <c r="AL86" i="9" s="1"/>
  <c r="AP79" i="9"/>
  <c r="AL46" i="9"/>
  <c r="AL87" i="9" s="1"/>
  <c r="AP46" i="9"/>
  <c r="AP87" i="9" s="1"/>
  <c r="AC39" i="9"/>
  <c r="AC84" i="9" s="1"/>
  <c r="AN39" i="9"/>
  <c r="AN84" i="9" s="1"/>
  <c r="F69" i="9"/>
  <c r="AE69" i="9"/>
  <c r="AI46" i="9"/>
  <c r="AI87" i="9" s="1"/>
  <c r="B67" i="9"/>
  <c r="F67" i="9"/>
  <c r="F39" i="9" s="1"/>
  <c r="F84" i="9" s="1"/>
  <c r="T67" i="9"/>
  <c r="AE67" i="9"/>
  <c r="AL67" i="9"/>
  <c r="AP67" i="9"/>
  <c r="AP39" i="9" s="1"/>
  <c r="AP84" i="9" s="1"/>
  <c r="C74" i="9"/>
  <c r="C47" i="9" s="1"/>
  <c r="G74" i="9"/>
  <c r="G47" i="9" s="1"/>
  <c r="U74" i="9"/>
  <c r="U47" i="9" s="1"/>
  <c r="AF74" i="9"/>
  <c r="B71" i="9"/>
  <c r="B39" i="9" s="1"/>
  <c r="B84" i="9" s="1"/>
  <c r="F71" i="9"/>
  <c r="T71" i="9"/>
  <c r="T39" i="9" s="1"/>
  <c r="T84" i="9" s="1"/>
  <c r="AE71" i="9"/>
  <c r="AL71" i="9"/>
  <c r="AL39" i="9" s="1"/>
  <c r="AL84" i="9" s="1"/>
  <c r="AP71" i="9"/>
  <c r="B73" i="9"/>
  <c r="B41" i="9" s="1"/>
  <c r="B85" i="9" s="1"/>
  <c r="F73" i="9"/>
  <c r="F41" i="9" s="1"/>
  <c r="F85" i="9" s="1"/>
  <c r="T73" i="9"/>
  <c r="T41" i="9" s="1"/>
  <c r="T85" i="9" s="1"/>
  <c r="AE73" i="9"/>
  <c r="AE41" i="9" s="1"/>
  <c r="AE85" i="9" s="1"/>
  <c r="AL73" i="9"/>
  <c r="AL41" i="9" s="1"/>
  <c r="AL85" i="9" s="1"/>
  <c r="AP40" i="9"/>
  <c r="D79" i="9"/>
  <c r="D43" i="9" s="1"/>
  <c r="D86" i="9" s="1"/>
  <c r="AC79" i="9"/>
  <c r="AC43" i="9" s="1"/>
  <c r="AC86" i="9" s="1"/>
  <c r="F43" i="9"/>
  <c r="F86" i="9" s="1"/>
  <c r="F62" i="9"/>
  <c r="F89" i="9" s="1"/>
  <c r="AE62" i="9"/>
  <c r="AE89" i="9" s="1"/>
  <c r="AE43" i="9"/>
  <c r="AE86" i="9" s="1"/>
  <c r="AP43" i="9"/>
  <c r="AP86" i="9" s="1"/>
  <c r="B40" i="9"/>
  <c r="F40" i="9"/>
  <c r="T40" i="9"/>
  <c r="W47" i="9"/>
  <c r="W90" i="9" s="1"/>
  <c r="AA47" i="9"/>
  <c r="AA90" i="9" s="1"/>
  <c r="AQ47" i="9"/>
  <c r="C59" i="9"/>
  <c r="G59" i="9"/>
  <c r="U59" i="9"/>
  <c r="D74" i="9"/>
  <c r="D69" i="9"/>
  <c r="H74" i="9"/>
  <c r="H69" i="9"/>
  <c r="AC74" i="9"/>
  <c r="AC69" i="9"/>
  <c r="AC41" i="9" s="1"/>
  <c r="AC85" i="9" s="1"/>
  <c r="AN74" i="9"/>
  <c r="AN69" i="9"/>
  <c r="AN41" i="9" s="1"/>
  <c r="AN85" i="9" s="1"/>
  <c r="AI74" i="9"/>
  <c r="AE74" i="9"/>
  <c r="H79" i="9"/>
  <c r="H43" i="9" s="1"/>
  <c r="H86" i="9" s="1"/>
  <c r="AI79" i="9"/>
  <c r="AI43" i="9" s="1"/>
  <c r="AI86" i="9" s="1"/>
  <c r="AP73" i="9"/>
  <c r="AL40" i="9"/>
  <c r="B74" i="9"/>
  <c r="T74" i="9"/>
  <c r="AL74" i="9"/>
  <c r="AP74" i="9"/>
  <c r="F74" i="9"/>
  <c r="AP69" i="9"/>
  <c r="AP62" i="9" s="1"/>
  <c r="AP89" i="9" s="1"/>
  <c r="AF47" i="9" l="1"/>
  <c r="AF59" i="9"/>
  <c r="AO59" i="9"/>
  <c r="AO47" i="9"/>
  <c r="AJ47" i="9"/>
  <c r="AJ59" i="9"/>
  <c r="AE39" i="9"/>
  <c r="AE84" i="9" s="1"/>
  <c r="AD59" i="9"/>
  <c r="AD47" i="9"/>
  <c r="F75" i="9"/>
  <c r="F60" i="9" s="1"/>
  <c r="F88" i="9" s="1"/>
  <c r="F47" i="9"/>
  <c r="F48" i="9" s="1"/>
  <c r="F90" i="9" s="1"/>
  <c r="F59" i="9"/>
  <c r="B75" i="9"/>
  <c r="B60" i="9" s="1"/>
  <c r="B88" i="9" s="1"/>
  <c r="B47" i="9"/>
  <c r="B48" i="9" s="1"/>
  <c r="B90" i="9" s="1"/>
  <c r="B59" i="9"/>
  <c r="AI59" i="9"/>
  <c r="AI75" i="9"/>
  <c r="AI60" i="9" s="1"/>
  <c r="AI88" i="9" s="1"/>
  <c r="AI47" i="9"/>
  <c r="AI48" i="9" s="1"/>
  <c r="AI90" i="9" s="1"/>
  <c r="AC75" i="9"/>
  <c r="AC60" i="9" s="1"/>
  <c r="AC88" i="9" s="1"/>
  <c r="AC47" i="9"/>
  <c r="AC48" i="9" s="1"/>
  <c r="AC90" i="9" s="1"/>
  <c r="AC59" i="9"/>
  <c r="D75" i="9"/>
  <c r="D60" i="9" s="1"/>
  <c r="D88" i="9" s="1"/>
  <c r="D59" i="9"/>
  <c r="D47" i="9"/>
  <c r="D48" i="9" s="1"/>
  <c r="D90" i="9" s="1"/>
  <c r="AP75" i="9"/>
  <c r="AP60" i="9" s="1"/>
  <c r="AP88" i="9" s="1"/>
  <c r="AP59" i="9"/>
  <c r="AP47" i="9"/>
  <c r="AP48" i="9" s="1"/>
  <c r="AP90" i="9" s="1"/>
  <c r="AE75" i="9"/>
  <c r="AE60" i="9" s="1"/>
  <c r="AE88" i="9" s="1"/>
  <c r="AE59" i="9"/>
  <c r="AE47" i="9"/>
  <c r="AE48" i="9" s="1"/>
  <c r="AE90" i="9" s="1"/>
  <c r="H62" i="9"/>
  <c r="H89" i="9" s="1"/>
  <c r="H41" i="9"/>
  <c r="H85" i="9" s="1"/>
  <c r="T75" i="9"/>
  <c r="T60" i="9" s="1"/>
  <c r="T88" i="9" s="1"/>
  <c r="T47" i="9"/>
  <c r="T48" i="9" s="1"/>
  <c r="T90" i="9" s="1"/>
  <c r="T59" i="9"/>
  <c r="AC62" i="9"/>
  <c r="AC89" i="9" s="1"/>
  <c r="D41" i="9"/>
  <c r="D85" i="9" s="1"/>
  <c r="D62" i="9"/>
  <c r="D89" i="9" s="1"/>
  <c r="AL75" i="9"/>
  <c r="AL60" i="9" s="1"/>
  <c r="AL88" i="9" s="1"/>
  <c r="AL47" i="9"/>
  <c r="AL48" i="9" s="1"/>
  <c r="AL90" i="9" s="1"/>
  <c r="AL59" i="9"/>
  <c r="AP41" i="9"/>
  <c r="AP85" i="9" s="1"/>
  <c r="AN62" i="9"/>
  <c r="AN89" i="9" s="1"/>
  <c r="AN75" i="9"/>
  <c r="AN60" i="9" s="1"/>
  <c r="AN88" i="9" s="1"/>
  <c r="AN47" i="9"/>
  <c r="AN48" i="9" s="1"/>
  <c r="AN90" i="9" s="1"/>
  <c r="AN59" i="9"/>
  <c r="H59" i="9"/>
  <c r="H47" i="9"/>
  <c r="H48" i="9" s="1"/>
  <c r="H90" i="9" s="1"/>
  <c r="H75" i="9"/>
  <c r="H60" i="9" s="1"/>
  <c r="H88" i="9" s="1"/>
  <c r="A9" i="8" l="1"/>
  <c r="A10" i="8" s="1"/>
  <c r="A11" i="8" s="1"/>
  <c r="A12" i="8" s="1"/>
  <c r="A13" i="8" s="1"/>
  <c r="A14" i="8" s="1"/>
  <c r="A15" i="8" s="1"/>
  <c r="A16" i="8" s="1"/>
  <c r="A17" i="8" s="1"/>
  <c r="A18" i="8" s="1"/>
  <c r="A19" i="8" s="1"/>
  <c r="A20" i="8" s="1"/>
  <c r="A21" i="8" s="1"/>
  <c r="A22" i="8" s="1"/>
  <c r="A23" i="8" s="1"/>
  <c r="A24" i="8" s="1"/>
  <c r="A25" i="8" s="1"/>
  <c r="A26" i="8" s="1"/>
  <c r="A27" i="8" s="1"/>
  <c r="A28" i="8" s="1"/>
  <c r="A29" i="8" s="1"/>
  <c r="A30" i="8" s="1"/>
  <c r="A31" i="8" s="1"/>
  <c r="A32" i="8" s="1"/>
  <c r="A33" i="8" s="1"/>
  <c r="A34" i="8" s="1"/>
  <c r="A35" i="8" s="1"/>
  <c r="A36" i="8" s="1"/>
  <c r="A37" i="8" s="1"/>
  <c r="A38" i="8" s="1"/>
  <c r="A39" i="8" s="1"/>
  <c r="A40" i="8" s="1"/>
  <c r="A41" i="8" s="1"/>
  <c r="A42" i="8" s="1"/>
  <c r="A43" i="8" s="1"/>
  <c r="A44" i="8" s="1"/>
  <c r="A45" i="8" s="1"/>
  <c r="A46" i="8" s="1"/>
  <c r="A47" i="8" s="1"/>
  <c r="A48" i="8" s="1"/>
  <c r="B36" i="7"/>
  <c r="D36" i="7"/>
  <c r="F36" i="7"/>
  <c r="H36" i="7"/>
  <c r="H57" i="7" s="1"/>
  <c r="H64" i="7" s="1"/>
  <c r="H81" i="7" s="1"/>
  <c r="T36" i="7"/>
  <c r="V36" i="7"/>
  <c r="W36" i="7"/>
  <c r="X36" i="7"/>
  <c r="X57" i="7" s="1"/>
  <c r="X64" i="7" s="1"/>
  <c r="X81" i="7" s="1"/>
  <c r="Z36" i="7"/>
  <c r="AA36" i="7"/>
  <c r="B37" i="7"/>
  <c r="C37" i="7"/>
  <c r="C58" i="7" s="1"/>
  <c r="C65" i="7" s="1"/>
  <c r="C82" i="7" s="1"/>
  <c r="D37" i="7"/>
  <c r="E37" i="7"/>
  <c r="F37" i="7"/>
  <c r="G37" i="7"/>
  <c r="G58" i="7" s="1"/>
  <c r="G65" i="7" s="1"/>
  <c r="G82" i="7" s="1"/>
  <c r="H37" i="7"/>
  <c r="I37" i="7"/>
  <c r="T37" i="7"/>
  <c r="U37" i="7"/>
  <c r="U58" i="7" s="1"/>
  <c r="U65" i="7" s="1"/>
  <c r="U82" i="7" s="1"/>
  <c r="X37" i="7"/>
  <c r="Y37" i="7"/>
  <c r="AA37" i="7"/>
  <c r="AB37" i="7"/>
  <c r="AB58" i="7" s="1"/>
  <c r="AB65" i="7" s="1"/>
  <c r="AB82" i="7" s="1"/>
  <c r="T38" i="7"/>
  <c r="U38" i="7"/>
  <c r="V38" i="7"/>
  <c r="V84" i="7" s="1"/>
  <c r="W38" i="7"/>
  <c r="W84" i="7" s="1"/>
  <c r="Z38" i="7"/>
  <c r="T40" i="7"/>
  <c r="U40" i="7"/>
  <c r="V40" i="7"/>
  <c r="W40" i="7"/>
  <c r="Z40" i="7"/>
  <c r="Z85" i="7" s="1"/>
  <c r="T42" i="7"/>
  <c r="U42" i="7"/>
  <c r="V42" i="7"/>
  <c r="V86" i="7" s="1"/>
  <c r="W42" i="7"/>
  <c r="W86" i="7" s="1"/>
  <c r="Z42" i="7"/>
  <c r="T44" i="7"/>
  <c r="T46" i="7" s="1"/>
  <c r="T87" i="7" s="1"/>
  <c r="U44" i="7"/>
  <c r="V44" i="7"/>
  <c r="V87" i="7" s="1"/>
  <c r="W44" i="7"/>
  <c r="W87" i="7" s="1"/>
  <c r="Z44" i="7"/>
  <c r="Z87" i="7" s="1"/>
  <c r="B57" i="7"/>
  <c r="B64" i="7" s="1"/>
  <c r="B81" i="7" s="1"/>
  <c r="D57" i="7"/>
  <c r="F57" i="7"/>
  <c r="T57" i="7"/>
  <c r="V57" i="7"/>
  <c r="V64" i="7" s="1"/>
  <c r="V81" i="7" s="1"/>
  <c r="W57" i="7"/>
  <c r="Z57" i="7"/>
  <c r="AA57" i="7"/>
  <c r="B58" i="7"/>
  <c r="B65" i="7" s="1"/>
  <c r="B82" i="7" s="1"/>
  <c r="D58" i="7"/>
  <c r="E58" i="7"/>
  <c r="F58" i="7"/>
  <c r="H58" i="7"/>
  <c r="H65" i="7" s="1"/>
  <c r="H82" i="7" s="1"/>
  <c r="I58" i="7"/>
  <c r="T58" i="7"/>
  <c r="X58" i="7"/>
  <c r="Y58" i="7"/>
  <c r="Y65" i="7" s="1"/>
  <c r="Y82" i="7" s="1"/>
  <c r="AA58" i="7"/>
  <c r="H61" i="7"/>
  <c r="T61" i="7"/>
  <c r="U61" i="7"/>
  <c r="V61" i="7"/>
  <c r="V89" i="7" s="1"/>
  <c r="W61" i="7"/>
  <c r="Z61" i="7"/>
  <c r="Z89" i="7" s="1"/>
  <c r="D64" i="7"/>
  <c r="D81" i="7" s="1"/>
  <c r="F64" i="7"/>
  <c r="F81" i="7" s="1"/>
  <c r="T64" i="7"/>
  <c r="W64" i="7"/>
  <c r="W81" i="7" s="1"/>
  <c r="Z64" i="7"/>
  <c r="AA64" i="7"/>
  <c r="D65" i="7"/>
  <c r="E65" i="7"/>
  <c r="F65" i="7"/>
  <c r="F82" i="7" s="1"/>
  <c r="I65" i="7"/>
  <c r="I82" i="7" s="1"/>
  <c r="T65" i="7"/>
  <c r="T82" i="7" s="1"/>
  <c r="X65" i="7"/>
  <c r="AA65" i="7"/>
  <c r="AA82" i="7" s="1"/>
  <c r="B66" i="7"/>
  <c r="C66" i="7"/>
  <c r="D66" i="7"/>
  <c r="E66" i="7"/>
  <c r="E38" i="7" s="1"/>
  <c r="F66" i="7"/>
  <c r="F67" i="7" s="1"/>
  <c r="G66" i="7"/>
  <c r="H66" i="7"/>
  <c r="I66" i="7"/>
  <c r="I38" i="7" s="1"/>
  <c r="X66" i="7"/>
  <c r="Y66" i="7"/>
  <c r="AA66" i="7"/>
  <c r="AB66" i="7"/>
  <c r="B67" i="7"/>
  <c r="T67" i="7"/>
  <c r="X67" i="7"/>
  <c r="B68" i="7"/>
  <c r="C68" i="7"/>
  <c r="D68" i="7"/>
  <c r="E68" i="7"/>
  <c r="D69" i="7" s="1"/>
  <c r="F68" i="7"/>
  <c r="G68" i="7"/>
  <c r="H68" i="7"/>
  <c r="I68" i="7"/>
  <c r="I40" i="7" s="1"/>
  <c r="X68" i="7"/>
  <c r="Y68" i="7"/>
  <c r="AA68" i="7"/>
  <c r="AB68" i="7"/>
  <c r="B69" i="7"/>
  <c r="T69" i="7"/>
  <c r="B70" i="7"/>
  <c r="C70" i="7"/>
  <c r="D70" i="7"/>
  <c r="E70" i="7"/>
  <c r="F70" i="7"/>
  <c r="G70" i="7"/>
  <c r="H70" i="7"/>
  <c r="I70" i="7"/>
  <c r="X70" i="7"/>
  <c r="Y70" i="7"/>
  <c r="AA70" i="7"/>
  <c r="AA71" i="7" s="1"/>
  <c r="AB70" i="7"/>
  <c r="D71" i="7"/>
  <c r="H71" i="7"/>
  <c r="T71" i="7"/>
  <c r="B72" i="7"/>
  <c r="B40" i="7" s="1"/>
  <c r="C72" i="7"/>
  <c r="D72" i="7"/>
  <c r="D40" i="7" s="1"/>
  <c r="E72" i="7"/>
  <c r="E40" i="7" s="1"/>
  <c r="F72" i="7"/>
  <c r="F40" i="7" s="1"/>
  <c r="G72" i="7"/>
  <c r="H72" i="7"/>
  <c r="I72" i="7"/>
  <c r="X72" i="7"/>
  <c r="X40" i="7" s="1"/>
  <c r="Y72" i="7"/>
  <c r="AA72" i="7"/>
  <c r="AA40" i="7" s="1"/>
  <c r="AB72" i="7"/>
  <c r="D73" i="7"/>
  <c r="D41" i="7" s="1"/>
  <c r="D85" i="7" s="1"/>
  <c r="T73" i="7"/>
  <c r="D74" i="7"/>
  <c r="D47" i="7" s="1"/>
  <c r="H74" i="7"/>
  <c r="T74" i="7"/>
  <c r="T47" i="7" s="1"/>
  <c r="T48" i="7" s="1"/>
  <c r="T90" i="7" s="1"/>
  <c r="U74" i="7"/>
  <c r="U47" i="7" s="1"/>
  <c r="V74" i="7"/>
  <c r="V47" i="7" s="1"/>
  <c r="V90" i="7" s="1"/>
  <c r="W74" i="7"/>
  <c r="W59" i="7" s="1"/>
  <c r="W88" i="7" s="1"/>
  <c r="Z74" i="7"/>
  <c r="Z47" i="7" s="1"/>
  <c r="Z90" i="7" s="1"/>
  <c r="AA74" i="7"/>
  <c r="AA47" i="7" s="1"/>
  <c r="B76" i="7"/>
  <c r="C76" i="7"/>
  <c r="B77" i="7" s="1"/>
  <c r="D76" i="7"/>
  <c r="D61" i="7" s="1"/>
  <c r="E76" i="7"/>
  <c r="E42" i="7" s="1"/>
  <c r="F76" i="7"/>
  <c r="G76" i="7"/>
  <c r="G42" i="7" s="1"/>
  <c r="H76" i="7"/>
  <c r="I76" i="7"/>
  <c r="X76" i="7"/>
  <c r="Y76" i="7"/>
  <c r="Y42" i="7" s="1"/>
  <c r="AA76" i="7"/>
  <c r="AA59" i="7" s="1"/>
  <c r="AB76" i="7"/>
  <c r="H77" i="7"/>
  <c r="T77" i="7"/>
  <c r="B78" i="7"/>
  <c r="C78" i="7"/>
  <c r="D78" i="7"/>
  <c r="E78" i="7"/>
  <c r="F78" i="7"/>
  <c r="F79" i="7" s="1"/>
  <c r="G78" i="7"/>
  <c r="H78" i="7"/>
  <c r="I78" i="7"/>
  <c r="X78" i="7"/>
  <c r="X79" i="7" s="1"/>
  <c r="Y78" i="7"/>
  <c r="AA78" i="7"/>
  <c r="AB78" i="7"/>
  <c r="B79" i="7"/>
  <c r="T79" i="7"/>
  <c r="T81" i="7"/>
  <c r="Z81" i="7"/>
  <c r="AA81" i="7"/>
  <c r="D82" i="7"/>
  <c r="E82" i="7"/>
  <c r="X82" i="7"/>
  <c r="B83" i="7"/>
  <c r="C83" i="7"/>
  <c r="D83" i="7"/>
  <c r="E83" i="7"/>
  <c r="F83" i="7"/>
  <c r="G83" i="7"/>
  <c r="H83" i="7"/>
  <c r="I83" i="7"/>
  <c r="T83" i="7"/>
  <c r="U83" i="7"/>
  <c r="V83" i="7"/>
  <c r="W83" i="7"/>
  <c r="X83" i="7"/>
  <c r="Y83" i="7"/>
  <c r="Z83" i="7"/>
  <c r="AA83" i="7"/>
  <c r="AB83" i="7"/>
  <c r="Z84" i="7"/>
  <c r="V85" i="7"/>
  <c r="W85" i="7"/>
  <c r="Z86" i="7"/>
  <c r="W89" i="7"/>
  <c r="AA79" i="7" l="1"/>
  <c r="H79" i="7"/>
  <c r="AA77" i="7"/>
  <c r="F77" i="7"/>
  <c r="F43" i="7" s="1"/>
  <c r="F86" i="7" s="1"/>
  <c r="I74" i="7"/>
  <c r="I47" i="7" s="1"/>
  <c r="AA73" i="7"/>
  <c r="AB40" i="7"/>
  <c r="AA67" i="7"/>
  <c r="AA39" i="7" s="1"/>
  <c r="AA84" i="7" s="1"/>
  <c r="E61" i="7"/>
  <c r="W47" i="7"/>
  <c r="W90" i="7" s="1"/>
  <c r="AA42" i="7"/>
  <c r="X43" i="7"/>
  <c r="X77" i="7"/>
  <c r="I59" i="7"/>
  <c r="T75" i="7"/>
  <c r="H69" i="7"/>
  <c r="G44" i="7"/>
  <c r="AA61" i="7"/>
  <c r="AA38" i="7"/>
  <c r="E74" i="7"/>
  <c r="E47" i="7" s="1"/>
  <c r="F73" i="7"/>
  <c r="X71" i="7"/>
  <c r="X39" i="7" s="1"/>
  <c r="X84" i="7" s="1"/>
  <c r="B71" i="7"/>
  <c r="B74" i="7"/>
  <c r="X38" i="7"/>
  <c r="F38" i="7"/>
  <c r="B38" i="7"/>
  <c r="I44" i="7"/>
  <c r="H43" i="7"/>
  <c r="H86" i="7" s="1"/>
  <c r="H62" i="7"/>
  <c r="H89" i="7" s="1"/>
  <c r="B43" i="7"/>
  <c r="B86" i="7" s="1"/>
  <c r="B62" i="7"/>
  <c r="B89" i="7" s="1"/>
  <c r="Y40" i="7"/>
  <c r="Y74" i="7"/>
  <c r="Y47" i="7" s="1"/>
  <c r="C40" i="7"/>
  <c r="B73" i="7"/>
  <c r="B41" i="7" s="1"/>
  <c r="B85" i="7" s="1"/>
  <c r="C74" i="7"/>
  <c r="C47" i="7" s="1"/>
  <c r="B39" i="7"/>
  <c r="B84" i="7" s="1"/>
  <c r="F42" i="7"/>
  <c r="AB38" i="7"/>
  <c r="AB44" i="7"/>
  <c r="E44" i="7"/>
  <c r="D79" i="7"/>
  <c r="AB42" i="7"/>
  <c r="AB61" i="7"/>
  <c r="D75" i="7"/>
  <c r="H75" i="7"/>
  <c r="H60" i="7" s="1"/>
  <c r="H88" i="7" s="1"/>
  <c r="H47" i="7"/>
  <c r="H48" i="7" s="1"/>
  <c r="H90" i="7" s="1"/>
  <c r="X73" i="7"/>
  <c r="X69" i="7"/>
  <c r="X62" i="7" s="1"/>
  <c r="X89" i="7" s="1"/>
  <c r="X74" i="7"/>
  <c r="F74" i="7"/>
  <c r="F69" i="7"/>
  <c r="F41" i="7" s="1"/>
  <c r="F85" i="7" s="1"/>
  <c r="B47" i="7"/>
  <c r="B75" i="7"/>
  <c r="B60" i="7" s="1"/>
  <c r="B88" i="7" s="1"/>
  <c r="H67" i="7"/>
  <c r="H39" i="7" s="1"/>
  <c r="H84" i="7" s="1"/>
  <c r="H44" i="7"/>
  <c r="H46" i="7" s="1"/>
  <c r="H87" i="7" s="1"/>
  <c r="H38" i="7"/>
  <c r="D38" i="7"/>
  <c r="D44" i="7"/>
  <c r="D46" i="7" s="1"/>
  <c r="D87" i="7" s="1"/>
  <c r="D67" i="7"/>
  <c r="D39" i="7" s="1"/>
  <c r="D84" i="7" s="1"/>
  <c r="V59" i="7"/>
  <c r="V88" i="7" s="1"/>
  <c r="AA44" i="7"/>
  <c r="AA46" i="7" s="1"/>
  <c r="AA87" i="7" s="1"/>
  <c r="AA43" i="7"/>
  <c r="AA86" i="7" s="1"/>
  <c r="I42" i="7"/>
  <c r="D48" i="7"/>
  <c r="D90" i="7" s="1"/>
  <c r="G40" i="7"/>
  <c r="G74" i="7"/>
  <c r="G47" i="7" s="1"/>
  <c r="Z59" i="7"/>
  <c r="Z88" i="7" s="1"/>
  <c r="X42" i="7"/>
  <c r="B42" i="7"/>
  <c r="T39" i="7"/>
  <c r="T84" i="7" s="1"/>
  <c r="T43" i="7"/>
  <c r="T86" i="7" s="1"/>
  <c r="H42" i="7"/>
  <c r="H59" i="7"/>
  <c r="D59" i="7"/>
  <c r="D77" i="7"/>
  <c r="D42" i="7"/>
  <c r="T41" i="7"/>
  <c r="T85" i="7" s="1"/>
  <c r="H73" i="7"/>
  <c r="H41" i="7" s="1"/>
  <c r="H85" i="7" s="1"/>
  <c r="H40" i="7"/>
  <c r="F71" i="7"/>
  <c r="F39" i="7" s="1"/>
  <c r="F84" i="7" s="1"/>
  <c r="AB74" i="7"/>
  <c r="AA69" i="7"/>
  <c r="AA41" i="7" s="1"/>
  <c r="AA85" i="7" s="1"/>
  <c r="Y38" i="7"/>
  <c r="G38" i="7"/>
  <c r="C38" i="7"/>
  <c r="F62" i="7"/>
  <c r="F89" i="7" s="1"/>
  <c r="I61" i="7"/>
  <c r="T62" i="7"/>
  <c r="T89" i="7" s="1"/>
  <c r="Y61" i="7"/>
  <c r="G61" i="7"/>
  <c r="C61" i="7"/>
  <c r="T60" i="7"/>
  <c r="T88" i="7" s="1"/>
  <c r="Y59" i="7"/>
  <c r="U59" i="7"/>
  <c r="C59" i="7"/>
  <c r="Y44" i="7"/>
  <c r="C44" i="7"/>
  <c r="C42" i="7"/>
  <c r="X61" i="7"/>
  <c r="F61" i="7"/>
  <c r="B61" i="7"/>
  <c r="X59" i="7"/>
  <c r="T59" i="7"/>
  <c r="B59" i="7"/>
  <c r="X44" i="7"/>
  <c r="F44" i="7"/>
  <c r="F46" i="7" s="1"/>
  <c r="F87" i="7" s="1"/>
  <c r="B44" i="7"/>
  <c r="B46" i="7" s="1"/>
  <c r="B87" i="7" s="1"/>
  <c r="Z83" i="6"/>
  <c r="Y83" i="6"/>
  <c r="X83" i="6"/>
  <c r="W83" i="6"/>
  <c r="V83" i="6"/>
  <c r="U83" i="6"/>
  <c r="T83" i="6"/>
  <c r="I83" i="6"/>
  <c r="H83" i="6"/>
  <c r="G83" i="6"/>
  <c r="F83" i="6"/>
  <c r="E83" i="6"/>
  <c r="D83" i="6"/>
  <c r="C83" i="6"/>
  <c r="B83" i="6"/>
  <c r="U78" i="6"/>
  <c r="T78" i="6"/>
  <c r="T79" i="6" s="1"/>
  <c r="I78" i="6"/>
  <c r="H78" i="6"/>
  <c r="H79" i="6" s="1"/>
  <c r="G78" i="6"/>
  <c r="F78" i="6"/>
  <c r="F79" i="6" s="1"/>
  <c r="E78" i="6"/>
  <c r="D78" i="6"/>
  <c r="C78" i="6"/>
  <c r="B78" i="6"/>
  <c r="B79" i="6" s="1"/>
  <c r="B43" i="6" s="1"/>
  <c r="B86" i="6" s="1"/>
  <c r="U76" i="6"/>
  <c r="T76" i="6"/>
  <c r="I76" i="6"/>
  <c r="H76" i="6"/>
  <c r="H77" i="6" s="1"/>
  <c r="G76" i="6"/>
  <c r="F76" i="6"/>
  <c r="F77" i="6" s="1"/>
  <c r="E76" i="6"/>
  <c r="D76" i="6"/>
  <c r="C76" i="6"/>
  <c r="B76" i="6"/>
  <c r="B77" i="6" s="1"/>
  <c r="Z74" i="6"/>
  <c r="Y74" i="6"/>
  <c r="X74" i="6"/>
  <c r="W74" i="6"/>
  <c r="V74" i="6"/>
  <c r="U72" i="6"/>
  <c r="T73" i="6" s="1"/>
  <c r="T72" i="6"/>
  <c r="I72" i="6"/>
  <c r="H72" i="6"/>
  <c r="G72" i="6"/>
  <c r="F72" i="6"/>
  <c r="E72" i="6"/>
  <c r="D72" i="6"/>
  <c r="C72" i="6"/>
  <c r="B72" i="6"/>
  <c r="B73" i="6" s="1"/>
  <c r="U70" i="6"/>
  <c r="T70" i="6"/>
  <c r="I70" i="6"/>
  <c r="H70" i="6"/>
  <c r="G70" i="6"/>
  <c r="F70" i="6"/>
  <c r="F71" i="6" s="1"/>
  <c r="E70" i="6"/>
  <c r="D70" i="6"/>
  <c r="C70" i="6"/>
  <c r="B70" i="6"/>
  <c r="U68" i="6"/>
  <c r="T68" i="6"/>
  <c r="I68" i="6"/>
  <c r="I74" i="6" s="1"/>
  <c r="H68" i="6"/>
  <c r="H74" i="6" s="1"/>
  <c r="G68" i="6"/>
  <c r="F68" i="6"/>
  <c r="F74" i="6" s="1"/>
  <c r="E68" i="6"/>
  <c r="E74" i="6" s="1"/>
  <c r="D68" i="6"/>
  <c r="D74" i="6" s="1"/>
  <c r="C68" i="6"/>
  <c r="B68" i="6"/>
  <c r="U66" i="6"/>
  <c r="T66" i="6"/>
  <c r="T67" i="6" s="1"/>
  <c r="I66" i="6"/>
  <c r="H66" i="6"/>
  <c r="H67" i="6" s="1"/>
  <c r="G66" i="6"/>
  <c r="F66" i="6"/>
  <c r="F67" i="6" s="1"/>
  <c r="E66" i="6"/>
  <c r="E44" i="6" s="1"/>
  <c r="D66" i="6"/>
  <c r="D67" i="6" s="1"/>
  <c r="C66" i="6"/>
  <c r="B66" i="6"/>
  <c r="B67" i="6" s="1"/>
  <c r="Z61" i="6"/>
  <c r="Z89" i="6" s="1"/>
  <c r="Y61" i="6"/>
  <c r="Y89" i="6" s="1"/>
  <c r="X61" i="6"/>
  <c r="X89" i="6" s="1"/>
  <c r="W61" i="6"/>
  <c r="W89" i="6" s="1"/>
  <c r="V61" i="6"/>
  <c r="V89" i="6" s="1"/>
  <c r="T61" i="6"/>
  <c r="H61" i="6"/>
  <c r="F61" i="6"/>
  <c r="E61" i="6"/>
  <c r="D61" i="6"/>
  <c r="Z59" i="6"/>
  <c r="Z88" i="6" s="1"/>
  <c r="Y59" i="6"/>
  <c r="Y88" i="6" s="1"/>
  <c r="X59" i="6"/>
  <c r="X88" i="6" s="1"/>
  <c r="W59" i="6"/>
  <c r="W88" i="6" s="1"/>
  <c r="V59" i="6"/>
  <c r="V88" i="6" s="1"/>
  <c r="F59" i="6"/>
  <c r="Z47" i="6"/>
  <c r="Z90" i="6" s="1"/>
  <c r="Y47" i="6"/>
  <c r="Y90" i="6" s="1"/>
  <c r="X47" i="6"/>
  <c r="X90" i="6" s="1"/>
  <c r="W47" i="6"/>
  <c r="W90" i="6" s="1"/>
  <c r="V47" i="6"/>
  <c r="V90" i="6" s="1"/>
  <c r="F47" i="6"/>
  <c r="Z44" i="6"/>
  <c r="Z87" i="6" s="1"/>
  <c r="Y44" i="6"/>
  <c r="Y87" i="6" s="1"/>
  <c r="X44" i="6"/>
  <c r="X87" i="6" s="1"/>
  <c r="W44" i="6"/>
  <c r="W87" i="6" s="1"/>
  <c r="V44" i="6"/>
  <c r="V87" i="6" s="1"/>
  <c r="T44" i="6"/>
  <c r="I44" i="6"/>
  <c r="F44" i="6"/>
  <c r="B44" i="6"/>
  <c r="Z42" i="6"/>
  <c r="Z86" i="6" s="1"/>
  <c r="Y42" i="6"/>
  <c r="Y86" i="6" s="1"/>
  <c r="X42" i="6"/>
  <c r="X86" i="6" s="1"/>
  <c r="W42" i="6"/>
  <c r="W86" i="6" s="1"/>
  <c r="V42" i="6"/>
  <c r="V86" i="6" s="1"/>
  <c r="T42" i="6"/>
  <c r="I42" i="6"/>
  <c r="H42" i="6"/>
  <c r="F42" i="6"/>
  <c r="E42" i="6"/>
  <c r="D42" i="6"/>
  <c r="B42" i="6"/>
  <c r="Z40" i="6"/>
  <c r="Z85" i="6" s="1"/>
  <c r="Y40" i="6"/>
  <c r="Y85" i="6" s="1"/>
  <c r="X40" i="6"/>
  <c r="X85" i="6" s="1"/>
  <c r="W40" i="6"/>
  <c r="W85" i="6" s="1"/>
  <c r="V40" i="6"/>
  <c r="V85" i="6" s="1"/>
  <c r="T40" i="6"/>
  <c r="I40" i="6"/>
  <c r="F40" i="6"/>
  <c r="E40" i="6"/>
  <c r="B40" i="6"/>
  <c r="Z38" i="6"/>
  <c r="Z84" i="6" s="1"/>
  <c r="Y38" i="6"/>
  <c r="Y84" i="6" s="1"/>
  <c r="X38" i="6"/>
  <c r="X84" i="6" s="1"/>
  <c r="W38" i="6"/>
  <c r="W84" i="6" s="1"/>
  <c r="V38" i="6"/>
  <c r="V84" i="6" s="1"/>
  <c r="T38" i="6"/>
  <c r="I38" i="6"/>
  <c r="F38" i="6"/>
  <c r="E38" i="6"/>
  <c r="B38" i="6"/>
  <c r="U37" i="6"/>
  <c r="U58" i="6" s="1"/>
  <c r="U65" i="6" s="1"/>
  <c r="U82" i="6" s="1"/>
  <c r="T37" i="6"/>
  <c r="T58" i="6" s="1"/>
  <c r="T65" i="6" s="1"/>
  <c r="T82" i="6" s="1"/>
  <c r="I37" i="6"/>
  <c r="I58" i="6" s="1"/>
  <c r="I65" i="6" s="1"/>
  <c r="I82" i="6" s="1"/>
  <c r="H37" i="6"/>
  <c r="H58" i="6" s="1"/>
  <c r="H65" i="6" s="1"/>
  <c r="H82" i="6" s="1"/>
  <c r="G37" i="6"/>
  <c r="G58" i="6" s="1"/>
  <c r="G65" i="6" s="1"/>
  <c r="G82" i="6" s="1"/>
  <c r="F37" i="6"/>
  <c r="F58" i="6" s="1"/>
  <c r="F65" i="6" s="1"/>
  <c r="F82" i="6" s="1"/>
  <c r="E37" i="6"/>
  <c r="E58" i="6" s="1"/>
  <c r="E65" i="6" s="1"/>
  <c r="E82" i="6" s="1"/>
  <c r="D37" i="6"/>
  <c r="D58" i="6" s="1"/>
  <c r="D65" i="6" s="1"/>
  <c r="D82" i="6" s="1"/>
  <c r="C37" i="6"/>
  <c r="C58" i="6" s="1"/>
  <c r="C65" i="6" s="1"/>
  <c r="C82" i="6" s="1"/>
  <c r="B37" i="6"/>
  <c r="B58" i="6" s="1"/>
  <c r="B65" i="6" s="1"/>
  <c r="B82" i="6" s="1"/>
  <c r="Z36" i="6"/>
  <c r="Z57" i="6" s="1"/>
  <c r="Z64" i="6" s="1"/>
  <c r="Z81" i="6" s="1"/>
  <c r="Y36" i="6"/>
  <c r="Y57" i="6" s="1"/>
  <c r="Y64" i="6" s="1"/>
  <c r="Y81" i="6" s="1"/>
  <c r="X36" i="6"/>
  <c r="X57" i="6" s="1"/>
  <c r="X64" i="6" s="1"/>
  <c r="X81" i="6" s="1"/>
  <c r="W36" i="6"/>
  <c r="W57" i="6" s="1"/>
  <c r="W64" i="6" s="1"/>
  <c r="W81" i="6" s="1"/>
  <c r="V36" i="6"/>
  <c r="V57" i="6" s="1"/>
  <c r="V64" i="6" s="1"/>
  <c r="V81" i="6" s="1"/>
  <c r="T36" i="6"/>
  <c r="T57" i="6" s="1"/>
  <c r="T64" i="6" s="1"/>
  <c r="T81" i="6" s="1"/>
  <c r="H36" i="6"/>
  <c r="H57" i="6" s="1"/>
  <c r="H64" i="6" s="1"/>
  <c r="H81" i="6" s="1"/>
  <c r="F36" i="6"/>
  <c r="F57" i="6" s="1"/>
  <c r="F64" i="6" s="1"/>
  <c r="F81" i="6" s="1"/>
  <c r="D36" i="6"/>
  <c r="D57" i="6" s="1"/>
  <c r="D64" i="6" s="1"/>
  <c r="D81" i="6" s="1"/>
  <c r="B36" i="6"/>
  <c r="B57" i="6" s="1"/>
  <c r="B64" i="6" s="1"/>
  <c r="B81" i="6" s="1"/>
  <c r="E59" i="6" l="1"/>
  <c r="E47" i="6"/>
  <c r="I47" i="6"/>
  <c r="I59" i="6"/>
  <c r="I61" i="6"/>
  <c r="H69" i="6"/>
  <c r="F73" i="6"/>
  <c r="AA62" i="7"/>
  <c r="AA89" i="7" s="1"/>
  <c r="E59" i="7"/>
  <c r="F75" i="6"/>
  <c r="D77" i="6"/>
  <c r="C42" i="6"/>
  <c r="G42" i="6"/>
  <c r="U42" i="6"/>
  <c r="C74" i="6"/>
  <c r="G74" i="6"/>
  <c r="U74" i="6"/>
  <c r="D44" i="6"/>
  <c r="D46" i="6" s="1"/>
  <c r="D87" i="6" s="1"/>
  <c r="H44" i="6"/>
  <c r="H71" i="6"/>
  <c r="H39" i="6" s="1"/>
  <c r="H84" i="6" s="1"/>
  <c r="T77" i="6"/>
  <c r="T43" i="6" s="1"/>
  <c r="T86" i="6" s="1"/>
  <c r="D79" i="6"/>
  <c r="AB47" i="7"/>
  <c r="AA48" i="7" s="1"/>
  <c r="AA90" i="7" s="1"/>
  <c r="AA75" i="7"/>
  <c r="AA60" i="7" s="1"/>
  <c r="AA88" i="7" s="1"/>
  <c r="AB59" i="7"/>
  <c r="X46" i="7"/>
  <c r="X87" i="7" s="1"/>
  <c r="X47" i="7"/>
  <c r="X48" i="7" s="1"/>
  <c r="X90" i="7" s="1"/>
  <c r="X75" i="7"/>
  <c r="X60" i="7" s="1"/>
  <c r="X88" i="7" s="1"/>
  <c r="G59" i="7"/>
  <c r="D43" i="7"/>
  <c r="D86" i="7" s="1"/>
  <c r="D60" i="7"/>
  <c r="D88" i="7" s="1"/>
  <c r="D62" i="7"/>
  <c r="D89" i="7" s="1"/>
  <c r="B48" i="7"/>
  <c r="B90" i="7" s="1"/>
  <c r="F47" i="7"/>
  <c r="F48" i="7" s="1"/>
  <c r="F90" i="7" s="1"/>
  <c r="F75" i="7"/>
  <c r="F60" i="7" s="1"/>
  <c r="F88" i="7" s="1"/>
  <c r="F59" i="7"/>
  <c r="X41" i="7"/>
  <c r="X85" i="7" s="1"/>
  <c r="B69" i="6"/>
  <c r="B74" i="6"/>
  <c r="T74" i="6"/>
  <c r="T69" i="6"/>
  <c r="H62" i="6"/>
  <c r="H89" i="6" s="1"/>
  <c r="H43" i="6"/>
  <c r="H86" i="6" s="1"/>
  <c r="B61" i="6"/>
  <c r="F39" i="6"/>
  <c r="F84" i="6" s="1"/>
  <c r="C59" i="6"/>
  <c r="C47" i="6"/>
  <c r="G59" i="6"/>
  <c r="G47" i="6"/>
  <c r="F48" i="6" s="1"/>
  <c r="F90" i="6" s="1"/>
  <c r="U59" i="6"/>
  <c r="U47" i="6"/>
  <c r="B71" i="6"/>
  <c r="B39" i="6" s="1"/>
  <c r="B84" i="6" s="1"/>
  <c r="C44" i="6"/>
  <c r="B46" i="6" s="1"/>
  <c r="B87" i="6" s="1"/>
  <c r="C38" i="6"/>
  <c r="G44" i="6"/>
  <c r="F46" i="6" s="1"/>
  <c r="F87" i="6" s="1"/>
  <c r="G38" i="6"/>
  <c r="U44" i="6"/>
  <c r="T46" i="6" s="1"/>
  <c r="T87" i="6" s="1"/>
  <c r="U38" i="6"/>
  <c r="T71" i="6"/>
  <c r="T39" i="6" s="1"/>
  <c r="T84" i="6" s="1"/>
  <c r="D40" i="6"/>
  <c r="D73" i="6"/>
  <c r="H73" i="6"/>
  <c r="H41" i="6" s="1"/>
  <c r="H85" i="6" s="1"/>
  <c r="H40" i="6"/>
  <c r="D59" i="6"/>
  <c r="D47" i="6"/>
  <c r="D48" i="6" s="1"/>
  <c r="D90" i="6" s="1"/>
  <c r="D75" i="6"/>
  <c r="D60" i="6" s="1"/>
  <c r="D88" i="6" s="1"/>
  <c r="H75" i="6"/>
  <c r="H60" i="6" s="1"/>
  <c r="H88" i="6" s="1"/>
  <c r="H59" i="6"/>
  <c r="H47" i="6"/>
  <c r="H48" i="6" s="1"/>
  <c r="H90" i="6" s="1"/>
  <c r="F69" i="6"/>
  <c r="F41" i="6" s="1"/>
  <c r="F85" i="6" s="1"/>
  <c r="H46" i="6"/>
  <c r="H87" i="6" s="1"/>
  <c r="F60" i="6"/>
  <c r="F88" i="6" s="1"/>
  <c r="F43" i="6"/>
  <c r="F86" i="6" s="1"/>
  <c r="C40" i="6"/>
  <c r="G40" i="6"/>
  <c r="U40" i="6"/>
  <c r="C61" i="6"/>
  <c r="G61" i="6"/>
  <c r="U61" i="6"/>
  <c r="D71" i="6"/>
  <c r="D39" i="6" s="1"/>
  <c r="D84" i="6" s="1"/>
  <c r="D38" i="6"/>
  <c r="H38" i="6"/>
  <c r="D69" i="6"/>
  <c r="D62" i="6" s="1"/>
  <c r="D89" i="6" s="1"/>
  <c r="F78" i="5"/>
  <c r="F76" i="5"/>
  <c r="F72" i="5"/>
  <c r="F70" i="5"/>
  <c r="F68" i="5"/>
  <c r="F66" i="5"/>
  <c r="F62" i="6" l="1"/>
  <c r="F89" i="6" s="1"/>
  <c r="D43" i="6"/>
  <c r="D86" i="6" s="1"/>
  <c r="B41" i="6"/>
  <c r="B85" i="6" s="1"/>
  <c r="B62" i="6"/>
  <c r="B89" i="6" s="1"/>
  <c r="T41" i="6"/>
  <c r="T85" i="6" s="1"/>
  <c r="T62" i="6"/>
  <c r="T89" i="6" s="1"/>
  <c r="T75" i="6"/>
  <c r="T60" i="6" s="1"/>
  <c r="T88" i="6" s="1"/>
  <c r="T47" i="6"/>
  <c r="T48" i="6" s="1"/>
  <c r="T90" i="6" s="1"/>
  <c r="T59" i="6"/>
  <c r="D41" i="6"/>
  <c r="D85" i="6" s="1"/>
  <c r="B75" i="6"/>
  <c r="B60" i="6" s="1"/>
  <c r="B88" i="6" s="1"/>
  <c r="B47" i="6"/>
  <c r="B48" i="6" s="1"/>
  <c r="B90" i="6" s="1"/>
  <c r="B59" i="6"/>
  <c r="D78" i="5"/>
  <c r="D76" i="5"/>
  <c r="D72" i="5"/>
  <c r="D70" i="5"/>
  <c r="D68" i="5"/>
  <c r="D66" i="5"/>
  <c r="O83" i="5"/>
  <c r="O74" i="5"/>
  <c r="O59" i="5" s="1"/>
  <c r="O88" i="5" s="1"/>
  <c r="O61" i="5"/>
  <c r="O89" i="5" s="1"/>
  <c r="O44" i="5"/>
  <c r="O87" i="5" s="1"/>
  <c r="O42" i="5"/>
  <c r="O86" i="5" s="1"/>
  <c r="O40" i="5"/>
  <c r="O85" i="5" s="1"/>
  <c r="O38" i="5"/>
  <c r="O84" i="5" s="1"/>
  <c r="O36" i="5"/>
  <c r="O57" i="5" s="1"/>
  <c r="O64" i="5" s="1"/>
  <c r="O81" i="5" s="1"/>
  <c r="N83" i="5"/>
  <c r="N74" i="5"/>
  <c r="N47" i="5" s="1"/>
  <c r="N90" i="5" s="1"/>
  <c r="N61" i="5"/>
  <c r="N89" i="5" s="1"/>
  <c r="N44" i="5"/>
  <c r="N87" i="5" s="1"/>
  <c r="N42" i="5"/>
  <c r="N86" i="5" s="1"/>
  <c r="N40" i="5"/>
  <c r="N85" i="5" s="1"/>
  <c r="N38" i="5"/>
  <c r="N84" i="5" s="1"/>
  <c r="N36" i="5"/>
  <c r="N57" i="5" s="1"/>
  <c r="N64" i="5" s="1"/>
  <c r="N81" i="5" s="1"/>
  <c r="M83" i="5"/>
  <c r="L83" i="5"/>
  <c r="M76" i="5"/>
  <c r="M72" i="5"/>
  <c r="M40" i="5" s="1"/>
  <c r="M70" i="5"/>
  <c r="M68" i="5"/>
  <c r="M74" i="5" s="1"/>
  <c r="M66" i="5"/>
  <c r="M44" i="5" s="1"/>
  <c r="L78" i="5"/>
  <c r="L42" i="5" s="1"/>
  <c r="L76" i="5"/>
  <c r="L72" i="5"/>
  <c r="L70" i="5"/>
  <c r="L44" i="5" s="1"/>
  <c r="L68" i="5"/>
  <c r="L74" i="5" s="1"/>
  <c r="L66" i="5"/>
  <c r="L77" i="5"/>
  <c r="L71" i="5"/>
  <c r="M61" i="5"/>
  <c r="M42" i="5"/>
  <c r="M37" i="5"/>
  <c r="M58" i="5" s="1"/>
  <c r="M65" i="5" s="1"/>
  <c r="M82" i="5" s="1"/>
  <c r="L37" i="5"/>
  <c r="L58" i="5" s="1"/>
  <c r="L65" i="5" s="1"/>
  <c r="L82" i="5" s="1"/>
  <c r="L36" i="5"/>
  <c r="L57" i="5" s="1"/>
  <c r="L64" i="5" s="1"/>
  <c r="L81" i="5" s="1"/>
  <c r="K85" i="5"/>
  <c r="K83" i="5"/>
  <c r="K74" i="5"/>
  <c r="K47" i="5" s="1"/>
  <c r="K90" i="5" s="1"/>
  <c r="K61" i="5"/>
  <c r="K89" i="5" s="1"/>
  <c r="K44" i="5"/>
  <c r="K87" i="5" s="1"/>
  <c r="K42" i="5"/>
  <c r="K86" i="5" s="1"/>
  <c r="K40" i="5"/>
  <c r="K38" i="5"/>
  <c r="K84" i="5" s="1"/>
  <c r="K36" i="5"/>
  <c r="K57" i="5" s="1"/>
  <c r="K64" i="5" s="1"/>
  <c r="K81" i="5" s="1"/>
  <c r="J83" i="5"/>
  <c r="J74" i="5"/>
  <c r="J59" i="5" s="1"/>
  <c r="J88" i="5" s="1"/>
  <c r="J61" i="5"/>
  <c r="J89" i="5" s="1"/>
  <c r="J44" i="5"/>
  <c r="J87" i="5" s="1"/>
  <c r="J42" i="5"/>
  <c r="J86" i="5" s="1"/>
  <c r="J40" i="5"/>
  <c r="J85" i="5" s="1"/>
  <c r="J38" i="5"/>
  <c r="J84" i="5" s="1"/>
  <c r="J36" i="5"/>
  <c r="J57" i="5" s="1"/>
  <c r="J64" i="5" s="1"/>
  <c r="J81" i="5" s="1"/>
  <c r="L61" i="5" l="1"/>
  <c r="L73" i="5"/>
  <c r="L38" i="5"/>
  <c r="L67" i="5"/>
  <c r="L39" i="5" s="1"/>
  <c r="L84" i="5" s="1"/>
  <c r="L69" i="5"/>
  <c r="O47" i="5"/>
  <c r="O90" i="5" s="1"/>
  <c r="L79" i="5"/>
  <c r="N59" i="5"/>
  <c r="N88" i="5" s="1"/>
  <c r="M59" i="5"/>
  <c r="M38" i="5"/>
  <c r="L41" i="5"/>
  <c r="L85" i="5" s="1"/>
  <c r="L62" i="5"/>
  <c r="L89" i="5" s="1"/>
  <c r="L59" i="5"/>
  <c r="L75" i="5"/>
  <c r="L60" i="5" s="1"/>
  <c r="L88" i="5" s="1"/>
  <c r="L47" i="5"/>
  <c r="L48" i="5" s="1"/>
  <c r="L90" i="5" s="1"/>
  <c r="L40" i="5"/>
  <c r="L43" i="5"/>
  <c r="L86" i="5" s="1"/>
  <c r="M47" i="5"/>
  <c r="L46" i="5"/>
  <c r="L87" i="5" s="1"/>
  <c r="K59" i="5"/>
  <c r="K88" i="5" s="1"/>
  <c r="J47" i="5"/>
  <c r="J90" i="5" s="1"/>
  <c r="I78" i="5"/>
  <c r="H79" i="5" s="1"/>
  <c r="I76" i="5"/>
  <c r="I72" i="5"/>
  <c r="I70" i="5"/>
  <c r="I68" i="5"/>
  <c r="I66" i="5"/>
  <c r="I44" i="5" s="1"/>
  <c r="H78" i="5"/>
  <c r="H76" i="5"/>
  <c r="H72" i="5"/>
  <c r="H70" i="5"/>
  <c r="H71" i="5" s="1"/>
  <c r="H68" i="5"/>
  <c r="H66" i="5"/>
  <c r="I83" i="5"/>
  <c r="H83" i="5"/>
  <c r="I37" i="5"/>
  <c r="I58" i="5" s="1"/>
  <c r="I65" i="5" s="1"/>
  <c r="I82" i="5" s="1"/>
  <c r="H37" i="5"/>
  <c r="H58" i="5" s="1"/>
  <c r="H65" i="5" s="1"/>
  <c r="H82" i="5" s="1"/>
  <c r="H36" i="5"/>
  <c r="H57" i="5" s="1"/>
  <c r="H64" i="5" s="1"/>
  <c r="H81" i="5" s="1"/>
  <c r="G78" i="5"/>
  <c r="G76" i="5"/>
  <c r="G72" i="5"/>
  <c r="F73" i="5" s="1"/>
  <c r="G70" i="5"/>
  <c r="F71" i="5" s="1"/>
  <c r="G68" i="5"/>
  <c r="F69" i="5" s="1"/>
  <c r="G66" i="5"/>
  <c r="F67" i="5" s="1"/>
  <c r="F79" i="5"/>
  <c r="F42" i="5"/>
  <c r="F74" i="5"/>
  <c r="G83" i="5"/>
  <c r="F83" i="5"/>
  <c r="F44" i="5"/>
  <c r="F38" i="5"/>
  <c r="G37" i="5"/>
  <c r="G58" i="5" s="1"/>
  <c r="G65" i="5" s="1"/>
  <c r="G82" i="5" s="1"/>
  <c r="F37" i="5"/>
  <c r="F58" i="5" s="1"/>
  <c r="F65" i="5" s="1"/>
  <c r="F82" i="5" s="1"/>
  <c r="F36" i="5"/>
  <c r="F57" i="5" s="1"/>
  <c r="F64" i="5" s="1"/>
  <c r="F81" i="5" s="1"/>
  <c r="E83" i="5"/>
  <c r="E74" i="5"/>
  <c r="E59" i="5" s="1"/>
  <c r="E88" i="5" s="1"/>
  <c r="E61" i="5"/>
  <c r="E89" i="5" s="1"/>
  <c r="E44" i="5"/>
  <c r="E87" i="5" s="1"/>
  <c r="E42" i="5"/>
  <c r="E86" i="5" s="1"/>
  <c r="E40" i="5"/>
  <c r="E85" i="5" s="1"/>
  <c r="E38" i="5"/>
  <c r="E84" i="5" s="1"/>
  <c r="E36" i="5"/>
  <c r="E57" i="5" s="1"/>
  <c r="E64" i="5" s="1"/>
  <c r="E81" i="5" s="1"/>
  <c r="D74" i="5"/>
  <c r="C78" i="5"/>
  <c r="C76" i="5"/>
  <c r="C72" i="5"/>
  <c r="C73" i="5" s="1"/>
  <c r="C70" i="5"/>
  <c r="C68" i="5"/>
  <c r="C66" i="5"/>
  <c r="D83" i="5"/>
  <c r="C83" i="5"/>
  <c r="B83" i="5"/>
  <c r="B74" i="5"/>
  <c r="B47" i="5" s="1"/>
  <c r="B90" i="5" s="1"/>
  <c r="B61" i="5"/>
  <c r="B89" i="5" s="1"/>
  <c r="B44" i="5"/>
  <c r="B87" i="5" s="1"/>
  <c r="B42" i="5"/>
  <c r="B86" i="5" s="1"/>
  <c r="B40" i="5"/>
  <c r="B85" i="5" s="1"/>
  <c r="B38" i="5"/>
  <c r="B84" i="5" s="1"/>
  <c r="D37" i="5"/>
  <c r="D58" i="5" s="1"/>
  <c r="D65" i="5" s="1"/>
  <c r="D82" i="5" s="1"/>
  <c r="C37" i="5"/>
  <c r="C58" i="5" s="1"/>
  <c r="C65" i="5" s="1"/>
  <c r="C82" i="5" s="1"/>
  <c r="C36" i="5"/>
  <c r="C57" i="5" s="1"/>
  <c r="C64" i="5" s="1"/>
  <c r="C81" i="5" s="1"/>
  <c r="B36" i="5"/>
  <c r="B57" i="5" s="1"/>
  <c r="B64" i="5" s="1"/>
  <c r="B81" i="5" s="1"/>
  <c r="E47" i="5" l="1"/>
  <c r="E90" i="5" s="1"/>
  <c r="G42" i="5"/>
  <c r="H38" i="5"/>
  <c r="G40" i="5"/>
  <c r="G74" i="5"/>
  <c r="F75" i="5" s="1"/>
  <c r="G38" i="5"/>
  <c r="I42" i="5"/>
  <c r="H77" i="5"/>
  <c r="I74" i="5"/>
  <c r="I59" i="5" s="1"/>
  <c r="I40" i="5"/>
  <c r="I61" i="5"/>
  <c r="H42" i="5"/>
  <c r="H40" i="5"/>
  <c r="H44" i="5"/>
  <c r="H61" i="5"/>
  <c r="H69" i="5"/>
  <c r="H74" i="5"/>
  <c r="H47" i="5" s="1"/>
  <c r="H46" i="5"/>
  <c r="H87" i="5" s="1"/>
  <c r="H43" i="5"/>
  <c r="H86" i="5" s="1"/>
  <c r="H67" i="5"/>
  <c r="H39" i="5" s="1"/>
  <c r="H84" i="5" s="1"/>
  <c r="I38" i="5"/>
  <c r="H73" i="5"/>
  <c r="H41" i="5" s="1"/>
  <c r="H85" i="5" s="1"/>
  <c r="G61" i="5"/>
  <c r="G44" i="5"/>
  <c r="F46" i="5" s="1"/>
  <c r="F87" i="5" s="1"/>
  <c r="F41" i="5"/>
  <c r="F85" i="5" s="1"/>
  <c r="F39" i="5"/>
  <c r="F84" i="5" s="1"/>
  <c r="F59" i="5"/>
  <c r="F40" i="5"/>
  <c r="F61" i="5"/>
  <c r="G47" i="5"/>
  <c r="F77" i="5"/>
  <c r="F47" i="5"/>
  <c r="D38" i="5"/>
  <c r="C74" i="5"/>
  <c r="B59" i="5"/>
  <c r="B88" i="5" s="1"/>
  <c r="D44" i="5"/>
  <c r="C71" i="5"/>
  <c r="C38" i="5"/>
  <c r="C40" i="5"/>
  <c r="C44" i="5"/>
  <c r="C42" i="5"/>
  <c r="C67" i="5"/>
  <c r="D61" i="5"/>
  <c r="D42" i="5"/>
  <c r="C79" i="5"/>
  <c r="C61" i="5"/>
  <c r="D47" i="5"/>
  <c r="D40" i="5"/>
  <c r="C69" i="5"/>
  <c r="C41" i="5" s="1"/>
  <c r="C85" i="5" s="1"/>
  <c r="C77" i="5"/>
  <c r="G59" i="5" l="1"/>
  <c r="I47" i="5"/>
  <c r="H62" i="5"/>
  <c r="H89" i="5" s="1"/>
  <c r="H59" i="5"/>
  <c r="H75" i="5"/>
  <c r="H60" i="5" s="1"/>
  <c r="H88" i="5" s="1"/>
  <c r="H48" i="5"/>
  <c r="H90" i="5" s="1"/>
  <c r="F43" i="5"/>
  <c r="F86" i="5" s="1"/>
  <c r="F60" i="5"/>
  <c r="F88" i="5" s="1"/>
  <c r="F62" i="5"/>
  <c r="F89" i="5" s="1"/>
  <c r="F48" i="5"/>
  <c r="F90" i="5" s="1"/>
  <c r="C39" i="5"/>
  <c r="C84" i="5" s="1"/>
  <c r="C46" i="5"/>
  <c r="C87" i="5" s="1"/>
  <c r="D59" i="5"/>
  <c r="C75" i="5"/>
  <c r="C60" i="5" s="1"/>
  <c r="C88" i="5" s="1"/>
  <c r="C59" i="5"/>
  <c r="C47" i="5"/>
  <c r="C48" i="5" s="1"/>
  <c r="C90" i="5" s="1"/>
  <c r="C62" i="5"/>
  <c r="C89" i="5" s="1"/>
  <c r="C43" i="5"/>
  <c r="C86" i="5" s="1"/>
</calcChain>
</file>

<file path=xl/sharedStrings.xml><?xml version="1.0" encoding="utf-8"?>
<sst xmlns="http://schemas.openxmlformats.org/spreadsheetml/2006/main" count="946" uniqueCount="204">
  <si>
    <t>SECRETARIA DE GOBIERNO DE BOGOTA, D.C.</t>
  </si>
  <si>
    <t>FONDO DE DESARROLLO LOCAL DE USAQUEN</t>
  </si>
  <si>
    <t xml:space="preserve">PRESUPUESTO OFICIAL </t>
  </si>
  <si>
    <t>PLAZO DE EJECUCION</t>
  </si>
  <si>
    <t>DOCUMENTOS HABILITANTES</t>
  </si>
  <si>
    <t>PORCENTAJE DE PARTICIPACION</t>
  </si>
  <si>
    <t>REPRESENTANTE LEGAL</t>
  </si>
  <si>
    <t xml:space="preserve">DOCUMENTACIÓN FINANCIERA </t>
  </si>
  <si>
    <t xml:space="preserve">CERTIFICADO DE INSCRIPCIÓN EN EL REGISTRO ÚNICO DE PROPONENTES-RUP </t>
  </si>
  <si>
    <t>ANEXA</t>
  </si>
  <si>
    <t>Todos los proponentes, sea proponente singular o todos los integrantes del proponente plural, persona natural extranjera sin domicilio y la persona jurídica extranjera sin sucursal en Colombia, deberán diligenciar el ANEXO No. 3 DE INFORMACIÓN FINANCIERA, el cual deberá estar soportado en el último balance de acuerdo con el cierre fiscal en el país de origen o en el balance de apertura si son sociedades nuevas, para lo cual aportarán certificación de un inscripción profesional vigente ante la Junta Central de Contadores de Colombia en la que certifique la fecha del cierre en el país de origen y avale dicha información, acompañada de:</t>
  </si>
  <si>
    <r>
      <t xml:space="preserve">
</t>
    </r>
    <r>
      <rPr>
        <b/>
        <sz val="12"/>
        <rFont val="Calibri"/>
        <family val="2"/>
        <scheme val="minor"/>
      </rPr>
      <t xml:space="preserve">REGISTRO ÚNICO TRIBUTARIO (RUT)
</t>
    </r>
    <r>
      <rPr>
        <sz val="12"/>
        <rFont val="Calibri"/>
        <family val="2"/>
        <scheme val="minor"/>
      </rPr>
      <t xml:space="preserve">
Con el fin de conocer el régimen Tributario a que pertenece el proponente, deberá presentarse con la propuesta, fotocopia del Registro Único Tributario, actualizado y expedido por la Dirección General de Impuestos Nacionales, donde aparezca claramente el NIT del proponente. En caso de Consorcios o Uniones Temporales, cada uno de los integrantes deberá aportar este documento.</t>
    </r>
  </si>
  <si>
    <t xml:space="preserve">RESULTADO EVALUACION DE DOCUMENTOS </t>
  </si>
  <si>
    <t xml:space="preserve">Se considerará HÁBIL el proponente que presente una RCI mayor o igual  ≥ 1.5   </t>
  </si>
  <si>
    <t>Los Proponentes cuyos gastos de intereses sean cero (0), no podrán calcular el indicador de razón de cobertura de intereses. En este caso el Proponente cumple el indicador, salvo que la utilidad operacional sea negativa, caso en el cual no cumple con el indicador de razón de cobertura de intereses. Si el Proponente es plural debe acreditar este indicador de la misma forma prevista en el literal (ii) del párrafo anterior, a menos que uno de sus miembros tenga gastos de intereses igual a cero (0) por lo cual no se puede hacer la ponderación del indicador.</t>
  </si>
  <si>
    <t>INDICADORES</t>
  </si>
  <si>
    <t>INDICE DE LIQUIDEZ O SOLVENCIA 
(ACTIVO CORRIENTE / PASIVO CORRIENTE)</t>
  </si>
  <si>
    <t xml:space="preserve">INDICE DE ENDEUDAMIENTO 
(PASIVO TOTAL  / ACTIVO TOTAL) </t>
  </si>
  <si>
    <t>RAZÓN DE COBERTURA DE INTERESES: 
(UTILIDAD OPERACIONAL / GASTOS DE INTERESES)</t>
  </si>
  <si>
    <t>CAPITAL DE TRABAJO: (ACTIVO CORRIENTE - PASIVO CORRIENTE)</t>
  </si>
  <si>
    <t>CAPITAL DE TRABAJO: % DE PARTICIPACION</t>
  </si>
  <si>
    <t xml:space="preserve">CAPITAL DE TRABAJO: SUMATORIA SEGÚN EL % DE PARTICIPACION </t>
  </si>
  <si>
    <t xml:space="preserve">PATRIMONIO </t>
  </si>
  <si>
    <t>Se considerará HÁBIL el proponente que presente una rentabilidad del patrimonio  Mayor o igual  L ≥ 0 (0%. )</t>
  </si>
  <si>
    <t xml:space="preserve">El no cumplimiento de estos indicadores financieros no será subsanable, y en consecuencia se rechazara la propuesta. </t>
  </si>
  <si>
    <t>RENTABILIDAD SOBRE PATRIMONIO 
(UTILIDAD OPERACIONAL / PATRIMONIO)</t>
  </si>
  <si>
    <t>RENTABILIDAD SOBRE ACTIVOS
(UTILIDAD OPERACIONAL / ACTIVO TOTAL)</t>
  </si>
  <si>
    <t>RUBROS</t>
  </si>
  <si>
    <t>ACTIVO CORRIENTE</t>
  </si>
  <si>
    <t>ACTIVO TOTAL</t>
  </si>
  <si>
    <t>PASIVO CORRIENTE</t>
  </si>
  <si>
    <t>PASIVO TOTAL</t>
  </si>
  <si>
    <t>PATRIMONIO (ACTIVO TOTAL  - PASIVO TOTAL)</t>
  </si>
  <si>
    <t>UTILIDAD/PERDIDA OPERACIONAL (INGRESOS OPERACIONALES-GASTOS OPERACIONALES)</t>
  </si>
  <si>
    <t>GASTOS DE INTERESES</t>
  </si>
  <si>
    <t>INDICE DE LIQUIDEZ</t>
  </si>
  <si>
    <t>INDICE DE ENDEUDAMIENTO</t>
  </si>
  <si>
    <t>RAZON DE COBERTURA</t>
  </si>
  <si>
    <t>CAPITAL DE TRABAJO</t>
  </si>
  <si>
    <t>RENTABILIDAD PATRIMONIO</t>
  </si>
  <si>
    <t>RENTABILIDAD ACTIVOS</t>
  </si>
  <si>
    <t>PATRIMONIO</t>
  </si>
  <si>
    <t>SE HACE LA EVALUACIÓN FINANCIERA (Aplicación de formulas), DE ACUERDO A LO ESTABLECIDO  EN LOS TERMINOS DE REFERENCIA,  QUEDANDO EL PRESENTE RESULTADO A  DISPOSICIÓN DE LA OFICINA JURIDICA PARA QUE CONTINUE EL PROCESO DE EVALUACIÓN</t>
  </si>
  <si>
    <t>ORIGINAL FIRMADO POR</t>
  </si>
  <si>
    <t>Comité Evaluador - FINANCIERA</t>
  </si>
  <si>
    <r>
      <t>a. INDICE DE LIQUIDEZ</t>
    </r>
    <r>
      <rPr>
        <b/>
        <sz val="14"/>
        <rFont val="Calibri"/>
        <family val="2"/>
      </rPr>
      <t xml:space="preserve"> (IL)</t>
    </r>
  </si>
  <si>
    <r>
      <t xml:space="preserve">b. INDICE DE ENDEUDAMIENTO </t>
    </r>
    <r>
      <rPr>
        <b/>
        <sz val="14"/>
        <rFont val="Calibri"/>
        <family val="2"/>
      </rPr>
      <t>(IE)</t>
    </r>
  </si>
  <si>
    <r>
      <t xml:space="preserve">c.  RAZÓN DE COBERTURA DE INTERESES </t>
    </r>
    <r>
      <rPr>
        <b/>
        <sz val="14"/>
        <rFont val="Calibri"/>
        <family val="2"/>
      </rPr>
      <t>(RCI)</t>
    </r>
    <r>
      <rPr>
        <sz val="14"/>
        <rFont val="Calibri"/>
        <family val="2"/>
      </rPr>
      <t xml:space="preserve">: </t>
    </r>
  </si>
  <si>
    <t xml:space="preserve">4.  CAPACIDAD ORGANIZACIONAL </t>
  </si>
  <si>
    <r>
      <rPr>
        <b/>
        <sz val="14"/>
        <rFont val="Calibri"/>
        <family val="2"/>
      </rPr>
      <t>a.</t>
    </r>
    <r>
      <rPr>
        <sz val="14"/>
        <rFont val="Calibri"/>
        <family val="2"/>
      </rPr>
      <t xml:space="preserve"> RENTABILIDAD DEL PATRIMONIO</t>
    </r>
    <r>
      <rPr>
        <b/>
        <sz val="14"/>
        <rFont val="Calibri"/>
        <family val="2"/>
      </rPr>
      <t xml:space="preserve"> (ROE)</t>
    </r>
  </si>
  <si>
    <r>
      <rPr>
        <b/>
        <sz val="14"/>
        <rFont val="Calibri"/>
        <family val="2"/>
      </rPr>
      <t xml:space="preserve">b. </t>
    </r>
    <r>
      <rPr>
        <sz val="14"/>
        <rFont val="Calibri"/>
        <family val="2"/>
      </rPr>
      <t xml:space="preserve">RENTABILIDAD DEL ACTIVO </t>
    </r>
    <r>
      <rPr>
        <b/>
        <sz val="14"/>
        <rFont val="Calibri"/>
        <family val="2"/>
      </rPr>
      <t>(ROA)</t>
    </r>
  </si>
  <si>
    <t xml:space="preserve">Se considerará HÁBIL el proponente que presente un IE menor o igual a cero coma siete ≤ (0.7). </t>
  </si>
  <si>
    <t xml:space="preserve">d.  CAPITAL DE TRABAJO: </t>
  </si>
  <si>
    <t>e.  PATRIMONIO</t>
  </si>
  <si>
    <t xml:space="preserve">Para las Propuestas en Consorcio, Unión Temporal y/u otra forma de asociación, se calculará la Razón de cobertura de intereses de cada uno de sus integrantes, aplicando la fórmula descrita anteriormente. En este caso, la Razón de cobertura de intereses del Proponente será la suma de los indicadores obtenidos por cada uno de ellos, una vez ponderados de acuerdo con su porcentaje de participación en el presente proceso. </t>
  </si>
  <si>
    <t>Nota: En concordancia con lo establecido en el manual para determinar y verificar los requisitos habilitantes en los procesos de contratación, para el cálculo de los indicadores financieros de liquidez y razón de cobertura de intereses, en el cual el denominador sea cero (0), la entidad calificará la propuesta como HÁBIL en lo que se refiere a estos indicadores.</t>
  </si>
  <si>
    <t>INDICES FINANCIEROS</t>
  </si>
  <si>
    <t>Nombre de Oferente :</t>
  </si>
  <si>
    <t>RAZON DE COBERTURA DE INTERESES</t>
  </si>
  <si>
    <t>RENTABILIDAD  PATRIMONIO</t>
  </si>
  <si>
    <t>OBSERVACIONES</t>
  </si>
  <si>
    <t>NOTA</t>
  </si>
  <si>
    <t>≥ 1.5</t>
  </si>
  <si>
    <r>
      <t xml:space="preserve"> </t>
    </r>
    <r>
      <rPr>
        <b/>
        <u/>
        <sz val="11"/>
        <color rgb="FF000000"/>
        <rFont val="Arial Narrow"/>
        <family val="2"/>
      </rPr>
      <t>&gt;</t>
    </r>
    <r>
      <rPr>
        <sz val="11"/>
        <color rgb="FF000000"/>
        <rFont val="Arial Narrow"/>
        <family val="2"/>
      </rPr>
      <t xml:space="preserve"> 30% </t>
    </r>
  </si>
  <si>
    <r>
      <t xml:space="preserve"> </t>
    </r>
    <r>
      <rPr>
        <b/>
        <u/>
        <sz val="11"/>
        <color rgb="FF000000"/>
        <rFont val="Arial Narrow"/>
        <family val="2"/>
      </rPr>
      <t>&gt;</t>
    </r>
    <r>
      <rPr>
        <sz val="11"/>
        <color rgb="FF000000"/>
        <rFont val="Arial Narrow"/>
        <family val="2"/>
      </rPr>
      <t xml:space="preserve"> 40% </t>
    </r>
  </si>
  <si>
    <r>
      <t xml:space="preserve"> </t>
    </r>
    <r>
      <rPr>
        <b/>
        <u/>
        <sz val="11"/>
        <color rgb="FF000000"/>
        <rFont val="Arial Narrow"/>
        <family val="2"/>
      </rPr>
      <t>&gt;</t>
    </r>
    <r>
      <rPr>
        <sz val="11"/>
        <color rgb="FF000000"/>
        <rFont val="Arial Narrow"/>
        <family val="2"/>
      </rPr>
      <t xml:space="preserve"> 0 </t>
    </r>
  </si>
  <si>
    <t>≤ 0,7%</t>
  </si>
  <si>
    <t>DIEZ (10) MESES</t>
  </si>
  <si>
    <t>Para tal efecto, la información financiera deberá estar actualizada en el RUP mínimo a 31 de diciembre del año 2017 y en firme. Para el caso de los proponentes extranjeros persona jurídica con sucursal y persona natural con domicilio en Colombia, la verificación de la capacidad financiera se realizará con base en la información financiera contenida en el RUP, de acuerdo a la fecha de corte establecida en los países de origen o en sus estatutos sociales. Así mismo, la inscripción en el RUP deberá estar vigente y la información financiera en firme</t>
  </si>
  <si>
    <t xml:space="preserve"> MARLENY ESPERANZA MEDINA GARCIA - JUAN MANUEL BARRERA - JASON ORTIZ</t>
  </si>
  <si>
    <t xml:space="preserve"> FDLUSA-LP-006-2018</t>
  </si>
  <si>
    <t>≥ 1.2</t>
  </si>
  <si>
    <r>
      <t xml:space="preserve">&gt; </t>
    </r>
    <r>
      <rPr>
        <sz val="12"/>
        <color rgb="FF000000"/>
        <rFont val="Arial Narrow"/>
        <family val="2"/>
      </rPr>
      <t>$ 381.299.887</t>
    </r>
  </si>
  <si>
    <t>≥  $ 508.399.696</t>
  </si>
  <si>
    <t xml:space="preserve">Se considerará HÁBIL el proponente que presente un IL  mayor o igual a  uno coma dos ≥ (1,2). </t>
  </si>
  <si>
    <r>
      <t xml:space="preserve">Se considerará HÁBIL el proponente que presente un Capital de Trabajo igual o mayor ≥ 30 %  del presupuesto oficial                                  </t>
    </r>
    <r>
      <rPr>
        <b/>
        <u/>
        <sz val="12"/>
        <rFont val="Calibri"/>
        <family val="2"/>
        <scheme val="minor"/>
      </rPr>
      <t xml:space="preserve">30% = $ 381.299.887 </t>
    </r>
  </si>
  <si>
    <r>
      <t xml:space="preserve">Cada integrante del consorcio o unión temporal debe acreditar como mínimo un Capital de Trabajo del 30% del valor total exigido.  </t>
    </r>
    <r>
      <rPr>
        <b/>
        <u/>
        <sz val="12"/>
        <rFont val="Calibri"/>
        <family val="2"/>
        <scheme val="minor"/>
      </rPr>
      <t>TOTAL EXIGIDO</t>
    </r>
    <r>
      <rPr>
        <sz val="12"/>
        <rFont val="Calibri"/>
        <family val="2"/>
        <scheme val="minor"/>
      </rPr>
      <t xml:space="preserve">  = $381.299.887  * 30%  = </t>
    </r>
    <r>
      <rPr>
        <b/>
        <u/>
        <sz val="12"/>
        <rFont val="Calibri"/>
        <family val="2"/>
        <scheme val="minor"/>
      </rPr>
      <t>$ 114.389.932</t>
    </r>
  </si>
  <si>
    <r>
      <t xml:space="preserve">Se considerará HÁBIL el proponente que presente un Patrimonio igual o mayor ≥ 40 %  del presupuesto oficial                                 </t>
    </r>
    <r>
      <rPr>
        <b/>
        <u/>
        <sz val="12"/>
        <rFont val="Calibri"/>
        <family val="2"/>
        <scheme val="minor"/>
      </rPr>
      <t xml:space="preserve"> 40% = $ 508.399.696 en la sumatoria de los consorciados</t>
    </r>
  </si>
  <si>
    <r>
      <t xml:space="preserve">OBJETO:     </t>
    </r>
    <r>
      <rPr>
        <sz val="18"/>
        <rFont val="Calibri"/>
        <family val="2"/>
      </rPr>
      <t>“REALIZAR LA INTERVENTORIA TECNICA, ADMINISTRATIVA, JURIDICA, FINANCIERA, SOCIAL, AMBIENTAL Y DE SEGURIDAD Y SALUD EN EL TRABAJO AL CONTRATO" cuyo objeto es: REALIZAR LAS OBRAS DE CONSERVACIÓN DE LA MALLA VIAL EN LA LOCALIDAD DE USAQUÉN Y SU ESPACIO PÚBLICO, EN BOGOTÁ, D.C. A TRAVÈS DEL SISTEMA DE PRECIOS UNITARIOS FIJOS Y A MONTO AGOTABLE”.</t>
    </r>
  </si>
  <si>
    <t>INTERDISEÑOS INTERNACIONAL SAS</t>
  </si>
  <si>
    <t>Hernando Vasquez Sepulveda</t>
  </si>
  <si>
    <t>Carlos Gustavo Gomez Romero</t>
  </si>
  <si>
    <t>CONSORCIO G3 - RZ</t>
  </si>
  <si>
    <t>G3 Ingenieria LTDA</t>
  </si>
  <si>
    <t>Rafael Eduardo Sambrano</t>
  </si>
  <si>
    <t>INGENIEROS CONSULTORES INC</t>
  </si>
  <si>
    <t>Luis Eduardo Pombo Ramos</t>
  </si>
  <si>
    <t>INTERVIAL URBANO</t>
  </si>
  <si>
    <t>IAR ProyectosSAS</t>
  </si>
  <si>
    <t>Bateman Ingenieria SA</t>
  </si>
  <si>
    <t>ECOUSAQUEN</t>
  </si>
  <si>
    <t>ECG Colombia SAS</t>
  </si>
  <si>
    <t>Estructurador Colombia SAS</t>
  </si>
  <si>
    <t>Roselly Pajaro Fortich</t>
  </si>
  <si>
    <t>GESTIÓN Y DISEÑOS ELÉCTRICOS SA</t>
  </si>
  <si>
    <t>Cesar Augusto Puccini Lizarazo</t>
  </si>
  <si>
    <t>SERVINC LTDA</t>
  </si>
  <si>
    <t>Alvaro Fransisco Bettin Diago</t>
  </si>
  <si>
    <t>CONSORCIO SMA-GIC</t>
  </si>
  <si>
    <t>Salgado, Melendez y Asociados Ingenieros Consultores SA</t>
  </si>
  <si>
    <t>GIC Gerencia Interventoria y Consultoría SAS</t>
  </si>
  <si>
    <t>Carolos Eduardo Bernal Latorre</t>
  </si>
  <si>
    <t>Antonio Nicolas Ferraro Maurello</t>
  </si>
  <si>
    <t>Consultores Técnicos y Económicos SAS</t>
  </si>
  <si>
    <t>Jose Juaquin OrtizGarcia</t>
  </si>
  <si>
    <t>CONSORCIO BGU</t>
  </si>
  <si>
    <t>CONSORCIO INTERDESARROLLO</t>
  </si>
  <si>
    <t>CONSORCIO INTERNORTE</t>
  </si>
  <si>
    <t>CONSORCIO INTER-USA</t>
  </si>
  <si>
    <t>CONSORCIO MG-006</t>
  </si>
  <si>
    <t>GMC INGENIEROS S.A-
GRUPO METRO COLOMBIA S.A</t>
  </si>
  <si>
    <t>GNG INGENIERIA S A S</t>
  </si>
  <si>
    <t>PRI COLOMBIA SAS</t>
  </si>
  <si>
    <t>R &amp; M CONSTRUCCIONES E INTERVENTORIAS S A S</t>
  </si>
  <si>
    <t>TECNICONSULTA SAS - 
TECNOLOGIAS Y CONSULTORIAS AMBIENTALES Y DE GESTION S.A.S</t>
  </si>
  <si>
    <t>CONSTRUCCIONES, CONSULTORIAS E INTERVENTORIAS DE OBRAS CIVILES LTDA</t>
  </si>
  <si>
    <t>GUISA RUEDA RAFAEL JAVIER</t>
  </si>
  <si>
    <t>ARM CONSULTING LTDA</t>
  </si>
  <si>
    <t>SANCHEZ BLANCO JORGE ALVARO</t>
  </si>
  <si>
    <t>GAVINCO INGENIEROS CONSULTORES SAS</t>
  </si>
  <si>
    <t>ING INGENIERIA SAS</t>
  </si>
  <si>
    <t>BAC GROUP SAS</t>
  </si>
  <si>
    <t>BAC ENGINEERING CONSULTANCY GROUP SAS</t>
  </si>
  <si>
    <t>MAB INGENIERIA DE VALOR S A</t>
  </si>
  <si>
    <t>GIMPROSA COLOBIA SAS</t>
  </si>
  <si>
    <t>JENNY FERNÁNDEZ VILLAR</t>
  </si>
  <si>
    <t>HABIL</t>
  </si>
  <si>
    <t>PEDRO ANTONIO GUTIERREZ BUSTILLO</t>
  </si>
  <si>
    <t>SANTIAGO CARRILLO VARGAS</t>
  </si>
  <si>
    <t>SANDRA VALENCIA ACHURY</t>
  </si>
  <si>
    <t>FABIAN OMAR VALLEJO OBANDO</t>
  </si>
  <si>
    <t>YOHANNA DIAZ ARZAYUS</t>
  </si>
  <si>
    <t>JHULIANA ANDREA SARMIENTO GARCIA</t>
  </si>
  <si>
    <t>GINNA XIMENA GUERRERO PEDRAZA</t>
  </si>
  <si>
    <t>IVAN AUGUSTO BARRETO ESQUIVEL</t>
  </si>
  <si>
    <t xml:space="preserve"> JORGE ELIECER PARRA SALINAS</t>
  </si>
  <si>
    <t xml:space="preserve">JOSÉ ALBERTO ROJAS PRIETO </t>
  </si>
  <si>
    <t xml:space="preserve">ARA INGENIERIA S.A.S </t>
  </si>
  <si>
    <t>SAVIMAC SAS</t>
  </si>
  <si>
    <t>SANDRA MONICA CARDOZO ROJAS</t>
  </si>
  <si>
    <t>JORGE ISAAC VELASQUEZ</t>
  </si>
  <si>
    <t>INCGROUP SAS</t>
  </si>
  <si>
    <t>DPC INGENIEROS SAS</t>
  </si>
  <si>
    <t>KRYSTAL INGENIEROS SAS</t>
  </si>
  <si>
    <t>CPS INGENIEROS FILIAL COLOMBIA SAS</t>
  </si>
  <si>
    <t>CONSULTORES DONOVAN SAS</t>
  </si>
  <si>
    <t>YAMILL MONTENEGRO CALDERON</t>
  </si>
  <si>
    <t>SOLUCIONES PARA INGENIERIA SAS</t>
  </si>
  <si>
    <t xml:space="preserve">COMPAÑÍA COLOMBIANA DE CONSULTORES S.A.S. </t>
  </si>
  <si>
    <t>JPS INGENIERIA SOCIEDAD ANONIMA</t>
  </si>
  <si>
    <t xml:space="preserve">CONSORCIO ARA-JARP </t>
  </si>
  <si>
    <t xml:space="preserve"> INGENIERIA DE PROYECTOS S.A.S</t>
  </si>
  <si>
    <t>CONSORCIO FDLUSA-006</t>
  </si>
  <si>
    <t>VELNEC SA</t>
  </si>
  <si>
    <t xml:space="preserve"> CIVING INGENIEROS CONTRATISTAS S.A.S. </t>
  </si>
  <si>
    <t>CONSORCIO VIAS USAQUEN</t>
  </si>
  <si>
    <t>CONSORCIO USAQUEN 2018</t>
  </si>
  <si>
    <t>CONSORCIO UQUEN</t>
  </si>
  <si>
    <t>CONSORCIO  SI USAQUEN</t>
  </si>
  <si>
    <t>CONSORCIO CCC-JPS USAQUEN</t>
  </si>
  <si>
    <t xml:space="preserve">TECNICONSULTA SAS </t>
  </si>
  <si>
    <t>GMC INGENIEROS S.A.S</t>
  </si>
  <si>
    <t xml:space="preserve">CIVING INGENIEROS CONTRATISTAS S.A.S. </t>
  </si>
  <si>
    <t>INGENIERIA DE PROYECTOS S.A.S</t>
  </si>
  <si>
    <t>CONSULTORES DE INGENIERIA UG21 SUCURSAL EN COLOMBIA</t>
  </si>
  <si>
    <t>INGECON SAS</t>
  </si>
  <si>
    <t>CONSORCIO INTERVENTORIA VPC</t>
  </si>
  <si>
    <t>CONSORCIO INTERUSAQUEN</t>
  </si>
  <si>
    <t>MIRS LATINOAMERICA S.A.S.</t>
  </si>
  <si>
    <t>LINO ANDRES MENDOZA</t>
  </si>
  <si>
    <t>CB INGENIEROS</t>
  </si>
  <si>
    <t xml:space="preserve">CONSORCIO INGESCOR  USAQUEN </t>
  </si>
  <si>
    <t>CONSORCIO HEI 2018</t>
  </si>
  <si>
    <t>CONSORCIO EUROARIAS 2018</t>
  </si>
  <si>
    <t xml:space="preserve"> MARLENY ESPERANZA MEDINA GARCIA - JUAN MANUEL BARRERA - YENNY FERNANDEZ - JEISSON ORTIZ</t>
  </si>
  <si>
    <t>Septiembre 14 de 2.018</t>
  </si>
  <si>
    <t xml:space="preserve">CONSULTORES DE INGENIERIA UG21 SUCURSAL EN COLOMBIA
</t>
  </si>
  <si>
    <t>CIVILE SAS</t>
  </si>
  <si>
    <t>VLADIMIR POLO PAZ</t>
  </si>
  <si>
    <t>INTECSA - INACSA COLOMBIA SAS</t>
  </si>
  <si>
    <t>CAYCO SAS</t>
  </si>
  <si>
    <t>M&amp;R CONSULTORIA Y CONSTRUCCION SAS</t>
  </si>
  <si>
    <t>ARREDONDO MADRID INGENIEROS CIVILES SAS</t>
  </si>
  <si>
    <t>INGESCOR LTDA</t>
  </si>
  <si>
    <t>JUAN CARLOS RIOS</t>
  </si>
  <si>
    <t>ELBERTO ADILIO RODRIGUEZ GOMEZ</t>
  </si>
  <si>
    <t>HR INGENIERIA SAS</t>
  </si>
  <si>
    <t>EUROCONTROL SA SUCURSAL COLOMBIA</t>
  </si>
  <si>
    <t>ARCELIA ARIAS DIAZ</t>
  </si>
  <si>
    <t>MANUEL GONZALEZ MOLES</t>
  </si>
  <si>
    <t>ANGELA MARIA DAVILA MORALES</t>
  </si>
  <si>
    <t>OSCAR ALEJANDRO RAMIREZ</t>
  </si>
  <si>
    <t>GONZALO DARIO DEL CAMPO ROIG</t>
  </si>
  <si>
    <t>NICK RANDY ALMEIDA GAMARRA</t>
  </si>
  <si>
    <t>CESAR AUGUSTO CAMARGO</t>
  </si>
  <si>
    <t>JUAN MANUEL ESCALLON</t>
  </si>
  <si>
    <t>DONAL BOGOTA BAUTISTA</t>
  </si>
  <si>
    <t>YELMAN YOHANI HERNANDEZ ROJAS</t>
  </si>
  <si>
    <t>SANDRA CAROLINA CARDOZO PEREZ</t>
  </si>
  <si>
    <t>JENNY FERNÁNDEZ VILLAR - MARLENY MEDINA GARCIA</t>
  </si>
  <si>
    <t>No Habil</t>
  </si>
  <si>
    <t>Habil</t>
  </si>
  <si>
    <t>El consorcio no alcanza el capital de trabajo exigido</t>
  </si>
  <si>
    <t>JOYCO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</si>
</sst>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 #,##0_);\(&quot;$&quot;\ #,##0\)"/>
    <numFmt numFmtId="165" formatCode="&quot;$&quot;\ #,##0_);[Red]\(&quot;$&quot;\ #,##0\)"/>
    <numFmt numFmtId="166" formatCode="_ * #,##0.00_ ;_ * \-#,##0.00_ ;_ * &quot;-&quot;??_ ;_ @_ "/>
    <numFmt numFmtId="167" formatCode="#,##0.00;[Red]#,##0.00"/>
    <numFmt numFmtId="168" formatCode="_-[$$-240A]\ * #,##0_-;\-[$$-240A]\ * #,##0_-;_-[$$-240A]\ * &quot;-&quot;??_-;_-@_-"/>
  </numFmts>
  <fonts count="43" x14ac:knownFonts="1">
    <font>
      <sz val="10"/>
      <name val="Arial"/>
      <family val="2"/>
    </font>
    <font>
      <sz val="10"/>
      <name val="Arial"/>
      <family val="2"/>
    </font>
    <font>
      <sz val="10"/>
      <name val="Calibri"/>
      <family val="2"/>
      <scheme val="minor"/>
    </font>
    <font>
      <b/>
      <sz val="7"/>
      <name val="Calibri"/>
      <family val="2"/>
      <scheme val="minor"/>
    </font>
    <font>
      <b/>
      <sz val="10"/>
      <name val="Calibri"/>
      <family val="2"/>
      <scheme val="minor"/>
    </font>
    <font>
      <b/>
      <sz val="22"/>
      <name val="Calibri"/>
      <family val="2"/>
      <scheme val="minor"/>
    </font>
    <font>
      <b/>
      <sz val="18"/>
      <name val="Calibri"/>
      <family val="2"/>
      <scheme val="minor"/>
    </font>
    <font>
      <sz val="18"/>
      <name val="Calibri"/>
      <family val="2"/>
    </font>
    <font>
      <b/>
      <i/>
      <sz val="10"/>
      <name val="Calibri"/>
      <family val="2"/>
      <scheme val="minor"/>
    </font>
    <font>
      <sz val="18"/>
      <name val="Calibri"/>
      <family val="2"/>
      <scheme val="minor"/>
    </font>
    <font>
      <sz val="12"/>
      <name val="Calibri"/>
      <family val="2"/>
      <scheme val="minor"/>
    </font>
    <font>
      <b/>
      <sz val="14"/>
      <name val="Calibri"/>
      <family val="2"/>
      <scheme val="minor"/>
    </font>
    <font>
      <sz val="14"/>
      <name val="Calibri"/>
      <family val="2"/>
      <scheme val="minor"/>
    </font>
    <font>
      <b/>
      <sz val="12"/>
      <name val="Calibri"/>
      <family val="2"/>
      <scheme val="minor"/>
    </font>
    <font>
      <b/>
      <sz val="12"/>
      <name val="Calibri"/>
      <family val="2"/>
    </font>
    <font>
      <b/>
      <u/>
      <sz val="12"/>
      <name val="Calibri"/>
      <family val="2"/>
      <scheme val="minor"/>
    </font>
    <font>
      <b/>
      <sz val="14"/>
      <name val="Calibri"/>
      <family val="2"/>
    </font>
    <font>
      <sz val="14"/>
      <name val="Calibri"/>
      <family val="2"/>
    </font>
    <font>
      <b/>
      <sz val="12"/>
      <color indexed="8"/>
      <name val="Calibri"/>
      <family val="2"/>
      <scheme val="minor"/>
    </font>
    <font>
      <sz val="12"/>
      <color indexed="8"/>
      <name val="Calibri"/>
      <family val="2"/>
      <scheme val="minor"/>
    </font>
    <font>
      <b/>
      <sz val="14"/>
      <color rgb="FF000000"/>
      <name val="Calibri"/>
      <family val="2"/>
      <scheme val="minor"/>
    </font>
    <font>
      <b/>
      <sz val="14"/>
      <color indexed="8"/>
      <name val="Calibri"/>
      <family val="2"/>
      <scheme val="minor"/>
    </font>
    <font>
      <b/>
      <sz val="14"/>
      <color indexed="10"/>
      <name val="Calibri"/>
      <family val="2"/>
      <scheme val="minor"/>
    </font>
    <font>
      <sz val="12"/>
      <color rgb="FFC00000"/>
      <name val="Calibri"/>
      <family val="2"/>
      <scheme val="minor"/>
    </font>
    <font>
      <sz val="8"/>
      <name val="Calibri"/>
      <family val="2"/>
      <scheme val="minor"/>
    </font>
    <font>
      <b/>
      <sz val="8"/>
      <name val="Calibri"/>
      <family val="2"/>
      <scheme val="minor"/>
    </font>
    <font>
      <b/>
      <sz val="20"/>
      <color rgb="FF000000"/>
      <name val="Calibri"/>
      <family val="2"/>
      <charset val="1"/>
    </font>
    <font>
      <b/>
      <sz val="14"/>
      <color rgb="FF000000"/>
      <name val="Calibri"/>
      <family val="2"/>
      <charset val="1"/>
    </font>
    <font>
      <b/>
      <sz val="11"/>
      <color rgb="FF000000"/>
      <name val="Calibri"/>
      <family val="2"/>
      <charset val="1"/>
    </font>
    <font>
      <b/>
      <sz val="12"/>
      <color rgb="FF000000"/>
      <name val="Calibri"/>
      <family val="2"/>
      <charset val="1"/>
    </font>
    <font>
      <b/>
      <sz val="14"/>
      <color rgb="FF000000"/>
      <name val="Calibri"/>
      <family val="2"/>
    </font>
    <font>
      <b/>
      <sz val="12"/>
      <color rgb="FF000000"/>
      <name val="Arial Narrow"/>
      <family val="2"/>
    </font>
    <font>
      <b/>
      <sz val="11"/>
      <color rgb="FF000000"/>
      <name val="Arial Narrow"/>
      <family val="2"/>
    </font>
    <font>
      <sz val="11"/>
      <color rgb="FF000000"/>
      <name val="Arial Narrow"/>
      <family val="2"/>
    </font>
    <font>
      <b/>
      <u/>
      <sz val="11"/>
      <color rgb="FF000000"/>
      <name val="Arial Narrow"/>
      <family val="2"/>
    </font>
    <font>
      <b/>
      <u/>
      <sz val="12"/>
      <color rgb="FF000000"/>
      <name val="Arial Narrow"/>
      <family val="2"/>
    </font>
    <font>
      <sz val="12"/>
      <color rgb="FF000000"/>
      <name val="Arial Narrow"/>
      <family val="2"/>
    </font>
    <font>
      <sz val="11"/>
      <name val="Calibri"/>
      <family val="2"/>
      <charset val="1"/>
    </font>
    <font>
      <sz val="11"/>
      <color rgb="FF000000"/>
      <name val="Calibri"/>
      <family val="2"/>
    </font>
    <font>
      <u/>
      <sz val="12"/>
      <name val="Calibri"/>
      <family val="2"/>
      <scheme val="minor"/>
    </font>
    <font>
      <sz val="12"/>
      <color rgb="FF000000"/>
      <name val="Calibri"/>
      <family val="2"/>
      <scheme val="minor"/>
    </font>
    <font>
      <b/>
      <sz val="10"/>
      <name val="Arial"/>
      <family val="2"/>
    </font>
    <font>
      <sz val="10"/>
      <color rgb="FFFF0000"/>
      <name val="Arial"/>
      <family val="2"/>
    </font>
  </fonts>
  <fills count="13">
    <fill>
      <patternFill patternType="none"/>
    </fill>
    <fill>
      <patternFill patternType="gray125"/>
    </fill>
    <fill>
      <patternFill patternType="solid">
        <fgColor rgb="FFFFFF00"/>
        <bgColor indexed="64"/>
      </patternFill>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4" tint="0.59999389629810485"/>
        <bgColor indexed="64"/>
      </patternFill>
    </fill>
    <fill>
      <patternFill patternType="solid">
        <fgColor theme="4" tint="0.59999389629810485"/>
        <bgColor rgb="FFAFABAB"/>
      </patternFill>
    </fill>
    <fill>
      <patternFill patternType="solid">
        <fgColor theme="4" tint="0.59999389629810485"/>
        <bgColor rgb="FFB3B3B3"/>
      </patternFill>
    </fill>
    <fill>
      <patternFill patternType="solid">
        <fgColor theme="3" tint="0.59999389629810485"/>
        <bgColor indexed="64"/>
      </patternFill>
    </fill>
    <fill>
      <patternFill patternType="solid">
        <fgColor theme="7" tint="0.39997558519241921"/>
        <bgColor indexed="64"/>
      </patternFill>
    </fill>
    <fill>
      <patternFill patternType="solid">
        <fgColor rgb="FFFF0000"/>
        <bgColor indexed="64"/>
      </patternFill>
    </fill>
  </fills>
  <borders count="24">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auto="1"/>
      </left>
      <right/>
      <top/>
      <bottom/>
      <diagonal/>
    </border>
    <border>
      <left/>
      <right style="thin">
        <color indexed="64"/>
      </right>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diagonal/>
    </border>
    <border>
      <left/>
      <right style="thin">
        <color indexed="64"/>
      </right>
      <top style="thin">
        <color indexed="64"/>
      </top>
      <bottom/>
      <diagonal/>
    </border>
  </borders>
  <cellStyleXfs count="3">
    <xf numFmtId="0" fontId="0" fillId="0" borderId="0"/>
    <xf numFmtId="166" fontId="1" fillId="0" borderId="0" applyFont="0" applyFill="0" applyBorder="0" applyAlignment="0" applyProtection="0"/>
    <xf numFmtId="9" fontId="1" fillId="0" borderId="0" applyFont="0" applyFill="0" applyBorder="0" applyAlignment="0" applyProtection="0"/>
  </cellStyleXfs>
  <cellXfs count="222">
    <xf numFmtId="0" fontId="0" fillId="0" borderId="0" xfId="0"/>
    <xf numFmtId="0" fontId="2" fillId="0" borderId="0" xfId="0" applyFont="1"/>
    <xf numFmtId="0" fontId="3" fillId="0" borderId="0" xfId="0" applyFont="1" applyAlignment="1">
      <alignment horizontal="center"/>
    </xf>
    <xf numFmtId="0" fontId="3"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center" vertical="center"/>
    </xf>
    <xf numFmtId="0" fontId="2" fillId="4" borderId="0" xfId="0" applyFont="1" applyFill="1"/>
    <xf numFmtId="0" fontId="8" fillId="0" borderId="0" xfId="0" applyFont="1" applyAlignment="1"/>
    <xf numFmtId="164" fontId="6" fillId="0" borderId="0" xfId="0" applyNumberFormat="1" applyFont="1" applyFill="1" applyBorder="1" applyAlignment="1">
      <alignment horizontal="justify" vertical="center" wrapText="1"/>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horizontal="center" vertical="center"/>
    </xf>
    <xf numFmtId="0" fontId="13" fillId="0" borderId="0" xfId="0" applyFont="1" applyAlignment="1">
      <alignment horizontal="center" vertical="center"/>
    </xf>
    <xf numFmtId="0" fontId="10" fillId="0" borderId="0" xfId="0" applyFont="1" applyAlignment="1">
      <alignment horizontal="center"/>
    </xf>
    <xf numFmtId="0" fontId="10" fillId="0" borderId="0" xfId="0" applyFont="1"/>
    <xf numFmtId="9" fontId="13" fillId="3" borderId="7" xfId="0" applyNumberFormat="1" applyFont="1" applyFill="1" applyBorder="1" applyAlignment="1">
      <alignment horizontal="center" vertical="center" wrapText="1"/>
    </xf>
    <xf numFmtId="9" fontId="13" fillId="3" borderId="2" xfId="0" applyNumberFormat="1" applyFont="1" applyFill="1" applyBorder="1" applyAlignment="1">
      <alignment horizontal="center" vertical="center" wrapText="1"/>
    </xf>
    <xf numFmtId="9" fontId="13" fillId="0" borderId="0" xfId="0" applyNumberFormat="1" applyFont="1"/>
    <xf numFmtId="0" fontId="13" fillId="0" borderId="0" xfId="0" applyFont="1"/>
    <xf numFmtId="0" fontId="13" fillId="3" borderId="2" xfId="0" applyFont="1" applyFill="1" applyBorder="1" applyAlignment="1">
      <alignment horizontal="justify" vertical="center" wrapText="1"/>
    </xf>
    <xf numFmtId="14" fontId="10" fillId="3" borderId="2" xfId="2" applyNumberFormat="1" applyFont="1" applyFill="1" applyBorder="1" applyAlignment="1">
      <alignment horizontal="center" vertical="center" wrapText="1"/>
    </xf>
    <xf numFmtId="0" fontId="14" fillId="4" borderId="2" xfId="0" applyFont="1" applyFill="1" applyBorder="1" applyAlignment="1">
      <alignment horizontal="justify" vertical="center" wrapText="1"/>
    </xf>
    <xf numFmtId="0" fontId="10" fillId="0" borderId="2" xfId="0" applyFont="1" applyFill="1" applyBorder="1" applyAlignment="1">
      <alignment horizontal="justify" vertical="center" wrapText="1"/>
    </xf>
    <xf numFmtId="0" fontId="12" fillId="0" borderId="0" xfId="0" applyFont="1" applyBorder="1"/>
    <xf numFmtId="0" fontId="10" fillId="4" borderId="0" xfId="0" applyFont="1" applyFill="1"/>
    <xf numFmtId="0" fontId="12" fillId="4" borderId="2" xfId="0" applyFont="1" applyFill="1" applyBorder="1" applyAlignment="1">
      <alignment vertical="center"/>
    </xf>
    <xf numFmtId="0" fontId="12" fillId="4" borderId="0" xfId="0" applyFont="1" applyFill="1" applyBorder="1" applyAlignment="1">
      <alignment vertical="center"/>
    </xf>
    <xf numFmtId="0" fontId="10" fillId="4" borderId="0" xfId="0" applyFont="1" applyFill="1" applyBorder="1" applyAlignment="1">
      <alignment horizontal="left" vertical="center" wrapText="1"/>
    </xf>
    <xf numFmtId="0" fontId="2" fillId="4" borderId="0" xfId="0" applyFont="1" applyFill="1" applyBorder="1"/>
    <xf numFmtId="167" fontId="13" fillId="4" borderId="2" xfId="0" applyNumberFormat="1" applyFont="1" applyFill="1" applyBorder="1" applyAlignment="1">
      <alignment horizontal="center" vertical="center"/>
    </xf>
    <xf numFmtId="167" fontId="18" fillId="4" borderId="2" xfId="0" applyNumberFormat="1" applyFont="1" applyFill="1" applyBorder="1" applyAlignment="1">
      <alignment horizontal="center" vertical="center" wrapText="1"/>
    </xf>
    <xf numFmtId="0" fontId="10" fillId="4" borderId="9" xfId="0" applyFont="1" applyFill="1" applyBorder="1" applyAlignment="1">
      <alignment horizontal="left" vertical="center" wrapText="1"/>
    </xf>
    <xf numFmtId="0" fontId="13" fillId="4" borderId="0" xfId="0" applyFont="1" applyFill="1"/>
    <xf numFmtId="164" fontId="11" fillId="4" borderId="0" xfId="0" applyNumberFormat="1" applyFont="1" applyFill="1" applyBorder="1" applyAlignment="1">
      <alignment horizontal="justify" vertical="center" wrapText="1"/>
    </xf>
    <xf numFmtId="0" fontId="12" fillId="0" borderId="0" xfId="0" applyFont="1" applyBorder="1" applyAlignment="1">
      <alignment horizontal="left" vertical="center"/>
    </xf>
    <xf numFmtId="0" fontId="2" fillId="0" borderId="0" xfId="0" applyFont="1" applyBorder="1"/>
    <xf numFmtId="0" fontId="10" fillId="0" borderId="0" xfId="0" applyFont="1" applyFill="1"/>
    <xf numFmtId="0" fontId="21" fillId="4" borderId="3" xfId="0" applyFont="1" applyFill="1" applyBorder="1" applyAlignment="1">
      <alignment vertical="center" wrapText="1"/>
    </xf>
    <xf numFmtId="0" fontId="21" fillId="4" borderId="6" xfId="0" applyFont="1" applyFill="1" applyBorder="1" applyAlignment="1">
      <alignment vertical="center" wrapText="1"/>
    </xf>
    <xf numFmtId="0" fontId="12" fillId="4" borderId="0" xfId="0" applyFont="1" applyFill="1"/>
    <xf numFmtId="4" fontId="13" fillId="4" borderId="2" xfId="1" applyNumberFormat="1" applyFont="1" applyFill="1" applyBorder="1" applyAlignment="1">
      <alignment horizontal="right" vertical="center" wrapText="1"/>
    </xf>
    <xf numFmtId="0" fontId="13" fillId="4" borderId="0" xfId="0" applyFont="1" applyFill="1" applyBorder="1" applyAlignment="1">
      <alignment horizontal="justify" vertical="center" wrapText="1"/>
    </xf>
    <xf numFmtId="4" fontId="10" fillId="4" borderId="0" xfId="2" applyNumberFormat="1" applyFont="1" applyFill="1" applyBorder="1" applyAlignment="1">
      <alignment horizontal="right" vertical="center" wrapText="1"/>
    </xf>
    <xf numFmtId="0" fontId="2" fillId="0" borderId="11" xfId="0" applyFont="1" applyBorder="1"/>
    <xf numFmtId="0" fontId="2" fillId="0" borderId="12" xfId="0" applyFont="1" applyBorder="1"/>
    <xf numFmtId="0" fontId="2" fillId="0" borderId="0" xfId="0" applyFont="1" applyBorder="1" applyAlignment="1">
      <alignment vertical="center"/>
    </xf>
    <xf numFmtId="0" fontId="6" fillId="0" borderId="0" xfId="0" applyFont="1" applyBorder="1" applyAlignment="1">
      <alignment vertical="center"/>
    </xf>
    <xf numFmtId="0" fontId="9" fillId="0" borderId="0" xfId="0" applyFont="1" applyBorder="1" applyAlignment="1">
      <alignment vertical="center"/>
    </xf>
    <xf numFmtId="167" fontId="18" fillId="4" borderId="2" xfId="0" applyNumberFormat="1" applyFont="1" applyFill="1" applyBorder="1" applyAlignment="1">
      <alignment horizontal="right" vertical="center" wrapText="1"/>
    </xf>
    <xf numFmtId="0" fontId="10" fillId="4" borderId="0" xfId="0" applyFont="1" applyFill="1" applyAlignment="1">
      <alignment horizontal="right"/>
    </xf>
    <xf numFmtId="0" fontId="17" fillId="0" borderId="3" xfId="0" applyFont="1" applyBorder="1" applyAlignment="1">
      <alignment vertical="center"/>
    </xf>
    <xf numFmtId="0" fontId="17" fillId="4" borderId="0" xfId="0" applyFont="1" applyFill="1" applyBorder="1" applyAlignment="1">
      <alignment horizontal="left" vertical="center"/>
    </xf>
    <xf numFmtId="0" fontId="24" fillId="4" borderId="0" xfId="0" applyFont="1" applyFill="1" applyAlignment="1">
      <alignment horizontal="center"/>
    </xf>
    <xf numFmtId="0" fontId="24" fillId="0" borderId="0" xfId="0" applyFont="1"/>
    <xf numFmtId="0" fontId="24" fillId="4" borderId="0" xfId="0" applyFont="1" applyFill="1" applyAlignment="1">
      <alignment horizontal="center" vertical="center"/>
    </xf>
    <xf numFmtId="0" fontId="25" fillId="3" borderId="7" xfId="0" applyFont="1" applyFill="1" applyBorder="1" applyAlignment="1">
      <alignment horizontal="center" vertical="center" wrapText="1"/>
    </xf>
    <xf numFmtId="0" fontId="25" fillId="0" borderId="0" xfId="0" applyFont="1"/>
    <xf numFmtId="0" fontId="27" fillId="0" borderId="17" xfId="0" applyFont="1" applyBorder="1" applyAlignment="1">
      <alignment vertical="center"/>
    </xf>
    <xf numFmtId="0" fontId="27" fillId="0" borderId="0" xfId="0" applyFont="1" applyBorder="1" applyAlignment="1">
      <alignment vertical="center"/>
    </xf>
    <xf numFmtId="0" fontId="26" fillId="0" borderId="0" xfId="0" applyFont="1" applyBorder="1" applyAlignment="1">
      <alignment vertical="center"/>
    </xf>
    <xf numFmtId="0" fontId="0" fillId="0" borderId="2" xfId="0" applyBorder="1"/>
    <xf numFmtId="0" fontId="27" fillId="7" borderId="2" xfId="0" applyFont="1" applyFill="1" applyBorder="1" applyAlignment="1">
      <alignment horizontal="center" vertical="center"/>
    </xf>
    <xf numFmtId="0" fontId="28" fillId="7" borderId="2" xfId="0" applyFont="1" applyFill="1" applyBorder="1" applyAlignment="1">
      <alignment horizontal="center" vertical="center" wrapText="1"/>
    </xf>
    <xf numFmtId="0" fontId="29" fillId="7" borderId="2" xfId="0" applyFont="1" applyFill="1" applyBorder="1" applyAlignment="1">
      <alignment horizontal="center" vertical="center" wrapText="1"/>
    </xf>
    <xf numFmtId="0" fontId="30" fillId="7" borderId="2" xfId="0" applyFont="1" applyFill="1" applyBorder="1" applyAlignment="1">
      <alignment horizontal="center" vertical="center"/>
    </xf>
    <xf numFmtId="0" fontId="31" fillId="0" borderId="2" xfId="0" applyFont="1" applyBorder="1" applyAlignment="1">
      <alignment horizontal="center" vertical="center"/>
    </xf>
    <xf numFmtId="0" fontId="32" fillId="0" borderId="2" xfId="0" applyFont="1" applyBorder="1" applyAlignment="1">
      <alignment horizontal="center" vertical="center"/>
    </xf>
    <xf numFmtId="0" fontId="33" fillId="0" borderId="2" xfId="0" applyFont="1" applyBorder="1" applyAlignment="1">
      <alignment horizontal="center" vertical="center"/>
    </xf>
    <xf numFmtId="0" fontId="27" fillId="0" borderId="2" xfId="0" applyFont="1" applyFill="1" applyBorder="1" applyAlignment="1">
      <alignment horizontal="center" vertical="center"/>
    </xf>
    <xf numFmtId="0" fontId="30" fillId="0" borderId="2" xfId="0" applyFont="1" applyFill="1" applyBorder="1" applyAlignment="1">
      <alignment horizontal="center" vertical="center"/>
    </xf>
    <xf numFmtId="0" fontId="35" fillId="0" borderId="2" xfId="0" applyFont="1" applyBorder="1" applyAlignment="1">
      <alignment horizontal="center" vertical="center"/>
    </xf>
    <xf numFmtId="0" fontId="0" fillId="2" borderId="2" xfId="0" applyFill="1" applyBorder="1" applyAlignment="1">
      <alignment vertical="center"/>
    </xf>
    <xf numFmtId="0" fontId="0" fillId="8" borderId="2" xfId="0" applyFont="1" applyFill="1" applyBorder="1" applyAlignment="1">
      <alignment horizontal="left" vertical="center"/>
    </xf>
    <xf numFmtId="0" fontId="37" fillId="0" borderId="2" xfId="0" applyFont="1" applyBorder="1" applyAlignment="1">
      <alignment horizontal="center" vertical="center"/>
    </xf>
    <xf numFmtId="0" fontId="0" fillId="0" borderId="2" xfId="0" applyBorder="1" applyAlignment="1">
      <alignment vertical="center" wrapText="1"/>
    </xf>
    <xf numFmtId="0" fontId="38" fillId="0" borderId="2" xfId="0" applyFont="1" applyBorder="1" applyAlignment="1">
      <alignment horizontal="center" vertical="center" wrapText="1"/>
    </xf>
    <xf numFmtId="0" fontId="0" fillId="9" borderId="2" xfId="0" applyFont="1" applyFill="1" applyBorder="1" applyAlignment="1">
      <alignment vertical="center"/>
    </xf>
    <xf numFmtId="0" fontId="9" fillId="0" borderId="0" xfId="0" applyFont="1" applyBorder="1" applyAlignment="1">
      <alignment horizontal="center" vertical="center"/>
    </xf>
    <xf numFmtId="0" fontId="8" fillId="0" borderId="0" xfId="0" applyFont="1" applyFill="1" applyAlignment="1"/>
    <xf numFmtId="0" fontId="2" fillId="0" borderId="0" xfId="0" applyFont="1" applyFill="1" applyBorder="1" applyAlignment="1">
      <alignment vertical="center"/>
    </xf>
    <xf numFmtId="0" fontId="4" fillId="0" borderId="0" xfId="0" applyFont="1" applyFill="1" applyBorder="1" applyAlignment="1">
      <alignment vertical="center"/>
    </xf>
    <xf numFmtId="0" fontId="2" fillId="0" borderId="19" xfId="0" applyFont="1" applyBorder="1"/>
    <xf numFmtId="0" fontId="2" fillId="0" borderId="7" xfId="0" applyFont="1" applyBorder="1"/>
    <xf numFmtId="0" fontId="2" fillId="0" borderId="0" xfId="0" applyFont="1" applyBorder="1" applyAlignment="1">
      <alignment horizontal="center"/>
    </xf>
    <xf numFmtId="0" fontId="24" fillId="3" borderId="2" xfId="0" applyFont="1" applyFill="1" applyBorder="1" applyAlignment="1">
      <alignment horizontal="center" vertical="center" wrapText="1"/>
    </xf>
    <xf numFmtId="14" fontId="39" fillId="4" borderId="2" xfId="2" applyNumberFormat="1" applyFont="1" applyFill="1" applyBorder="1" applyAlignment="1">
      <alignment horizontal="center" vertical="center" wrapText="1"/>
    </xf>
    <xf numFmtId="0" fontId="10" fillId="4" borderId="0" xfId="0" applyFont="1" applyFill="1" applyBorder="1" applyAlignment="1">
      <alignment vertical="center" wrapText="1"/>
    </xf>
    <xf numFmtId="0" fontId="13" fillId="3" borderId="2" xfId="0" applyFont="1" applyFill="1" applyBorder="1" applyAlignment="1">
      <alignment horizontal="center" vertical="center"/>
    </xf>
    <xf numFmtId="0" fontId="24" fillId="3" borderId="3" xfId="0" applyFont="1" applyFill="1" applyBorder="1" applyAlignment="1">
      <alignment horizontal="center" vertical="center" wrapText="1"/>
    </xf>
    <xf numFmtId="0" fontId="13" fillId="4" borderId="7" xfId="0" applyFont="1" applyFill="1" applyBorder="1" applyAlignment="1">
      <alignment horizontal="left" vertical="center" wrapText="1"/>
    </xf>
    <xf numFmtId="0" fontId="12" fillId="4" borderId="2" xfId="0" applyFont="1" applyFill="1" applyBorder="1" applyAlignment="1">
      <alignment horizontal="left" vertical="center"/>
    </xf>
    <xf numFmtId="0" fontId="11" fillId="0" borderId="2" xfId="0" applyFont="1" applyBorder="1" applyAlignment="1">
      <alignment horizontal="left" vertical="center"/>
    </xf>
    <xf numFmtId="0" fontId="10" fillId="4" borderId="5" xfId="0" applyFont="1" applyFill="1" applyBorder="1" applyAlignment="1">
      <alignment vertical="center" wrapText="1"/>
    </xf>
    <xf numFmtId="0" fontId="2" fillId="0" borderId="15" xfId="0" applyFont="1" applyBorder="1" applyAlignment="1">
      <alignment horizontal="center"/>
    </xf>
    <xf numFmtId="0" fontId="2" fillId="0" borderId="20" xfId="0" applyFont="1" applyBorder="1" applyAlignment="1">
      <alignment horizontal="center"/>
    </xf>
    <xf numFmtId="0" fontId="2" fillId="0" borderId="8" xfId="0" applyFont="1" applyBorder="1" applyAlignment="1">
      <alignment horizontal="center"/>
    </xf>
    <xf numFmtId="0" fontId="2" fillId="0" borderId="13" xfId="0" applyFont="1" applyBorder="1" applyAlignment="1">
      <alignment horizontal="center"/>
    </xf>
    <xf numFmtId="0" fontId="13" fillId="3" borderId="2" xfId="0" applyFont="1" applyFill="1" applyBorder="1" applyAlignment="1">
      <alignment horizontal="center" vertical="center"/>
    </xf>
    <xf numFmtId="0" fontId="24" fillId="3" borderId="3" xfId="0" applyFont="1" applyFill="1" applyBorder="1" applyAlignment="1">
      <alignment horizontal="center" vertical="center" wrapText="1"/>
    </xf>
    <xf numFmtId="0" fontId="2" fillId="0" borderId="15" xfId="0" applyFont="1" applyBorder="1" applyAlignment="1">
      <alignment horizontal="center"/>
    </xf>
    <xf numFmtId="0" fontId="2" fillId="0" borderId="13" xfId="0" applyFont="1" applyBorder="1" applyAlignment="1">
      <alignment horizontal="center"/>
    </xf>
    <xf numFmtId="0" fontId="2" fillId="0" borderId="20" xfId="0" applyFont="1" applyBorder="1" applyAlignment="1">
      <alignment horizontal="center"/>
    </xf>
    <xf numFmtId="0" fontId="2" fillId="0" borderId="8" xfId="0" applyFont="1" applyBorder="1" applyAlignment="1">
      <alignment horizontal="center"/>
    </xf>
    <xf numFmtId="4" fontId="10" fillId="10" borderId="2" xfId="1" applyNumberFormat="1" applyFont="1" applyFill="1" applyBorder="1" applyAlignment="1">
      <alignment horizontal="right" vertical="center" wrapText="1"/>
    </xf>
    <xf numFmtId="4" fontId="10" fillId="10" borderId="2" xfId="2" applyNumberFormat="1" applyFont="1" applyFill="1" applyBorder="1" applyAlignment="1">
      <alignment horizontal="right" vertical="center" wrapText="1"/>
    </xf>
    <xf numFmtId="0" fontId="2" fillId="0" borderId="15" xfId="0" applyFont="1" applyBorder="1" applyAlignment="1">
      <alignment horizontal="center"/>
    </xf>
    <xf numFmtId="0" fontId="2" fillId="0" borderId="20" xfId="0" applyFont="1" applyBorder="1" applyAlignment="1">
      <alignment horizontal="center"/>
    </xf>
    <xf numFmtId="0" fontId="24" fillId="3" borderId="3" xfId="0" applyFont="1" applyFill="1" applyBorder="1" applyAlignment="1">
      <alignment horizontal="center" vertical="center" wrapText="1"/>
    </xf>
    <xf numFmtId="0" fontId="2" fillId="0" borderId="8" xfId="0" applyFont="1" applyBorder="1" applyAlignment="1">
      <alignment horizontal="center"/>
    </xf>
    <xf numFmtId="0" fontId="2" fillId="0" borderId="13" xfId="0" applyFont="1" applyBorder="1" applyAlignment="1">
      <alignment horizontal="center"/>
    </xf>
    <xf numFmtId="0" fontId="13" fillId="4" borderId="7" xfId="0" applyFont="1" applyFill="1" applyBorder="1" applyAlignment="1">
      <alignment horizontal="left" vertical="center" wrapText="1"/>
    </xf>
    <xf numFmtId="0" fontId="10" fillId="4" borderId="0" xfId="0" applyFont="1" applyFill="1" applyBorder="1" applyAlignment="1">
      <alignment vertical="center" wrapText="1"/>
    </xf>
    <xf numFmtId="0" fontId="11" fillId="0" borderId="2" xfId="0" applyFont="1" applyBorder="1" applyAlignment="1">
      <alignment horizontal="left" vertical="center"/>
    </xf>
    <xf numFmtId="165" fontId="20" fillId="4" borderId="6" xfId="0" applyNumberFormat="1" applyFont="1" applyFill="1" applyBorder="1" applyAlignment="1">
      <alignment horizontal="left" vertical="center"/>
    </xf>
    <xf numFmtId="0" fontId="0" fillId="0" borderId="0" xfId="0" applyAlignment="1">
      <alignment vertical="center"/>
    </xf>
    <xf numFmtId="0" fontId="12" fillId="4" borderId="2" xfId="0" applyFont="1" applyFill="1" applyBorder="1" applyAlignment="1">
      <alignment horizontal="left" vertical="center"/>
    </xf>
    <xf numFmtId="0" fontId="13" fillId="3" borderId="2" xfId="0" applyFont="1" applyFill="1" applyBorder="1" applyAlignment="1">
      <alignment horizontal="center" vertical="center"/>
    </xf>
    <xf numFmtId="168" fontId="6" fillId="4" borderId="0" xfId="1" applyNumberFormat="1" applyFont="1" applyFill="1" applyBorder="1" applyAlignment="1">
      <alignment horizontal="center" vertical="center" wrapText="1"/>
    </xf>
    <xf numFmtId="0" fontId="0" fillId="0" borderId="0" xfId="0" applyAlignment="1">
      <alignment horizontal="center"/>
    </xf>
    <xf numFmtId="165" fontId="40" fillId="0" borderId="0" xfId="0" applyNumberFormat="1" applyFont="1" applyBorder="1" applyAlignment="1">
      <alignment vertical="center"/>
    </xf>
    <xf numFmtId="4" fontId="10" fillId="11" borderId="2" xfId="1" applyNumberFormat="1" applyFont="1" applyFill="1" applyBorder="1" applyAlignment="1">
      <alignment horizontal="right" vertical="center" wrapText="1"/>
    </xf>
    <xf numFmtId="0" fontId="10" fillId="11" borderId="0" xfId="0" applyFont="1" applyFill="1"/>
    <xf numFmtId="4" fontId="13" fillId="0" borderId="2" xfId="1" applyNumberFormat="1" applyFont="1" applyFill="1" applyBorder="1" applyAlignment="1">
      <alignment horizontal="right" vertical="center" wrapText="1"/>
    </xf>
    <xf numFmtId="4" fontId="10" fillId="11" borderId="2" xfId="2" applyNumberFormat="1" applyFont="1" applyFill="1" applyBorder="1" applyAlignment="1">
      <alignment horizontal="right" vertical="center" wrapText="1"/>
    </xf>
    <xf numFmtId="4" fontId="10" fillId="4" borderId="2" xfId="2" applyNumberFormat="1" applyFont="1" applyFill="1" applyBorder="1" applyAlignment="1">
      <alignment horizontal="right" vertical="center" wrapText="1"/>
    </xf>
    <xf numFmtId="4" fontId="10" fillId="4" borderId="2" xfId="1" applyNumberFormat="1" applyFont="1" applyFill="1" applyBorder="1" applyAlignment="1">
      <alignment horizontal="right" vertical="center" wrapText="1"/>
    </xf>
    <xf numFmtId="0" fontId="0" fillId="8" borderId="2" xfId="0" applyFont="1" applyFill="1" applyBorder="1" applyAlignment="1">
      <alignment horizontal="left" vertical="top" wrapText="1"/>
    </xf>
    <xf numFmtId="0" fontId="0" fillId="8" borderId="2" xfId="0" applyFont="1" applyFill="1" applyBorder="1" applyAlignment="1">
      <alignment horizontal="left" vertical="center" wrapText="1"/>
    </xf>
    <xf numFmtId="0" fontId="41" fillId="8" borderId="2" xfId="0" applyFont="1" applyFill="1" applyBorder="1" applyAlignment="1">
      <alignment horizontal="left" vertical="center"/>
    </xf>
    <xf numFmtId="4" fontId="21" fillId="4" borderId="6" xfId="0" applyNumberFormat="1" applyFont="1" applyFill="1" applyBorder="1" applyAlignment="1">
      <alignment vertical="center" wrapText="1"/>
    </xf>
    <xf numFmtId="4" fontId="10" fillId="11" borderId="5" xfId="1" applyNumberFormat="1" applyFont="1" applyFill="1" applyBorder="1" applyAlignment="1">
      <alignment horizontal="right" vertical="center" wrapText="1"/>
    </xf>
    <xf numFmtId="0" fontId="0" fillId="11" borderId="7" xfId="0" applyFill="1" applyBorder="1" applyAlignment="1">
      <alignment vertical="center" wrapText="1"/>
    </xf>
    <xf numFmtId="0" fontId="37" fillId="12" borderId="2" xfId="0" applyFont="1" applyFill="1" applyBorder="1" applyAlignment="1">
      <alignment horizontal="center" vertical="center"/>
    </xf>
    <xf numFmtId="4" fontId="10" fillId="10" borderId="5" xfId="2" applyNumberFormat="1" applyFont="1" applyFill="1" applyBorder="1" applyAlignment="1">
      <alignment horizontal="right" vertical="center" wrapText="1"/>
    </xf>
    <xf numFmtId="0" fontId="0" fillId="10" borderId="7" xfId="0" applyFill="1" applyBorder="1" applyAlignment="1">
      <alignment vertical="center" wrapText="1"/>
    </xf>
    <xf numFmtId="0" fontId="13" fillId="3" borderId="5" xfId="0" applyFont="1" applyFill="1" applyBorder="1" applyAlignment="1">
      <alignment horizontal="center" vertical="center" wrapText="1"/>
    </xf>
    <xf numFmtId="0" fontId="0" fillId="0" borderId="7" xfId="0" applyBorder="1" applyAlignment="1">
      <alignment horizontal="center" vertical="center" wrapText="1"/>
    </xf>
    <xf numFmtId="167" fontId="13" fillId="4" borderId="5" xfId="0" applyNumberFormat="1" applyFont="1" applyFill="1" applyBorder="1" applyAlignment="1">
      <alignment horizontal="center" vertical="center"/>
    </xf>
    <xf numFmtId="0" fontId="0" fillId="0" borderId="7" xfId="0" applyBorder="1" applyAlignment="1">
      <alignment horizontal="center" vertical="center"/>
    </xf>
    <xf numFmtId="167" fontId="18" fillId="4" borderId="5" xfId="0" applyNumberFormat="1" applyFont="1" applyFill="1" applyBorder="1" applyAlignment="1">
      <alignment horizontal="center" vertical="center" wrapText="1"/>
    </xf>
    <xf numFmtId="167" fontId="19" fillId="4" borderId="5" xfId="0" applyNumberFormat="1" applyFont="1" applyFill="1" applyBorder="1" applyAlignment="1">
      <alignment horizontal="right" vertical="center" wrapText="1"/>
    </xf>
    <xf numFmtId="167" fontId="19" fillId="4" borderId="9" xfId="0" applyNumberFormat="1" applyFont="1" applyFill="1" applyBorder="1" applyAlignment="1">
      <alignment horizontal="right" vertical="center" wrapText="1"/>
    </xf>
    <xf numFmtId="0" fontId="0" fillId="0" borderId="7" xfId="0" applyBorder="1" applyAlignment="1">
      <alignment vertical="center" wrapText="1"/>
    </xf>
    <xf numFmtId="167" fontId="18" fillId="4" borderId="5" xfId="0" applyNumberFormat="1" applyFont="1" applyFill="1" applyBorder="1" applyAlignment="1">
      <alignment horizontal="right" vertical="center" wrapText="1"/>
    </xf>
    <xf numFmtId="4" fontId="10" fillId="10" borderId="5" xfId="1" applyNumberFormat="1" applyFont="1" applyFill="1" applyBorder="1" applyAlignment="1">
      <alignment horizontal="right" vertical="center" wrapText="1"/>
    </xf>
    <xf numFmtId="4" fontId="13" fillId="4" borderId="5" xfId="1" applyNumberFormat="1" applyFont="1" applyFill="1" applyBorder="1" applyAlignment="1">
      <alignment horizontal="right" vertical="center" wrapText="1"/>
    </xf>
    <xf numFmtId="0" fontId="2" fillId="0" borderId="13" xfId="0" applyFont="1" applyBorder="1" applyAlignment="1">
      <alignment horizontal="center"/>
    </xf>
    <xf numFmtId="0" fontId="2" fillId="0" borderId="14" xfId="0" applyFont="1" applyBorder="1" applyAlignment="1">
      <alignment horizontal="center"/>
    </xf>
    <xf numFmtId="0" fontId="2" fillId="0" borderId="15" xfId="0" applyFont="1" applyBorder="1" applyAlignment="1">
      <alignment horizontal="center"/>
    </xf>
    <xf numFmtId="0" fontId="2" fillId="0" borderId="16" xfId="0" applyFont="1" applyBorder="1" applyAlignment="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8" xfId="0" applyFont="1" applyBorder="1" applyAlignment="1">
      <alignment horizontal="center"/>
    </xf>
    <xf numFmtId="0" fontId="2" fillId="0" borderId="18" xfId="0" applyFont="1" applyBorder="1" applyAlignment="1">
      <alignment horizontal="center"/>
    </xf>
    <xf numFmtId="0" fontId="13" fillId="3" borderId="3" xfId="0" applyFont="1" applyFill="1" applyBorder="1" applyAlignment="1">
      <alignment horizontal="center" vertical="center" wrapText="1"/>
    </xf>
    <xf numFmtId="0" fontId="13" fillId="3" borderId="4" xfId="0" applyFont="1" applyFill="1" applyBorder="1" applyAlignment="1">
      <alignment horizontal="center" vertical="center" wrapText="1"/>
    </xf>
    <xf numFmtId="4" fontId="13" fillId="5" borderId="3" xfId="1" applyNumberFormat="1" applyFont="1" applyFill="1" applyBorder="1" applyAlignment="1">
      <alignment horizontal="center" vertical="center" wrapText="1"/>
    </xf>
    <xf numFmtId="4" fontId="13" fillId="5" borderId="4" xfId="1" applyNumberFormat="1" applyFont="1" applyFill="1" applyBorder="1" applyAlignment="1">
      <alignment horizontal="center" vertical="center" wrapText="1"/>
    </xf>
    <xf numFmtId="167" fontId="19" fillId="4" borderId="7" xfId="0" applyNumberFormat="1" applyFont="1" applyFill="1" applyBorder="1" applyAlignment="1">
      <alignment horizontal="right" vertical="center" wrapText="1"/>
    </xf>
    <xf numFmtId="167" fontId="18" fillId="5" borderId="3" xfId="0" applyNumberFormat="1" applyFont="1" applyFill="1" applyBorder="1" applyAlignment="1">
      <alignment horizontal="center" vertical="center" wrapText="1"/>
    </xf>
    <xf numFmtId="167" fontId="18" fillId="5" borderId="4" xfId="0" applyNumberFormat="1" applyFont="1" applyFill="1" applyBorder="1" applyAlignment="1">
      <alignment horizontal="center" vertical="center" wrapText="1"/>
    </xf>
    <xf numFmtId="167" fontId="18" fillId="5" borderId="2" xfId="0" applyNumberFormat="1" applyFont="1" applyFill="1" applyBorder="1" applyAlignment="1">
      <alignment horizontal="center" vertical="center" wrapText="1"/>
    </xf>
    <xf numFmtId="0" fontId="13" fillId="3" borderId="2" xfId="0" applyFont="1" applyFill="1" applyBorder="1" applyAlignment="1">
      <alignment horizontal="center" vertical="center" wrapText="1"/>
    </xf>
    <xf numFmtId="0" fontId="11" fillId="0" borderId="2" xfId="0" applyFont="1" applyBorder="1" applyAlignment="1">
      <alignment horizontal="left" vertical="center"/>
    </xf>
    <xf numFmtId="167" fontId="13" fillId="5" borderId="2" xfId="0" applyNumberFormat="1" applyFont="1" applyFill="1" applyBorder="1" applyAlignment="1">
      <alignment horizontal="center" vertical="center"/>
    </xf>
    <xf numFmtId="0" fontId="24" fillId="3" borderId="3" xfId="0" applyFont="1" applyFill="1" applyBorder="1" applyAlignment="1">
      <alignment horizontal="center" vertical="center" wrapText="1"/>
    </xf>
    <xf numFmtId="0" fontId="24" fillId="3" borderId="4" xfId="0" applyFont="1" applyFill="1" applyBorder="1" applyAlignment="1">
      <alignment horizontal="center" vertical="center" wrapText="1"/>
    </xf>
    <xf numFmtId="0" fontId="13" fillId="3" borderId="2" xfId="0" applyFont="1" applyFill="1" applyBorder="1" applyAlignment="1">
      <alignment horizontal="center" vertical="center"/>
    </xf>
    <xf numFmtId="0" fontId="2" fillId="0" borderId="0" xfId="0" applyFont="1" applyAlignment="1">
      <alignment horizontal="center"/>
    </xf>
    <xf numFmtId="0" fontId="5" fillId="4" borderId="1" xfId="0" applyFont="1" applyFill="1" applyBorder="1" applyAlignment="1">
      <alignment horizontal="center" vertical="center" wrapText="1"/>
    </xf>
    <xf numFmtId="0" fontId="5" fillId="4" borderId="0" xfId="0" applyFont="1" applyFill="1" applyBorder="1" applyAlignment="1">
      <alignment horizontal="center" vertical="center" wrapText="1"/>
    </xf>
    <xf numFmtId="0" fontId="4" fillId="0" borderId="1" xfId="0" applyFont="1" applyFill="1" applyBorder="1" applyAlignment="1">
      <alignment horizontal="center" vertical="justify" wrapText="1"/>
    </xf>
    <xf numFmtId="0" fontId="4" fillId="0" borderId="0" xfId="0" applyFont="1" applyFill="1" applyBorder="1" applyAlignment="1">
      <alignment horizontal="center" vertical="justify" wrapText="1"/>
    </xf>
    <xf numFmtId="0" fontId="6" fillId="4" borderId="1" xfId="0" applyNumberFormat="1" applyFont="1" applyFill="1" applyBorder="1" applyAlignment="1">
      <alignment horizontal="left" vertical="center" wrapText="1"/>
    </xf>
    <xf numFmtId="0" fontId="6" fillId="4" borderId="0" xfId="0" applyNumberFormat="1" applyFont="1" applyFill="1" applyBorder="1" applyAlignment="1">
      <alignment horizontal="left" vertical="center" wrapText="1"/>
    </xf>
    <xf numFmtId="0" fontId="0" fillId="0" borderId="0" xfId="0" applyAlignment="1"/>
    <xf numFmtId="168" fontId="6" fillId="4" borderId="0" xfId="1" applyNumberFormat="1" applyFont="1" applyFill="1" applyBorder="1" applyAlignment="1">
      <alignment horizontal="center" vertical="center" wrapText="1"/>
    </xf>
    <xf numFmtId="0" fontId="12" fillId="4" borderId="5" xfId="0" applyFont="1" applyFill="1" applyBorder="1" applyAlignment="1">
      <alignment horizontal="left" vertical="center"/>
    </xf>
    <xf numFmtId="0" fontId="12" fillId="4" borderId="7" xfId="0" applyFont="1" applyFill="1" applyBorder="1" applyAlignment="1">
      <alignment horizontal="left" vertical="center"/>
    </xf>
    <xf numFmtId="0" fontId="10" fillId="4" borderId="1" xfId="0" applyFont="1" applyFill="1" applyBorder="1" applyAlignment="1">
      <alignment vertical="center" wrapText="1"/>
    </xf>
    <xf numFmtId="0" fontId="10" fillId="4" borderId="0" xfId="0" applyFont="1" applyFill="1" applyBorder="1" applyAlignment="1">
      <alignment vertical="center" wrapText="1"/>
    </xf>
    <xf numFmtId="0" fontId="10" fillId="0" borderId="1" xfId="0" applyFont="1" applyBorder="1" applyAlignment="1">
      <alignment horizontal="left" vertical="center"/>
    </xf>
    <xf numFmtId="0" fontId="10" fillId="0" borderId="0" xfId="0" applyFont="1" applyBorder="1" applyAlignment="1">
      <alignment horizontal="left" vertical="center"/>
    </xf>
    <xf numFmtId="0" fontId="0" fillId="0" borderId="0" xfId="0" applyAlignment="1">
      <alignment vertical="center"/>
    </xf>
    <xf numFmtId="0" fontId="12" fillId="0" borderId="0" xfId="0" applyFont="1" applyBorder="1" applyAlignment="1"/>
    <xf numFmtId="0" fontId="12" fillId="4" borderId="2" xfId="0" applyFont="1" applyFill="1" applyBorder="1" applyAlignment="1">
      <alignment horizontal="left" vertical="center"/>
    </xf>
    <xf numFmtId="0" fontId="13" fillId="4" borderId="5" xfId="0" applyFont="1" applyFill="1" applyBorder="1" applyAlignment="1">
      <alignment horizontal="left" vertical="center" wrapText="1"/>
    </xf>
    <xf numFmtId="0" fontId="13" fillId="4" borderId="7" xfId="0" applyFont="1" applyFill="1" applyBorder="1" applyAlignment="1">
      <alignment horizontal="left" vertical="center" wrapText="1"/>
    </xf>
    <xf numFmtId="165" fontId="20" fillId="4" borderId="6" xfId="0" applyNumberFormat="1" applyFont="1" applyFill="1" applyBorder="1" applyAlignment="1">
      <alignment horizontal="left" vertical="center"/>
    </xf>
    <xf numFmtId="167" fontId="13" fillId="5" borderId="3" xfId="0" applyNumberFormat="1" applyFont="1" applyFill="1" applyBorder="1" applyAlignment="1">
      <alignment horizontal="center" vertical="center"/>
    </xf>
    <xf numFmtId="167" fontId="13" fillId="5" borderId="4" xfId="0" applyNumberFormat="1" applyFont="1" applyFill="1" applyBorder="1" applyAlignment="1">
      <alignment horizontal="center" vertical="center"/>
    </xf>
    <xf numFmtId="0" fontId="0" fillId="0" borderId="22" xfId="0" applyBorder="1" applyAlignment="1"/>
    <xf numFmtId="0" fontId="17" fillId="0" borderId="2" xfId="0" applyFont="1" applyBorder="1" applyAlignment="1">
      <alignment horizontal="left" vertical="center"/>
    </xf>
    <xf numFmtId="0" fontId="23" fillId="6" borderId="3" xfId="0" applyFont="1" applyFill="1" applyBorder="1" applyAlignment="1">
      <alignment horizontal="left" vertical="center" wrapText="1"/>
    </xf>
    <xf numFmtId="0" fontId="0" fillId="0" borderId="6" xfId="0" applyBorder="1" applyAlignment="1">
      <alignment horizontal="left" vertical="center" wrapText="1"/>
    </xf>
    <xf numFmtId="0" fontId="0" fillId="0" borderId="4" xfId="0" applyBorder="1" applyAlignment="1">
      <alignment horizontal="left" vertical="center" wrapText="1"/>
    </xf>
    <xf numFmtId="0" fontId="10" fillId="4" borderId="10" xfId="0" applyFont="1" applyFill="1" applyBorder="1" applyAlignment="1">
      <alignment horizontal="left" vertical="center" wrapText="1"/>
    </xf>
    <xf numFmtId="0" fontId="0" fillId="0" borderId="10" xfId="0" applyBorder="1" applyAlignment="1"/>
    <xf numFmtId="0" fontId="0" fillId="0" borderId="23" xfId="0" applyBorder="1" applyAlignment="1"/>
    <xf numFmtId="0" fontId="10" fillId="10" borderId="5" xfId="0" applyFont="1" applyFill="1" applyBorder="1" applyAlignment="1">
      <alignment vertical="center" wrapText="1"/>
    </xf>
    <xf numFmtId="0" fontId="10" fillId="10" borderId="7" xfId="0" applyFont="1" applyFill="1" applyBorder="1" applyAlignment="1">
      <alignment vertical="center" wrapText="1"/>
    </xf>
    <xf numFmtId="0" fontId="13" fillId="3" borderId="7" xfId="0" applyFont="1" applyFill="1" applyBorder="1" applyAlignment="1">
      <alignment horizontal="center" vertical="center" wrapText="1"/>
    </xf>
    <xf numFmtId="0" fontId="13" fillId="4" borderId="5" xfId="0" applyFont="1" applyFill="1" applyBorder="1" applyAlignment="1">
      <alignment vertical="center" wrapText="1"/>
    </xf>
    <xf numFmtId="0" fontId="13" fillId="4" borderId="7" xfId="0" applyFont="1" applyFill="1" applyBorder="1" applyAlignment="1">
      <alignment vertical="center" wrapText="1"/>
    </xf>
    <xf numFmtId="0" fontId="12" fillId="0" borderId="1" xfId="0" applyFont="1" applyBorder="1" applyAlignment="1">
      <alignment horizontal="left" vertical="center" wrapText="1"/>
    </xf>
    <xf numFmtId="0" fontId="12" fillId="0" borderId="0" xfId="0" applyFont="1" applyBorder="1" applyAlignment="1">
      <alignment horizontal="left" vertical="center" wrapText="1"/>
    </xf>
    <xf numFmtId="0" fontId="22" fillId="0" borderId="0" xfId="0" applyFont="1" applyBorder="1" applyAlignment="1">
      <alignment horizontal="center"/>
    </xf>
    <xf numFmtId="0" fontId="11" fillId="0" borderId="0" xfId="0" applyFont="1" applyBorder="1" applyAlignment="1">
      <alignment horizontal="center"/>
    </xf>
    <xf numFmtId="0" fontId="11" fillId="0" borderId="0" xfId="0" applyFont="1" applyAlignment="1">
      <alignment horizontal="center"/>
    </xf>
    <xf numFmtId="0" fontId="10" fillId="4" borderId="5" xfId="0" applyFont="1" applyFill="1" applyBorder="1" applyAlignment="1">
      <alignment vertical="center" wrapText="1"/>
    </xf>
    <xf numFmtId="0" fontId="10" fillId="4" borderId="7" xfId="0" applyFont="1" applyFill="1" applyBorder="1" applyAlignment="1">
      <alignment vertical="center" wrapText="1"/>
    </xf>
    <xf numFmtId="4" fontId="10" fillId="11" borderId="5" xfId="1" applyNumberFormat="1" applyFont="1" applyFill="1" applyBorder="1" applyAlignment="1">
      <alignment horizontal="right" vertical="center" wrapText="1"/>
    </xf>
    <xf numFmtId="0" fontId="0" fillId="11" borderId="7" xfId="0" applyFill="1" applyBorder="1" applyAlignment="1">
      <alignment vertical="center" wrapText="1"/>
    </xf>
    <xf numFmtId="4" fontId="10" fillId="11" borderId="5" xfId="2" applyNumberFormat="1" applyFont="1" applyFill="1" applyBorder="1" applyAlignment="1">
      <alignment horizontal="right" vertical="center" wrapText="1"/>
    </xf>
    <xf numFmtId="4" fontId="10" fillId="4" borderId="5" xfId="1" applyNumberFormat="1" applyFont="1" applyFill="1" applyBorder="1" applyAlignment="1">
      <alignment horizontal="right" vertical="center" wrapText="1"/>
    </xf>
    <xf numFmtId="4" fontId="10" fillId="4" borderId="5" xfId="2" applyNumberFormat="1" applyFont="1" applyFill="1" applyBorder="1" applyAlignment="1">
      <alignment horizontal="right" vertical="center" wrapText="1"/>
    </xf>
    <xf numFmtId="0" fontId="2" fillId="0" borderId="8" xfId="0" applyFont="1" applyBorder="1" applyAlignment="1">
      <alignment horizontal="center" vertical="center" wrapText="1"/>
    </xf>
    <xf numFmtId="0" fontId="2" fillId="0" borderId="18" xfId="0" applyFont="1" applyBorder="1" applyAlignment="1">
      <alignment horizontal="center" vertical="center" wrapText="1"/>
    </xf>
    <xf numFmtId="0" fontId="0" fillId="0" borderId="0" xfId="0" applyAlignment="1">
      <alignment horizontal="center"/>
    </xf>
    <xf numFmtId="0" fontId="26" fillId="0" borderId="2" xfId="0" applyFont="1" applyBorder="1" applyAlignment="1">
      <alignment horizontal="center" vertical="center"/>
    </xf>
    <xf numFmtId="0" fontId="27" fillId="0" borderId="2" xfId="0" applyFont="1" applyBorder="1" applyAlignment="1">
      <alignment horizontal="center" vertical="center"/>
    </xf>
    <xf numFmtId="0" fontId="42" fillId="0" borderId="2" xfId="0" applyFont="1" applyBorder="1" applyAlignment="1">
      <alignment vertical="center" wrapText="1"/>
    </xf>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2239735</xdr:colOff>
      <xdr:row>0</xdr:row>
      <xdr:rowOff>54429</xdr:rowOff>
    </xdr:from>
    <xdr:to>
      <xdr:col>0</xdr:col>
      <xdr:colOff>2620735</xdr:colOff>
      <xdr:row>2</xdr:row>
      <xdr:rowOff>6804</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39735" y="54429"/>
          <a:ext cx="381000" cy="4667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2239735</xdr:colOff>
      <xdr:row>0</xdr:row>
      <xdr:rowOff>54429</xdr:rowOff>
    </xdr:from>
    <xdr:to>
      <xdr:col>0</xdr:col>
      <xdr:colOff>2620735</xdr:colOff>
      <xdr:row>2</xdr:row>
      <xdr:rowOff>6804</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39735" y="54429"/>
          <a:ext cx="381000" cy="4667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2239735</xdr:colOff>
      <xdr:row>0</xdr:row>
      <xdr:rowOff>54429</xdr:rowOff>
    </xdr:from>
    <xdr:to>
      <xdr:col>0</xdr:col>
      <xdr:colOff>2620735</xdr:colOff>
      <xdr:row>2</xdr:row>
      <xdr:rowOff>6804</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63360" y="54429"/>
          <a:ext cx="0" cy="27622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2239735</xdr:colOff>
      <xdr:row>0</xdr:row>
      <xdr:rowOff>54429</xdr:rowOff>
    </xdr:from>
    <xdr:to>
      <xdr:col>0</xdr:col>
      <xdr:colOff>2620735</xdr:colOff>
      <xdr:row>2</xdr:row>
      <xdr:rowOff>6804</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39735" y="54429"/>
          <a:ext cx="381000" cy="4667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R98"/>
  <sheetViews>
    <sheetView zoomScale="85" zoomScaleNormal="85" workbookViewId="0">
      <selection sqref="A1:E1"/>
    </sheetView>
  </sheetViews>
  <sheetFormatPr baseColWidth="10" defaultColWidth="11.42578125" defaultRowHeight="12.75" x14ac:dyDescent="0.2"/>
  <cols>
    <col min="1" max="1" width="72.28515625" style="1" customWidth="1"/>
    <col min="2" max="3" width="30" style="1" customWidth="1"/>
    <col min="4" max="4" width="24.85546875" style="1" customWidth="1"/>
    <col min="5" max="5" width="23.5703125" style="1" customWidth="1"/>
    <col min="6" max="7" width="30" style="1" customWidth="1"/>
    <col min="8" max="8" width="28.28515625" style="1" customWidth="1"/>
    <col min="9" max="9" width="23.5703125" style="1" customWidth="1"/>
    <col min="10" max="11" width="30" style="1" customWidth="1"/>
    <col min="12" max="14" width="24.85546875" style="1" customWidth="1"/>
    <col min="15" max="15" width="23.5703125" style="1" customWidth="1"/>
    <col min="16" max="17" width="24.85546875" style="1" customWidth="1"/>
    <col min="18" max="18" width="23.5703125" style="1" customWidth="1"/>
    <col min="19" max="16384" width="11.42578125" style="1"/>
  </cols>
  <sheetData>
    <row r="1" spans="1:18" ht="20.25" customHeight="1" x14ac:dyDescent="0.2">
      <c r="A1" s="168"/>
      <c r="B1" s="168"/>
      <c r="C1" s="168"/>
      <c r="D1" s="168"/>
      <c r="E1" s="168"/>
    </row>
    <row r="2" spans="1:18" ht="20.25" customHeight="1" x14ac:dyDescent="0.2"/>
    <row r="3" spans="1:18" ht="9.75" customHeight="1" x14ac:dyDescent="0.2">
      <c r="A3" s="2"/>
    </row>
    <row r="4" spans="1:18" s="4" customFormat="1" ht="14.25" customHeight="1" x14ac:dyDescent="0.2">
      <c r="A4" s="3" t="s">
        <v>0</v>
      </c>
    </row>
    <row r="5" spans="1:18" s="4" customFormat="1" ht="15.75" customHeight="1" x14ac:dyDescent="0.2">
      <c r="A5" s="5" t="s">
        <v>1</v>
      </c>
    </row>
    <row r="7" spans="1:18" s="6" customFormat="1" ht="72" customHeight="1" x14ac:dyDescent="0.2">
      <c r="A7" s="169"/>
      <c r="B7" s="170"/>
      <c r="C7" s="170"/>
      <c r="D7" s="170"/>
      <c r="E7" s="170"/>
    </row>
    <row r="8" spans="1:18" x14ac:dyDescent="0.2">
      <c r="A8" s="171"/>
      <c r="B8" s="172"/>
      <c r="C8" s="172"/>
      <c r="D8" s="172"/>
      <c r="E8" s="172"/>
    </row>
    <row r="9" spans="1:18" s="6" customFormat="1" ht="67.5" customHeight="1" x14ac:dyDescent="0.2">
      <c r="A9" s="173" t="s">
        <v>78</v>
      </c>
      <c r="B9" s="174"/>
      <c r="C9" s="174"/>
      <c r="D9" s="174"/>
      <c r="E9" s="174"/>
      <c r="F9" s="175"/>
      <c r="G9" s="175"/>
      <c r="H9" s="175"/>
      <c r="I9" s="175"/>
      <c r="J9" s="175"/>
      <c r="K9" s="175"/>
      <c r="L9" s="175"/>
      <c r="M9" s="175"/>
      <c r="N9" s="175"/>
      <c r="O9" s="175"/>
      <c r="P9" s="175"/>
      <c r="Q9" s="175"/>
      <c r="R9" s="175"/>
    </row>
    <row r="10" spans="1:18" ht="15" customHeight="1" x14ac:dyDescent="0.2">
      <c r="A10" s="7"/>
      <c r="B10" s="7"/>
      <c r="C10" s="7"/>
      <c r="D10" s="7"/>
      <c r="E10" s="78"/>
      <c r="F10" s="7"/>
      <c r="G10" s="7"/>
      <c r="H10" s="7"/>
      <c r="I10" s="78"/>
      <c r="J10" s="7"/>
      <c r="K10" s="7"/>
      <c r="L10" s="7"/>
      <c r="M10" s="7"/>
      <c r="N10" s="7"/>
      <c r="O10" s="78"/>
      <c r="P10" s="7"/>
      <c r="Q10" s="7"/>
      <c r="R10" s="78"/>
    </row>
    <row r="11" spans="1:18" s="45" customFormat="1" ht="23.25" x14ac:dyDescent="0.2">
      <c r="A11" s="8" t="s">
        <v>2</v>
      </c>
      <c r="B11" s="176">
        <v>1270999240</v>
      </c>
      <c r="C11" s="176"/>
      <c r="D11" s="176"/>
      <c r="E11" s="79"/>
      <c r="F11" s="176"/>
      <c r="G11" s="176"/>
      <c r="H11" s="176"/>
      <c r="I11" s="79"/>
      <c r="J11" s="176"/>
      <c r="K11" s="176"/>
      <c r="L11" s="176"/>
      <c r="M11" s="176"/>
      <c r="N11" s="176"/>
      <c r="O11" s="79"/>
      <c r="P11" s="176"/>
      <c r="Q11" s="176"/>
      <c r="R11" s="79"/>
    </row>
    <row r="12" spans="1:18" s="45" customFormat="1" ht="23.25" x14ac:dyDescent="0.2">
      <c r="A12" s="46" t="s">
        <v>3</v>
      </c>
      <c r="B12" s="77" t="s">
        <v>67</v>
      </c>
      <c r="C12" s="77"/>
      <c r="D12" s="47"/>
      <c r="E12" s="80"/>
      <c r="F12" s="77"/>
      <c r="G12" s="77"/>
      <c r="H12" s="47"/>
      <c r="I12" s="80"/>
      <c r="J12" s="77"/>
      <c r="K12" s="77"/>
      <c r="L12" s="47"/>
      <c r="M12" s="47"/>
      <c r="N12" s="47"/>
      <c r="O12" s="80"/>
      <c r="P12" s="47"/>
      <c r="Q12" s="47"/>
      <c r="R12" s="80"/>
    </row>
    <row r="13" spans="1:18" s="4" customFormat="1" ht="6" customHeight="1" x14ac:dyDescent="0.2">
      <c r="A13" s="10"/>
      <c r="B13" s="11"/>
      <c r="C13" s="11"/>
      <c r="D13" s="9"/>
      <c r="E13" s="9"/>
      <c r="F13" s="11"/>
      <c r="G13" s="11"/>
      <c r="H13" s="9"/>
      <c r="I13" s="9"/>
      <c r="J13" s="11"/>
      <c r="K13" s="11"/>
      <c r="L13" s="9"/>
      <c r="M13" s="9"/>
      <c r="N13" s="9"/>
      <c r="O13" s="9"/>
      <c r="P13" s="9"/>
      <c r="Q13" s="9"/>
      <c r="R13" s="9"/>
    </row>
    <row r="14" spans="1:18" s="12" customFormat="1" ht="15.75" x14ac:dyDescent="0.2">
      <c r="A14" s="162" t="s">
        <v>4</v>
      </c>
      <c r="B14" s="87">
        <v>1</v>
      </c>
      <c r="C14" s="167">
        <v>2</v>
      </c>
      <c r="D14" s="167"/>
      <c r="E14" s="87">
        <v>3</v>
      </c>
      <c r="F14" s="167">
        <v>4</v>
      </c>
      <c r="G14" s="167"/>
      <c r="H14" s="167">
        <v>5</v>
      </c>
      <c r="I14" s="167"/>
      <c r="J14" s="97">
        <v>6</v>
      </c>
      <c r="K14" s="97">
        <v>7</v>
      </c>
      <c r="L14" s="167">
        <v>8</v>
      </c>
      <c r="M14" s="167"/>
      <c r="N14" s="97">
        <v>9</v>
      </c>
      <c r="O14" s="97">
        <v>10</v>
      </c>
    </row>
    <row r="15" spans="1:18" s="13" customFormat="1" ht="15.75" customHeight="1" x14ac:dyDescent="0.25">
      <c r="A15" s="162"/>
      <c r="B15" s="135" t="s">
        <v>79</v>
      </c>
      <c r="C15" s="154" t="s">
        <v>82</v>
      </c>
      <c r="D15" s="155"/>
      <c r="E15" s="135" t="s">
        <v>85</v>
      </c>
      <c r="F15" s="154" t="s">
        <v>87</v>
      </c>
      <c r="G15" s="155"/>
      <c r="H15" s="154" t="s">
        <v>90</v>
      </c>
      <c r="I15" s="155"/>
      <c r="J15" s="135" t="s">
        <v>94</v>
      </c>
      <c r="K15" s="135" t="s">
        <v>96</v>
      </c>
      <c r="L15" s="154" t="s">
        <v>98</v>
      </c>
      <c r="M15" s="155"/>
      <c r="N15" s="135" t="s">
        <v>103</v>
      </c>
      <c r="O15" s="135" t="s">
        <v>203</v>
      </c>
    </row>
    <row r="16" spans="1:18" s="53" customFormat="1" ht="20.25" customHeight="1" x14ac:dyDescent="0.2">
      <c r="A16" s="162"/>
      <c r="B16" s="136"/>
      <c r="C16" s="84" t="s">
        <v>83</v>
      </c>
      <c r="D16" s="84" t="s">
        <v>84</v>
      </c>
      <c r="E16" s="136"/>
      <c r="F16" s="84" t="s">
        <v>88</v>
      </c>
      <c r="G16" s="84" t="s">
        <v>89</v>
      </c>
      <c r="H16" s="84" t="s">
        <v>91</v>
      </c>
      <c r="I16" s="84" t="s">
        <v>92</v>
      </c>
      <c r="J16" s="136"/>
      <c r="K16" s="136"/>
      <c r="L16" s="84" t="s">
        <v>99</v>
      </c>
      <c r="M16" s="84" t="s">
        <v>100</v>
      </c>
      <c r="N16" s="136"/>
      <c r="O16" s="136"/>
    </row>
    <row r="17" spans="1:18" s="17" customFormat="1" ht="15.75" x14ac:dyDescent="0.25">
      <c r="A17" s="15" t="s">
        <v>5</v>
      </c>
      <c r="B17" s="16">
        <v>1</v>
      </c>
      <c r="C17" s="16">
        <v>0.7</v>
      </c>
      <c r="D17" s="16">
        <v>0.3</v>
      </c>
      <c r="E17" s="16">
        <v>1</v>
      </c>
      <c r="F17" s="16">
        <v>0.5</v>
      </c>
      <c r="G17" s="16">
        <v>0.5</v>
      </c>
      <c r="H17" s="16">
        <v>0.5</v>
      </c>
      <c r="I17" s="16">
        <v>0.5</v>
      </c>
      <c r="J17" s="16">
        <v>1</v>
      </c>
      <c r="K17" s="16">
        <v>1</v>
      </c>
      <c r="L17" s="16">
        <v>0.5</v>
      </c>
      <c r="M17" s="16">
        <v>0.5</v>
      </c>
      <c r="N17" s="16">
        <v>1</v>
      </c>
      <c r="O17" s="16">
        <v>1</v>
      </c>
    </row>
    <row r="18" spans="1:18" s="56" customFormat="1" ht="11.25" customHeight="1" x14ac:dyDescent="0.2">
      <c r="A18" s="55" t="s">
        <v>6</v>
      </c>
      <c r="B18" s="84" t="s">
        <v>80</v>
      </c>
      <c r="C18" s="165" t="s">
        <v>81</v>
      </c>
      <c r="D18" s="166"/>
      <c r="E18" s="84" t="s">
        <v>86</v>
      </c>
      <c r="F18" s="165" t="s">
        <v>81</v>
      </c>
      <c r="G18" s="166"/>
      <c r="H18" s="165" t="s">
        <v>93</v>
      </c>
      <c r="I18" s="166"/>
      <c r="J18" s="84" t="s">
        <v>95</v>
      </c>
      <c r="K18" s="84" t="s">
        <v>97</v>
      </c>
      <c r="L18" s="165" t="s">
        <v>101</v>
      </c>
      <c r="M18" s="166"/>
      <c r="N18" s="84" t="s">
        <v>102</v>
      </c>
      <c r="O18" s="84" t="s">
        <v>104</v>
      </c>
    </row>
    <row r="19" spans="1:18" s="14" customFormat="1" ht="21.75" customHeight="1" x14ac:dyDescent="0.25">
      <c r="A19" s="19" t="s">
        <v>7</v>
      </c>
      <c r="B19" s="20"/>
      <c r="C19" s="20"/>
      <c r="D19" s="20"/>
      <c r="E19" s="20"/>
      <c r="F19" s="20"/>
      <c r="G19" s="20"/>
      <c r="H19" s="20"/>
      <c r="I19" s="20"/>
      <c r="J19" s="20"/>
      <c r="K19" s="20"/>
      <c r="L19" s="20"/>
      <c r="M19" s="20"/>
      <c r="N19" s="20"/>
      <c r="O19" s="20"/>
    </row>
    <row r="20" spans="1:18" s="14" customFormat="1" ht="48.75" customHeight="1" x14ac:dyDescent="0.25">
      <c r="A20" s="21" t="s">
        <v>8</v>
      </c>
      <c r="B20" s="85" t="s">
        <v>9</v>
      </c>
      <c r="C20" s="85" t="s">
        <v>9</v>
      </c>
      <c r="D20" s="85" t="s">
        <v>9</v>
      </c>
      <c r="E20" s="85" t="s">
        <v>9</v>
      </c>
      <c r="F20" s="85" t="s">
        <v>9</v>
      </c>
      <c r="G20" s="85" t="s">
        <v>9</v>
      </c>
      <c r="H20" s="85" t="s">
        <v>9</v>
      </c>
      <c r="I20" s="85" t="s">
        <v>9</v>
      </c>
      <c r="J20" s="85" t="s">
        <v>9</v>
      </c>
      <c r="K20" s="85" t="s">
        <v>9</v>
      </c>
      <c r="L20" s="85" t="s">
        <v>9</v>
      </c>
      <c r="M20" s="85" t="s">
        <v>9</v>
      </c>
      <c r="N20" s="85" t="s">
        <v>9</v>
      </c>
      <c r="O20" s="85" t="s">
        <v>9</v>
      </c>
    </row>
    <row r="21" spans="1:18" s="9" customFormat="1" ht="19.5" customHeight="1" x14ac:dyDescent="0.2">
      <c r="A21" s="181" t="s">
        <v>68</v>
      </c>
      <c r="B21" s="182"/>
      <c r="C21" s="182"/>
      <c r="D21" s="182"/>
      <c r="E21" s="182"/>
      <c r="F21" s="183"/>
      <c r="G21" s="183"/>
      <c r="H21" s="183"/>
      <c r="I21" s="183"/>
      <c r="J21" s="183"/>
      <c r="K21" s="183"/>
      <c r="L21" s="183"/>
      <c r="M21" s="183"/>
      <c r="N21" s="183"/>
      <c r="O21" s="183"/>
      <c r="P21" s="183"/>
      <c r="Q21" s="183"/>
      <c r="R21" s="183"/>
    </row>
    <row r="22" spans="1:18" s="14" customFormat="1" ht="46.15" customHeight="1" x14ac:dyDescent="0.25">
      <c r="A22" s="181" t="s">
        <v>10</v>
      </c>
      <c r="B22" s="182"/>
      <c r="C22" s="182"/>
      <c r="D22" s="182"/>
      <c r="E22" s="182"/>
      <c r="F22" s="183"/>
      <c r="G22" s="183"/>
      <c r="H22" s="183"/>
      <c r="I22" s="183"/>
      <c r="J22" s="183"/>
      <c r="K22" s="183"/>
      <c r="L22" s="183"/>
      <c r="M22" s="183"/>
      <c r="N22" s="183"/>
      <c r="O22" s="183"/>
      <c r="P22" s="183"/>
      <c r="Q22" s="183"/>
      <c r="R22" s="183"/>
    </row>
    <row r="23" spans="1:18" s="14" customFormat="1" ht="34.5" customHeight="1" x14ac:dyDescent="0.25">
      <c r="A23" s="22" t="s">
        <v>11</v>
      </c>
      <c r="B23" s="85" t="s">
        <v>9</v>
      </c>
      <c r="C23" s="85" t="s">
        <v>9</v>
      </c>
      <c r="D23" s="85" t="s">
        <v>9</v>
      </c>
      <c r="E23" s="85" t="s">
        <v>9</v>
      </c>
      <c r="F23" s="85" t="s">
        <v>9</v>
      </c>
      <c r="G23" s="85" t="s">
        <v>9</v>
      </c>
      <c r="H23" s="85" t="s">
        <v>9</v>
      </c>
      <c r="I23" s="85" t="s">
        <v>9</v>
      </c>
      <c r="J23" s="85" t="s">
        <v>9</v>
      </c>
      <c r="K23" s="85" t="s">
        <v>9</v>
      </c>
      <c r="L23" s="85" t="s">
        <v>9</v>
      </c>
      <c r="M23" s="85" t="s">
        <v>9</v>
      </c>
      <c r="N23" s="85" t="s">
        <v>9</v>
      </c>
      <c r="O23" s="85" t="s">
        <v>9</v>
      </c>
    </row>
    <row r="24" spans="1:18" s="23" customFormat="1" ht="12.75" customHeight="1" x14ac:dyDescent="0.3">
      <c r="A24" s="184" t="s">
        <v>12</v>
      </c>
      <c r="B24" s="175"/>
      <c r="C24" s="175"/>
      <c r="D24" s="175"/>
      <c r="E24" s="175"/>
      <c r="F24" s="175"/>
      <c r="G24" s="175"/>
      <c r="H24" s="175"/>
      <c r="I24" s="175"/>
      <c r="J24" s="175"/>
      <c r="K24" s="175"/>
      <c r="L24" s="175"/>
      <c r="M24" s="175"/>
      <c r="N24" s="175"/>
      <c r="O24" s="175"/>
      <c r="P24" s="175"/>
      <c r="Q24" s="175"/>
      <c r="R24" s="175"/>
    </row>
    <row r="25" spans="1:18" s="35" customFormat="1" x14ac:dyDescent="0.2">
      <c r="A25" s="175"/>
      <c r="B25" s="175"/>
      <c r="C25" s="175"/>
      <c r="D25" s="175"/>
      <c r="E25" s="175"/>
      <c r="F25" s="175"/>
      <c r="G25" s="175"/>
      <c r="H25" s="175"/>
      <c r="I25" s="175"/>
      <c r="J25" s="175"/>
      <c r="K25" s="175"/>
      <c r="L25" s="175"/>
      <c r="M25" s="175"/>
      <c r="N25" s="175"/>
      <c r="O25" s="175"/>
      <c r="P25" s="175"/>
      <c r="Q25" s="175"/>
      <c r="R25" s="175"/>
    </row>
    <row r="26" spans="1:18" s="6" customFormat="1" x14ac:dyDescent="0.2">
      <c r="A26" s="175"/>
      <c r="B26" s="175"/>
      <c r="C26" s="175"/>
      <c r="D26" s="175"/>
      <c r="E26" s="175"/>
      <c r="F26" s="175"/>
      <c r="G26" s="175"/>
      <c r="H26" s="175"/>
      <c r="I26" s="175"/>
      <c r="J26" s="175"/>
      <c r="K26" s="175"/>
      <c r="L26" s="175"/>
      <c r="M26" s="175"/>
      <c r="N26" s="175"/>
      <c r="O26" s="175"/>
      <c r="P26" s="175"/>
      <c r="Q26" s="175"/>
      <c r="R26" s="175"/>
    </row>
    <row r="27" spans="1:18" s="6" customFormat="1" ht="31.9" customHeight="1" x14ac:dyDescent="0.2">
      <c r="A27" s="90" t="s">
        <v>45</v>
      </c>
      <c r="B27" s="179" t="s">
        <v>74</v>
      </c>
      <c r="C27" s="180"/>
      <c r="D27" s="180"/>
      <c r="E27" s="180"/>
      <c r="F27" s="175"/>
      <c r="G27" s="175"/>
      <c r="H27" s="175"/>
      <c r="I27" s="175"/>
      <c r="J27" s="175"/>
      <c r="K27" s="175"/>
      <c r="L27" s="175"/>
      <c r="M27" s="175"/>
      <c r="N27" s="175"/>
      <c r="O27" s="175"/>
      <c r="P27" s="175"/>
      <c r="Q27" s="175"/>
      <c r="R27" s="175"/>
    </row>
    <row r="28" spans="1:18" s="6" customFormat="1" ht="30.6" customHeight="1" x14ac:dyDescent="0.2">
      <c r="A28" s="25" t="s">
        <v>46</v>
      </c>
      <c r="B28" s="179" t="s">
        <v>51</v>
      </c>
      <c r="C28" s="180"/>
      <c r="D28" s="180"/>
      <c r="E28" s="180"/>
      <c r="F28" s="175"/>
      <c r="G28" s="175"/>
      <c r="H28" s="175"/>
      <c r="I28" s="175"/>
      <c r="J28" s="175"/>
      <c r="K28" s="175"/>
      <c r="L28" s="175"/>
      <c r="M28" s="175"/>
      <c r="N28" s="175"/>
      <c r="O28" s="175"/>
      <c r="P28" s="175"/>
      <c r="Q28" s="175"/>
      <c r="R28" s="175"/>
    </row>
    <row r="29" spans="1:18" s="6" customFormat="1" ht="22.5" customHeight="1" x14ac:dyDescent="0.2">
      <c r="A29" s="185" t="s">
        <v>47</v>
      </c>
      <c r="B29" s="179" t="s">
        <v>13</v>
      </c>
      <c r="C29" s="180"/>
      <c r="D29" s="180"/>
      <c r="E29" s="180"/>
      <c r="F29" s="175"/>
      <c r="G29" s="175"/>
      <c r="H29" s="175"/>
      <c r="I29" s="175"/>
      <c r="J29" s="175"/>
      <c r="K29" s="175"/>
      <c r="L29" s="175"/>
      <c r="M29" s="175"/>
      <c r="N29" s="175"/>
      <c r="O29" s="175"/>
      <c r="P29" s="175"/>
      <c r="Q29" s="175"/>
      <c r="R29" s="175"/>
    </row>
    <row r="30" spans="1:18" s="6" customFormat="1" ht="31.5" customHeight="1" x14ac:dyDescent="0.2">
      <c r="A30" s="185"/>
      <c r="B30" s="179" t="s">
        <v>14</v>
      </c>
      <c r="C30" s="180"/>
      <c r="D30" s="180"/>
      <c r="E30" s="180"/>
      <c r="F30" s="175"/>
      <c r="G30" s="175"/>
      <c r="H30" s="175"/>
      <c r="I30" s="175"/>
      <c r="J30" s="175"/>
      <c r="K30" s="175"/>
      <c r="L30" s="175"/>
      <c r="M30" s="175"/>
      <c r="N30" s="175"/>
      <c r="O30" s="175"/>
      <c r="P30" s="175"/>
      <c r="Q30" s="175"/>
      <c r="R30" s="175"/>
    </row>
    <row r="31" spans="1:18" s="6" customFormat="1" ht="25.5" customHeight="1" x14ac:dyDescent="0.2">
      <c r="A31" s="177" t="s">
        <v>52</v>
      </c>
      <c r="B31" s="179" t="s">
        <v>75</v>
      </c>
      <c r="C31" s="180"/>
      <c r="D31" s="180"/>
      <c r="E31" s="180"/>
      <c r="F31" s="175"/>
      <c r="G31" s="175"/>
      <c r="H31" s="175"/>
      <c r="I31" s="175"/>
      <c r="J31" s="175"/>
      <c r="K31" s="175"/>
      <c r="L31" s="175"/>
      <c r="M31" s="175"/>
      <c r="N31" s="175"/>
      <c r="O31" s="175"/>
      <c r="P31" s="175"/>
      <c r="Q31" s="175"/>
      <c r="R31" s="175"/>
    </row>
    <row r="32" spans="1:18" s="6" customFormat="1" ht="30" customHeight="1" x14ac:dyDescent="0.2">
      <c r="A32" s="178"/>
      <c r="B32" s="179" t="s">
        <v>76</v>
      </c>
      <c r="C32" s="180"/>
      <c r="D32" s="180"/>
      <c r="E32" s="180"/>
      <c r="F32" s="175"/>
      <c r="G32" s="175"/>
      <c r="H32" s="175"/>
      <c r="I32" s="175"/>
      <c r="J32" s="175"/>
      <c r="K32" s="175"/>
      <c r="L32" s="175"/>
      <c r="M32" s="175"/>
      <c r="N32" s="175"/>
      <c r="O32" s="175"/>
      <c r="P32" s="175"/>
      <c r="Q32" s="175"/>
      <c r="R32" s="175"/>
    </row>
    <row r="33" spans="1:18" s="6" customFormat="1" ht="30.75" customHeight="1" x14ac:dyDescent="0.2">
      <c r="A33" s="25" t="s">
        <v>53</v>
      </c>
      <c r="B33" s="179" t="s">
        <v>77</v>
      </c>
      <c r="C33" s="180"/>
      <c r="D33" s="180"/>
      <c r="E33" s="180"/>
      <c r="F33" s="175"/>
      <c r="G33" s="175"/>
      <c r="H33" s="175"/>
      <c r="I33" s="175"/>
      <c r="J33" s="175"/>
      <c r="K33" s="175"/>
      <c r="L33" s="175"/>
      <c r="M33" s="175"/>
      <c r="N33" s="175"/>
      <c r="O33" s="175"/>
      <c r="P33" s="175"/>
      <c r="Q33" s="175"/>
      <c r="R33" s="175"/>
    </row>
    <row r="34" spans="1:18" s="6" customFormat="1" ht="18.75" x14ac:dyDescent="0.25">
      <c r="A34" s="26"/>
      <c r="B34" s="86"/>
      <c r="C34" s="86"/>
      <c r="D34" s="86"/>
      <c r="E34" s="86"/>
      <c r="F34" s="14"/>
      <c r="G34" s="14"/>
      <c r="H34" s="14"/>
      <c r="I34" s="14"/>
      <c r="J34" s="14"/>
      <c r="K34" s="14"/>
      <c r="L34" s="14"/>
      <c r="M34" s="14"/>
      <c r="N34" s="14"/>
      <c r="O34" s="14"/>
      <c r="P34" s="14"/>
      <c r="Q34" s="14"/>
      <c r="R34" s="14"/>
    </row>
    <row r="35" spans="1:18" s="28" customFormat="1" ht="14.25" customHeight="1" x14ac:dyDescent="0.2">
      <c r="A35" s="26"/>
      <c r="B35" s="27"/>
      <c r="C35" s="27"/>
      <c r="D35" s="27"/>
      <c r="E35" s="27"/>
      <c r="F35" s="27"/>
      <c r="G35" s="27"/>
      <c r="H35" s="27"/>
      <c r="I35" s="27"/>
      <c r="J35" s="27"/>
      <c r="K35" s="27"/>
      <c r="L35" s="27"/>
      <c r="M35" s="27"/>
      <c r="N35" s="27"/>
      <c r="O35" s="27"/>
      <c r="P35" s="27"/>
      <c r="Q35" s="27"/>
      <c r="R35" s="27"/>
    </row>
    <row r="36" spans="1:18" s="24" customFormat="1" ht="15.75" customHeight="1" x14ac:dyDescent="0.25">
      <c r="A36" s="162" t="s">
        <v>15</v>
      </c>
      <c r="B36" s="135" t="str">
        <f>+B15</f>
        <v>INTERDISEÑOS INTERNACIONAL SAS</v>
      </c>
      <c r="C36" s="162" t="str">
        <f>+C15</f>
        <v>CONSORCIO G3 - RZ</v>
      </c>
      <c r="D36" s="162"/>
      <c r="E36" s="135" t="str">
        <f>+E15</f>
        <v>INGENIEROS CONSULTORES INC</v>
      </c>
      <c r="F36" s="162" t="str">
        <f>+F15</f>
        <v>INTERVIAL URBANO</v>
      </c>
      <c r="G36" s="162"/>
      <c r="H36" s="162" t="str">
        <f>+H15</f>
        <v>ECOUSAQUEN</v>
      </c>
      <c r="I36" s="162"/>
      <c r="J36" s="135" t="str">
        <f>+J15</f>
        <v>GESTIÓN Y DISEÑOS ELÉCTRICOS SA</v>
      </c>
      <c r="K36" s="135" t="str">
        <f>+K15</f>
        <v>SERVINC LTDA</v>
      </c>
      <c r="L36" s="162" t="str">
        <f>+L15</f>
        <v>CONSORCIO SMA-GIC</v>
      </c>
      <c r="M36" s="162"/>
      <c r="N36" s="135" t="str">
        <f>+N15</f>
        <v>Consultores Técnicos y Económicos SAS</v>
      </c>
      <c r="O36" s="135" t="str">
        <f>+O15</f>
        <v>JOYCO SAS</v>
      </c>
    </row>
    <row r="37" spans="1:18" s="52" customFormat="1" ht="11.25" customHeight="1" x14ac:dyDescent="0.2">
      <c r="A37" s="162"/>
      <c r="B37" s="136"/>
      <c r="C37" s="84" t="str">
        <f>+C16</f>
        <v>G3 Ingenieria LTDA</v>
      </c>
      <c r="D37" s="84" t="str">
        <f>+D16</f>
        <v>Rafael Eduardo Sambrano</v>
      </c>
      <c r="E37" s="136"/>
      <c r="F37" s="84" t="str">
        <f>+F16</f>
        <v>IAR ProyectosSAS</v>
      </c>
      <c r="G37" s="84" t="str">
        <f>+G16</f>
        <v>Bateman Ingenieria SA</v>
      </c>
      <c r="H37" s="84" t="str">
        <f>+H16</f>
        <v>ECG Colombia SAS</v>
      </c>
      <c r="I37" s="84" t="str">
        <f>+I16</f>
        <v>Estructurador Colombia SAS</v>
      </c>
      <c r="J37" s="136"/>
      <c r="K37" s="136"/>
      <c r="L37" s="84" t="str">
        <f>+L16</f>
        <v>Salgado, Melendez y Asociados Ingenieros Consultores SA</v>
      </c>
      <c r="M37" s="84" t="str">
        <f>+M16</f>
        <v>GIC Gerencia Interventoria y Consultoría SAS</v>
      </c>
      <c r="N37" s="136"/>
      <c r="O37" s="136"/>
    </row>
    <row r="38" spans="1:18" s="24" customFormat="1" ht="15.75" x14ac:dyDescent="0.25">
      <c r="A38" s="186" t="s">
        <v>16</v>
      </c>
      <c r="B38" s="137">
        <f>(B66/B70)</f>
        <v>10.621465506890614</v>
      </c>
      <c r="C38" s="29">
        <f>(C66/C70)</f>
        <v>33.713507995916977</v>
      </c>
      <c r="D38" s="29">
        <f t="shared" ref="D38" si="0">(D66/D70)</f>
        <v>14.617689628254933</v>
      </c>
      <c r="E38" s="137">
        <f>(E66/E70)</f>
        <v>17.968860205809868</v>
      </c>
      <c r="F38" s="29">
        <f>(F66/F70)</f>
        <v>8.9223056264074643</v>
      </c>
      <c r="G38" s="29">
        <f t="shared" ref="G38:I38" si="1">(G66/G70)</f>
        <v>2.9811937047471382</v>
      </c>
      <c r="H38" s="29">
        <f>(H66/H70)</f>
        <v>4.750154046663595</v>
      </c>
      <c r="I38" s="29">
        <f t="shared" si="1"/>
        <v>2.2355113210985555</v>
      </c>
      <c r="J38" s="137">
        <f>(J66/J70)</f>
        <v>2.2017362295613951</v>
      </c>
      <c r="K38" s="137">
        <f>(K66/K70)</f>
        <v>2.457995160525178</v>
      </c>
      <c r="L38" s="29">
        <f>(L66/L70)</f>
        <v>9.5552947636408661</v>
      </c>
      <c r="M38" s="29">
        <f t="shared" ref="M38" si="2">(M66/M70)</f>
        <v>8.5218247973331742</v>
      </c>
      <c r="N38" s="137">
        <f>(N66/N70)</f>
        <v>6.209842959599313</v>
      </c>
      <c r="O38" s="137">
        <f>(O66/O70)</f>
        <v>3.5917113220210801</v>
      </c>
    </row>
    <row r="39" spans="1:18" s="24" customFormat="1" ht="15.75" x14ac:dyDescent="0.25">
      <c r="A39" s="187"/>
      <c r="B39" s="138"/>
      <c r="C39" s="164">
        <f>+C67/C71</f>
        <v>18.78539085650872</v>
      </c>
      <c r="D39" s="164"/>
      <c r="E39" s="138"/>
      <c r="F39" s="164">
        <f>+F67/F71</f>
        <v>3.37758569062653</v>
      </c>
      <c r="G39" s="164"/>
      <c r="H39" s="164">
        <f>+H67/H71</f>
        <v>2.8935096037716148</v>
      </c>
      <c r="I39" s="164"/>
      <c r="J39" s="138"/>
      <c r="K39" s="138"/>
      <c r="L39" s="164">
        <f>+L67/L71</f>
        <v>9.2409477390292807</v>
      </c>
      <c r="M39" s="164"/>
      <c r="N39" s="138"/>
      <c r="O39" s="138"/>
    </row>
    <row r="40" spans="1:18" s="24" customFormat="1" ht="15.75" x14ac:dyDescent="0.25">
      <c r="A40" s="186" t="s">
        <v>17</v>
      </c>
      <c r="B40" s="137">
        <f t="shared" ref="B40:I40" si="3">(B72/B68)</f>
        <v>9.4148965175379559E-2</v>
      </c>
      <c r="C40" s="29">
        <f t="shared" si="3"/>
        <v>0.30267136744807566</v>
      </c>
      <c r="D40" s="29">
        <f t="shared" si="3"/>
        <v>9.4787705139864564E-2</v>
      </c>
      <c r="E40" s="137">
        <f t="shared" si="3"/>
        <v>0.40043049971485445</v>
      </c>
      <c r="F40" s="29">
        <f t="shared" si="3"/>
        <v>0.35747730862979393</v>
      </c>
      <c r="G40" s="29">
        <f t="shared" si="3"/>
        <v>0.38800938414586489</v>
      </c>
      <c r="H40" s="29">
        <f t="shared" si="3"/>
        <v>0.26260846896868856</v>
      </c>
      <c r="I40" s="29">
        <f t="shared" si="3"/>
        <v>0.42233921490264287</v>
      </c>
      <c r="J40" s="137">
        <f t="shared" ref="J40:M40" si="4">(J72/J68)</f>
        <v>0.49662877980944214</v>
      </c>
      <c r="K40" s="137">
        <f t="shared" si="4"/>
        <v>0.51854640983902767</v>
      </c>
      <c r="L40" s="29">
        <f t="shared" si="4"/>
        <v>9.7317474641689647E-2</v>
      </c>
      <c r="M40" s="29">
        <f t="shared" si="4"/>
        <v>0.64798340563788992</v>
      </c>
      <c r="N40" s="137">
        <f t="shared" ref="N40:O40" si="5">(N72/N68)</f>
        <v>0.38132821070014783</v>
      </c>
      <c r="O40" s="137">
        <f t="shared" si="5"/>
        <v>0.27841881218819481</v>
      </c>
    </row>
    <row r="41" spans="1:18" s="24" customFormat="1" ht="15.75" x14ac:dyDescent="0.25">
      <c r="A41" s="187"/>
      <c r="B41" s="138"/>
      <c r="C41" s="164">
        <f>+C73/C69</f>
        <v>0.23025187069627104</v>
      </c>
      <c r="D41" s="164"/>
      <c r="E41" s="138"/>
      <c r="F41" s="164">
        <f>+F73/F69</f>
        <v>0.38175647242790262</v>
      </c>
      <c r="G41" s="164"/>
      <c r="H41" s="164">
        <f>+H73/H69</f>
        <v>0.3687597398695493</v>
      </c>
      <c r="I41" s="164"/>
      <c r="J41" s="138"/>
      <c r="K41" s="138"/>
      <c r="L41" s="164">
        <f>+L73/L69</f>
        <v>0.23866997607834489</v>
      </c>
      <c r="M41" s="164"/>
      <c r="N41" s="138"/>
      <c r="O41" s="138"/>
    </row>
    <row r="42" spans="1:18" s="24" customFormat="1" ht="15.75" x14ac:dyDescent="0.25">
      <c r="A42" s="186" t="s">
        <v>18</v>
      </c>
      <c r="B42" s="139">
        <f>(B76/B78)</f>
        <v>785.01260810810811</v>
      </c>
      <c r="C42" s="30">
        <f>(C76/C78)</f>
        <v>88.693423096841002</v>
      </c>
      <c r="D42" s="30">
        <f t="shared" ref="D42" si="6">(D76/D78)</f>
        <v>22.505929278228304</v>
      </c>
      <c r="E42" s="139">
        <f>(E76/E78)</f>
        <v>4.76519902277089</v>
      </c>
      <c r="F42" s="30">
        <f>(F76/F78)</f>
        <v>99.435459465697448</v>
      </c>
      <c r="G42" s="30">
        <f t="shared" ref="G42:I42" si="7">(G76/G78)</f>
        <v>10.566155496687639</v>
      </c>
      <c r="H42" s="30">
        <f>(H76/H78)</f>
        <v>64.301122641102381</v>
      </c>
      <c r="I42" s="30">
        <f t="shared" si="7"/>
        <v>9.2067379147540365</v>
      </c>
      <c r="J42" s="139">
        <f>(J76/J78)</f>
        <v>5.6815746046894224</v>
      </c>
      <c r="K42" s="139">
        <f>(K76/K78)</f>
        <v>28.585147082205992</v>
      </c>
      <c r="L42" s="30">
        <f>(L76/L78)</f>
        <v>22.034487086464438</v>
      </c>
      <c r="M42" s="30" t="e">
        <f t="shared" ref="M42" si="8">(M76/M78)</f>
        <v>#DIV/0!</v>
      </c>
      <c r="N42" s="139">
        <f>(N76/N78)</f>
        <v>73.706313162309229</v>
      </c>
      <c r="O42" s="139">
        <f>(O76/O78)</f>
        <v>99.786390237739781</v>
      </c>
    </row>
    <row r="43" spans="1:18" s="24" customFormat="1" ht="15.75" x14ac:dyDescent="0.25">
      <c r="A43" s="187"/>
      <c r="B43" s="136"/>
      <c r="C43" s="161">
        <f>+C77/C79</f>
        <v>37.606439051988744</v>
      </c>
      <c r="D43" s="161"/>
      <c r="E43" s="136"/>
      <c r="F43" s="161">
        <f>+F77/F79</f>
        <v>11.706633055722611</v>
      </c>
      <c r="G43" s="161"/>
      <c r="H43" s="161">
        <f>+H77/H79</f>
        <v>18.643499285043792</v>
      </c>
      <c r="I43" s="161"/>
      <c r="J43" s="136"/>
      <c r="K43" s="136"/>
      <c r="L43" s="161">
        <f>+L77/L79</f>
        <v>27.229649789627924</v>
      </c>
      <c r="M43" s="161"/>
      <c r="N43" s="136"/>
      <c r="O43" s="136"/>
    </row>
    <row r="44" spans="1:18" s="24" customFormat="1" ht="15.75" x14ac:dyDescent="0.25">
      <c r="A44" s="92" t="s">
        <v>19</v>
      </c>
      <c r="B44" s="140">
        <f>+B66-B70</f>
        <v>3263090864</v>
      </c>
      <c r="C44" s="140">
        <f>+C66-C70</f>
        <v>336507500</v>
      </c>
      <c r="D44" s="140">
        <f t="shared" ref="D44" si="9">+D66-D70</f>
        <v>501740916</v>
      </c>
      <c r="E44" s="140">
        <f>+E66-E70</f>
        <v>1234368496</v>
      </c>
      <c r="F44" s="140">
        <f>+F66-F70</f>
        <v>689525792.5</v>
      </c>
      <c r="G44" s="140">
        <f t="shared" ref="G44:I44" si="10">+G66-G70</f>
        <v>2412018376</v>
      </c>
      <c r="H44" s="140">
        <f>+H66-H70</f>
        <v>524037865.5</v>
      </c>
      <c r="I44" s="140">
        <f t="shared" si="10"/>
        <v>487151756</v>
      </c>
      <c r="J44" s="140">
        <f>+J66-J70</f>
        <v>10153842914</v>
      </c>
      <c r="K44" s="140">
        <f>+K66-K70</f>
        <v>4939700650</v>
      </c>
      <c r="L44" s="140">
        <f>+L66-L70</f>
        <v>9016020956.5</v>
      </c>
      <c r="M44" s="140">
        <f t="shared" ref="M44" si="11">+M66-M70</f>
        <v>3465048825.5</v>
      </c>
      <c r="N44" s="140">
        <f>+N66-N70</f>
        <v>2918752000</v>
      </c>
      <c r="O44" s="140">
        <f>+O66-O70</f>
        <v>6662547916</v>
      </c>
    </row>
    <row r="45" spans="1:18" s="24" customFormat="1" ht="15.75" x14ac:dyDescent="0.25">
      <c r="A45" s="31" t="s">
        <v>20</v>
      </c>
      <c r="B45" s="141"/>
      <c r="C45" s="158"/>
      <c r="D45" s="158"/>
      <c r="E45" s="141"/>
      <c r="F45" s="158"/>
      <c r="G45" s="158"/>
      <c r="H45" s="158"/>
      <c r="I45" s="158"/>
      <c r="J45" s="141"/>
      <c r="K45" s="141"/>
      <c r="L45" s="158"/>
      <c r="M45" s="158"/>
      <c r="N45" s="141"/>
      <c r="O45" s="141"/>
    </row>
    <row r="46" spans="1:18" s="32" customFormat="1" ht="15.75" x14ac:dyDescent="0.25">
      <c r="A46" s="89" t="s">
        <v>21</v>
      </c>
      <c r="B46" s="142"/>
      <c r="C46" s="159">
        <f>+C44+D44</f>
        <v>838248416</v>
      </c>
      <c r="D46" s="160"/>
      <c r="E46" s="142"/>
      <c r="F46" s="159">
        <f>+F44+G44</f>
        <v>3101544168.5</v>
      </c>
      <c r="G46" s="160"/>
      <c r="H46" s="159">
        <f>+H44+I44</f>
        <v>1011189621.5</v>
      </c>
      <c r="I46" s="160"/>
      <c r="J46" s="142"/>
      <c r="K46" s="142"/>
      <c r="L46" s="159">
        <f>+L44+M44</f>
        <v>12481069782</v>
      </c>
      <c r="M46" s="160"/>
      <c r="N46" s="142"/>
      <c r="O46" s="142"/>
    </row>
    <row r="47" spans="1:18" s="49" customFormat="1" ht="15.75" x14ac:dyDescent="0.25">
      <c r="A47" s="186" t="s">
        <v>22</v>
      </c>
      <c r="B47" s="143">
        <f t="shared" ref="B47:I47" si="12">+B74</f>
        <v>3263090914</v>
      </c>
      <c r="C47" s="48">
        <f t="shared" si="12"/>
        <v>873780600</v>
      </c>
      <c r="D47" s="48">
        <f t="shared" si="12"/>
        <v>606382167</v>
      </c>
      <c r="E47" s="143">
        <f t="shared" si="12"/>
        <v>831950098</v>
      </c>
      <c r="F47" s="48">
        <f t="shared" si="12"/>
        <v>854917766</v>
      </c>
      <c r="G47" s="48">
        <f t="shared" si="12"/>
        <v>3161783022.5</v>
      </c>
      <c r="H47" s="48">
        <f t="shared" si="12"/>
        <v>489462473.5</v>
      </c>
      <c r="I47" s="48">
        <f t="shared" si="12"/>
        <v>759662844.5</v>
      </c>
      <c r="J47" s="143">
        <f t="shared" ref="J47:M47" si="13">+J74</f>
        <v>13149697104</v>
      </c>
      <c r="K47" s="143">
        <f t="shared" si="13"/>
        <v>4183654266</v>
      </c>
      <c r="L47" s="48">
        <f t="shared" si="13"/>
        <v>10303403425.5</v>
      </c>
      <c r="M47" s="48">
        <f t="shared" si="13"/>
        <v>1387574502.5</v>
      </c>
      <c r="N47" s="143">
        <f t="shared" ref="N47:O47" si="14">+N74</f>
        <v>3320753000</v>
      </c>
      <c r="O47" s="143">
        <f t="shared" si="14"/>
        <v>6662547916</v>
      </c>
    </row>
    <row r="48" spans="1:18" s="24" customFormat="1" ht="15.75" x14ac:dyDescent="0.25">
      <c r="A48" s="187"/>
      <c r="B48" s="142"/>
      <c r="C48" s="161">
        <f>+C47+D47</f>
        <v>1480162767</v>
      </c>
      <c r="D48" s="161"/>
      <c r="E48" s="142"/>
      <c r="F48" s="161">
        <f>+F47+G47</f>
        <v>4016700788.5</v>
      </c>
      <c r="G48" s="161"/>
      <c r="H48" s="161">
        <f>+H47+I47</f>
        <v>1249125318</v>
      </c>
      <c r="I48" s="161"/>
      <c r="J48" s="142"/>
      <c r="K48" s="142"/>
      <c r="L48" s="161">
        <f>+L47+M47</f>
        <v>11690977928</v>
      </c>
      <c r="M48" s="161"/>
      <c r="N48" s="142"/>
      <c r="O48" s="142"/>
    </row>
    <row r="49" spans="1:18" s="24" customFormat="1" ht="18.75" x14ac:dyDescent="0.25">
      <c r="A49" s="33"/>
      <c r="B49" s="188"/>
      <c r="C49" s="188"/>
      <c r="D49" s="188"/>
      <c r="E49" s="188"/>
      <c r="F49" s="188"/>
      <c r="G49" s="188"/>
      <c r="H49" s="188"/>
      <c r="I49" s="188"/>
      <c r="J49" s="188"/>
      <c r="K49" s="188"/>
      <c r="L49" s="188"/>
      <c r="M49" s="188"/>
      <c r="N49" s="188"/>
      <c r="O49" s="188"/>
      <c r="P49" s="188"/>
      <c r="Q49" s="188"/>
      <c r="R49" s="188"/>
    </row>
    <row r="50" spans="1:18" ht="18.75" x14ac:dyDescent="0.2">
      <c r="A50" s="91" t="s">
        <v>48</v>
      </c>
      <c r="B50" s="163"/>
      <c r="C50" s="163"/>
      <c r="D50" s="163"/>
      <c r="E50" s="163"/>
      <c r="F50" s="163"/>
      <c r="G50" s="163"/>
      <c r="H50" s="163"/>
      <c r="I50" s="163"/>
      <c r="J50" s="163"/>
      <c r="K50" s="163"/>
      <c r="L50" s="163"/>
      <c r="M50" s="163"/>
      <c r="N50" s="163"/>
      <c r="O50" s="163"/>
      <c r="P50" s="163"/>
      <c r="Q50" s="163"/>
      <c r="R50" s="163"/>
    </row>
    <row r="51" spans="1:18" ht="40.9" customHeight="1" x14ac:dyDescent="0.2">
      <c r="A51" s="50" t="s">
        <v>49</v>
      </c>
      <c r="B51" s="179" t="s">
        <v>23</v>
      </c>
      <c r="C51" s="180"/>
      <c r="D51" s="180"/>
      <c r="E51" s="180"/>
      <c r="F51" s="175"/>
      <c r="G51" s="175"/>
      <c r="H51" s="175"/>
      <c r="I51" s="175"/>
      <c r="J51" s="175"/>
      <c r="K51" s="175"/>
      <c r="L51" s="175"/>
      <c r="M51" s="175"/>
      <c r="N51" s="175"/>
      <c r="O51" s="175"/>
      <c r="P51" s="175"/>
      <c r="Q51" s="175"/>
      <c r="R51" s="191"/>
    </row>
    <row r="52" spans="1:18" ht="15.75" customHeight="1" x14ac:dyDescent="0.2">
      <c r="A52" s="192" t="s">
        <v>50</v>
      </c>
      <c r="B52" s="179" t="s">
        <v>23</v>
      </c>
      <c r="C52" s="180"/>
      <c r="D52" s="180"/>
      <c r="E52" s="180"/>
      <c r="F52" s="175"/>
      <c r="G52" s="175"/>
      <c r="H52" s="175"/>
      <c r="I52" s="175"/>
      <c r="J52" s="175"/>
      <c r="K52" s="175"/>
      <c r="L52" s="175"/>
      <c r="M52" s="175"/>
      <c r="N52" s="175"/>
      <c r="O52" s="175"/>
      <c r="P52" s="175"/>
      <c r="Q52" s="175"/>
      <c r="R52" s="191"/>
    </row>
    <row r="53" spans="1:18" ht="15.75" customHeight="1" x14ac:dyDescent="0.2">
      <c r="A53" s="192"/>
      <c r="B53" s="179" t="s">
        <v>24</v>
      </c>
      <c r="C53" s="180"/>
      <c r="D53" s="180"/>
      <c r="E53" s="180"/>
      <c r="F53" s="175"/>
      <c r="G53" s="175"/>
      <c r="H53" s="175"/>
      <c r="I53" s="175"/>
      <c r="J53" s="175"/>
      <c r="K53" s="175"/>
      <c r="L53" s="175"/>
      <c r="M53" s="175"/>
      <c r="N53" s="175"/>
      <c r="O53" s="175"/>
      <c r="P53" s="175"/>
      <c r="Q53" s="175"/>
      <c r="R53" s="191"/>
    </row>
    <row r="54" spans="1:18" ht="27" customHeight="1" x14ac:dyDescent="0.2">
      <c r="A54" s="192"/>
      <c r="B54" s="193" t="s">
        <v>54</v>
      </c>
      <c r="C54" s="194"/>
      <c r="D54" s="194"/>
      <c r="E54" s="194"/>
      <c r="F54" s="194"/>
      <c r="G54" s="194"/>
      <c r="H54" s="194"/>
      <c r="I54" s="194"/>
      <c r="J54" s="194"/>
      <c r="K54" s="194"/>
      <c r="L54" s="194"/>
      <c r="M54" s="194"/>
      <c r="N54" s="194"/>
      <c r="O54" s="194"/>
      <c r="P54" s="194"/>
      <c r="Q54" s="194"/>
      <c r="R54" s="195"/>
    </row>
    <row r="55" spans="1:18" s="6" customFormat="1" ht="38.25" customHeight="1" x14ac:dyDescent="0.2">
      <c r="A55" s="51"/>
      <c r="B55" s="196" t="s">
        <v>55</v>
      </c>
      <c r="C55" s="196"/>
      <c r="D55" s="196"/>
      <c r="E55" s="196"/>
      <c r="F55" s="197"/>
      <c r="G55" s="197"/>
      <c r="H55" s="197"/>
      <c r="I55" s="197"/>
      <c r="J55" s="197"/>
      <c r="K55" s="197"/>
      <c r="L55" s="197"/>
      <c r="M55" s="197"/>
      <c r="N55" s="197"/>
      <c r="O55" s="197"/>
      <c r="P55" s="197"/>
      <c r="Q55" s="197"/>
      <c r="R55" s="198"/>
    </row>
    <row r="56" spans="1:18" s="35" customFormat="1" ht="18.75" x14ac:dyDescent="0.2">
      <c r="A56" s="34"/>
      <c r="B56" s="27"/>
      <c r="C56" s="27"/>
      <c r="D56" s="27"/>
      <c r="E56" s="27"/>
      <c r="F56" s="27"/>
      <c r="G56" s="27"/>
      <c r="H56" s="27"/>
      <c r="I56" s="27"/>
      <c r="J56" s="27"/>
      <c r="K56" s="27"/>
      <c r="L56" s="27"/>
      <c r="M56" s="27"/>
      <c r="N56" s="27"/>
      <c r="O56" s="27"/>
      <c r="P56" s="27"/>
      <c r="Q56" s="27"/>
      <c r="R56" s="27"/>
    </row>
    <row r="57" spans="1:18" s="24" customFormat="1" ht="15.75" customHeight="1" x14ac:dyDescent="0.25">
      <c r="A57" s="162" t="s">
        <v>15</v>
      </c>
      <c r="B57" s="135" t="str">
        <f>+B36</f>
        <v>INTERDISEÑOS INTERNACIONAL SAS</v>
      </c>
      <c r="C57" s="162" t="str">
        <f>+C36</f>
        <v>CONSORCIO G3 - RZ</v>
      </c>
      <c r="D57" s="162"/>
      <c r="E57" s="135" t="str">
        <f>+E36</f>
        <v>INGENIEROS CONSULTORES INC</v>
      </c>
      <c r="F57" s="162" t="str">
        <f>+F36</f>
        <v>INTERVIAL URBANO</v>
      </c>
      <c r="G57" s="162"/>
      <c r="H57" s="162" t="str">
        <f>+H36</f>
        <v>ECOUSAQUEN</v>
      </c>
      <c r="I57" s="162"/>
      <c r="J57" s="135" t="str">
        <f>+J36</f>
        <v>GESTIÓN Y DISEÑOS ELÉCTRICOS SA</v>
      </c>
      <c r="K57" s="135" t="str">
        <f>+K36</f>
        <v>SERVINC LTDA</v>
      </c>
      <c r="L57" s="162" t="str">
        <f>+L36</f>
        <v>CONSORCIO SMA-GIC</v>
      </c>
      <c r="M57" s="162"/>
      <c r="N57" s="135" t="str">
        <f>+N36</f>
        <v>Consultores Técnicos y Económicos SAS</v>
      </c>
      <c r="O57" s="135" t="str">
        <f>+O36</f>
        <v>JOYCO SAS</v>
      </c>
    </row>
    <row r="58" spans="1:18" s="54" customFormat="1" ht="11.25" customHeight="1" x14ac:dyDescent="0.2">
      <c r="A58" s="162"/>
      <c r="B58" s="136"/>
      <c r="C58" s="84" t="str">
        <f>+C37</f>
        <v>G3 Ingenieria LTDA</v>
      </c>
      <c r="D58" s="84" t="str">
        <f>+D37</f>
        <v>Rafael Eduardo Sambrano</v>
      </c>
      <c r="E58" s="136"/>
      <c r="F58" s="84" t="str">
        <f>+F37</f>
        <v>IAR ProyectosSAS</v>
      </c>
      <c r="G58" s="84" t="str">
        <f>+G37</f>
        <v>Bateman Ingenieria SA</v>
      </c>
      <c r="H58" s="84" t="str">
        <f>+H37</f>
        <v>ECG Colombia SAS</v>
      </c>
      <c r="I58" s="84" t="str">
        <f>+I37</f>
        <v>Estructurador Colombia SAS</v>
      </c>
      <c r="J58" s="136"/>
      <c r="K58" s="136"/>
      <c r="L58" s="84" t="str">
        <f>+L37</f>
        <v>Salgado, Melendez y Asociados Ingenieros Consultores SA</v>
      </c>
      <c r="M58" s="84" t="str">
        <f>+M37</f>
        <v>GIC Gerencia Interventoria y Consultoría SAS</v>
      </c>
      <c r="N58" s="136"/>
      <c r="O58" s="136"/>
    </row>
    <row r="59" spans="1:18" s="36" customFormat="1" ht="15.75" x14ac:dyDescent="0.25">
      <c r="A59" s="186" t="s">
        <v>25</v>
      </c>
      <c r="B59" s="137">
        <f t="shared" ref="B59:D59" si="15">(B76/B74)</f>
        <v>0.14241940425445346</v>
      </c>
      <c r="C59" s="29">
        <f t="shared" si="15"/>
        <v>0.13720480862129461</v>
      </c>
      <c r="D59" s="29">
        <f t="shared" si="15"/>
        <v>0.16972643870643381</v>
      </c>
      <c r="E59" s="137">
        <f t="shared" ref="E59:G59" si="16">(E76/E74)</f>
        <v>1</v>
      </c>
      <c r="F59" s="29">
        <f t="shared" si="16"/>
        <v>9.4738948260434205E-2</v>
      </c>
      <c r="G59" s="29">
        <f t="shared" si="16"/>
        <v>0.20938816287796042</v>
      </c>
      <c r="H59" s="29">
        <f t="shared" ref="H59:I59" si="17">(H76/H74)</f>
        <v>0.61198855012936959</v>
      </c>
      <c r="I59" s="29">
        <f t="shared" si="17"/>
        <v>0.27316142220511092</v>
      </c>
      <c r="J59" s="137">
        <f t="shared" ref="J59:M59" si="18">(J76/J74)</f>
        <v>0.317463197972077</v>
      </c>
      <c r="K59" s="137">
        <f t="shared" si="18"/>
        <v>0.78746170011554195</v>
      </c>
      <c r="L59" s="29">
        <f t="shared" si="18"/>
        <v>0.11596972166913043</v>
      </c>
      <c r="M59" s="29">
        <f t="shared" si="18"/>
        <v>0.20303233843834631</v>
      </c>
      <c r="N59" s="137">
        <f t="shared" ref="N59:O59" si="19">(N76/N74)</f>
        <v>0.54248418957989353</v>
      </c>
      <c r="O59" s="137">
        <f t="shared" si="19"/>
        <v>0.24196465726401239</v>
      </c>
    </row>
    <row r="60" spans="1:18" s="36" customFormat="1" ht="15.75" x14ac:dyDescent="0.25">
      <c r="A60" s="187"/>
      <c r="B60" s="138"/>
      <c r="C60" s="189">
        <f>+C77/C75</f>
        <v>0.15052803020547806</v>
      </c>
      <c r="D60" s="190"/>
      <c r="E60" s="138"/>
      <c r="F60" s="189">
        <f>+F77/F75</f>
        <v>0.1849861335520287</v>
      </c>
      <c r="G60" s="190"/>
      <c r="H60" s="189">
        <f>+H77/H75</f>
        <v>0.4059288569315509</v>
      </c>
      <c r="I60" s="190"/>
      <c r="J60" s="138"/>
      <c r="K60" s="138"/>
      <c r="L60" s="189">
        <f>+L77/L75</f>
        <v>0.12630297761178017</v>
      </c>
      <c r="M60" s="190"/>
      <c r="N60" s="138"/>
      <c r="O60" s="138"/>
    </row>
    <row r="61" spans="1:18" s="36" customFormat="1" ht="15.75" x14ac:dyDescent="0.25">
      <c r="A61" s="186" t="s">
        <v>26</v>
      </c>
      <c r="B61" s="137">
        <f t="shared" ref="B61:D61" si="20">+B76/B68</f>
        <v>0.1290107647230026</v>
      </c>
      <c r="C61" s="29">
        <f t="shared" si="20"/>
        <v>9.567684157543585E-2</v>
      </c>
      <c r="D61" s="29">
        <f t="shared" si="20"/>
        <v>0.15363845907988904</v>
      </c>
      <c r="E61" s="137">
        <f t="shared" ref="E61:G61" si="21">+E76/E68</f>
        <v>0.59956950028514555</v>
      </c>
      <c r="F61" s="29">
        <f t="shared" si="21"/>
        <v>6.0871924013876887E-2</v>
      </c>
      <c r="G61" s="29">
        <f t="shared" si="21"/>
        <v>0.12814359075224896</v>
      </c>
      <c r="H61" s="29">
        <f t="shared" ref="H61:I61" si="22">+H76/H68</f>
        <v>0.45127517395352834</v>
      </c>
      <c r="I61" s="29">
        <f t="shared" si="22"/>
        <v>0.157794641609315</v>
      </c>
      <c r="J61" s="137">
        <f t="shared" ref="J61:M61" si="23">+J76/J68</f>
        <v>0.15980183732880104</v>
      </c>
      <c r="K61" s="137">
        <f t="shared" si="23"/>
        <v>0.37912626263489069</v>
      </c>
      <c r="L61" s="29">
        <f t="shared" si="23"/>
        <v>0.10468384122139102</v>
      </c>
      <c r="M61" s="29">
        <f t="shared" si="23"/>
        <v>7.1470752322442002E-2</v>
      </c>
      <c r="N61" s="137">
        <f t="shared" ref="N61:O61" si="24">+N76/N68</f>
        <v>0.33561966423427292</v>
      </c>
      <c r="O61" s="137">
        <f t="shared" si="24"/>
        <v>0.17459714479704239</v>
      </c>
    </row>
    <row r="62" spans="1:18" s="36" customFormat="1" ht="15.75" x14ac:dyDescent="0.25">
      <c r="A62" s="187"/>
      <c r="B62" s="138"/>
      <c r="C62" s="189">
        <f>+C77/C69</f>
        <v>0.11586866965844196</v>
      </c>
      <c r="D62" s="190"/>
      <c r="E62" s="138"/>
      <c r="F62" s="189">
        <f>+F77/F69</f>
        <v>0.11436647975912935</v>
      </c>
      <c r="G62" s="190"/>
      <c r="H62" s="189">
        <f>+H77/H69</f>
        <v>0.2562386372439287</v>
      </c>
      <c r="I62" s="190"/>
      <c r="J62" s="138"/>
      <c r="K62" s="138"/>
      <c r="L62" s="189">
        <f>+L77/L69</f>
        <v>9.6158248966552853E-2</v>
      </c>
      <c r="M62" s="190"/>
      <c r="N62" s="138"/>
      <c r="O62" s="138"/>
    </row>
    <row r="63" spans="1:18" s="39" customFormat="1" ht="18.75" x14ac:dyDescent="0.3">
      <c r="A63" s="37"/>
      <c r="B63" s="38"/>
      <c r="C63" s="38"/>
      <c r="D63" s="38"/>
    </row>
    <row r="64" spans="1:18" s="24" customFormat="1" ht="24" customHeight="1" x14ac:dyDescent="0.25">
      <c r="A64" s="135" t="s">
        <v>27</v>
      </c>
      <c r="B64" s="135" t="str">
        <f>+B57</f>
        <v>INTERDISEÑOS INTERNACIONAL SAS</v>
      </c>
      <c r="C64" s="154" t="str">
        <f>+C57</f>
        <v>CONSORCIO G3 - RZ</v>
      </c>
      <c r="D64" s="155"/>
      <c r="E64" s="135" t="str">
        <f>+E57</f>
        <v>INGENIEROS CONSULTORES INC</v>
      </c>
      <c r="F64" s="154" t="str">
        <f>+F57</f>
        <v>INTERVIAL URBANO</v>
      </c>
      <c r="G64" s="155"/>
      <c r="H64" s="154" t="str">
        <f>+H57</f>
        <v>ECOUSAQUEN</v>
      </c>
      <c r="I64" s="155"/>
      <c r="J64" s="135" t="str">
        <f>+J57</f>
        <v>GESTIÓN Y DISEÑOS ELÉCTRICOS SA</v>
      </c>
      <c r="K64" s="135" t="str">
        <f>+K57</f>
        <v>SERVINC LTDA</v>
      </c>
      <c r="L64" s="154" t="str">
        <f>+L57</f>
        <v>CONSORCIO SMA-GIC</v>
      </c>
      <c r="M64" s="155"/>
      <c r="N64" s="135" t="str">
        <f>+N57</f>
        <v>Consultores Técnicos y Económicos SAS</v>
      </c>
      <c r="O64" s="135" t="str">
        <f>+O57</f>
        <v>JOYCO SAS</v>
      </c>
    </row>
    <row r="65" spans="1:15" s="52" customFormat="1" ht="22.5" customHeight="1" x14ac:dyDescent="0.2">
      <c r="A65" s="201"/>
      <c r="B65" s="136"/>
      <c r="C65" s="88" t="str">
        <f>+C58</f>
        <v>G3 Ingenieria LTDA</v>
      </c>
      <c r="D65" s="88" t="str">
        <f>+D58</f>
        <v>Rafael Eduardo Sambrano</v>
      </c>
      <c r="E65" s="136"/>
      <c r="F65" s="88" t="str">
        <f>+F58</f>
        <v>IAR ProyectosSAS</v>
      </c>
      <c r="G65" s="88" t="str">
        <f>+G58</f>
        <v>Bateman Ingenieria SA</v>
      </c>
      <c r="H65" s="88" t="str">
        <f>+H58</f>
        <v>ECG Colombia SAS</v>
      </c>
      <c r="I65" s="88" t="str">
        <f>+I58</f>
        <v>Estructurador Colombia SAS</v>
      </c>
      <c r="J65" s="136"/>
      <c r="K65" s="136"/>
      <c r="L65" s="98" t="str">
        <f>+L58</f>
        <v>Salgado, Melendez y Asociados Ingenieros Consultores SA</v>
      </c>
      <c r="M65" s="98" t="str">
        <f>+M58</f>
        <v>GIC Gerencia Interventoria y Consultoría SAS</v>
      </c>
      <c r="N65" s="136"/>
      <c r="O65" s="136"/>
    </row>
    <row r="66" spans="1:15" s="14" customFormat="1" ht="15.75" x14ac:dyDescent="0.25">
      <c r="A66" s="199" t="s">
        <v>28</v>
      </c>
      <c r="B66" s="144">
        <v>3602237833</v>
      </c>
      <c r="C66" s="103">
        <f>495420000*C17</f>
        <v>346794000</v>
      </c>
      <c r="D66" s="103">
        <f>1795285687*D17</f>
        <v>538585706.10000002</v>
      </c>
      <c r="E66" s="144">
        <v>1307111655</v>
      </c>
      <c r="F66" s="103">
        <f>1553123585*F17</f>
        <v>776561792.5</v>
      </c>
      <c r="G66" s="103">
        <f>7258950986*G17</f>
        <v>3629475493</v>
      </c>
      <c r="H66" s="103">
        <f>1327551112*H17</f>
        <v>663775556</v>
      </c>
      <c r="I66" s="103">
        <f>1762886745*I17</f>
        <v>881443372.5</v>
      </c>
      <c r="J66" s="144">
        <v>18603153723</v>
      </c>
      <c r="K66" s="144">
        <v>8327709598</v>
      </c>
      <c r="L66" s="103">
        <f>20139747423*L17</f>
        <v>10069873711.5</v>
      </c>
      <c r="M66" s="103">
        <f>7851429620*M17</f>
        <v>3925714810</v>
      </c>
      <c r="N66" s="144">
        <v>3478990000</v>
      </c>
      <c r="O66" s="144">
        <v>9233261660</v>
      </c>
    </row>
    <row r="67" spans="1:15" s="18" customFormat="1" ht="15.75" x14ac:dyDescent="0.25">
      <c r="A67" s="200"/>
      <c r="B67" s="134"/>
      <c r="C67" s="156">
        <f>+C66+D66</f>
        <v>885379706.10000002</v>
      </c>
      <c r="D67" s="157"/>
      <c r="E67" s="134"/>
      <c r="F67" s="156">
        <f>+F66+G66</f>
        <v>4406037285.5</v>
      </c>
      <c r="G67" s="157"/>
      <c r="H67" s="156">
        <f>+H66+I66</f>
        <v>1545218928.5</v>
      </c>
      <c r="I67" s="157"/>
      <c r="J67" s="134"/>
      <c r="K67" s="134"/>
      <c r="L67" s="156">
        <f>+L66+M66</f>
        <v>13995588521.5</v>
      </c>
      <c r="M67" s="157"/>
      <c r="N67" s="134"/>
      <c r="O67" s="134"/>
    </row>
    <row r="68" spans="1:15" s="14" customFormat="1" ht="15.75" x14ac:dyDescent="0.25">
      <c r="A68" s="199" t="s">
        <v>29</v>
      </c>
      <c r="B68" s="144">
        <v>3602237883</v>
      </c>
      <c r="C68" s="103">
        <f>1790057000*C17</f>
        <v>1253039900</v>
      </c>
      <c r="D68" s="103">
        <f>2232928012*D17</f>
        <v>669878403.60000002</v>
      </c>
      <c r="E68" s="144">
        <v>1387579084</v>
      </c>
      <c r="F68" s="103">
        <f>2661128634*F17</f>
        <v>1330564317</v>
      </c>
      <c r="G68" s="103">
        <f>10332782695*G17</f>
        <v>5166391347.5</v>
      </c>
      <c r="H68" s="103">
        <f>1327551112*H17</f>
        <v>663775556</v>
      </c>
      <c r="I68" s="103">
        <f>2630134723*I17</f>
        <v>1315067361.5</v>
      </c>
      <c r="J68" s="144">
        <v>26123259687</v>
      </c>
      <c r="K68" s="144">
        <v>8689631465</v>
      </c>
      <c r="L68" s="103">
        <f>22828410069*L17</f>
        <v>11414205034.5</v>
      </c>
      <c r="M68" s="103">
        <f>7883574381*M17</f>
        <v>3941787190.5</v>
      </c>
      <c r="N68" s="144">
        <v>5367552000</v>
      </c>
      <c r="O68" s="144">
        <v>9233261660</v>
      </c>
    </row>
    <row r="69" spans="1:15" s="18" customFormat="1" ht="15.75" x14ac:dyDescent="0.25">
      <c r="A69" s="200"/>
      <c r="B69" s="134"/>
      <c r="C69" s="156">
        <f>+C68+D68</f>
        <v>1922918303.5999999</v>
      </c>
      <c r="D69" s="157"/>
      <c r="E69" s="134"/>
      <c r="F69" s="156">
        <f>+F68+G68</f>
        <v>6496955664.5</v>
      </c>
      <c r="G69" s="157"/>
      <c r="H69" s="156">
        <f>+H68+I68</f>
        <v>1978842917.5</v>
      </c>
      <c r="I69" s="157"/>
      <c r="J69" s="134"/>
      <c r="K69" s="134"/>
      <c r="L69" s="156">
        <f>+L68+M68</f>
        <v>15355992225</v>
      </c>
      <c r="M69" s="157"/>
      <c r="N69" s="134"/>
      <c r="O69" s="134"/>
    </row>
    <row r="70" spans="1:15" s="14" customFormat="1" ht="15.75" x14ac:dyDescent="0.25">
      <c r="A70" s="199" t="s">
        <v>30</v>
      </c>
      <c r="B70" s="144">
        <v>339146969</v>
      </c>
      <c r="C70" s="103">
        <f>14695000*C17</f>
        <v>10286500</v>
      </c>
      <c r="D70" s="103">
        <f>122815967*D17</f>
        <v>36844790.100000001</v>
      </c>
      <c r="E70" s="144">
        <v>72743159</v>
      </c>
      <c r="F70" s="103">
        <f>174072000*F17</f>
        <v>87036000</v>
      </c>
      <c r="G70" s="103">
        <f>2434914234*G17</f>
        <v>1217457117</v>
      </c>
      <c r="H70" s="103">
        <f>279475381*H17</f>
        <v>139737690.5</v>
      </c>
      <c r="I70" s="103">
        <f>788583233*I17</f>
        <v>394291616.5</v>
      </c>
      <c r="J70" s="144">
        <v>8449310809</v>
      </c>
      <c r="K70" s="144">
        <v>3388008948</v>
      </c>
      <c r="L70" s="103">
        <f>2107705510*L17</f>
        <v>1053852755</v>
      </c>
      <c r="M70" s="103">
        <f>921331969*M17</f>
        <v>460665984.5</v>
      </c>
      <c r="N70" s="144">
        <v>560238000</v>
      </c>
      <c r="O70" s="144">
        <v>2570713744</v>
      </c>
    </row>
    <row r="71" spans="1:15" s="18" customFormat="1" ht="15.75" x14ac:dyDescent="0.25">
      <c r="A71" s="200"/>
      <c r="B71" s="134"/>
      <c r="C71" s="156">
        <f>+C70+D70</f>
        <v>47131290.100000001</v>
      </c>
      <c r="D71" s="157"/>
      <c r="E71" s="134"/>
      <c r="F71" s="156">
        <f>+F70+G70</f>
        <v>1304493117</v>
      </c>
      <c r="G71" s="157"/>
      <c r="H71" s="156">
        <f>+H70+I70</f>
        <v>534029307</v>
      </c>
      <c r="I71" s="157"/>
      <c r="J71" s="134"/>
      <c r="K71" s="134"/>
      <c r="L71" s="156">
        <f>+L70+M70</f>
        <v>1514518739.5</v>
      </c>
      <c r="M71" s="157"/>
      <c r="N71" s="134"/>
      <c r="O71" s="134"/>
    </row>
    <row r="72" spans="1:15" s="14" customFormat="1" ht="15.75" x14ac:dyDescent="0.25">
      <c r="A72" s="199" t="s">
        <v>31</v>
      </c>
      <c r="B72" s="144">
        <v>339146969</v>
      </c>
      <c r="C72" s="103">
        <f>541799000*C17</f>
        <v>379259300</v>
      </c>
      <c r="D72" s="103">
        <f>211654122*D17</f>
        <v>63496236.599999994</v>
      </c>
      <c r="E72" s="144">
        <v>555628986</v>
      </c>
      <c r="F72" s="103">
        <f>951293102*F17</f>
        <v>475646551</v>
      </c>
      <c r="G72" s="103">
        <f>4009216650*G17</f>
        <v>2004608325</v>
      </c>
      <c r="H72" s="103">
        <f>348626165*H17</f>
        <v>174313082.5</v>
      </c>
      <c r="I72" s="103">
        <f>1110809034*I17</f>
        <v>555404517</v>
      </c>
      <c r="J72" s="144">
        <v>12973562583</v>
      </c>
      <c r="K72" s="144">
        <v>4505977199</v>
      </c>
      <c r="L72" s="103">
        <f>2221603218*L17</f>
        <v>1110801609</v>
      </c>
      <c r="M72" s="103">
        <f>5108425376*M17</f>
        <v>2554212688</v>
      </c>
      <c r="N72" s="144">
        <v>2046799000</v>
      </c>
      <c r="O72" s="144">
        <v>2570713744</v>
      </c>
    </row>
    <row r="73" spans="1:15" s="18" customFormat="1" ht="15.75" x14ac:dyDescent="0.25">
      <c r="A73" s="200"/>
      <c r="B73" s="134"/>
      <c r="C73" s="156">
        <f>+C72+D72</f>
        <v>442755536.60000002</v>
      </c>
      <c r="D73" s="157"/>
      <c r="E73" s="134"/>
      <c r="F73" s="156">
        <f>+F72+G72</f>
        <v>2480254876</v>
      </c>
      <c r="G73" s="157"/>
      <c r="H73" s="156">
        <f>+H72+I72</f>
        <v>729717599.5</v>
      </c>
      <c r="I73" s="157"/>
      <c r="J73" s="134"/>
      <c r="K73" s="134"/>
      <c r="L73" s="156">
        <f>+L72+M72</f>
        <v>3665014297</v>
      </c>
      <c r="M73" s="157"/>
      <c r="N73" s="134"/>
      <c r="O73" s="134"/>
    </row>
    <row r="74" spans="1:15" s="14" customFormat="1" ht="19.5" customHeight="1" x14ac:dyDescent="0.25">
      <c r="A74" s="202" t="s">
        <v>32</v>
      </c>
      <c r="B74" s="145">
        <f>+B68-B72</f>
        <v>3263090914</v>
      </c>
      <c r="C74" s="40">
        <f>+C68-C72</f>
        <v>873780600</v>
      </c>
      <c r="D74" s="40">
        <f t="shared" ref="D74" si="25">+D68-D72</f>
        <v>606382167</v>
      </c>
      <c r="E74" s="145">
        <f>+E68-E72</f>
        <v>831950098</v>
      </c>
      <c r="F74" s="40">
        <f>+F68-F72</f>
        <v>854917766</v>
      </c>
      <c r="G74" s="40">
        <f t="shared" ref="G74:I74" si="26">+G68-G72</f>
        <v>3161783022.5</v>
      </c>
      <c r="H74" s="40">
        <f>+H68-H72</f>
        <v>489462473.5</v>
      </c>
      <c r="I74" s="40">
        <f t="shared" si="26"/>
        <v>759662844.5</v>
      </c>
      <c r="J74" s="145">
        <f>+J68-J72</f>
        <v>13149697104</v>
      </c>
      <c r="K74" s="145">
        <f>+K68-K72</f>
        <v>4183654266</v>
      </c>
      <c r="L74" s="40">
        <f>+L68-L72</f>
        <v>10303403425.5</v>
      </c>
      <c r="M74" s="40">
        <f t="shared" ref="M74" si="27">+M68-M72</f>
        <v>1387574502.5</v>
      </c>
      <c r="N74" s="145">
        <f>+N68-N72</f>
        <v>3320753000</v>
      </c>
      <c r="O74" s="145">
        <f>+O68-O72</f>
        <v>6662547916</v>
      </c>
    </row>
    <row r="75" spans="1:15" s="18" customFormat="1" ht="19.5" customHeight="1" x14ac:dyDescent="0.25">
      <c r="A75" s="203"/>
      <c r="B75" s="142"/>
      <c r="C75" s="156">
        <f>+C74+D74</f>
        <v>1480162767</v>
      </c>
      <c r="D75" s="157"/>
      <c r="E75" s="142"/>
      <c r="F75" s="156">
        <f>+F74+G74</f>
        <v>4016700788.5</v>
      </c>
      <c r="G75" s="157"/>
      <c r="H75" s="156">
        <f>+H74+I74</f>
        <v>1249125318</v>
      </c>
      <c r="I75" s="157"/>
      <c r="J75" s="142"/>
      <c r="K75" s="142"/>
      <c r="L75" s="156">
        <f>+L74+M74</f>
        <v>11690977928</v>
      </c>
      <c r="M75" s="157"/>
      <c r="N75" s="142"/>
      <c r="O75" s="142"/>
    </row>
    <row r="76" spans="1:15" s="14" customFormat="1" ht="15.75" x14ac:dyDescent="0.25">
      <c r="A76" s="199" t="s">
        <v>33</v>
      </c>
      <c r="B76" s="144">
        <v>464727464</v>
      </c>
      <c r="C76" s="103">
        <f>171267000*C17</f>
        <v>119886899.99999999</v>
      </c>
      <c r="D76" s="103">
        <f>343063619*D17</f>
        <v>102919085.7</v>
      </c>
      <c r="E76" s="144">
        <v>831950098</v>
      </c>
      <c r="F76" s="103">
        <f>161988020*F17</f>
        <v>80994010</v>
      </c>
      <c r="G76" s="103">
        <f>1324079877*G17</f>
        <v>662039938.5</v>
      </c>
      <c r="H76" s="103">
        <f>599090859*H17</f>
        <v>299545429.5</v>
      </c>
      <c r="I76" s="103">
        <f>415021166*I17</f>
        <v>207510583</v>
      </c>
      <c r="J76" s="144">
        <v>4174544895</v>
      </c>
      <c r="K76" s="144">
        <v>3294467501</v>
      </c>
      <c r="L76" s="103">
        <f>2389765655*L17</f>
        <v>1194882827.5</v>
      </c>
      <c r="M76" s="103">
        <f>563444992*M17</f>
        <v>281722496</v>
      </c>
      <c r="N76" s="144">
        <v>1801456000</v>
      </c>
      <c r="O76" s="144">
        <v>1612101123</v>
      </c>
    </row>
    <row r="77" spans="1:15" s="18" customFormat="1" ht="15.75" x14ac:dyDescent="0.25">
      <c r="A77" s="200"/>
      <c r="B77" s="134"/>
      <c r="C77" s="156">
        <f>+C76+D76</f>
        <v>222805985.69999999</v>
      </c>
      <c r="D77" s="157"/>
      <c r="E77" s="134"/>
      <c r="F77" s="156">
        <f>+F76+G76</f>
        <v>743033948.5</v>
      </c>
      <c r="G77" s="157"/>
      <c r="H77" s="156">
        <f>+H76+I76</f>
        <v>507056012.5</v>
      </c>
      <c r="I77" s="157"/>
      <c r="J77" s="134"/>
      <c r="K77" s="134"/>
      <c r="L77" s="156">
        <f>+L76+M76</f>
        <v>1476605323.5</v>
      </c>
      <c r="M77" s="157"/>
      <c r="N77" s="134"/>
      <c r="O77" s="134"/>
    </row>
    <row r="78" spans="1:15" s="14" customFormat="1" ht="15.75" x14ac:dyDescent="0.25">
      <c r="A78" s="199" t="s">
        <v>34</v>
      </c>
      <c r="B78" s="133">
        <v>592000</v>
      </c>
      <c r="C78" s="104">
        <f>1931000*C17</f>
        <v>1351700</v>
      </c>
      <c r="D78" s="104">
        <f>15243255*D17</f>
        <v>4572976.5</v>
      </c>
      <c r="E78" s="133">
        <v>174588741</v>
      </c>
      <c r="F78" s="104">
        <f>1629077*F17</f>
        <v>814538.5</v>
      </c>
      <c r="G78" s="104">
        <f>125313306*G17</f>
        <v>62656653</v>
      </c>
      <c r="H78" s="104">
        <f>9316958*H17</f>
        <v>4658479</v>
      </c>
      <c r="I78" s="104">
        <f>45077982*I17</f>
        <v>22538991</v>
      </c>
      <c r="J78" s="133">
        <v>734751400</v>
      </c>
      <c r="K78" s="133">
        <v>115251025</v>
      </c>
      <c r="L78" s="104">
        <f>108455697*L17</f>
        <v>54227848.5</v>
      </c>
      <c r="M78" s="104">
        <v>0</v>
      </c>
      <c r="N78" s="133">
        <v>24441000</v>
      </c>
      <c r="O78" s="133">
        <v>16155521</v>
      </c>
    </row>
    <row r="79" spans="1:15" s="18" customFormat="1" ht="15.75" x14ac:dyDescent="0.25">
      <c r="A79" s="200"/>
      <c r="B79" s="134"/>
      <c r="C79" s="156">
        <f>+C78+D78</f>
        <v>5924676.5</v>
      </c>
      <c r="D79" s="157"/>
      <c r="E79" s="134"/>
      <c r="F79" s="156">
        <f>+F78+G78</f>
        <v>63471191.5</v>
      </c>
      <c r="G79" s="157"/>
      <c r="H79" s="156">
        <f>+H78+I78</f>
        <v>27197470</v>
      </c>
      <c r="I79" s="157"/>
      <c r="J79" s="134"/>
      <c r="K79" s="134"/>
      <c r="L79" s="156">
        <f>+L78+M78</f>
        <v>54227848.5</v>
      </c>
      <c r="M79" s="157"/>
      <c r="N79" s="134"/>
      <c r="O79" s="134"/>
    </row>
    <row r="80" spans="1:15" s="24" customFormat="1" ht="19.5" customHeight="1" x14ac:dyDescent="0.25">
      <c r="A80" s="41"/>
      <c r="B80" s="42"/>
      <c r="C80" s="42"/>
      <c r="D80" s="42"/>
    </row>
    <row r="81" spans="1:18" s="13" customFormat="1" ht="15.75" customHeight="1" x14ac:dyDescent="0.25">
      <c r="A81" s="135" t="s">
        <v>4</v>
      </c>
      <c r="B81" s="135" t="str">
        <f>+B64</f>
        <v>INTERDISEÑOS INTERNACIONAL SAS</v>
      </c>
      <c r="C81" s="154" t="str">
        <f>+C64</f>
        <v>CONSORCIO G3 - RZ</v>
      </c>
      <c r="D81" s="155"/>
      <c r="E81" s="135" t="str">
        <f>+E64</f>
        <v>INGENIEROS CONSULTORES INC</v>
      </c>
      <c r="F81" s="154" t="str">
        <f>+F64</f>
        <v>INTERVIAL URBANO</v>
      </c>
      <c r="G81" s="155"/>
      <c r="H81" s="154" t="str">
        <f>+H64</f>
        <v>ECOUSAQUEN</v>
      </c>
      <c r="I81" s="155"/>
      <c r="J81" s="135" t="str">
        <f>+J64</f>
        <v>GESTIÓN Y DISEÑOS ELÉCTRICOS SA</v>
      </c>
      <c r="K81" s="135" t="str">
        <f>+K64</f>
        <v>SERVINC LTDA</v>
      </c>
      <c r="L81" s="154" t="str">
        <f>+L64</f>
        <v>CONSORCIO SMA-GIC</v>
      </c>
      <c r="M81" s="155"/>
      <c r="N81" s="135" t="str">
        <f>+N64</f>
        <v>Consultores Técnicos y Económicos SAS</v>
      </c>
      <c r="O81" s="135" t="str">
        <f>+O64</f>
        <v>JOYCO SAS</v>
      </c>
    </row>
    <row r="82" spans="1:18" s="53" customFormat="1" ht="11.25" customHeight="1" x14ac:dyDescent="0.2">
      <c r="A82" s="201"/>
      <c r="B82" s="136"/>
      <c r="C82" s="84" t="str">
        <f>+C65</f>
        <v>G3 Ingenieria LTDA</v>
      </c>
      <c r="D82" s="84" t="str">
        <f>+D65</f>
        <v>Rafael Eduardo Sambrano</v>
      </c>
      <c r="E82" s="136"/>
      <c r="F82" s="84" t="str">
        <f>+F65</f>
        <v>IAR ProyectosSAS</v>
      </c>
      <c r="G82" s="84" t="str">
        <f>+G65</f>
        <v>Bateman Ingenieria SA</v>
      </c>
      <c r="H82" s="84" t="str">
        <f>+H65</f>
        <v>ECG Colombia SAS</v>
      </c>
      <c r="I82" s="84" t="str">
        <f>+I65</f>
        <v>Estructurador Colombia SAS</v>
      </c>
      <c r="J82" s="136"/>
      <c r="K82" s="136"/>
      <c r="L82" s="84" t="str">
        <f>+L65</f>
        <v>Salgado, Melendez y Asociados Ingenieros Consultores SA</v>
      </c>
      <c r="M82" s="84" t="str">
        <f>+M65</f>
        <v>GIC Gerencia Interventoria y Consultoría SAS</v>
      </c>
      <c r="N82" s="136"/>
      <c r="O82" s="136"/>
    </row>
    <row r="83" spans="1:18" s="17" customFormat="1" ht="15.75" x14ac:dyDescent="0.25">
      <c r="A83" s="15" t="s">
        <v>5</v>
      </c>
      <c r="B83" s="16">
        <f t="shared" ref="B83:I83" si="28">+B17</f>
        <v>1</v>
      </c>
      <c r="C83" s="16">
        <f t="shared" si="28"/>
        <v>0.7</v>
      </c>
      <c r="D83" s="16">
        <f t="shared" si="28"/>
        <v>0.3</v>
      </c>
      <c r="E83" s="16">
        <f t="shared" si="28"/>
        <v>1</v>
      </c>
      <c r="F83" s="16">
        <f t="shared" si="28"/>
        <v>0.5</v>
      </c>
      <c r="G83" s="16">
        <f t="shared" si="28"/>
        <v>0.5</v>
      </c>
      <c r="H83" s="16">
        <f t="shared" si="28"/>
        <v>0.5</v>
      </c>
      <c r="I83" s="16">
        <f t="shared" si="28"/>
        <v>0.5</v>
      </c>
      <c r="J83" s="16">
        <f t="shared" ref="J83:M83" si="29">+J17</f>
        <v>1</v>
      </c>
      <c r="K83" s="16">
        <f t="shared" si="29"/>
        <v>1</v>
      </c>
      <c r="L83" s="16">
        <f t="shared" si="29"/>
        <v>0.5</v>
      </c>
      <c r="M83" s="16">
        <f t="shared" si="29"/>
        <v>0.5</v>
      </c>
      <c r="N83" s="16">
        <f t="shared" ref="N83:O83" si="30">+N17</f>
        <v>1</v>
      </c>
      <c r="O83" s="16">
        <f t="shared" si="30"/>
        <v>1</v>
      </c>
    </row>
    <row r="84" spans="1:18" ht="12.75" customHeight="1" x14ac:dyDescent="0.2">
      <c r="A84" s="43" t="s">
        <v>35</v>
      </c>
      <c r="B84" s="96" t="str">
        <f>+IF((B38&gt;=1.2),"HABIL","NO HABIL")</f>
        <v>HABIL</v>
      </c>
      <c r="C84" s="146" t="str">
        <f>+IF((C39&gt;=1.2),"HABIL","NO HABIL")</f>
        <v>HABIL</v>
      </c>
      <c r="D84" s="147"/>
      <c r="E84" s="96" t="str">
        <f>+IF((E38&gt;=1.2),"HABIL","NO HABIL")</f>
        <v>HABIL</v>
      </c>
      <c r="F84" s="146" t="str">
        <f>+IF((F39&gt;=1.2),"HABIL","NO HABIL")</f>
        <v>HABIL</v>
      </c>
      <c r="G84" s="147"/>
      <c r="H84" s="146" t="str">
        <f>+IF((H39&gt;=1.2),"HABIL","NO HABIL")</f>
        <v>HABIL</v>
      </c>
      <c r="I84" s="147"/>
      <c r="J84" s="100" t="str">
        <f>+IF((J38&gt;=1.2),"HABIL","NO HABIL")</f>
        <v>HABIL</v>
      </c>
      <c r="K84" s="100" t="str">
        <f>+IF((K38&gt;=1.2),"HABIL","NO HABIL")</f>
        <v>HABIL</v>
      </c>
      <c r="L84" s="146" t="str">
        <f>+IF((L39&gt;=1.2),"HABIL","NO HABIL")</f>
        <v>HABIL</v>
      </c>
      <c r="M84" s="147"/>
      <c r="N84" s="100" t="str">
        <f>+IF((N38&gt;=1.2),"HABIL","NO HABIL")</f>
        <v>HABIL</v>
      </c>
      <c r="O84" s="100" t="str">
        <f>+IF((O38&gt;=1.2),"HABIL","NO HABIL")</f>
        <v>HABIL</v>
      </c>
    </row>
    <row r="85" spans="1:18" ht="12.75" customHeight="1" x14ac:dyDescent="0.2">
      <c r="A85" s="44" t="s">
        <v>36</v>
      </c>
      <c r="B85" s="93" t="str">
        <f>+IF((B40&lt;=0.7),"HABIL","NO HABIL")</f>
        <v>HABIL</v>
      </c>
      <c r="C85" s="148" t="str">
        <f>+IF((C41&lt;=0.7),"HABIL","NO HABIL")</f>
        <v>HABIL</v>
      </c>
      <c r="D85" s="149"/>
      <c r="E85" s="93" t="str">
        <f>+IF((E40&lt;=0.7),"HABIL","NO HABIL")</f>
        <v>HABIL</v>
      </c>
      <c r="F85" s="148" t="str">
        <f>+IF((F41&lt;=0.7),"HABIL","NO HABIL")</f>
        <v>HABIL</v>
      </c>
      <c r="G85" s="149"/>
      <c r="H85" s="148" t="str">
        <f>+IF((H41&lt;=0.7),"HABIL","NO HABIL")</f>
        <v>HABIL</v>
      </c>
      <c r="I85" s="149"/>
      <c r="J85" s="99" t="str">
        <f>+IF((J40&lt;=0.7),"HABIL","NO HABIL")</f>
        <v>HABIL</v>
      </c>
      <c r="K85" s="99" t="str">
        <f>+IF((K40&lt;=0.7),"HABIL","NO HABIL")</f>
        <v>HABIL</v>
      </c>
      <c r="L85" s="148" t="str">
        <f>+IF((L41&lt;=0.7),"HABIL","NO HABIL")</f>
        <v>HABIL</v>
      </c>
      <c r="M85" s="149"/>
      <c r="N85" s="99" t="str">
        <f>+IF((N40&lt;=0.7),"HABIL","NO HABIL")</f>
        <v>HABIL</v>
      </c>
      <c r="O85" s="99" t="str">
        <f>+IF((O40&lt;=0.7),"HABIL","NO HABIL")</f>
        <v>HABIL</v>
      </c>
    </row>
    <row r="86" spans="1:18" ht="12.75" customHeight="1" x14ac:dyDescent="0.2">
      <c r="A86" s="44" t="s">
        <v>37</v>
      </c>
      <c r="B86" s="93" t="str">
        <f>+IF((B42&gt;=1.5),"HABIL","NO HABIL")</f>
        <v>HABIL</v>
      </c>
      <c r="C86" s="148" t="str">
        <f>+IF((C43&gt;=1.5),"HABIL","NO HABIL")</f>
        <v>HABIL</v>
      </c>
      <c r="D86" s="149"/>
      <c r="E86" s="93" t="str">
        <f>+IF((E42&gt;=1.5),"HABIL","NO HABIL")</f>
        <v>HABIL</v>
      </c>
      <c r="F86" s="148" t="str">
        <f>+IF((F43&gt;=1.5),"HABIL","NO HABIL")</f>
        <v>HABIL</v>
      </c>
      <c r="G86" s="149"/>
      <c r="H86" s="148" t="str">
        <f>+IF((H43&gt;=1.5),"HABIL","NO HABIL")</f>
        <v>HABIL</v>
      </c>
      <c r="I86" s="149"/>
      <c r="J86" s="99" t="str">
        <f>+IF((J42&gt;=1.5),"HABIL","NO HABIL")</f>
        <v>HABIL</v>
      </c>
      <c r="K86" s="99" t="str">
        <f>+IF((K42&gt;=1.5),"HABIL","NO HABIL")</f>
        <v>HABIL</v>
      </c>
      <c r="L86" s="148" t="str">
        <f>+IF((L43&gt;=1.5),"HABIL","NO HABIL")</f>
        <v>HABIL</v>
      </c>
      <c r="M86" s="149"/>
      <c r="N86" s="99" t="str">
        <f>+IF((N42&gt;=1.5),"HABIL","NO HABIL")</f>
        <v>HABIL</v>
      </c>
      <c r="O86" s="99" t="str">
        <f>+IF((O42&gt;=1.5),"HABIL","NO HABIL")</f>
        <v>HABIL</v>
      </c>
    </row>
    <row r="87" spans="1:18" ht="12.75" customHeight="1" x14ac:dyDescent="0.2">
      <c r="A87" s="44" t="s">
        <v>38</v>
      </c>
      <c r="B87" s="93" t="str">
        <f>+IF((B44&gt;=381299887),"HABIL","NO HABIL")</f>
        <v>HABIL</v>
      </c>
      <c r="C87" s="148" t="str">
        <f>+IF((C46&gt;=381299887),"HABIL","NO HABIL")</f>
        <v>HABIL</v>
      </c>
      <c r="D87" s="149"/>
      <c r="E87" s="93" t="str">
        <f>+IF((E44&gt;=381299887),"HABIL","NO HABIL")</f>
        <v>HABIL</v>
      </c>
      <c r="F87" s="148" t="str">
        <f>+IF((F46&gt;=381299887),"HABIL","NO HABIL")</f>
        <v>HABIL</v>
      </c>
      <c r="G87" s="149"/>
      <c r="H87" s="148" t="str">
        <f>+IF((H46&gt;=381299887),"HABIL","NO HABIL")</f>
        <v>HABIL</v>
      </c>
      <c r="I87" s="149"/>
      <c r="J87" s="99" t="str">
        <f>+IF((J44&gt;=381299887),"HABIL","NO HABIL")</f>
        <v>HABIL</v>
      </c>
      <c r="K87" s="99" t="str">
        <f>+IF((K44&gt;=381299887),"HABIL","NO HABIL")</f>
        <v>HABIL</v>
      </c>
      <c r="L87" s="148" t="str">
        <f>+IF((L46&gt;=381299887),"HABIL","NO HABIL")</f>
        <v>HABIL</v>
      </c>
      <c r="M87" s="149"/>
      <c r="N87" s="99" t="str">
        <f>+IF((N44&gt;=381299887),"HABIL","NO HABIL")</f>
        <v>HABIL</v>
      </c>
      <c r="O87" s="99" t="str">
        <f>+IF((O44&gt;=381299887),"HABIL","NO HABIL")</f>
        <v>HABIL</v>
      </c>
    </row>
    <row r="88" spans="1:18" ht="12.75" customHeight="1" x14ac:dyDescent="0.2">
      <c r="A88" s="44" t="s">
        <v>39</v>
      </c>
      <c r="B88" s="93" t="str">
        <f>+IF((B59&gt;=0),"HABIL","NO HABIL")</f>
        <v>HABIL</v>
      </c>
      <c r="C88" s="148" t="str">
        <f>+IF((C60&gt;=0),"HABIL","NO HABIL")</f>
        <v>HABIL</v>
      </c>
      <c r="D88" s="149"/>
      <c r="E88" s="93" t="str">
        <f>+IF((E59&gt;=0),"HABIL","NO HABIL")</f>
        <v>HABIL</v>
      </c>
      <c r="F88" s="148" t="str">
        <f>+IF((F60&gt;=0),"HABIL","NO HABIL")</f>
        <v>HABIL</v>
      </c>
      <c r="G88" s="149"/>
      <c r="H88" s="148" t="str">
        <f>+IF((H60&gt;=0),"HABIL","NO HABIL")</f>
        <v>HABIL</v>
      </c>
      <c r="I88" s="149"/>
      <c r="J88" s="99" t="str">
        <f>+IF((J59&gt;=0),"HABIL","NO HABIL")</f>
        <v>HABIL</v>
      </c>
      <c r="K88" s="99" t="str">
        <f>+IF((K59&gt;=0),"HABIL","NO HABIL")</f>
        <v>HABIL</v>
      </c>
      <c r="L88" s="148" t="str">
        <f>+IF((L60&gt;=0),"HABIL","NO HABIL")</f>
        <v>HABIL</v>
      </c>
      <c r="M88" s="149"/>
      <c r="N88" s="99" t="str">
        <f>+IF((N59&gt;=0),"HABIL","NO HABIL")</f>
        <v>HABIL</v>
      </c>
      <c r="O88" s="99" t="str">
        <f>+IF((O59&gt;=0),"HABIL","NO HABIL")</f>
        <v>HABIL</v>
      </c>
    </row>
    <row r="89" spans="1:18" ht="12.75" customHeight="1" x14ac:dyDescent="0.2">
      <c r="A89" s="81" t="s">
        <v>40</v>
      </c>
      <c r="B89" s="94" t="str">
        <f>+IF((B61&gt;=0),"HABIL","NO HABIL")</f>
        <v>HABIL</v>
      </c>
      <c r="C89" s="150" t="str">
        <f>+IF((C62&gt;=0),"HABIL","NO HABIL")</f>
        <v>HABIL</v>
      </c>
      <c r="D89" s="151"/>
      <c r="E89" s="94" t="str">
        <f>+IF((E61&gt;=0),"HABIL","NO HABIL")</f>
        <v>HABIL</v>
      </c>
      <c r="F89" s="150" t="str">
        <f>+IF((F62&gt;=0),"HABIL","NO HABIL")</f>
        <v>HABIL</v>
      </c>
      <c r="G89" s="151"/>
      <c r="H89" s="150" t="str">
        <f>+IF((H62&gt;=0),"HABIL","NO HABIL")</f>
        <v>HABIL</v>
      </c>
      <c r="I89" s="151"/>
      <c r="J89" s="101" t="str">
        <f>+IF((J61&gt;=0),"HABIL","NO HABIL")</f>
        <v>HABIL</v>
      </c>
      <c r="K89" s="101" t="str">
        <f>+IF((K61&gt;=0),"HABIL","NO HABIL")</f>
        <v>HABIL</v>
      </c>
      <c r="L89" s="150" t="str">
        <f>+IF((L62&gt;=0),"HABIL","NO HABIL")</f>
        <v>HABIL</v>
      </c>
      <c r="M89" s="151"/>
      <c r="N89" s="101" t="str">
        <f>+IF((N61&gt;=0),"HABIL","NO HABIL")</f>
        <v>HABIL</v>
      </c>
      <c r="O89" s="101" t="str">
        <f>+IF((O61&gt;=0),"HABIL","NO HABIL")</f>
        <v>HABIL</v>
      </c>
    </row>
    <row r="90" spans="1:18" ht="12.75" customHeight="1" x14ac:dyDescent="0.2">
      <c r="A90" s="82" t="s">
        <v>41</v>
      </c>
      <c r="B90" s="95" t="str">
        <f>+IF((B47&gt;=508399696),"HABIL","NO HABIL")</f>
        <v>HABIL</v>
      </c>
      <c r="C90" s="152" t="str">
        <f>+IF((C48&gt;=508399696),"HABIL","NO HABIL")</f>
        <v>HABIL</v>
      </c>
      <c r="D90" s="153"/>
      <c r="E90" s="95" t="str">
        <f>+IF((E47&gt;=508399696),"HABIL","NO HABIL")</f>
        <v>HABIL</v>
      </c>
      <c r="F90" s="152" t="str">
        <f>+IF((F48&gt;=508399696),"HABIL","NO HABIL")</f>
        <v>HABIL</v>
      </c>
      <c r="G90" s="153"/>
      <c r="H90" s="152" t="str">
        <f>+IF((H48&gt;=508399696),"HABIL","NO HABIL")</f>
        <v>HABIL</v>
      </c>
      <c r="I90" s="153"/>
      <c r="J90" s="102" t="str">
        <f>+IF((J47&gt;=508399696),"HABIL","NO HABIL")</f>
        <v>HABIL</v>
      </c>
      <c r="K90" s="102" t="str">
        <f>+IF((K47&gt;=508399696),"HABIL","NO HABIL")</f>
        <v>HABIL</v>
      </c>
      <c r="L90" s="152" t="str">
        <f>+IF((L48&gt;=508399696),"HABIL","NO HABIL")</f>
        <v>HABIL</v>
      </c>
      <c r="M90" s="153"/>
      <c r="N90" s="102" t="str">
        <f>+IF((N47&gt;=508399696),"HABIL","NO HABIL")</f>
        <v>HABIL</v>
      </c>
      <c r="O90" s="102" t="str">
        <f>+IF((O47&gt;=508399696),"HABIL","NO HABIL")</f>
        <v>HABIL</v>
      </c>
    </row>
    <row r="91" spans="1:18" x14ac:dyDescent="0.2">
      <c r="A91" s="35"/>
      <c r="B91" s="83"/>
      <c r="C91" s="83"/>
      <c r="D91" s="83"/>
      <c r="E91" s="83"/>
      <c r="F91" s="83"/>
      <c r="G91" s="35"/>
      <c r="H91" s="35"/>
      <c r="I91" s="35"/>
      <c r="J91" s="35"/>
      <c r="K91" s="35"/>
      <c r="L91" s="35"/>
      <c r="M91" s="35"/>
      <c r="N91" s="35"/>
      <c r="O91" s="35"/>
      <c r="P91" s="35"/>
      <c r="Q91" s="35"/>
      <c r="R91" s="35"/>
    </row>
    <row r="92" spans="1:18" s="14" customFormat="1" ht="18.75" x14ac:dyDescent="0.25">
      <c r="A92" s="204" t="s">
        <v>42</v>
      </c>
      <c r="B92" s="205"/>
      <c r="C92" s="205"/>
      <c r="D92" s="205"/>
      <c r="E92" s="205"/>
      <c r="G92" s="35"/>
      <c r="H92" s="35"/>
      <c r="I92" s="35"/>
      <c r="J92" s="35"/>
      <c r="K92" s="35"/>
      <c r="L92" s="35"/>
      <c r="M92" s="35"/>
      <c r="N92" s="35"/>
      <c r="O92" s="35"/>
      <c r="P92" s="35"/>
      <c r="Q92" s="35"/>
      <c r="R92" s="35"/>
    </row>
    <row r="93" spans="1:18" ht="12.75" customHeight="1" x14ac:dyDescent="0.2"/>
    <row r="94" spans="1:18" ht="12.75" customHeight="1" x14ac:dyDescent="0.2"/>
    <row r="95" spans="1:18" ht="50.25" customHeight="1" x14ac:dyDescent="0.2"/>
    <row r="96" spans="1:18" s="35" customFormat="1" ht="15.75" customHeight="1" x14ac:dyDescent="0.3">
      <c r="A96" s="206" t="s">
        <v>43</v>
      </c>
      <c r="B96" s="206"/>
      <c r="C96" s="206"/>
      <c r="D96" s="206"/>
      <c r="E96" s="206"/>
      <c r="G96" s="1"/>
      <c r="H96" s="1"/>
      <c r="I96" s="1"/>
      <c r="J96" s="1"/>
      <c r="K96" s="1"/>
      <c r="L96" s="1"/>
      <c r="M96" s="1"/>
      <c r="N96" s="1"/>
      <c r="O96" s="1"/>
      <c r="P96" s="1"/>
      <c r="Q96" s="1"/>
      <c r="R96" s="1"/>
    </row>
    <row r="97" spans="1:18" s="35" customFormat="1" ht="15.75" customHeight="1" x14ac:dyDescent="0.3">
      <c r="A97" s="207" t="s">
        <v>69</v>
      </c>
      <c r="B97" s="207"/>
      <c r="C97" s="207"/>
      <c r="D97" s="207"/>
      <c r="E97" s="207"/>
      <c r="G97" s="1"/>
      <c r="H97" s="1"/>
      <c r="I97" s="1"/>
      <c r="J97" s="1"/>
      <c r="K97" s="1"/>
      <c r="L97" s="1"/>
      <c r="M97" s="1"/>
      <c r="N97" s="1"/>
      <c r="O97" s="1"/>
      <c r="P97" s="1"/>
      <c r="Q97" s="1"/>
      <c r="R97" s="1"/>
    </row>
    <row r="98" spans="1:18" ht="15.75" customHeight="1" x14ac:dyDescent="0.3">
      <c r="A98" s="208" t="s">
        <v>44</v>
      </c>
      <c r="B98" s="208"/>
      <c r="C98" s="208"/>
      <c r="D98" s="208"/>
      <c r="E98" s="208"/>
    </row>
  </sheetData>
  <mergeCells count="293">
    <mergeCell ref="H44:H45"/>
    <mergeCell ref="I44:I45"/>
    <mergeCell ref="C41:D41"/>
    <mergeCell ref="F60:G60"/>
    <mergeCell ref="F62:G62"/>
    <mergeCell ref="F73:G73"/>
    <mergeCell ref="F75:G75"/>
    <mergeCell ref="F87:G87"/>
    <mergeCell ref="F89:G89"/>
    <mergeCell ref="E72:E73"/>
    <mergeCell ref="E74:E75"/>
    <mergeCell ref="E76:E77"/>
    <mergeCell ref="E78:E79"/>
    <mergeCell ref="E81:E82"/>
    <mergeCell ref="E68:E69"/>
    <mergeCell ref="E70:E71"/>
    <mergeCell ref="F71:G71"/>
    <mergeCell ref="H73:I73"/>
    <mergeCell ref="H75:I75"/>
    <mergeCell ref="H87:I87"/>
    <mergeCell ref="H89:I89"/>
    <mergeCell ref="H41:I41"/>
    <mergeCell ref="H43:I43"/>
    <mergeCell ref="H46:I46"/>
    <mergeCell ref="H18:I18"/>
    <mergeCell ref="C90:D90"/>
    <mergeCell ref="A92:E92"/>
    <mergeCell ref="A96:E96"/>
    <mergeCell ref="A97:E97"/>
    <mergeCell ref="A98:E98"/>
    <mergeCell ref="F90:G90"/>
    <mergeCell ref="H90:I90"/>
    <mergeCell ref="C88:D88"/>
    <mergeCell ref="C89:D89"/>
    <mergeCell ref="F88:G88"/>
    <mergeCell ref="H88:I88"/>
    <mergeCell ref="C86:D86"/>
    <mergeCell ref="C87:D87"/>
    <mergeCell ref="F86:G86"/>
    <mergeCell ref="H86:I86"/>
    <mergeCell ref="C84:D84"/>
    <mergeCell ref="F85:G85"/>
    <mergeCell ref="H85:I85"/>
    <mergeCell ref="C85:D85"/>
    <mergeCell ref="B81:B82"/>
    <mergeCell ref="F18:G18"/>
    <mergeCell ref="F41:G41"/>
    <mergeCell ref="F43:G43"/>
    <mergeCell ref="C81:D81"/>
    <mergeCell ref="F84:G84"/>
    <mergeCell ref="H84:I84"/>
    <mergeCell ref="H79:I79"/>
    <mergeCell ref="C79:D79"/>
    <mergeCell ref="A81:A82"/>
    <mergeCell ref="F81:G81"/>
    <mergeCell ref="H81:I81"/>
    <mergeCell ref="C77:D77"/>
    <mergeCell ref="A78:A79"/>
    <mergeCell ref="B78:B79"/>
    <mergeCell ref="F79:G79"/>
    <mergeCell ref="C75:D75"/>
    <mergeCell ref="A76:A77"/>
    <mergeCell ref="B76:B77"/>
    <mergeCell ref="F77:G77"/>
    <mergeCell ref="H77:I77"/>
    <mergeCell ref="C73:D73"/>
    <mergeCell ref="A74:A75"/>
    <mergeCell ref="B74:B75"/>
    <mergeCell ref="A72:A73"/>
    <mergeCell ref="B72:B73"/>
    <mergeCell ref="C71:D71"/>
    <mergeCell ref="F69:G69"/>
    <mergeCell ref="H69:I69"/>
    <mergeCell ref="C69:D69"/>
    <mergeCell ref="A70:A71"/>
    <mergeCell ref="B70:B71"/>
    <mergeCell ref="H67:I67"/>
    <mergeCell ref="C67:D67"/>
    <mergeCell ref="A68:A69"/>
    <mergeCell ref="B68:B69"/>
    <mergeCell ref="E66:E67"/>
    <mergeCell ref="H71:I71"/>
    <mergeCell ref="B64:B65"/>
    <mergeCell ref="C64:D64"/>
    <mergeCell ref="A66:A67"/>
    <mergeCell ref="B66:B67"/>
    <mergeCell ref="F67:G67"/>
    <mergeCell ref="C62:D62"/>
    <mergeCell ref="A64:A65"/>
    <mergeCell ref="F64:G64"/>
    <mergeCell ref="H64:I64"/>
    <mergeCell ref="E61:E62"/>
    <mergeCell ref="E64:E65"/>
    <mergeCell ref="H62:I62"/>
    <mergeCell ref="A61:A62"/>
    <mergeCell ref="B61:B62"/>
    <mergeCell ref="A59:A60"/>
    <mergeCell ref="B59:B60"/>
    <mergeCell ref="B57:B58"/>
    <mergeCell ref="C57:D57"/>
    <mergeCell ref="E57:E58"/>
    <mergeCell ref="A52:A54"/>
    <mergeCell ref="B52:R52"/>
    <mergeCell ref="B53:R53"/>
    <mergeCell ref="B54:R54"/>
    <mergeCell ref="B55:R55"/>
    <mergeCell ref="A57:A58"/>
    <mergeCell ref="F57:G57"/>
    <mergeCell ref="H57:I57"/>
    <mergeCell ref="J59:J60"/>
    <mergeCell ref="J61:J62"/>
    <mergeCell ref="K59:K60"/>
    <mergeCell ref="K61:K62"/>
    <mergeCell ref="L60:M60"/>
    <mergeCell ref="L62:M62"/>
    <mergeCell ref="E59:E60"/>
    <mergeCell ref="H60:I60"/>
    <mergeCell ref="P50:R50"/>
    <mergeCell ref="B51:R51"/>
    <mergeCell ref="B49:E49"/>
    <mergeCell ref="F49:I49"/>
    <mergeCell ref="J49:L49"/>
    <mergeCell ref="M49:O49"/>
    <mergeCell ref="P49:R49"/>
    <mergeCell ref="C60:D60"/>
    <mergeCell ref="F48:G48"/>
    <mergeCell ref="E47:E48"/>
    <mergeCell ref="B50:E50"/>
    <mergeCell ref="F50:I50"/>
    <mergeCell ref="H48:I48"/>
    <mergeCell ref="A47:A48"/>
    <mergeCell ref="B47:B48"/>
    <mergeCell ref="B44:B46"/>
    <mergeCell ref="C44:C45"/>
    <mergeCell ref="D44:D45"/>
    <mergeCell ref="C46:D46"/>
    <mergeCell ref="C43:D43"/>
    <mergeCell ref="F44:F45"/>
    <mergeCell ref="G44:G45"/>
    <mergeCell ref="A42:A43"/>
    <mergeCell ref="B42:B43"/>
    <mergeCell ref="F46:G46"/>
    <mergeCell ref="E42:E43"/>
    <mergeCell ref="E44:E46"/>
    <mergeCell ref="C48:D48"/>
    <mergeCell ref="A40:A41"/>
    <mergeCell ref="B40:B41"/>
    <mergeCell ref="F39:G39"/>
    <mergeCell ref="H39:I39"/>
    <mergeCell ref="C39:D39"/>
    <mergeCell ref="B36:B37"/>
    <mergeCell ref="C36:D36"/>
    <mergeCell ref="A38:A39"/>
    <mergeCell ref="B38:B39"/>
    <mergeCell ref="E36:E37"/>
    <mergeCell ref="E38:E39"/>
    <mergeCell ref="E40:E41"/>
    <mergeCell ref="A31:A32"/>
    <mergeCell ref="B31:R31"/>
    <mergeCell ref="B32:R32"/>
    <mergeCell ref="B33:R33"/>
    <mergeCell ref="A36:A37"/>
    <mergeCell ref="F36:G36"/>
    <mergeCell ref="H36:I36"/>
    <mergeCell ref="A21:R21"/>
    <mergeCell ref="A22:R22"/>
    <mergeCell ref="A24:R26"/>
    <mergeCell ref="B27:R27"/>
    <mergeCell ref="B28:R28"/>
    <mergeCell ref="A29:A30"/>
    <mergeCell ref="B29:R29"/>
    <mergeCell ref="B30:R30"/>
    <mergeCell ref="J36:J37"/>
    <mergeCell ref="K36:K37"/>
    <mergeCell ref="L36:M36"/>
    <mergeCell ref="B15:B16"/>
    <mergeCell ref="C15:D15"/>
    <mergeCell ref="C18:D18"/>
    <mergeCell ref="C14:D14"/>
    <mergeCell ref="F15:G15"/>
    <mergeCell ref="H15:I15"/>
    <mergeCell ref="A14:A16"/>
    <mergeCell ref="A1:E1"/>
    <mergeCell ref="A7:E7"/>
    <mergeCell ref="A8:E8"/>
    <mergeCell ref="A9:R9"/>
    <mergeCell ref="B11:D11"/>
    <mergeCell ref="F11:H11"/>
    <mergeCell ref="J11:L11"/>
    <mergeCell ref="M11:N11"/>
    <mergeCell ref="P11:Q11"/>
    <mergeCell ref="J15:J16"/>
    <mergeCell ref="K15:K16"/>
    <mergeCell ref="L14:M14"/>
    <mergeCell ref="L15:M15"/>
    <mergeCell ref="L18:M18"/>
    <mergeCell ref="H14:I14"/>
    <mergeCell ref="F14:G14"/>
    <mergeCell ref="E15:E16"/>
    <mergeCell ref="J38:J39"/>
    <mergeCell ref="J40:J41"/>
    <mergeCell ref="J42:J43"/>
    <mergeCell ref="K38:K39"/>
    <mergeCell ref="K40:K41"/>
    <mergeCell ref="K42:K43"/>
    <mergeCell ref="L39:M39"/>
    <mergeCell ref="L41:M41"/>
    <mergeCell ref="L43:M43"/>
    <mergeCell ref="J44:J46"/>
    <mergeCell ref="L44:L45"/>
    <mergeCell ref="J47:J48"/>
    <mergeCell ref="J57:J58"/>
    <mergeCell ref="K44:K46"/>
    <mergeCell ref="K47:K48"/>
    <mergeCell ref="K57:K58"/>
    <mergeCell ref="M44:M45"/>
    <mergeCell ref="L46:M46"/>
    <mergeCell ref="L48:M48"/>
    <mergeCell ref="L57:M57"/>
    <mergeCell ref="J50:L50"/>
    <mergeCell ref="M50:O50"/>
    <mergeCell ref="J64:J65"/>
    <mergeCell ref="J66:J67"/>
    <mergeCell ref="J68:J69"/>
    <mergeCell ref="J70:J71"/>
    <mergeCell ref="J72:J73"/>
    <mergeCell ref="J74:J75"/>
    <mergeCell ref="J76:J77"/>
    <mergeCell ref="J78:J79"/>
    <mergeCell ref="J81:J82"/>
    <mergeCell ref="K64:K65"/>
    <mergeCell ref="K66:K67"/>
    <mergeCell ref="K68:K69"/>
    <mergeCell ref="K70:K71"/>
    <mergeCell ref="K72:K73"/>
    <mergeCell ref="K74:K75"/>
    <mergeCell ref="K76:K77"/>
    <mergeCell ref="K78:K79"/>
    <mergeCell ref="K81:K82"/>
    <mergeCell ref="L64:M64"/>
    <mergeCell ref="L67:M67"/>
    <mergeCell ref="L69:M69"/>
    <mergeCell ref="L71:M71"/>
    <mergeCell ref="L73:M73"/>
    <mergeCell ref="L75:M75"/>
    <mergeCell ref="L77:M77"/>
    <mergeCell ref="L79:M79"/>
    <mergeCell ref="L81:M81"/>
    <mergeCell ref="L84:M84"/>
    <mergeCell ref="L85:M85"/>
    <mergeCell ref="L86:M86"/>
    <mergeCell ref="L87:M87"/>
    <mergeCell ref="L88:M88"/>
    <mergeCell ref="L89:M89"/>
    <mergeCell ref="L90:M90"/>
    <mergeCell ref="N15:N16"/>
    <mergeCell ref="N36:N37"/>
    <mergeCell ref="N38:N39"/>
    <mergeCell ref="N40:N41"/>
    <mergeCell ref="N42:N43"/>
    <mergeCell ref="N44:N46"/>
    <mergeCell ref="N47:N48"/>
    <mergeCell ref="N57:N58"/>
    <mergeCell ref="N59:N60"/>
    <mergeCell ref="N61:N62"/>
    <mergeCell ref="N64:N65"/>
    <mergeCell ref="N66:N67"/>
    <mergeCell ref="N68:N69"/>
    <mergeCell ref="N70:N71"/>
    <mergeCell ref="N72:N73"/>
    <mergeCell ref="N74:N75"/>
    <mergeCell ref="N76:N77"/>
    <mergeCell ref="N78:N79"/>
    <mergeCell ref="N81:N82"/>
    <mergeCell ref="O15:O16"/>
    <mergeCell ref="O36:O37"/>
    <mergeCell ref="O38:O39"/>
    <mergeCell ref="O40:O41"/>
    <mergeCell ref="O42:O43"/>
    <mergeCell ref="O44:O46"/>
    <mergeCell ref="O47:O48"/>
    <mergeCell ref="O57:O58"/>
    <mergeCell ref="O59:O60"/>
    <mergeCell ref="O61:O62"/>
    <mergeCell ref="O64:O65"/>
    <mergeCell ref="O66:O67"/>
    <mergeCell ref="O68:O69"/>
    <mergeCell ref="O70:O71"/>
    <mergeCell ref="O72:O73"/>
    <mergeCell ref="O74:O75"/>
    <mergeCell ref="O76:O77"/>
    <mergeCell ref="O78:O79"/>
    <mergeCell ref="O81:O82"/>
  </mergeCells>
  <printOptions horizontalCentered="1" verticalCentered="1"/>
  <pageMargins left="1.1417322834645669" right="0.19685039370078741" top="0.39370078740157483" bottom="0.43307086614173229" header="0" footer="0.59055118110236227"/>
  <pageSetup paperSize="5" scale="48"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Z98"/>
  <sheetViews>
    <sheetView zoomScale="85" zoomScaleNormal="85" workbookViewId="0">
      <selection sqref="A1:E1"/>
    </sheetView>
  </sheetViews>
  <sheetFormatPr baseColWidth="10" defaultColWidth="11.42578125" defaultRowHeight="12.75" x14ac:dyDescent="0.2"/>
  <cols>
    <col min="1" max="1" width="72.28515625" style="1" customWidth="1"/>
    <col min="2" max="3" width="30" style="1" customWidth="1"/>
    <col min="4" max="4" width="24.85546875" style="1" customWidth="1"/>
    <col min="5" max="5" width="23.5703125" style="1" customWidth="1"/>
    <col min="6" max="7" width="30" style="1" customWidth="1"/>
    <col min="8" max="8" width="24.85546875" style="1" customWidth="1"/>
    <col min="9" max="9" width="23.5703125" style="1" customWidth="1"/>
    <col min="10" max="19" width="0" style="1" hidden="1" customWidth="1"/>
    <col min="20" max="21" width="30" style="1" customWidth="1"/>
    <col min="22" max="26" width="24.85546875" style="1" customWidth="1"/>
    <col min="27" max="16384" width="11.42578125" style="1"/>
  </cols>
  <sheetData>
    <row r="1" spans="1:26" ht="20.25" customHeight="1" x14ac:dyDescent="0.2">
      <c r="A1" s="168"/>
      <c r="B1" s="168"/>
      <c r="C1" s="168"/>
      <c r="D1" s="168"/>
      <c r="E1" s="168"/>
    </row>
    <row r="2" spans="1:26" ht="20.25" customHeight="1" x14ac:dyDescent="0.2"/>
    <row r="3" spans="1:26" ht="9.75" customHeight="1" x14ac:dyDescent="0.2">
      <c r="A3" s="2"/>
    </row>
    <row r="4" spans="1:26" s="4" customFormat="1" ht="14.25" customHeight="1" x14ac:dyDescent="0.2">
      <c r="A4" s="3" t="s">
        <v>0</v>
      </c>
    </row>
    <row r="5" spans="1:26" s="4" customFormat="1" ht="15.75" customHeight="1" x14ac:dyDescent="0.2">
      <c r="A5" s="5" t="s">
        <v>1</v>
      </c>
    </row>
    <row r="7" spans="1:26" s="6" customFormat="1" ht="72" customHeight="1" x14ac:dyDescent="0.2">
      <c r="A7" s="169"/>
      <c r="B7" s="170"/>
      <c r="C7" s="170"/>
      <c r="D7" s="170"/>
      <c r="E7" s="170"/>
    </row>
    <row r="8" spans="1:26" x14ac:dyDescent="0.2">
      <c r="A8" s="171"/>
      <c r="B8" s="172"/>
      <c r="C8" s="172"/>
      <c r="D8" s="172"/>
      <c r="E8" s="172"/>
    </row>
    <row r="9" spans="1:26" s="6" customFormat="1" ht="67.5" customHeight="1" x14ac:dyDescent="0.2">
      <c r="A9" s="173" t="s">
        <v>78</v>
      </c>
      <c r="B9" s="174"/>
      <c r="C9" s="174"/>
      <c r="D9" s="174"/>
      <c r="E9" s="174"/>
      <c r="F9" s="175"/>
      <c r="G9" s="175"/>
      <c r="H9" s="175"/>
      <c r="I9" s="175"/>
      <c r="J9" s="175"/>
      <c r="K9" s="175"/>
      <c r="L9" s="175"/>
      <c r="M9" s="175"/>
      <c r="N9" s="175"/>
      <c r="O9" s="175"/>
      <c r="P9" s="175"/>
      <c r="Q9" s="175"/>
      <c r="R9" s="175"/>
      <c r="S9" s="175"/>
      <c r="T9" s="175"/>
      <c r="U9" s="175"/>
      <c r="V9" s="175"/>
      <c r="W9" s="175"/>
      <c r="X9" s="175"/>
    </row>
    <row r="10" spans="1:26" ht="15" customHeight="1" x14ac:dyDescent="0.2">
      <c r="A10" s="7"/>
      <c r="B10" s="7"/>
      <c r="C10" s="7"/>
      <c r="D10" s="7"/>
      <c r="E10" s="78"/>
      <c r="F10" s="7"/>
      <c r="G10" s="7"/>
      <c r="H10" s="7"/>
      <c r="I10" s="78"/>
      <c r="T10" s="7"/>
      <c r="U10" s="7"/>
      <c r="V10" s="7"/>
      <c r="W10" s="7"/>
      <c r="X10" s="7"/>
      <c r="Y10" s="7"/>
      <c r="Z10" s="7"/>
    </row>
    <row r="11" spans="1:26" s="45" customFormat="1" ht="23.25" x14ac:dyDescent="0.2">
      <c r="A11" s="8" t="s">
        <v>2</v>
      </c>
      <c r="B11" s="176">
        <v>1270999240</v>
      </c>
      <c r="C11" s="176"/>
      <c r="D11" s="176"/>
      <c r="E11" s="79"/>
      <c r="F11" s="176"/>
      <c r="G11" s="176"/>
      <c r="H11" s="176"/>
      <c r="I11" s="79"/>
      <c r="T11" s="176"/>
      <c r="U11" s="176"/>
      <c r="V11" s="176"/>
      <c r="W11" s="117"/>
      <c r="X11" s="117"/>
      <c r="Y11" s="117"/>
      <c r="Z11" s="117"/>
    </row>
    <row r="12" spans="1:26" s="45" customFormat="1" ht="23.25" x14ac:dyDescent="0.2">
      <c r="A12" s="46" t="s">
        <v>3</v>
      </c>
      <c r="B12" s="77" t="s">
        <v>67</v>
      </c>
      <c r="C12" s="77"/>
      <c r="D12" s="47"/>
      <c r="E12" s="80"/>
      <c r="F12" s="77"/>
      <c r="G12" s="77"/>
      <c r="H12" s="47"/>
      <c r="I12" s="80"/>
      <c r="J12" s="119"/>
      <c r="K12" s="119"/>
      <c r="L12" s="119"/>
      <c r="M12" s="119"/>
      <c r="N12" s="119"/>
      <c r="O12" s="119"/>
      <c r="P12" s="119"/>
      <c r="Q12" s="119"/>
      <c r="R12" s="119"/>
      <c r="S12" s="119"/>
      <c r="T12" s="77"/>
      <c r="U12" s="77"/>
      <c r="V12" s="47"/>
      <c r="W12" s="47"/>
      <c r="X12" s="47"/>
      <c r="Y12" s="47"/>
      <c r="Z12" s="47"/>
    </row>
    <row r="13" spans="1:26" s="4" customFormat="1" ht="6" customHeight="1" x14ac:dyDescent="0.2">
      <c r="A13" s="10"/>
      <c r="B13" s="11"/>
      <c r="C13" s="11"/>
      <c r="D13" s="9"/>
      <c r="E13" s="9"/>
      <c r="F13" s="11"/>
      <c r="G13" s="11"/>
      <c r="H13" s="9"/>
      <c r="I13" s="9"/>
      <c r="T13" s="11"/>
      <c r="U13" s="11"/>
      <c r="V13" s="9"/>
      <c r="W13" s="9"/>
      <c r="X13" s="9"/>
      <c r="Y13" s="9"/>
      <c r="Z13" s="9"/>
    </row>
    <row r="14" spans="1:26" s="12" customFormat="1" ht="15.75" x14ac:dyDescent="0.2">
      <c r="A14" s="162" t="s">
        <v>4</v>
      </c>
      <c r="B14" s="167">
        <v>1</v>
      </c>
      <c r="C14" s="167"/>
      <c r="D14" s="167">
        <v>2</v>
      </c>
      <c r="E14" s="167"/>
      <c r="F14" s="167">
        <v>3</v>
      </c>
      <c r="G14" s="167"/>
      <c r="H14" s="167">
        <v>4</v>
      </c>
      <c r="I14" s="167"/>
      <c r="T14" s="167">
        <v>5</v>
      </c>
      <c r="U14" s="167"/>
      <c r="V14" s="116">
        <v>6</v>
      </c>
      <c r="W14" s="116">
        <v>7</v>
      </c>
      <c r="X14" s="116">
        <v>8</v>
      </c>
      <c r="Y14" s="116">
        <v>9</v>
      </c>
      <c r="Z14" s="116">
        <v>10</v>
      </c>
    </row>
    <row r="15" spans="1:26" s="13" customFormat="1" ht="15.75" customHeight="1" x14ac:dyDescent="0.25">
      <c r="A15" s="162"/>
      <c r="B15" s="154" t="s">
        <v>105</v>
      </c>
      <c r="C15" s="155"/>
      <c r="D15" s="154" t="s">
        <v>106</v>
      </c>
      <c r="E15" s="155"/>
      <c r="F15" s="154" t="s">
        <v>107</v>
      </c>
      <c r="G15" s="155"/>
      <c r="H15" s="154" t="s">
        <v>108</v>
      </c>
      <c r="I15" s="155"/>
      <c r="T15" s="154" t="s">
        <v>109</v>
      </c>
      <c r="U15" s="155"/>
      <c r="V15" s="135" t="s">
        <v>110</v>
      </c>
      <c r="W15" s="135" t="s">
        <v>111</v>
      </c>
      <c r="X15" s="135" t="s">
        <v>112</v>
      </c>
      <c r="Y15" s="135" t="s">
        <v>113</v>
      </c>
      <c r="Z15" s="135" t="s">
        <v>114</v>
      </c>
    </row>
    <row r="16" spans="1:26" s="53" customFormat="1" ht="22.5" x14ac:dyDescent="0.2">
      <c r="A16" s="162"/>
      <c r="B16" s="84" t="s">
        <v>115</v>
      </c>
      <c r="C16" s="84" t="s">
        <v>116</v>
      </c>
      <c r="D16" s="84" t="s">
        <v>117</v>
      </c>
      <c r="E16" s="84" t="s">
        <v>118</v>
      </c>
      <c r="F16" s="84" t="s">
        <v>119</v>
      </c>
      <c r="G16" s="84" t="s">
        <v>120</v>
      </c>
      <c r="H16" s="84" t="s">
        <v>121</v>
      </c>
      <c r="I16" s="84" t="s">
        <v>122</v>
      </c>
      <c r="T16" s="84" t="s">
        <v>123</v>
      </c>
      <c r="U16" s="84" t="s">
        <v>124</v>
      </c>
      <c r="V16" s="136"/>
      <c r="W16" s="136"/>
      <c r="X16" s="136"/>
      <c r="Y16" s="136"/>
      <c r="Z16" s="136"/>
    </row>
    <row r="17" spans="1:26" s="17" customFormat="1" ht="15.75" x14ac:dyDescent="0.25">
      <c r="A17" s="15" t="s">
        <v>5</v>
      </c>
      <c r="B17" s="16">
        <v>0.5</v>
      </c>
      <c r="C17" s="16">
        <v>0.5</v>
      </c>
      <c r="D17" s="16">
        <v>0.5</v>
      </c>
      <c r="E17" s="16">
        <v>0.5</v>
      </c>
      <c r="F17" s="16">
        <v>0.5</v>
      </c>
      <c r="G17" s="16">
        <v>0.5</v>
      </c>
      <c r="H17" s="16">
        <v>0.5</v>
      </c>
      <c r="I17" s="16">
        <v>0.5</v>
      </c>
      <c r="T17" s="16">
        <v>0.5</v>
      </c>
      <c r="U17" s="16">
        <v>0.5</v>
      </c>
      <c r="V17" s="16">
        <v>1</v>
      </c>
      <c r="W17" s="16">
        <v>1</v>
      </c>
      <c r="X17" s="16">
        <v>1</v>
      </c>
      <c r="Y17" s="16">
        <v>1</v>
      </c>
      <c r="Z17" s="16">
        <v>1</v>
      </c>
    </row>
    <row r="18" spans="1:26" s="56" customFormat="1" ht="11.25" customHeight="1" x14ac:dyDescent="0.2">
      <c r="A18" s="55" t="s">
        <v>6</v>
      </c>
      <c r="B18" s="165" t="s">
        <v>6</v>
      </c>
      <c r="C18" s="166"/>
      <c r="D18" s="165" t="s">
        <v>6</v>
      </c>
      <c r="E18" s="166"/>
      <c r="F18" s="165" t="s">
        <v>6</v>
      </c>
      <c r="G18" s="166"/>
      <c r="H18" s="165" t="s">
        <v>6</v>
      </c>
      <c r="I18" s="166"/>
      <c r="T18" s="165" t="s">
        <v>6</v>
      </c>
      <c r="U18" s="166"/>
      <c r="V18" s="84" t="s">
        <v>6</v>
      </c>
      <c r="W18" s="84" t="s">
        <v>6</v>
      </c>
      <c r="X18" s="84" t="s">
        <v>6</v>
      </c>
      <c r="Y18" s="84" t="s">
        <v>6</v>
      </c>
      <c r="Z18" s="84" t="s">
        <v>6</v>
      </c>
    </row>
    <row r="19" spans="1:26" s="14" customFormat="1" ht="21.75" customHeight="1" x14ac:dyDescent="0.25">
      <c r="A19" s="19" t="s">
        <v>7</v>
      </c>
      <c r="B19" s="20"/>
      <c r="C19" s="20"/>
      <c r="D19" s="20"/>
      <c r="E19" s="20"/>
      <c r="F19" s="20"/>
      <c r="G19" s="20"/>
      <c r="H19" s="20"/>
      <c r="I19" s="20"/>
      <c r="T19" s="20"/>
      <c r="U19" s="20"/>
      <c r="V19" s="20"/>
      <c r="W19" s="20"/>
      <c r="X19" s="20"/>
      <c r="Y19" s="20"/>
      <c r="Z19" s="20"/>
    </row>
    <row r="20" spans="1:26" s="14" customFormat="1" ht="48.75" customHeight="1" x14ac:dyDescent="0.25">
      <c r="A20" s="21" t="s">
        <v>8</v>
      </c>
      <c r="B20" s="85" t="s">
        <v>9</v>
      </c>
      <c r="C20" s="85" t="s">
        <v>9</v>
      </c>
      <c r="D20" s="85" t="s">
        <v>9</v>
      </c>
      <c r="E20" s="85" t="s">
        <v>9</v>
      </c>
      <c r="F20" s="85" t="s">
        <v>9</v>
      </c>
      <c r="G20" s="85" t="s">
        <v>9</v>
      </c>
      <c r="H20" s="85" t="s">
        <v>9</v>
      </c>
      <c r="I20" s="85" t="s">
        <v>9</v>
      </c>
      <c r="T20" s="85" t="s">
        <v>9</v>
      </c>
      <c r="U20" s="85" t="s">
        <v>9</v>
      </c>
      <c r="V20" s="85" t="s">
        <v>9</v>
      </c>
      <c r="W20" s="85" t="s">
        <v>9</v>
      </c>
      <c r="X20" s="85" t="s">
        <v>9</v>
      </c>
      <c r="Y20" s="85" t="s">
        <v>9</v>
      </c>
      <c r="Z20" s="85" t="s">
        <v>9</v>
      </c>
    </row>
    <row r="21" spans="1:26" s="9" customFormat="1" ht="19.5" customHeight="1" x14ac:dyDescent="0.2">
      <c r="A21" s="181" t="s">
        <v>68</v>
      </c>
      <c r="B21" s="182"/>
      <c r="C21" s="182"/>
      <c r="D21" s="182"/>
      <c r="E21" s="182"/>
      <c r="F21" s="183"/>
      <c r="G21" s="183"/>
      <c r="H21" s="183"/>
      <c r="I21" s="183"/>
      <c r="J21" s="183"/>
      <c r="K21" s="183"/>
      <c r="L21" s="183"/>
      <c r="M21" s="183"/>
      <c r="N21" s="183"/>
      <c r="O21" s="183"/>
      <c r="P21" s="183"/>
      <c r="Q21" s="183"/>
      <c r="R21" s="183"/>
      <c r="S21" s="183"/>
      <c r="T21" s="183"/>
      <c r="U21" s="183"/>
      <c r="V21" s="183"/>
      <c r="W21" s="183"/>
      <c r="X21" s="183"/>
    </row>
    <row r="22" spans="1:26" s="14" customFormat="1" ht="46.15" customHeight="1" x14ac:dyDescent="0.25">
      <c r="A22" s="181" t="s">
        <v>10</v>
      </c>
      <c r="B22" s="182"/>
      <c r="C22" s="182"/>
      <c r="D22" s="182"/>
      <c r="E22" s="182"/>
      <c r="F22" s="183"/>
      <c r="G22" s="183"/>
      <c r="H22" s="183"/>
      <c r="I22" s="183"/>
      <c r="J22" s="183"/>
      <c r="K22" s="183"/>
      <c r="L22" s="183"/>
      <c r="M22" s="183"/>
      <c r="N22" s="183"/>
      <c r="O22" s="183"/>
      <c r="P22" s="183"/>
      <c r="Q22" s="183"/>
      <c r="R22" s="183"/>
      <c r="S22" s="183"/>
      <c r="T22" s="183"/>
      <c r="U22" s="183"/>
      <c r="V22" s="183"/>
      <c r="W22" s="183"/>
      <c r="X22" s="183"/>
    </row>
    <row r="23" spans="1:26" s="14" customFormat="1" ht="34.5" customHeight="1" x14ac:dyDescent="0.25">
      <c r="A23" s="22" t="s">
        <v>11</v>
      </c>
      <c r="B23" s="85" t="s">
        <v>9</v>
      </c>
      <c r="C23" s="85" t="s">
        <v>9</v>
      </c>
      <c r="D23" s="85" t="s">
        <v>9</v>
      </c>
      <c r="E23" s="85" t="s">
        <v>9</v>
      </c>
      <c r="F23" s="85" t="s">
        <v>9</v>
      </c>
      <c r="G23" s="85" t="s">
        <v>9</v>
      </c>
      <c r="H23" s="85" t="s">
        <v>9</v>
      </c>
      <c r="I23" s="85" t="s">
        <v>9</v>
      </c>
      <c r="T23" s="85" t="s">
        <v>9</v>
      </c>
      <c r="U23" s="85" t="s">
        <v>9</v>
      </c>
      <c r="V23" s="85" t="s">
        <v>9</v>
      </c>
      <c r="W23" s="85" t="s">
        <v>9</v>
      </c>
      <c r="X23" s="85" t="s">
        <v>9</v>
      </c>
      <c r="Y23" s="85" t="s">
        <v>9</v>
      </c>
      <c r="Z23" s="85" t="s">
        <v>9</v>
      </c>
    </row>
    <row r="24" spans="1:26" s="23" customFormat="1" ht="12.75" customHeight="1" x14ac:dyDescent="0.3">
      <c r="A24" s="184" t="s">
        <v>12</v>
      </c>
      <c r="B24" s="175"/>
      <c r="C24" s="175"/>
      <c r="D24" s="175"/>
      <c r="E24" s="175"/>
      <c r="F24" s="175"/>
      <c r="G24" s="175"/>
      <c r="H24" s="175"/>
      <c r="I24" s="175"/>
      <c r="J24" s="175"/>
      <c r="K24" s="175"/>
      <c r="L24" s="175"/>
      <c r="M24" s="175"/>
      <c r="N24" s="175"/>
      <c r="O24" s="175"/>
      <c r="P24" s="175"/>
      <c r="Q24" s="175"/>
      <c r="R24" s="175"/>
      <c r="S24" s="175"/>
      <c r="T24" s="175"/>
      <c r="U24" s="175"/>
      <c r="V24" s="175"/>
      <c r="W24" s="175"/>
      <c r="X24" s="175"/>
    </row>
    <row r="25" spans="1:26" s="35" customFormat="1" x14ac:dyDescent="0.2">
      <c r="A25" s="175"/>
      <c r="B25" s="175"/>
      <c r="C25" s="175"/>
      <c r="D25" s="175"/>
      <c r="E25" s="175"/>
      <c r="F25" s="175"/>
      <c r="G25" s="175"/>
      <c r="H25" s="175"/>
      <c r="I25" s="175"/>
      <c r="J25" s="175"/>
      <c r="K25" s="175"/>
      <c r="L25" s="175"/>
      <c r="M25" s="175"/>
      <c r="N25" s="175"/>
      <c r="O25" s="175"/>
      <c r="P25" s="175"/>
      <c r="Q25" s="175"/>
      <c r="R25" s="175"/>
      <c r="S25" s="175"/>
      <c r="T25" s="175"/>
      <c r="U25" s="175"/>
      <c r="V25" s="175"/>
      <c r="W25" s="175"/>
      <c r="X25" s="175"/>
    </row>
    <row r="26" spans="1:26" s="6" customFormat="1" x14ac:dyDescent="0.2">
      <c r="A26" s="175"/>
      <c r="B26" s="175"/>
      <c r="C26" s="175"/>
      <c r="D26" s="175"/>
      <c r="E26" s="175"/>
      <c r="F26" s="175"/>
      <c r="G26" s="175"/>
      <c r="H26" s="175"/>
      <c r="I26" s="175"/>
      <c r="J26" s="175"/>
      <c r="K26" s="175"/>
      <c r="L26" s="175"/>
      <c r="M26" s="175"/>
      <c r="N26" s="175"/>
      <c r="O26" s="175"/>
      <c r="P26" s="175"/>
      <c r="Q26" s="175"/>
      <c r="R26" s="175"/>
      <c r="S26" s="175"/>
      <c r="T26" s="175"/>
      <c r="U26" s="175"/>
      <c r="V26" s="175"/>
      <c r="W26" s="175"/>
      <c r="X26" s="175"/>
    </row>
    <row r="27" spans="1:26" s="6" customFormat="1" ht="31.9" customHeight="1" x14ac:dyDescent="0.2">
      <c r="A27" s="115" t="s">
        <v>45</v>
      </c>
      <c r="B27" s="179" t="s">
        <v>74</v>
      </c>
      <c r="C27" s="180"/>
      <c r="D27" s="180"/>
      <c r="E27" s="180"/>
      <c r="F27" s="175"/>
      <c r="G27" s="175"/>
      <c r="H27" s="175"/>
      <c r="I27" s="175"/>
      <c r="J27" s="175"/>
      <c r="K27" s="175"/>
      <c r="L27" s="175"/>
      <c r="M27" s="175"/>
      <c r="N27" s="175"/>
      <c r="O27" s="175"/>
      <c r="P27" s="175"/>
      <c r="Q27" s="175"/>
      <c r="R27" s="175"/>
      <c r="S27" s="175"/>
      <c r="T27" s="175"/>
      <c r="U27" s="175"/>
      <c r="V27" s="175"/>
      <c r="W27" s="175"/>
      <c r="X27" s="175"/>
    </row>
    <row r="28" spans="1:26" s="6" customFormat="1" ht="30.6" customHeight="1" x14ac:dyDescent="0.2">
      <c r="A28" s="25" t="s">
        <v>46</v>
      </c>
      <c r="B28" s="179" t="s">
        <v>51</v>
      </c>
      <c r="C28" s="180"/>
      <c r="D28" s="180"/>
      <c r="E28" s="180"/>
      <c r="F28" s="175"/>
      <c r="G28" s="175"/>
      <c r="H28" s="175"/>
      <c r="I28" s="175"/>
      <c r="J28" s="175"/>
      <c r="K28" s="175"/>
      <c r="L28" s="175"/>
      <c r="M28" s="175"/>
      <c r="N28" s="175"/>
      <c r="O28" s="175"/>
      <c r="P28" s="175"/>
      <c r="Q28" s="175"/>
      <c r="R28" s="175"/>
      <c r="S28" s="175"/>
      <c r="T28" s="175"/>
      <c r="U28" s="175"/>
      <c r="V28" s="175"/>
      <c r="W28" s="175"/>
      <c r="X28" s="175"/>
    </row>
    <row r="29" spans="1:26" s="6" customFormat="1" ht="22.5" customHeight="1" x14ac:dyDescent="0.2">
      <c r="A29" s="185" t="s">
        <v>47</v>
      </c>
      <c r="B29" s="179" t="s">
        <v>13</v>
      </c>
      <c r="C29" s="180"/>
      <c r="D29" s="180"/>
      <c r="E29" s="180"/>
      <c r="F29" s="175"/>
      <c r="G29" s="175"/>
      <c r="H29" s="175"/>
      <c r="I29" s="175"/>
      <c r="J29" s="175"/>
      <c r="K29" s="175"/>
      <c r="L29" s="175"/>
      <c r="M29" s="175"/>
      <c r="N29" s="175"/>
      <c r="O29" s="175"/>
      <c r="P29" s="175"/>
      <c r="Q29" s="175"/>
      <c r="R29" s="175"/>
      <c r="S29" s="175"/>
      <c r="T29" s="175"/>
      <c r="U29" s="175"/>
      <c r="V29" s="175"/>
      <c r="W29" s="175"/>
      <c r="X29" s="175"/>
    </row>
    <row r="30" spans="1:26" s="6" customFormat="1" ht="31.5" customHeight="1" x14ac:dyDescent="0.2">
      <c r="A30" s="185"/>
      <c r="B30" s="179" t="s">
        <v>14</v>
      </c>
      <c r="C30" s="180"/>
      <c r="D30" s="180"/>
      <c r="E30" s="180"/>
      <c r="F30" s="175"/>
      <c r="G30" s="175"/>
      <c r="H30" s="175"/>
      <c r="I30" s="175"/>
      <c r="J30" s="175"/>
      <c r="K30" s="175"/>
      <c r="L30" s="175"/>
      <c r="M30" s="175"/>
      <c r="N30" s="175"/>
      <c r="O30" s="175"/>
      <c r="P30" s="175"/>
      <c r="Q30" s="175"/>
      <c r="R30" s="175"/>
      <c r="S30" s="175"/>
      <c r="T30" s="175"/>
      <c r="U30" s="175"/>
      <c r="V30" s="175"/>
      <c r="W30" s="175"/>
      <c r="X30" s="175"/>
    </row>
    <row r="31" spans="1:26" s="6" customFormat="1" ht="25.5" customHeight="1" x14ac:dyDescent="0.2">
      <c r="A31" s="177" t="s">
        <v>52</v>
      </c>
      <c r="B31" s="179" t="s">
        <v>75</v>
      </c>
      <c r="C31" s="180"/>
      <c r="D31" s="180"/>
      <c r="E31" s="180"/>
      <c r="F31" s="175"/>
      <c r="G31" s="175"/>
      <c r="H31" s="175"/>
      <c r="I31" s="175"/>
      <c r="J31" s="175"/>
      <c r="K31" s="175"/>
      <c r="L31" s="175"/>
      <c r="M31" s="175"/>
      <c r="N31" s="175"/>
      <c r="O31" s="175"/>
      <c r="P31" s="175"/>
      <c r="Q31" s="175"/>
      <c r="R31" s="175"/>
      <c r="S31" s="175"/>
      <c r="T31" s="175"/>
      <c r="U31" s="175"/>
      <c r="V31" s="175"/>
      <c r="W31" s="175"/>
      <c r="X31" s="175"/>
    </row>
    <row r="32" spans="1:26" s="6" customFormat="1" ht="30" customHeight="1" x14ac:dyDescent="0.2">
      <c r="A32" s="178"/>
      <c r="B32" s="179" t="s">
        <v>76</v>
      </c>
      <c r="C32" s="180"/>
      <c r="D32" s="180"/>
      <c r="E32" s="180"/>
      <c r="F32" s="175"/>
      <c r="G32" s="175"/>
      <c r="H32" s="175"/>
      <c r="I32" s="175"/>
      <c r="J32" s="175"/>
      <c r="K32" s="175"/>
      <c r="L32" s="175"/>
      <c r="M32" s="175"/>
      <c r="N32" s="175"/>
      <c r="O32" s="175"/>
      <c r="P32" s="175"/>
      <c r="Q32" s="175"/>
      <c r="R32" s="175"/>
      <c r="S32" s="175"/>
      <c r="T32" s="175"/>
      <c r="U32" s="175"/>
      <c r="V32" s="175"/>
      <c r="W32" s="175"/>
      <c r="X32" s="175"/>
    </row>
    <row r="33" spans="1:26" s="6" customFormat="1" ht="30.75" customHeight="1" x14ac:dyDescent="0.2">
      <c r="A33" s="25" t="s">
        <v>53</v>
      </c>
      <c r="B33" s="179" t="s">
        <v>77</v>
      </c>
      <c r="C33" s="180"/>
      <c r="D33" s="180"/>
      <c r="E33" s="180"/>
      <c r="F33" s="175"/>
      <c r="G33" s="175"/>
      <c r="H33" s="175"/>
      <c r="I33" s="175"/>
      <c r="J33" s="175"/>
      <c r="K33" s="175"/>
      <c r="L33" s="175"/>
      <c r="M33" s="175"/>
      <c r="N33" s="175"/>
      <c r="O33" s="175"/>
      <c r="P33" s="175"/>
      <c r="Q33" s="175"/>
      <c r="R33" s="175"/>
      <c r="S33" s="175"/>
      <c r="T33" s="175"/>
      <c r="U33" s="175"/>
      <c r="V33" s="175"/>
      <c r="W33" s="175"/>
      <c r="X33" s="175"/>
    </row>
    <row r="34" spans="1:26" s="6" customFormat="1" ht="18.75" x14ac:dyDescent="0.25">
      <c r="A34" s="26"/>
      <c r="B34" s="111"/>
      <c r="C34" s="111"/>
      <c r="D34" s="111"/>
      <c r="E34" s="111"/>
      <c r="F34" s="14"/>
      <c r="G34" s="14"/>
      <c r="H34" s="14"/>
      <c r="I34" s="14"/>
      <c r="J34" s="14"/>
      <c r="K34" s="14"/>
      <c r="L34" s="14"/>
      <c r="M34" s="14"/>
      <c r="N34" s="14"/>
      <c r="O34" s="14"/>
      <c r="P34" s="14"/>
      <c r="Q34" s="14"/>
      <c r="R34" s="14"/>
      <c r="S34" s="14"/>
      <c r="T34" s="14"/>
      <c r="U34" s="14"/>
      <c r="V34" s="14"/>
      <c r="W34" s="14"/>
      <c r="X34" s="14"/>
      <c r="Y34" s="14"/>
      <c r="Z34" s="14"/>
    </row>
    <row r="35" spans="1:26" s="28" customFormat="1" ht="14.25" customHeight="1" x14ac:dyDescent="0.2">
      <c r="A35" s="26"/>
      <c r="B35" s="27"/>
      <c r="C35" s="27"/>
      <c r="D35" s="27"/>
      <c r="E35" s="27"/>
      <c r="F35" s="27"/>
      <c r="G35" s="27"/>
      <c r="H35" s="27"/>
      <c r="I35" s="27"/>
      <c r="T35" s="27"/>
      <c r="U35" s="27"/>
      <c r="V35" s="27"/>
      <c r="W35" s="27"/>
      <c r="X35" s="27"/>
      <c r="Y35" s="27"/>
      <c r="Z35" s="27"/>
    </row>
    <row r="36" spans="1:26" s="24" customFormat="1" ht="15.75" customHeight="1" x14ac:dyDescent="0.25">
      <c r="A36" s="162" t="s">
        <v>15</v>
      </c>
      <c r="B36" s="162" t="str">
        <f>+B15</f>
        <v>CONSORCIO BGU</v>
      </c>
      <c r="C36" s="162"/>
      <c r="D36" s="162" t="str">
        <f>+D15</f>
        <v>CONSORCIO INTERDESARROLLO</v>
      </c>
      <c r="E36" s="162"/>
      <c r="F36" s="162" t="str">
        <f>+F15</f>
        <v>CONSORCIO INTERNORTE</v>
      </c>
      <c r="G36" s="162"/>
      <c r="H36" s="162" t="str">
        <f>+H15</f>
        <v>CONSORCIO INTER-USA</v>
      </c>
      <c r="I36" s="162"/>
      <c r="T36" s="162" t="str">
        <f>+T15</f>
        <v>CONSORCIO MG-006</v>
      </c>
      <c r="U36" s="162"/>
      <c r="V36" s="135" t="str">
        <f>+V15</f>
        <v>GMC INGENIEROS S.A-
GRUPO METRO COLOMBIA S.A</v>
      </c>
      <c r="W36" s="135" t="str">
        <f>+W15</f>
        <v>GNG INGENIERIA S A S</v>
      </c>
      <c r="X36" s="135" t="str">
        <f>+X15</f>
        <v>PRI COLOMBIA SAS</v>
      </c>
      <c r="Y36" s="135" t="str">
        <f t="shared" ref="Y36:Z36" si="0">+Y15</f>
        <v>R &amp; M CONSTRUCCIONES E INTERVENTORIAS S A S</v>
      </c>
      <c r="Z36" s="135" t="str">
        <f t="shared" si="0"/>
        <v>TECNICONSULTA SAS - 
TECNOLOGIAS Y CONSULTORIAS AMBIENTALES Y DE GESTION S.A.S</v>
      </c>
    </row>
    <row r="37" spans="1:26" s="52" customFormat="1" ht="22.5" x14ac:dyDescent="0.2">
      <c r="A37" s="162"/>
      <c r="B37" s="84" t="str">
        <f>+B16</f>
        <v>CONSTRUCCIONES, CONSULTORIAS E INTERVENTORIAS DE OBRAS CIVILES LTDA</v>
      </c>
      <c r="C37" s="84" t="str">
        <f>+C16</f>
        <v>GUISA RUEDA RAFAEL JAVIER</v>
      </c>
      <c r="D37" s="84" t="str">
        <f>+D16</f>
        <v>ARM CONSULTING LTDA</v>
      </c>
      <c r="E37" s="84" t="str">
        <f>+E16</f>
        <v>SANCHEZ BLANCO JORGE ALVARO</v>
      </c>
      <c r="F37" s="84" t="str">
        <f>+F16</f>
        <v>GAVINCO INGENIEROS CONSULTORES SAS</v>
      </c>
      <c r="G37" s="84" t="str">
        <f>+G16</f>
        <v>ING INGENIERIA SAS</v>
      </c>
      <c r="H37" s="84" t="str">
        <f>+H16</f>
        <v>BAC GROUP SAS</v>
      </c>
      <c r="I37" s="84" t="str">
        <f>+I16</f>
        <v>BAC ENGINEERING CONSULTANCY GROUP SAS</v>
      </c>
      <c r="T37" s="84" t="str">
        <f>+T16</f>
        <v>MAB INGENIERIA DE VALOR S A</v>
      </c>
      <c r="U37" s="84" t="str">
        <f>+U16</f>
        <v>GIMPROSA COLOBIA SAS</v>
      </c>
      <c r="V37" s="136"/>
      <c r="W37" s="136"/>
      <c r="X37" s="136"/>
      <c r="Y37" s="136"/>
      <c r="Z37" s="136"/>
    </row>
    <row r="38" spans="1:26" s="24" customFormat="1" ht="15.75" x14ac:dyDescent="0.25">
      <c r="A38" s="186" t="s">
        <v>16</v>
      </c>
      <c r="B38" s="29">
        <f>(B66/B70)</f>
        <v>25.744507795604619</v>
      </c>
      <c r="C38" s="29">
        <f t="shared" ref="C38:E38" si="1">(C66/C70)</f>
        <v>22.427026358888785</v>
      </c>
      <c r="D38" s="29">
        <f>(D66/D70)</f>
        <v>2.9958255033056895</v>
      </c>
      <c r="E38" s="29">
        <f t="shared" si="1"/>
        <v>2.2125583525816022</v>
      </c>
      <c r="F38" s="29">
        <f>(F66/F70)</f>
        <v>3.9355197992759026</v>
      </c>
      <c r="G38" s="29">
        <f t="shared" ref="G38" si="2">(G66/G70)</f>
        <v>4.1932304112523706</v>
      </c>
      <c r="H38" s="29">
        <f>(H66/H70)</f>
        <v>1.7202893797323577</v>
      </c>
      <c r="I38" s="29">
        <f t="shared" ref="I38" si="3">(I66/I70)</f>
        <v>1.3113709069527684</v>
      </c>
      <c r="T38" s="29">
        <f>(T66/T70)</f>
        <v>5.6544830684671048</v>
      </c>
      <c r="U38" s="29">
        <f t="shared" ref="U38" si="4">(U66/U70)</f>
        <v>4.7812463776727361</v>
      </c>
      <c r="V38" s="137">
        <f>(V66/V70)</f>
        <v>7.3839384922052851</v>
      </c>
      <c r="W38" s="137">
        <f>(W66/W70)</f>
        <v>3.9264787217698571</v>
      </c>
      <c r="X38" s="137">
        <f>(X66/X70)</f>
        <v>3.8232807797876913</v>
      </c>
      <c r="Y38" s="137">
        <f t="shared" ref="Y38:Z38" si="5">(Y66/Y70)</f>
        <v>4.6389286873800293</v>
      </c>
      <c r="Z38" s="137">
        <f t="shared" si="5"/>
        <v>10.82012986296208</v>
      </c>
    </row>
    <row r="39" spans="1:26" s="24" customFormat="1" ht="15.75" x14ac:dyDescent="0.25">
      <c r="A39" s="187"/>
      <c r="B39" s="164">
        <f>+B67/B71</f>
        <v>25.482047360155153</v>
      </c>
      <c r="C39" s="164"/>
      <c r="D39" s="164">
        <f>+D67/D71</f>
        <v>2.5247245762781292</v>
      </c>
      <c r="E39" s="164"/>
      <c r="F39" s="164">
        <f>+F67/F71</f>
        <v>4.0820578325208476</v>
      </c>
      <c r="G39" s="164"/>
      <c r="H39" s="164">
        <f>+H67/H71</f>
        <v>1.3385756442162651</v>
      </c>
      <c r="I39" s="164"/>
      <c r="T39" s="164">
        <f>+T67/T71</f>
        <v>5.5279126955543996</v>
      </c>
      <c r="U39" s="164"/>
      <c r="V39" s="138"/>
      <c r="W39" s="138"/>
      <c r="X39" s="138"/>
      <c r="Y39" s="138"/>
      <c r="Z39" s="138"/>
    </row>
    <row r="40" spans="1:26" s="24" customFormat="1" ht="15.75" x14ac:dyDescent="0.25">
      <c r="A40" s="186" t="s">
        <v>17</v>
      </c>
      <c r="B40" s="29">
        <f t="shared" ref="B40:I40" si="6">(B72/B68)</f>
        <v>0.47173729582329282</v>
      </c>
      <c r="C40" s="29">
        <f t="shared" si="6"/>
        <v>0.37618266244846343</v>
      </c>
      <c r="D40" s="29">
        <f t="shared" si="6"/>
        <v>0.51700689407258504</v>
      </c>
      <c r="E40" s="29">
        <f t="shared" si="6"/>
        <v>0.42711718334436238</v>
      </c>
      <c r="F40" s="29">
        <f t="shared" si="6"/>
        <v>0.22329114424900146</v>
      </c>
      <c r="G40" s="29">
        <f t="shared" si="6"/>
        <v>0.59474402719769182</v>
      </c>
      <c r="H40" s="29">
        <f t="shared" si="6"/>
        <v>0.58129754899468122</v>
      </c>
      <c r="I40" s="29">
        <f t="shared" si="6"/>
        <v>0.62995386072186721</v>
      </c>
      <c r="T40" s="29">
        <f t="shared" ref="T40:Z40" si="7">(T72/T68)</f>
        <v>0.483170026445783</v>
      </c>
      <c r="U40" s="29">
        <f t="shared" si="7"/>
        <v>0.71121334056034158</v>
      </c>
      <c r="V40" s="137">
        <f t="shared" si="7"/>
        <v>0.13339882237741318</v>
      </c>
      <c r="W40" s="137">
        <f t="shared" si="7"/>
        <v>0.43187853818530708</v>
      </c>
      <c r="X40" s="137">
        <f t="shared" si="7"/>
        <v>0.31784173528684617</v>
      </c>
      <c r="Y40" s="137">
        <f t="shared" si="7"/>
        <v>0.19070295129680062</v>
      </c>
      <c r="Z40" s="137">
        <f t="shared" si="7"/>
        <v>0.39631506132326172</v>
      </c>
    </row>
    <row r="41" spans="1:26" s="24" customFormat="1" ht="15.75" x14ac:dyDescent="0.25">
      <c r="A41" s="187"/>
      <c r="B41" s="164">
        <f>+B73/B69</f>
        <v>0.4590008527039206</v>
      </c>
      <c r="C41" s="164"/>
      <c r="D41" s="164">
        <f>+D73/D69</f>
        <v>0.4662676657562777</v>
      </c>
      <c r="E41" s="164"/>
      <c r="F41" s="164">
        <f>+F73/F69</f>
        <v>0.44427751986744002</v>
      </c>
      <c r="G41" s="164"/>
      <c r="H41" s="164">
        <f>+H73/H69</f>
        <v>0.6264653061277069</v>
      </c>
      <c r="I41" s="164"/>
      <c r="T41" s="164">
        <f>+T73/T69</f>
        <v>0.51047179547027355</v>
      </c>
      <c r="U41" s="164"/>
      <c r="V41" s="138"/>
      <c r="W41" s="138"/>
      <c r="X41" s="138"/>
      <c r="Y41" s="138"/>
      <c r="Z41" s="138"/>
    </row>
    <row r="42" spans="1:26" s="24" customFormat="1" ht="15.75" x14ac:dyDescent="0.25">
      <c r="A42" s="186" t="s">
        <v>18</v>
      </c>
      <c r="B42" s="30">
        <f>(B76/B78)</f>
        <v>83.537065018420037</v>
      </c>
      <c r="C42" s="30">
        <f t="shared" ref="C42:E42" si="8">(C76/C78)</f>
        <v>469.67529411764707</v>
      </c>
      <c r="D42" s="30">
        <f>(D76/D78)</f>
        <v>3.2109117180113809</v>
      </c>
      <c r="E42" s="30">
        <f t="shared" si="8"/>
        <v>4.8802819722473965</v>
      </c>
      <c r="F42" s="30">
        <f>(F76/F78)</f>
        <v>9.0428291879565101</v>
      </c>
      <c r="G42" s="30">
        <f t="shared" ref="G42" si="9">(G76/G78)</f>
        <v>2.9090857875448326</v>
      </c>
      <c r="H42" s="30">
        <f>(H76/H78)</f>
        <v>66.878473893344932</v>
      </c>
      <c r="I42" s="30">
        <f t="shared" ref="I42" si="10">(I76/I78)</f>
        <v>12.07777203093773</v>
      </c>
      <c r="T42" s="30">
        <f>(T76/T78)</f>
        <v>565.2157247364355</v>
      </c>
      <c r="U42" s="30">
        <f t="shared" ref="U42" si="11">(U76/U78)</f>
        <v>70.536995797220442</v>
      </c>
      <c r="V42" s="139">
        <f>(V76/V78)</f>
        <v>602.78848464614748</v>
      </c>
      <c r="W42" s="139">
        <f>(W76/W78)</f>
        <v>6.1001483145062521</v>
      </c>
      <c r="X42" s="139">
        <f>(X76/X78)</f>
        <v>102.88691352210513</v>
      </c>
      <c r="Y42" s="139">
        <f t="shared" ref="Y42:Z42" si="12">(Y76/Y78)</f>
        <v>37.089170563283545</v>
      </c>
      <c r="Z42" s="139">
        <f t="shared" si="12"/>
        <v>224.69487674873858</v>
      </c>
    </row>
    <row r="43" spans="1:26" s="24" customFormat="1" ht="15.75" x14ac:dyDescent="0.25">
      <c r="A43" s="187"/>
      <c r="B43" s="161">
        <f>+B77/B79</f>
        <v>92.613082617056548</v>
      </c>
      <c r="C43" s="161"/>
      <c r="D43" s="161">
        <f>+D77/D79</f>
        <v>3.5196195900623222</v>
      </c>
      <c r="E43" s="161"/>
      <c r="F43" s="161">
        <f>+F77/F79</f>
        <v>4.2402689245665233</v>
      </c>
      <c r="G43" s="161"/>
      <c r="H43" s="161">
        <f>+H77/H79</f>
        <v>18.509388852558939</v>
      </c>
      <c r="I43" s="161"/>
      <c r="T43" s="161">
        <f>+T77/T79</f>
        <v>316.19064691541837</v>
      </c>
      <c r="U43" s="161"/>
      <c r="V43" s="136"/>
      <c r="W43" s="136"/>
      <c r="X43" s="136"/>
      <c r="Y43" s="136"/>
      <c r="Z43" s="136"/>
    </row>
    <row r="44" spans="1:26" s="24" customFormat="1" ht="15.75" x14ac:dyDescent="0.25">
      <c r="A44" s="92" t="s">
        <v>19</v>
      </c>
      <c r="B44" s="140">
        <f>+B66-B70</f>
        <v>4660377666</v>
      </c>
      <c r="C44" s="140">
        <f t="shared" ref="C44:E44" si="13">+C66-C70</f>
        <v>346700000</v>
      </c>
      <c r="D44" s="140">
        <f>+D66-D70</f>
        <v>803446500</v>
      </c>
      <c r="E44" s="140">
        <f t="shared" si="13"/>
        <v>736656611.5</v>
      </c>
      <c r="F44" s="140">
        <f>+F66-F70</f>
        <v>1319396201.5</v>
      </c>
      <c r="G44" s="140">
        <f t="shared" ref="G44" si="14">+G66-G70</f>
        <v>1891790982.5</v>
      </c>
      <c r="H44" s="140">
        <f>+H66-H70</f>
        <v>87996902.5</v>
      </c>
      <c r="I44" s="140">
        <f t="shared" ref="I44" si="15">+I66-I70</f>
        <v>533742342.5</v>
      </c>
      <c r="T44" s="140">
        <f>+T66-T70</f>
        <v>8153407695.5</v>
      </c>
      <c r="U44" s="140">
        <f t="shared" ref="U44" si="16">+U66-U70</f>
        <v>1122814930.5</v>
      </c>
      <c r="V44" s="140">
        <f>+V66-V70</f>
        <v>3765765739</v>
      </c>
      <c r="W44" s="140">
        <f>+W66-W70</f>
        <v>4571628000</v>
      </c>
      <c r="X44" s="140">
        <f>+X66-X70</f>
        <v>4097913000</v>
      </c>
      <c r="Y44" s="140">
        <f t="shared" ref="Y44:Z44" si="17">+Y66-Y70</f>
        <v>2832592282</v>
      </c>
      <c r="Z44" s="140">
        <f t="shared" si="17"/>
        <v>5729241310</v>
      </c>
    </row>
    <row r="45" spans="1:26" s="24" customFormat="1" ht="15.75" x14ac:dyDescent="0.25">
      <c r="A45" s="31" t="s">
        <v>20</v>
      </c>
      <c r="B45" s="158"/>
      <c r="C45" s="158"/>
      <c r="D45" s="158"/>
      <c r="E45" s="158"/>
      <c r="F45" s="158"/>
      <c r="G45" s="158"/>
      <c r="H45" s="158"/>
      <c r="I45" s="158"/>
      <c r="T45" s="158"/>
      <c r="U45" s="158"/>
      <c r="V45" s="141"/>
      <c r="W45" s="141"/>
      <c r="X45" s="141"/>
      <c r="Y45" s="141"/>
      <c r="Z45" s="141"/>
    </row>
    <row r="46" spans="1:26" s="32" customFormat="1" ht="15.75" x14ac:dyDescent="0.25">
      <c r="A46" s="110" t="s">
        <v>21</v>
      </c>
      <c r="B46" s="159">
        <f>+B44+C44</f>
        <v>5007077666</v>
      </c>
      <c r="C46" s="160"/>
      <c r="D46" s="159">
        <f>+D44+E44</f>
        <v>1540103111.5</v>
      </c>
      <c r="E46" s="160"/>
      <c r="F46" s="159">
        <f>+F44+G44</f>
        <v>3211187184</v>
      </c>
      <c r="G46" s="160"/>
      <c r="H46" s="159">
        <f>+H44+I44</f>
        <v>621739245</v>
      </c>
      <c r="I46" s="160"/>
      <c r="T46" s="159">
        <f>+T44+U44</f>
        <v>9276222626</v>
      </c>
      <c r="U46" s="160"/>
      <c r="V46" s="142"/>
      <c r="W46" s="142"/>
      <c r="X46" s="142"/>
      <c r="Y46" s="142"/>
      <c r="Z46" s="142"/>
    </row>
    <row r="47" spans="1:26" s="49" customFormat="1" ht="15.75" x14ac:dyDescent="0.25">
      <c r="A47" s="186" t="s">
        <v>22</v>
      </c>
      <c r="B47" s="48">
        <f t="shared" ref="B47:I47" si="18">+B74</f>
        <v>3358836659.5</v>
      </c>
      <c r="C47" s="48">
        <f t="shared" si="18"/>
        <v>609984500</v>
      </c>
      <c r="D47" s="48">
        <f t="shared" si="18"/>
        <v>701362500</v>
      </c>
      <c r="E47" s="48">
        <f t="shared" si="18"/>
        <v>1078137484.5</v>
      </c>
      <c r="F47" s="48">
        <f t="shared" si="18"/>
        <v>1563424715</v>
      </c>
      <c r="G47" s="48">
        <f t="shared" si="18"/>
        <v>1198046844.5</v>
      </c>
      <c r="H47" s="48">
        <f t="shared" si="18"/>
        <v>87996902.5</v>
      </c>
      <c r="I47" s="48">
        <f t="shared" si="18"/>
        <v>1006933434</v>
      </c>
      <c r="T47" s="48">
        <f t="shared" ref="T47:Z47" si="19">+T74</f>
        <v>5510280270</v>
      </c>
      <c r="U47" s="48">
        <f t="shared" si="19"/>
        <v>418751763.5</v>
      </c>
      <c r="V47" s="143">
        <f t="shared" si="19"/>
        <v>3832056335</v>
      </c>
      <c r="W47" s="143">
        <f t="shared" si="19"/>
        <v>7019156000</v>
      </c>
      <c r="X47" s="143">
        <f t="shared" si="19"/>
        <v>3815964000</v>
      </c>
      <c r="Y47" s="143">
        <f t="shared" si="19"/>
        <v>3642899832</v>
      </c>
      <c r="Z47" s="143">
        <f t="shared" si="19"/>
        <v>3832910278</v>
      </c>
    </row>
    <row r="48" spans="1:26" s="24" customFormat="1" ht="15.75" x14ac:dyDescent="0.25">
      <c r="A48" s="187"/>
      <c r="B48" s="161">
        <f>+B47+C47</f>
        <v>3968821159.5</v>
      </c>
      <c r="C48" s="161"/>
      <c r="D48" s="161">
        <f>+D47+E47</f>
        <v>1779499984.5</v>
      </c>
      <c r="E48" s="161"/>
      <c r="F48" s="161">
        <f>+F47+G47</f>
        <v>2761471559.5</v>
      </c>
      <c r="G48" s="161"/>
      <c r="H48" s="161">
        <f>+H47+I47</f>
        <v>1094930336.5</v>
      </c>
      <c r="I48" s="161"/>
      <c r="T48" s="161">
        <f>+T47+U47</f>
        <v>5929032033.5</v>
      </c>
      <c r="U48" s="161"/>
      <c r="V48" s="142"/>
      <c r="W48" s="142"/>
      <c r="X48" s="142"/>
      <c r="Y48" s="142"/>
      <c r="Z48" s="142"/>
    </row>
    <row r="49" spans="1:26" s="24" customFormat="1" ht="18.75" customHeight="1" x14ac:dyDescent="0.25">
      <c r="A49" s="33"/>
      <c r="B49" s="188"/>
      <c r="C49" s="188"/>
      <c r="D49" s="188"/>
      <c r="E49" s="188"/>
      <c r="F49" s="188"/>
      <c r="G49" s="188"/>
      <c r="H49" s="188"/>
      <c r="I49" s="188"/>
      <c r="T49" s="188"/>
      <c r="U49" s="188"/>
      <c r="V49" s="188"/>
      <c r="W49" s="113"/>
      <c r="X49" s="113"/>
      <c r="Y49" s="113"/>
      <c r="Z49" s="113"/>
    </row>
    <row r="50" spans="1:26" ht="18.75" customHeight="1" x14ac:dyDescent="0.2">
      <c r="A50" s="112" t="s">
        <v>48</v>
      </c>
      <c r="B50" s="163"/>
      <c r="C50" s="163"/>
      <c r="D50" s="163"/>
      <c r="E50" s="163"/>
      <c r="F50" s="163"/>
      <c r="G50" s="163"/>
      <c r="H50" s="163"/>
      <c r="I50" s="163"/>
      <c r="T50" s="163"/>
      <c r="U50" s="163"/>
      <c r="V50" s="163"/>
      <c r="W50" s="112"/>
      <c r="X50" s="112"/>
      <c r="Y50" s="112"/>
      <c r="Z50" s="112"/>
    </row>
    <row r="51" spans="1:26" ht="40.9" customHeight="1" x14ac:dyDescent="0.2">
      <c r="A51" s="50" t="s">
        <v>49</v>
      </c>
      <c r="B51" s="179" t="s">
        <v>23</v>
      </c>
      <c r="C51" s="180"/>
      <c r="D51" s="180"/>
      <c r="E51" s="180"/>
      <c r="F51" s="175"/>
      <c r="G51" s="175"/>
      <c r="H51" s="175"/>
      <c r="I51" s="175"/>
      <c r="J51" s="175"/>
      <c r="K51" s="175"/>
      <c r="L51" s="175"/>
      <c r="M51" s="175"/>
      <c r="N51" s="175"/>
      <c r="O51" s="175"/>
      <c r="P51" s="175"/>
      <c r="Q51" s="175"/>
      <c r="R51" s="175"/>
      <c r="S51" s="175"/>
      <c r="T51" s="175"/>
      <c r="U51" s="175"/>
      <c r="V51" s="175"/>
      <c r="W51" s="175"/>
      <c r="X51" s="175"/>
    </row>
    <row r="52" spans="1:26" ht="15.75" customHeight="1" x14ac:dyDescent="0.2">
      <c r="A52" s="192" t="s">
        <v>50</v>
      </c>
      <c r="B52" s="179" t="s">
        <v>23</v>
      </c>
      <c r="C52" s="180"/>
      <c r="D52" s="180"/>
      <c r="E52" s="180"/>
      <c r="F52" s="175"/>
      <c r="G52" s="175"/>
      <c r="H52" s="175"/>
      <c r="I52" s="175"/>
      <c r="J52" s="175"/>
      <c r="K52" s="175"/>
      <c r="L52" s="175"/>
      <c r="M52" s="175"/>
      <c r="N52" s="175"/>
      <c r="O52" s="175"/>
      <c r="P52" s="175"/>
      <c r="Q52" s="175"/>
      <c r="R52" s="175"/>
      <c r="S52" s="175"/>
      <c r="T52" s="175"/>
      <c r="U52" s="175"/>
      <c r="V52" s="175"/>
      <c r="W52" s="175"/>
      <c r="X52" s="175"/>
    </row>
    <row r="53" spans="1:26" ht="15.75" customHeight="1" x14ac:dyDescent="0.2">
      <c r="A53" s="192"/>
      <c r="B53" s="179" t="s">
        <v>24</v>
      </c>
      <c r="C53" s="180"/>
      <c r="D53" s="180"/>
      <c r="E53" s="180"/>
      <c r="F53" s="175"/>
      <c r="G53" s="175"/>
      <c r="H53" s="175"/>
      <c r="I53" s="175"/>
      <c r="J53" s="175"/>
      <c r="K53" s="175"/>
      <c r="L53" s="175"/>
      <c r="M53" s="175"/>
      <c r="N53" s="175"/>
      <c r="O53" s="175"/>
      <c r="P53" s="175"/>
      <c r="Q53" s="175"/>
      <c r="R53" s="175"/>
      <c r="S53" s="175"/>
      <c r="T53" s="175"/>
      <c r="U53" s="175"/>
      <c r="V53" s="175"/>
      <c r="W53" s="175"/>
      <c r="X53" s="175"/>
    </row>
    <row r="54" spans="1:26" ht="27" customHeight="1" x14ac:dyDescent="0.2">
      <c r="A54" s="192"/>
      <c r="B54" s="193" t="s">
        <v>54</v>
      </c>
      <c r="C54" s="194"/>
      <c r="D54" s="194"/>
      <c r="E54" s="194"/>
      <c r="F54" s="194"/>
      <c r="G54" s="194"/>
      <c r="H54" s="194"/>
      <c r="I54" s="194"/>
      <c r="J54" s="194"/>
      <c r="K54" s="194"/>
      <c r="L54" s="194"/>
      <c r="M54" s="194"/>
      <c r="N54" s="194"/>
      <c r="O54" s="194"/>
      <c r="P54" s="194"/>
      <c r="Q54" s="194"/>
      <c r="R54" s="194"/>
      <c r="S54" s="194"/>
      <c r="T54" s="194"/>
      <c r="U54" s="194"/>
      <c r="V54" s="194"/>
      <c r="W54" s="194"/>
      <c r="X54" s="194"/>
    </row>
    <row r="55" spans="1:26" s="6" customFormat="1" ht="38.25" customHeight="1" x14ac:dyDescent="0.2">
      <c r="A55" s="51"/>
      <c r="B55" s="196" t="s">
        <v>55</v>
      </c>
      <c r="C55" s="196"/>
      <c r="D55" s="196"/>
      <c r="E55" s="196"/>
      <c r="F55" s="197"/>
      <c r="G55" s="197"/>
      <c r="H55" s="197"/>
      <c r="I55" s="197"/>
      <c r="J55" s="197"/>
      <c r="K55" s="197"/>
      <c r="L55" s="197"/>
      <c r="M55" s="197"/>
      <c r="N55" s="197"/>
      <c r="O55" s="197"/>
      <c r="P55" s="197"/>
      <c r="Q55" s="197"/>
      <c r="R55" s="197"/>
      <c r="S55" s="197"/>
      <c r="T55" s="197"/>
      <c r="U55" s="197"/>
      <c r="V55" s="197"/>
      <c r="W55" s="197"/>
      <c r="X55" s="197"/>
    </row>
    <row r="56" spans="1:26" s="35" customFormat="1" ht="18.75" x14ac:dyDescent="0.2">
      <c r="A56" s="34"/>
      <c r="B56" s="27"/>
      <c r="C56" s="27"/>
      <c r="D56" s="27"/>
      <c r="E56" s="27"/>
      <c r="F56" s="27"/>
      <c r="G56" s="27"/>
      <c r="H56" s="27"/>
      <c r="I56" s="27"/>
      <c r="T56" s="27"/>
      <c r="U56" s="27"/>
      <c r="V56" s="27"/>
      <c r="W56" s="27"/>
      <c r="X56" s="27"/>
      <c r="Y56" s="27"/>
      <c r="Z56" s="27"/>
    </row>
    <row r="57" spans="1:26" s="24" customFormat="1" ht="15.75" customHeight="1" x14ac:dyDescent="0.25">
      <c r="A57" s="162" t="s">
        <v>15</v>
      </c>
      <c r="B57" s="162" t="str">
        <f>+B36</f>
        <v>CONSORCIO BGU</v>
      </c>
      <c r="C57" s="162"/>
      <c r="D57" s="162" t="str">
        <f>+D36</f>
        <v>CONSORCIO INTERDESARROLLO</v>
      </c>
      <c r="E57" s="162"/>
      <c r="F57" s="162" t="str">
        <f>+F36</f>
        <v>CONSORCIO INTERNORTE</v>
      </c>
      <c r="G57" s="162"/>
      <c r="H57" s="162" t="str">
        <f>+H36</f>
        <v>CONSORCIO INTER-USA</v>
      </c>
      <c r="I57" s="162"/>
      <c r="T57" s="162" t="str">
        <f>+T36</f>
        <v>CONSORCIO MG-006</v>
      </c>
      <c r="U57" s="162"/>
      <c r="V57" s="135" t="str">
        <f>+V36</f>
        <v>GMC INGENIEROS S.A-
GRUPO METRO COLOMBIA S.A</v>
      </c>
      <c r="W57" s="135" t="str">
        <f>+W36</f>
        <v>GNG INGENIERIA S A S</v>
      </c>
      <c r="X57" s="135" t="str">
        <f>+X36</f>
        <v>PRI COLOMBIA SAS</v>
      </c>
      <c r="Y57" s="135" t="str">
        <f t="shared" ref="Y57:Z57" si="20">+Y36</f>
        <v>R &amp; M CONSTRUCCIONES E INTERVENTORIAS S A S</v>
      </c>
      <c r="Z57" s="135" t="str">
        <f t="shared" si="20"/>
        <v>TECNICONSULTA SAS - 
TECNOLOGIAS Y CONSULTORIAS AMBIENTALES Y DE GESTION S.A.S</v>
      </c>
    </row>
    <row r="58" spans="1:26" s="54" customFormat="1" ht="22.5" x14ac:dyDescent="0.2">
      <c r="A58" s="162"/>
      <c r="B58" s="84" t="str">
        <f>+B37</f>
        <v>CONSTRUCCIONES, CONSULTORIAS E INTERVENTORIAS DE OBRAS CIVILES LTDA</v>
      </c>
      <c r="C58" s="84" t="str">
        <f>+C37</f>
        <v>GUISA RUEDA RAFAEL JAVIER</v>
      </c>
      <c r="D58" s="84" t="str">
        <f>+D37</f>
        <v>ARM CONSULTING LTDA</v>
      </c>
      <c r="E58" s="84" t="str">
        <f>+E37</f>
        <v>SANCHEZ BLANCO JORGE ALVARO</v>
      </c>
      <c r="F58" s="84" t="str">
        <f>+F37</f>
        <v>GAVINCO INGENIEROS CONSULTORES SAS</v>
      </c>
      <c r="G58" s="84" t="str">
        <f>+G37</f>
        <v>ING INGENIERIA SAS</v>
      </c>
      <c r="H58" s="84" t="str">
        <f>+H37</f>
        <v>BAC GROUP SAS</v>
      </c>
      <c r="I58" s="84" t="str">
        <f>+I37</f>
        <v>BAC ENGINEERING CONSULTANCY GROUP SAS</v>
      </c>
      <c r="T58" s="84" t="str">
        <f>+T37</f>
        <v>MAB INGENIERIA DE VALOR S A</v>
      </c>
      <c r="U58" s="84" t="str">
        <f>+U37</f>
        <v>GIMPROSA COLOBIA SAS</v>
      </c>
      <c r="V58" s="136"/>
      <c r="W58" s="136"/>
      <c r="X58" s="136"/>
      <c r="Y58" s="136"/>
      <c r="Z58" s="136"/>
    </row>
    <row r="59" spans="1:26" s="36" customFormat="1" ht="15.75" x14ac:dyDescent="0.25">
      <c r="A59" s="186" t="s">
        <v>25</v>
      </c>
      <c r="B59" s="29">
        <f t="shared" ref="B59:I59" si="21">(B76/B74)</f>
        <v>0.21956693708642072</v>
      </c>
      <c r="C59" s="29">
        <f t="shared" si="21"/>
        <v>0.16362055101400116</v>
      </c>
      <c r="D59" s="29">
        <f t="shared" si="21"/>
        <v>0.25664403215170473</v>
      </c>
      <c r="E59" s="29">
        <f t="shared" si="21"/>
        <v>5.7572281728787256E-2</v>
      </c>
      <c r="F59" s="29">
        <f t="shared" si="21"/>
        <v>0.16679010827841492</v>
      </c>
      <c r="G59" s="29">
        <f t="shared" si="21"/>
        <v>0.25261589927755118</v>
      </c>
      <c r="H59" s="29">
        <f t="shared" si="21"/>
        <v>1.4733291606485808</v>
      </c>
      <c r="I59" s="29">
        <f t="shared" si="21"/>
        <v>0.17486971090086975</v>
      </c>
      <c r="T59" s="29">
        <f t="shared" ref="T59:Z59" si="22">(T76/T74)</f>
        <v>0.42751727590437066</v>
      </c>
      <c r="U59" s="29">
        <f t="shared" si="22"/>
        <v>0.71169398191680688</v>
      </c>
      <c r="V59" s="137">
        <f t="shared" si="22"/>
        <v>0.55361894934146372</v>
      </c>
      <c r="W59" s="137">
        <f t="shared" si="22"/>
        <v>0.34982126056181112</v>
      </c>
      <c r="X59" s="137">
        <f t="shared" si="22"/>
        <v>0.9160149309584682</v>
      </c>
      <c r="Y59" s="137">
        <f t="shared" si="22"/>
        <v>0.26284261224781325</v>
      </c>
      <c r="Z59" s="137">
        <f t="shared" si="22"/>
        <v>0.71954904575514822</v>
      </c>
    </row>
    <row r="60" spans="1:26" s="36" customFormat="1" ht="15.75" x14ac:dyDescent="0.25">
      <c r="A60" s="187"/>
      <c r="B60" s="189">
        <f>+B77/B75</f>
        <v>0.21096830616713508</v>
      </c>
      <c r="C60" s="190"/>
      <c r="D60" s="189">
        <f>+D77/D75</f>
        <v>0.13603334482074564</v>
      </c>
      <c r="E60" s="190"/>
      <c r="F60" s="189">
        <f>+F77/F75</f>
        <v>0.20402508096154812</v>
      </c>
      <c r="G60" s="190"/>
      <c r="H60" s="189">
        <f>+H77/H75</f>
        <v>0.27922375589417237</v>
      </c>
      <c r="I60" s="190"/>
      <c r="T60" s="189">
        <f>+T77/T75</f>
        <v>0.44758792084539339</v>
      </c>
      <c r="U60" s="190"/>
      <c r="V60" s="138"/>
      <c r="W60" s="138"/>
      <c r="X60" s="138"/>
      <c r="Y60" s="138"/>
      <c r="Z60" s="138"/>
    </row>
    <row r="61" spans="1:26" s="36" customFormat="1" ht="15.75" x14ac:dyDescent="0.25">
      <c r="A61" s="186" t="s">
        <v>26</v>
      </c>
      <c r="B61" s="29">
        <f t="shared" ref="B61:I61" si="23">+B76/B68</f>
        <v>0.11598902393306955</v>
      </c>
      <c r="C61" s="29">
        <f t="shared" si="23"/>
        <v>0.10206933650226958</v>
      </c>
      <c r="D61" s="29">
        <f t="shared" si="23"/>
        <v>0.1239572982066872</v>
      </c>
      <c r="E61" s="29">
        <f t="shared" si="23"/>
        <v>3.2982170918079541E-2</v>
      </c>
      <c r="F61" s="29">
        <f t="shared" si="23"/>
        <v>0.12954735415151281</v>
      </c>
      <c r="G61" s="29">
        <f t="shared" si="23"/>
        <v>0.10237410200705391</v>
      </c>
      <c r="H61" s="29">
        <f t="shared" si="23"/>
        <v>0.61688653070116983</v>
      </c>
      <c r="I61" s="29">
        <f t="shared" si="23"/>
        <v>6.4709861395550058E-2</v>
      </c>
      <c r="T61" s="29">
        <f t="shared" ref="T61:Z61" si="24">+T76/T68</f>
        <v>0.22095374239962676</v>
      </c>
      <c r="U61" s="29">
        <f t="shared" si="24"/>
        <v>0.2055277275810633</v>
      </c>
      <c r="V61" s="137">
        <f t="shared" si="24"/>
        <v>0.47976683345349169</v>
      </c>
      <c r="W61" s="137">
        <f t="shared" si="24"/>
        <v>0.19874096592423474</v>
      </c>
      <c r="X61" s="137">
        <f t="shared" si="24"/>
        <v>0.62486715575396812</v>
      </c>
      <c r="Y61" s="137">
        <f t="shared" si="24"/>
        <v>0.21271775036559468</v>
      </c>
      <c r="Z61" s="137">
        <f t="shared" si="24"/>
        <v>0.43438092156160224</v>
      </c>
    </row>
    <row r="62" spans="1:26" s="36" customFormat="1" ht="15.75" x14ac:dyDescent="0.25">
      <c r="A62" s="187"/>
      <c r="B62" s="189">
        <f>+B77/B69</f>
        <v>0.11413367374291827</v>
      </c>
      <c r="C62" s="190"/>
      <c r="D62" s="189">
        <f>+D77/D69</f>
        <v>7.260539466615773E-2</v>
      </c>
      <c r="E62" s="190"/>
      <c r="F62" s="189">
        <f>+F77/F69</f>
        <v>0.11338132400119787</v>
      </c>
      <c r="G62" s="190"/>
      <c r="H62" s="189">
        <f>+H77/H69</f>
        <v>0.10429976017980158</v>
      </c>
      <c r="I62" s="190"/>
      <c r="T62" s="189">
        <f>+T77/T69</f>
        <v>0.21910691126063878</v>
      </c>
      <c r="U62" s="190"/>
      <c r="V62" s="138"/>
      <c r="W62" s="138"/>
      <c r="X62" s="138"/>
      <c r="Y62" s="138"/>
      <c r="Z62" s="138"/>
    </row>
    <row r="63" spans="1:26" s="39" customFormat="1" ht="18.75" x14ac:dyDescent="0.3">
      <c r="A63" s="37"/>
      <c r="B63" s="38"/>
      <c r="C63" s="38"/>
      <c r="D63" s="38"/>
      <c r="E63" s="38"/>
      <c r="F63" s="38"/>
      <c r="G63" s="38"/>
      <c r="H63" s="38"/>
      <c r="I63" s="38"/>
      <c r="T63" s="38"/>
      <c r="U63" s="38"/>
      <c r="V63" s="38"/>
      <c r="W63" s="38"/>
      <c r="X63" s="38"/>
      <c r="Y63" s="38"/>
      <c r="Z63" s="38"/>
    </row>
    <row r="64" spans="1:26" s="24" customFormat="1" ht="15.75" customHeight="1" x14ac:dyDescent="0.25">
      <c r="A64" s="135" t="s">
        <v>27</v>
      </c>
      <c r="B64" s="154" t="str">
        <f>+B57</f>
        <v>CONSORCIO BGU</v>
      </c>
      <c r="C64" s="155"/>
      <c r="D64" s="154" t="str">
        <f>+D57</f>
        <v>CONSORCIO INTERDESARROLLO</v>
      </c>
      <c r="E64" s="155"/>
      <c r="F64" s="154" t="str">
        <f>+F57</f>
        <v>CONSORCIO INTERNORTE</v>
      </c>
      <c r="G64" s="155"/>
      <c r="H64" s="154" t="str">
        <f>+H57</f>
        <v>CONSORCIO INTER-USA</v>
      </c>
      <c r="I64" s="155"/>
      <c r="T64" s="154" t="str">
        <f>+T57</f>
        <v>CONSORCIO MG-006</v>
      </c>
      <c r="U64" s="155"/>
      <c r="V64" s="135" t="str">
        <f>+V57</f>
        <v>GMC INGENIEROS S.A-
GRUPO METRO COLOMBIA S.A</v>
      </c>
      <c r="W64" s="135" t="str">
        <f>+W57</f>
        <v>GNG INGENIERIA S A S</v>
      </c>
      <c r="X64" s="135" t="str">
        <f>+X57</f>
        <v>PRI COLOMBIA SAS</v>
      </c>
      <c r="Y64" s="135" t="str">
        <f t="shared" ref="Y64:Z64" si="25">+Y57</f>
        <v>R &amp; M CONSTRUCCIONES E INTERVENTORIAS S A S</v>
      </c>
      <c r="Z64" s="135" t="str">
        <f t="shared" si="25"/>
        <v>TECNICONSULTA SAS - 
TECNOLOGIAS Y CONSULTORIAS AMBIENTALES Y DE GESTION S.A.S</v>
      </c>
    </row>
    <row r="65" spans="1:26" s="52" customFormat="1" ht="22.5" x14ac:dyDescent="0.2">
      <c r="A65" s="201"/>
      <c r="B65" s="107" t="str">
        <f>+B58</f>
        <v>CONSTRUCCIONES, CONSULTORIAS E INTERVENTORIAS DE OBRAS CIVILES LTDA</v>
      </c>
      <c r="C65" s="107" t="str">
        <f>+C58</f>
        <v>GUISA RUEDA RAFAEL JAVIER</v>
      </c>
      <c r="D65" s="107" t="str">
        <f>+D58</f>
        <v>ARM CONSULTING LTDA</v>
      </c>
      <c r="E65" s="107" t="str">
        <f>+E58</f>
        <v>SANCHEZ BLANCO JORGE ALVARO</v>
      </c>
      <c r="F65" s="107" t="str">
        <f>+F58</f>
        <v>GAVINCO INGENIEROS CONSULTORES SAS</v>
      </c>
      <c r="G65" s="107" t="str">
        <f>+G58</f>
        <v>ING INGENIERIA SAS</v>
      </c>
      <c r="H65" s="107" t="str">
        <f>+H58</f>
        <v>BAC GROUP SAS</v>
      </c>
      <c r="I65" s="107" t="str">
        <f>+I58</f>
        <v>BAC ENGINEERING CONSULTANCY GROUP SAS</v>
      </c>
      <c r="T65" s="107" t="str">
        <f>+T58</f>
        <v>MAB INGENIERIA DE VALOR S A</v>
      </c>
      <c r="U65" s="107" t="str">
        <f>+U58</f>
        <v>GIMPROSA COLOBIA SAS</v>
      </c>
      <c r="V65" s="136"/>
      <c r="W65" s="136"/>
      <c r="X65" s="136"/>
      <c r="Y65" s="136"/>
      <c r="Z65" s="136"/>
    </row>
    <row r="66" spans="1:26" s="14" customFormat="1" ht="15.75" x14ac:dyDescent="0.25">
      <c r="A66" s="209" t="s">
        <v>28</v>
      </c>
      <c r="B66" s="120">
        <f>9697435095*B17</f>
        <v>4848717547.5</v>
      </c>
      <c r="C66" s="120">
        <f>725761000*C17</f>
        <v>362880500</v>
      </c>
      <c r="D66" s="120">
        <f>2412020000*D17</f>
        <v>1206010000</v>
      </c>
      <c r="E66" s="120">
        <f>2688358437*E17</f>
        <v>1344179218.5</v>
      </c>
      <c r="F66" s="120">
        <f>3537710681*F17</f>
        <v>1768855340.5</v>
      </c>
      <c r="G66" s="120">
        <f>4968457930*G17</f>
        <v>2484228965</v>
      </c>
      <c r="H66" s="120">
        <f>420331442*H17</f>
        <v>210165721</v>
      </c>
      <c r="I66" s="120">
        <f>4495822597*I17</f>
        <v>2247911298.5</v>
      </c>
      <c r="J66" s="121"/>
      <c r="K66" s="121"/>
      <c r="L66" s="121"/>
      <c r="M66" s="121"/>
      <c r="N66" s="121"/>
      <c r="O66" s="121"/>
      <c r="P66" s="121"/>
      <c r="Q66" s="121"/>
      <c r="R66" s="121"/>
      <c r="S66" s="121"/>
      <c r="T66" s="120">
        <f>19810279718*T17</f>
        <v>9905139859</v>
      </c>
      <c r="U66" s="120">
        <f>2839516013*U17</f>
        <v>1419758006.5</v>
      </c>
      <c r="V66" s="211">
        <v>4355647008</v>
      </c>
      <c r="W66" s="211">
        <v>6133788000</v>
      </c>
      <c r="X66" s="211">
        <v>5549385000</v>
      </c>
      <c r="Y66" s="211">
        <v>3611006075</v>
      </c>
      <c r="Z66" s="211">
        <v>6312659390</v>
      </c>
    </row>
    <row r="67" spans="1:26" s="18" customFormat="1" ht="15.75" x14ac:dyDescent="0.25">
      <c r="A67" s="210"/>
      <c r="B67" s="156">
        <f>+B66+C66</f>
        <v>5211598047.5</v>
      </c>
      <c r="C67" s="157"/>
      <c r="D67" s="156">
        <f>+D66+E66</f>
        <v>2550189218.5</v>
      </c>
      <c r="E67" s="157"/>
      <c r="F67" s="156">
        <f>+F66+G66</f>
        <v>4253084305.5</v>
      </c>
      <c r="G67" s="157"/>
      <c r="H67" s="156">
        <f>+H66+I66</f>
        <v>2458077019.5</v>
      </c>
      <c r="I67" s="157"/>
      <c r="T67" s="156">
        <f>+T66+U66</f>
        <v>11324897865.5</v>
      </c>
      <c r="U67" s="157"/>
      <c r="V67" s="212"/>
      <c r="W67" s="212"/>
      <c r="X67" s="212"/>
      <c r="Y67" s="212"/>
      <c r="Z67" s="212"/>
    </row>
    <row r="68" spans="1:26" s="14" customFormat="1" ht="15.75" x14ac:dyDescent="0.25">
      <c r="A68" s="209" t="s">
        <v>29</v>
      </c>
      <c r="B68" s="120">
        <f>12716539074*B17</f>
        <v>6358269537</v>
      </c>
      <c r="C68" s="120">
        <f>1955651000*C17</f>
        <v>977825500</v>
      </c>
      <c r="D68" s="120">
        <f>2904234000*D17</f>
        <v>1452117000</v>
      </c>
      <c r="E68" s="120">
        <f>3763902331*E17</f>
        <v>1881951165.5</v>
      </c>
      <c r="F68" s="120">
        <f>4025767708*F17</f>
        <v>2012883854</v>
      </c>
      <c r="G68" s="120">
        <f>5912543799*G17</f>
        <v>2956271899.5</v>
      </c>
      <c r="H68" s="120">
        <f>420331442*H17</f>
        <v>210165721</v>
      </c>
      <c r="I68" s="120">
        <f>5442204780*I17</f>
        <v>2721102390</v>
      </c>
      <c r="J68" s="121"/>
      <c r="K68" s="121"/>
      <c r="L68" s="121"/>
      <c r="M68" s="121"/>
      <c r="N68" s="121"/>
      <c r="O68" s="121"/>
      <c r="P68" s="121"/>
      <c r="Q68" s="121"/>
      <c r="R68" s="121"/>
      <c r="S68" s="121"/>
      <c r="T68" s="120">
        <f>21323377327*T17</f>
        <v>10661688663.5</v>
      </c>
      <c r="U68" s="120">
        <f>2900076924*U17</f>
        <v>1450038462</v>
      </c>
      <c r="V68" s="211">
        <v>4421937604</v>
      </c>
      <c r="W68" s="211">
        <v>12355027000</v>
      </c>
      <c r="X68" s="211">
        <v>5593957000</v>
      </c>
      <c r="Y68" s="211">
        <v>4501313625</v>
      </c>
      <c r="Z68" s="211">
        <v>6349189838</v>
      </c>
    </row>
    <row r="69" spans="1:26" s="18" customFormat="1" ht="15.75" x14ac:dyDescent="0.25">
      <c r="A69" s="210"/>
      <c r="B69" s="156">
        <f>+B68+C68</f>
        <v>7336095037</v>
      </c>
      <c r="C69" s="157"/>
      <c r="D69" s="156">
        <f>+D68+E68</f>
        <v>3334068165.5</v>
      </c>
      <c r="E69" s="157"/>
      <c r="F69" s="156">
        <f>+F68+G68</f>
        <v>4969155753.5</v>
      </c>
      <c r="G69" s="157"/>
      <c r="H69" s="156">
        <f>+H68+I68</f>
        <v>2931268111</v>
      </c>
      <c r="I69" s="157"/>
      <c r="T69" s="156">
        <f>+T68+U68</f>
        <v>12111727125.5</v>
      </c>
      <c r="U69" s="157"/>
      <c r="V69" s="212"/>
      <c r="W69" s="212"/>
      <c r="X69" s="212"/>
      <c r="Y69" s="212"/>
      <c r="Z69" s="212"/>
    </row>
    <row r="70" spans="1:26" s="14" customFormat="1" ht="15.75" x14ac:dyDescent="0.25">
      <c r="A70" s="209" t="s">
        <v>30</v>
      </c>
      <c r="B70" s="120">
        <f>376679763*B17</f>
        <v>188339881.5</v>
      </c>
      <c r="C70" s="120">
        <f>32361000*C17</f>
        <v>16180500</v>
      </c>
      <c r="D70" s="120">
        <f>805127000*D17</f>
        <v>402563500</v>
      </c>
      <c r="E70" s="120">
        <f>1215045214*E17</f>
        <v>607522607</v>
      </c>
      <c r="F70" s="120">
        <f>898918278*F17</f>
        <v>449459139</v>
      </c>
      <c r="G70" s="120">
        <f>1184875965*G17</f>
        <v>592437982.5</v>
      </c>
      <c r="H70" s="120">
        <f>244337637*H17</f>
        <v>122168818.5</v>
      </c>
      <c r="I70" s="120">
        <f>3428337912*I17</f>
        <v>1714168956</v>
      </c>
      <c r="J70" s="121"/>
      <c r="K70" s="121"/>
      <c r="L70" s="121"/>
      <c r="M70" s="121"/>
      <c r="N70" s="121"/>
      <c r="O70" s="121"/>
      <c r="P70" s="121"/>
      <c r="Q70" s="121"/>
      <c r="R70" s="121"/>
      <c r="S70" s="121"/>
      <c r="T70" s="120">
        <f>3503464327*T17</f>
        <v>1751732163.5</v>
      </c>
      <c r="U70" s="120">
        <f>593886152*U17</f>
        <v>296943076</v>
      </c>
      <c r="V70" s="211">
        <v>589881269</v>
      </c>
      <c r="W70" s="211">
        <v>1562160000</v>
      </c>
      <c r="X70" s="211">
        <v>1451472000</v>
      </c>
      <c r="Y70" s="211">
        <v>778413793</v>
      </c>
      <c r="Z70" s="211">
        <v>583418080</v>
      </c>
    </row>
    <row r="71" spans="1:26" s="18" customFormat="1" ht="15.75" x14ac:dyDescent="0.25">
      <c r="A71" s="210"/>
      <c r="B71" s="156">
        <f>+B70+C70</f>
        <v>204520381.5</v>
      </c>
      <c r="C71" s="157"/>
      <c r="D71" s="156">
        <f>+D70+E70</f>
        <v>1010086107</v>
      </c>
      <c r="E71" s="157"/>
      <c r="F71" s="156">
        <f>+F70+G70</f>
        <v>1041897121.5</v>
      </c>
      <c r="G71" s="157"/>
      <c r="H71" s="156">
        <f>+H70+I70</f>
        <v>1836337774.5</v>
      </c>
      <c r="I71" s="157"/>
      <c r="T71" s="156">
        <f>+T70+U70</f>
        <v>2048675239.5</v>
      </c>
      <c r="U71" s="157"/>
      <c r="V71" s="212"/>
      <c r="W71" s="212"/>
      <c r="X71" s="212"/>
      <c r="Y71" s="212"/>
      <c r="Z71" s="212"/>
    </row>
    <row r="72" spans="1:26" s="14" customFormat="1" ht="15.75" x14ac:dyDescent="0.25">
      <c r="A72" s="209" t="s">
        <v>31</v>
      </c>
      <c r="B72" s="120">
        <f>5998865755*B17</f>
        <v>2999432877.5</v>
      </c>
      <c r="C72" s="120">
        <f>735682000*C17</f>
        <v>367841000</v>
      </c>
      <c r="D72" s="120">
        <f>1501509000*D17</f>
        <v>750754500</v>
      </c>
      <c r="E72" s="120">
        <f>1607627362*E17</f>
        <v>803813681</v>
      </c>
      <c r="F72" s="120">
        <f>898918278*F17</f>
        <v>449459139</v>
      </c>
      <c r="G72" s="120">
        <f>3516450110*G17</f>
        <v>1758225055</v>
      </c>
      <c r="H72" s="120">
        <f>244337637*H17</f>
        <v>122168818.5</v>
      </c>
      <c r="I72" s="120">
        <f>3428337912*I17</f>
        <v>1714168956</v>
      </c>
      <c r="J72" s="121"/>
      <c r="K72" s="121"/>
      <c r="L72" s="121"/>
      <c r="M72" s="121"/>
      <c r="N72" s="121"/>
      <c r="O72" s="121"/>
      <c r="P72" s="121"/>
      <c r="Q72" s="121"/>
      <c r="R72" s="121"/>
      <c r="S72" s="121"/>
      <c r="T72" s="120">
        <f>10302816787*T17</f>
        <v>5151408393.5</v>
      </c>
      <c r="U72" s="120">
        <f>2062573397*U17</f>
        <v>1031286698.5</v>
      </c>
      <c r="V72" s="211">
        <v>589881269</v>
      </c>
      <c r="W72" s="211">
        <v>5335871000</v>
      </c>
      <c r="X72" s="211">
        <v>1777993000</v>
      </c>
      <c r="Y72" s="211">
        <v>858413793</v>
      </c>
      <c r="Z72" s="211">
        <v>2516279560</v>
      </c>
    </row>
    <row r="73" spans="1:26" s="18" customFormat="1" ht="15.75" x14ac:dyDescent="0.25">
      <c r="A73" s="210"/>
      <c r="B73" s="156">
        <f>+B72+C72</f>
        <v>3367273877.5</v>
      </c>
      <c r="C73" s="157"/>
      <c r="D73" s="156">
        <f>+D72+E72</f>
        <v>1554568181</v>
      </c>
      <c r="E73" s="157"/>
      <c r="F73" s="156">
        <f>+F72+G72</f>
        <v>2207684194</v>
      </c>
      <c r="G73" s="157"/>
      <c r="H73" s="156">
        <f>+H72+I72</f>
        <v>1836337774.5</v>
      </c>
      <c r="I73" s="157"/>
      <c r="T73" s="156">
        <f>+T72+U72</f>
        <v>6182695092</v>
      </c>
      <c r="U73" s="157"/>
      <c r="V73" s="212"/>
      <c r="W73" s="212"/>
      <c r="X73" s="212"/>
      <c r="Y73" s="212"/>
      <c r="Z73" s="212"/>
    </row>
    <row r="74" spans="1:26" s="14" customFormat="1" ht="19.5" customHeight="1" x14ac:dyDescent="0.25">
      <c r="A74" s="202" t="s">
        <v>32</v>
      </c>
      <c r="B74" s="122">
        <f>+B68-B72</f>
        <v>3358836659.5</v>
      </c>
      <c r="C74" s="122">
        <f t="shared" ref="C74" si="26">+C68-C72</f>
        <v>609984500</v>
      </c>
      <c r="D74" s="122">
        <f>+D68-D72</f>
        <v>701362500</v>
      </c>
      <c r="E74" s="122">
        <f t="shared" ref="E74" si="27">+E68-E72</f>
        <v>1078137484.5</v>
      </c>
      <c r="F74" s="122">
        <f>+F68-F72</f>
        <v>1563424715</v>
      </c>
      <c r="G74" s="122">
        <f t="shared" ref="G74" si="28">+G68-G72</f>
        <v>1198046844.5</v>
      </c>
      <c r="H74" s="122">
        <f>+H68-H72</f>
        <v>87996902.5</v>
      </c>
      <c r="I74" s="122">
        <f t="shared" ref="I74" si="29">+I68-I72</f>
        <v>1006933434</v>
      </c>
      <c r="J74" s="36"/>
      <c r="K74" s="36"/>
      <c r="L74" s="36"/>
      <c r="M74" s="36"/>
      <c r="N74" s="36"/>
      <c r="O74" s="36"/>
      <c r="P74" s="36"/>
      <c r="Q74" s="36"/>
      <c r="R74" s="36"/>
      <c r="S74" s="36"/>
      <c r="T74" s="122">
        <f>+T68-T72</f>
        <v>5510280270</v>
      </c>
      <c r="U74" s="122">
        <f t="shared" ref="U74" si="30">+U68-U72</f>
        <v>418751763.5</v>
      </c>
      <c r="V74" s="145">
        <f>+V68-V72</f>
        <v>3832056335</v>
      </c>
      <c r="W74" s="145">
        <f>+W68-W72</f>
        <v>7019156000</v>
      </c>
      <c r="X74" s="145">
        <f>+X68-X72</f>
        <v>3815964000</v>
      </c>
      <c r="Y74" s="145">
        <f t="shared" ref="Y74" si="31">+Y68-Y72</f>
        <v>3642899832</v>
      </c>
      <c r="Z74" s="145">
        <f>+Z68-Z72</f>
        <v>3832910278</v>
      </c>
    </row>
    <row r="75" spans="1:26" s="18" customFormat="1" ht="19.5" customHeight="1" x14ac:dyDescent="0.25">
      <c r="A75" s="203"/>
      <c r="B75" s="156">
        <f>+B74+C74</f>
        <v>3968821159.5</v>
      </c>
      <c r="C75" s="157"/>
      <c r="D75" s="156">
        <f>+D74+E74</f>
        <v>1779499984.5</v>
      </c>
      <c r="E75" s="157"/>
      <c r="F75" s="156">
        <f>+F74+G74</f>
        <v>2761471559.5</v>
      </c>
      <c r="G75" s="157"/>
      <c r="H75" s="156">
        <f>+H74+I74</f>
        <v>1094930336.5</v>
      </c>
      <c r="I75" s="157"/>
      <c r="T75" s="156">
        <f>+T74+U74</f>
        <v>5929032033.5</v>
      </c>
      <c r="U75" s="157"/>
      <c r="V75" s="142"/>
      <c r="W75" s="142"/>
      <c r="X75" s="142"/>
      <c r="Y75" s="142"/>
      <c r="Z75" s="142"/>
    </row>
    <row r="76" spans="1:26" s="14" customFormat="1" ht="15.75" x14ac:dyDescent="0.25">
      <c r="A76" s="209" t="s">
        <v>33</v>
      </c>
      <c r="B76" s="120">
        <f>1474978955*B17</f>
        <v>737489477.5</v>
      </c>
      <c r="C76" s="120">
        <f>199612000*C17</f>
        <v>99806000</v>
      </c>
      <c r="D76" s="120">
        <f>360001000*D17</f>
        <v>180000500</v>
      </c>
      <c r="E76" s="120">
        <f>124141670*E17</f>
        <v>62070835</v>
      </c>
      <c r="F76" s="120">
        <f>521527555*F17</f>
        <v>260763777.5</v>
      </c>
      <c r="G76" s="120">
        <f>605291362*G17</f>
        <v>302645681</v>
      </c>
      <c r="H76" s="120">
        <f>259296805*H17</f>
        <v>129648402.5</v>
      </c>
      <c r="I76" s="120">
        <f>352164317*I17</f>
        <v>176082158.5</v>
      </c>
      <c r="J76" s="121"/>
      <c r="K76" s="121"/>
      <c r="L76" s="121"/>
      <c r="M76" s="121"/>
      <c r="N76" s="121"/>
      <c r="O76" s="121"/>
      <c r="P76" s="121"/>
      <c r="Q76" s="121"/>
      <c r="R76" s="121"/>
      <c r="S76" s="121"/>
      <c r="T76" s="120">
        <f>4711480021*T17</f>
        <v>2355740010.5</v>
      </c>
      <c r="U76" s="120">
        <f>596046220*U17</f>
        <v>298023110</v>
      </c>
      <c r="V76" s="211">
        <v>2121499002</v>
      </c>
      <c r="W76" s="211">
        <v>2455450000</v>
      </c>
      <c r="X76" s="211">
        <v>3495480000</v>
      </c>
      <c r="Y76" s="211">
        <v>957509308</v>
      </c>
      <c r="Z76" s="211">
        <v>2757966933</v>
      </c>
    </row>
    <row r="77" spans="1:26" s="18" customFormat="1" ht="15.75" x14ac:dyDescent="0.25">
      <c r="A77" s="210"/>
      <c r="B77" s="156">
        <f>+B76+C76</f>
        <v>837295477.5</v>
      </c>
      <c r="C77" s="157"/>
      <c r="D77" s="156">
        <f>+D76+E76</f>
        <v>242071335</v>
      </c>
      <c r="E77" s="157"/>
      <c r="F77" s="156">
        <f>+F76+G76</f>
        <v>563409458.5</v>
      </c>
      <c r="G77" s="157"/>
      <c r="H77" s="156">
        <f>+H76+I76</f>
        <v>305730561</v>
      </c>
      <c r="I77" s="157"/>
      <c r="T77" s="156">
        <f>+T76+U76</f>
        <v>2653763120.5</v>
      </c>
      <c r="U77" s="157"/>
      <c r="V77" s="212"/>
      <c r="W77" s="212"/>
      <c r="X77" s="212"/>
      <c r="Y77" s="212"/>
      <c r="Z77" s="212"/>
    </row>
    <row r="78" spans="1:26" s="14" customFormat="1" ht="15.75" x14ac:dyDescent="0.25">
      <c r="A78" s="209" t="s">
        <v>34</v>
      </c>
      <c r="B78" s="123">
        <f>17656581*B17</f>
        <v>8828290.5</v>
      </c>
      <c r="C78" s="123">
        <f>425000*C17</f>
        <v>212500</v>
      </c>
      <c r="D78" s="123">
        <f>112118000*D17</f>
        <v>56059000</v>
      </c>
      <c r="E78" s="123">
        <f>25437397*E17</f>
        <v>12718698.5</v>
      </c>
      <c r="F78" s="123">
        <f>57673051.67*F17</f>
        <v>28836525.835000001</v>
      </c>
      <c r="G78" s="123">
        <f>208069272*G17</f>
        <v>104034636</v>
      </c>
      <c r="H78" s="123">
        <f>3877134*H17</f>
        <v>1938567</v>
      </c>
      <c r="I78" s="123">
        <f>29158053*I17</f>
        <v>14579026.5</v>
      </c>
      <c r="J78" s="121"/>
      <c r="K78" s="121"/>
      <c r="L78" s="121"/>
      <c r="M78" s="121"/>
      <c r="N78" s="121"/>
      <c r="O78" s="121"/>
      <c r="P78" s="121"/>
      <c r="Q78" s="121"/>
      <c r="R78" s="121"/>
      <c r="S78" s="121"/>
      <c r="T78" s="123">
        <f>8335720*T17</f>
        <v>4167860</v>
      </c>
      <c r="U78" s="123">
        <f>8450122*U17</f>
        <v>4225061</v>
      </c>
      <c r="V78" s="213">
        <v>3519475</v>
      </c>
      <c r="W78" s="213">
        <v>402523000</v>
      </c>
      <c r="X78" s="213">
        <v>33974000</v>
      </c>
      <c r="Y78" s="213">
        <v>25816412</v>
      </c>
      <c r="Z78" s="213">
        <v>12274276</v>
      </c>
    </row>
    <row r="79" spans="1:26" s="18" customFormat="1" ht="15.75" x14ac:dyDescent="0.25">
      <c r="A79" s="210"/>
      <c r="B79" s="156">
        <f>+B78+C78</f>
        <v>9040790.5</v>
      </c>
      <c r="C79" s="157"/>
      <c r="D79" s="156">
        <f>+D78+E78</f>
        <v>68777698.5</v>
      </c>
      <c r="E79" s="157"/>
      <c r="F79" s="156">
        <f>+F78+G78</f>
        <v>132871161.83500001</v>
      </c>
      <c r="G79" s="157"/>
      <c r="H79" s="156">
        <f>+H78+I78</f>
        <v>16517593.5</v>
      </c>
      <c r="I79" s="157"/>
      <c r="T79" s="156">
        <f>+T78+U78</f>
        <v>8392921</v>
      </c>
      <c r="U79" s="157"/>
      <c r="V79" s="212"/>
      <c r="W79" s="212"/>
      <c r="X79" s="212"/>
      <c r="Y79" s="212"/>
      <c r="Z79" s="212"/>
    </row>
    <row r="80" spans="1:26" s="24" customFormat="1" ht="19.5" customHeight="1" x14ac:dyDescent="0.25">
      <c r="A80" s="41"/>
      <c r="B80" s="42"/>
      <c r="C80" s="42"/>
      <c r="D80" s="42"/>
      <c r="E80" s="42"/>
      <c r="F80" s="42"/>
      <c r="G80" s="42"/>
      <c r="H80" s="42"/>
      <c r="I80" s="42"/>
      <c r="T80" s="42"/>
      <c r="U80" s="42"/>
      <c r="V80" s="42"/>
      <c r="W80" s="42"/>
      <c r="X80" s="42"/>
      <c r="Y80" s="42"/>
      <c r="Z80" s="42"/>
    </row>
    <row r="81" spans="1:26" s="13" customFormat="1" ht="15.75" customHeight="1" x14ac:dyDescent="0.25">
      <c r="A81" s="135" t="s">
        <v>4</v>
      </c>
      <c r="B81" s="154" t="str">
        <f>+B64</f>
        <v>CONSORCIO BGU</v>
      </c>
      <c r="C81" s="155"/>
      <c r="D81" s="154" t="str">
        <f>+D64</f>
        <v>CONSORCIO INTERDESARROLLO</v>
      </c>
      <c r="E81" s="155"/>
      <c r="F81" s="154" t="str">
        <f>+F64</f>
        <v>CONSORCIO INTERNORTE</v>
      </c>
      <c r="G81" s="155"/>
      <c r="H81" s="154" t="str">
        <f>+H64</f>
        <v>CONSORCIO INTER-USA</v>
      </c>
      <c r="I81" s="155"/>
      <c r="T81" s="154" t="str">
        <f>+T64</f>
        <v>CONSORCIO MG-006</v>
      </c>
      <c r="U81" s="155"/>
      <c r="V81" s="135" t="str">
        <f>+V64</f>
        <v>GMC INGENIEROS S.A-
GRUPO METRO COLOMBIA S.A</v>
      </c>
      <c r="W81" s="135" t="str">
        <f>+W64</f>
        <v>GNG INGENIERIA S A S</v>
      </c>
      <c r="X81" s="135" t="str">
        <f>+X64</f>
        <v>PRI COLOMBIA SAS</v>
      </c>
      <c r="Y81" s="135" t="str">
        <f t="shared" ref="Y81:Z81" si="32">+Y64</f>
        <v>R &amp; M CONSTRUCCIONES E INTERVENTORIAS S A S</v>
      </c>
      <c r="Z81" s="135" t="str">
        <f t="shared" si="32"/>
        <v>TECNICONSULTA SAS - 
TECNOLOGIAS Y CONSULTORIAS AMBIENTALES Y DE GESTION S.A.S</v>
      </c>
    </row>
    <row r="82" spans="1:26" s="53" customFormat="1" ht="22.5" x14ac:dyDescent="0.2">
      <c r="A82" s="201"/>
      <c r="B82" s="84" t="str">
        <f>+B65</f>
        <v>CONSTRUCCIONES, CONSULTORIAS E INTERVENTORIAS DE OBRAS CIVILES LTDA</v>
      </c>
      <c r="C82" s="84" t="str">
        <f>+C65</f>
        <v>GUISA RUEDA RAFAEL JAVIER</v>
      </c>
      <c r="D82" s="84" t="str">
        <f>+D65</f>
        <v>ARM CONSULTING LTDA</v>
      </c>
      <c r="E82" s="84" t="str">
        <f>+E65</f>
        <v>SANCHEZ BLANCO JORGE ALVARO</v>
      </c>
      <c r="F82" s="84" t="str">
        <f>+F65</f>
        <v>GAVINCO INGENIEROS CONSULTORES SAS</v>
      </c>
      <c r="G82" s="84" t="str">
        <f>+G65</f>
        <v>ING INGENIERIA SAS</v>
      </c>
      <c r="H82" s="84" t="str">
        <f>+H65</f>
        <v>BAC GROUP SAS</v>
      </c>
      <c r="I82" s="84" t="str">
        <f>+I65</f>
        <v>BAC ENGINEERING CONSULTANCY GROUP SAS</v>
      </c>
      <c r="T82" s="84" t="str">
        <f>+T65</f>
        <v>MAB INGENIERIA DE VALOR S A</v>
      </c>
      <c r="U82" s="84" t="str">
        <f>+U65</f>
        <v>GIMPROSA COLOBIA SAS</v>
      </c>
      <c r="V82" s="136"/>
      <c r="W82" s="136"/>
      <c r="X82" s="136"/>
      <c r="Y82" s="136"/>
      <c r="Z82" s="136"/>
    </row>
    <row r="83" spans="1:26" s="17" customFormat="1" ht="15.75" x14ac:dyDescent="0.25">
      <c r="A83" s="15" t="s">
        <v>5</v>
      </c>
      <c r="B83" s="16">
        <f t="shared" ref="B83:I83" si="33">+B17</f>
        <v>0.5</v>
      </c>
      <c r="C83" s="16">
        <f t="shared" si="33"/>
        <v>0.5</v>
      </c>
      <c r="D83" s="16">
        <f t="shared" si="33"/>
        <v>0.5</v>
      </c>
      <c r="E83" s="16">
        <f t="shared" si="33"/>
        <v>0.5</v>
      </c>
      <c r="F83" s="16">
        <f t="shared" si="33"/>
        <v>0.5</v>
      </c>
      <c r="G83" s="16">
        <f t="shared" si="33"/>
        <v>0.5</v>
      </c>
      <c r="H83" s="16">
        <f t="shared" si="33"/>
        <v>0.5</v>
      </c>
      <c r="I83" s="16">
        <f t="shared" si="33"/>
        <v>0.5</v>
      </c>
      <c r="T83" s="16">
        <f t="shared" ref="T83:U83" si="34">+T17</f>
        <v>0.5</v>
      </c>
      <c r="U83" s="16">
        <f t="shared" si="34"/>
        <v>0.5</v>
      </c>
      <c r="V83" s="16">
        <f>+V17</f>
        <v>1</v>
      </c>
      <c r="W83" s="16">
        <f>+W17</f>
        <v>1</v>
      </c>
      <c r="X83" s="16">
        <f>+X17</f>
        <v>1</v>
      </c>
      <c r="Y83" s="16">
        <f t="shared" ref="Y83:Z83" si="35">+Y17</f>
        <v>1</v>
      </c>
      <c r="Z83" s="16">
        <f t="shared" si="35"/>
        <v>1</v>
      </c>
    </row>
    <row r="84" spans="1:26" ht="12.75" customHeight="1" x14ac:dyDescent="0.2">
      <c r="A84" s="43" t="s">
        <v>35</v>
      </c>
      <c r="B84" s="146" t="str">
        <f>+IF((B39&gt;=1.2),"HABIL","NO HABIL")</f>
        <v>HABIL</v>
      </c>
      <c r="C84" s="147"/>
      <c r="D84" s="146" t="str">
        <f>+IF((D39&gt;=1.2),"HABIL","NO HABIL")</f>
        <v>HABIL</v>
      </c>
      <c r="E84" s="147"/>
      <c r="F84" s="146" t="str">
        <f>+IF((F39&gt;=1.2),"HABIL","NO HABIL")</f>
        <v>HABIL</v>
      </c>
      <c r="G84" s="147"/>
      <c r="H84" s="146" t="str">
        <f>+IF((H39&gt;=1.2),"HABIL","NO HABIL")</f>
        <v>HABIL</v>
      </c>
      <c r="I84" s="147"/>
      <c r="T84" s="146" t="str">
        <f>+IF((T39&gt;=1.2),"HABIL","NO HABIL")</f>
        <v>HABIL</v>
      </c>
      <c r="U84" s="147"/>
      <c r="V84" s="109" t="str">
        <f>+IF((V38&gt;=1.2),"HABIL","NO HABIL")</f>
        <v>HABIL</v>
      </c>
      <c r="W84" s="109" t="str">
        <f>+IF((W38&gt;=1.2),"HABIL","NO HABIL")</f>
        <v>HABIL</v>
      </c>
      <c r="X84" s="109" t="str">
        <f>+IF((X38&gt;=1.2),"HABIL","NO HABIL")</f>
        <v>HABIL</v>
      </c>
      <c r="Y84" s="109" t="str">
        <f t="shared" ref="Y84:Z84" si="36">+IF((Y38&gt;=1.2),"HABIL","NO HABIL")</f>
        <v>HABIL</v>
      </c>
      <c r="Z84" s="109" t="str">
        <f t="shared" si="36"/>
        <v>HABIL</v>
      </c>
    </row>
    <row r="85" spans="1:26" ht="12.75" customHeight="1" x14ac:dyDescent="0.2">
      <c r="A85" s="44" t="s">
        <v>36</v>
      </c>
      <c r="B85" s="148" t="str">
        <f>+IF((B41&lt;=0.7),"HABIL","NO HABIL")</f>
        <v>HABIL</v>
      </c>
      <c r="C85" s="149"/>
      <c r="D85" s="148" t="str">
        <f>+IF((D41&lt;=0.7),"HABIL","NO HABIL")</f>
        <v>HABIL</v>
      </c>
      <c r="E85" s="149"/>
      <c r="F85" s="148" t="str">
        <f>+IF((F41&lt;=0.7),"HABIL","NO HABIL")</f>
        <v>HABIL</v>
      </c>
      <c r="G85" s="149"/>
      <c r="H85" s="148" t="str">
        <f>+IF((H41&lt;=0.7),"HABIL","NO HABIL")</f>
        <v>HABIL</v>
      </c>
      <c r="I85" s="149"/>
      <c r="T85" s="148" t="str">
        <f>+IF((T41&lt;=0.7),"HABIL","NO HABIL")</f>
        <v>HABIL</v>
      </c>
      <c r="U85" s="149"/>
      <c r="V85" s="105" t="str">
        <f>+IF((V40&lt;=0.7),"HABIL","NO HABIL")</f>
        <v>HABIL</v>
      </c>
      <c r="W85" s="105" t="str">
        <f>+IF((W40&lt;=0.7),"HABIL","NO HABIL")</f>
        <v>HABIL</v>
      </c>
      <c r="X85" s="105" t="str">
        <f>+IF((X40&lt;=0.7),"HABIL","NO HABIL")</f>
        <v>HABIL</v>
      </c>
      <c r="Y85" s="105" t="str">
        <f t="shared" ref="Y85:Z85" si="37">+IF((Y40&lt;=0.7),"HABIL","NO HABIL")</f>
        <v>HABIL</v>
      </c>
      <c r="Z85" s="105" t="str">
        <f t="shared" si="37"/>
        <v>HABIL</v>
      </c>
    </row>
    <row r="86" spans="1:26" ht="12.75" customHeight="1" x14ac:dyDescent="0.2">
      <c r="A86" s="44" t="s">
        <v>37</v>
      </c>
      <c r="B86" s="148" t="str">
        <f>+IF((B43&gt;=1.5),"HABIL","NO HABIL")</f>
        <v>HABIL</v>
      </c>
      <c r="C86" s="149"/>
      <c r="D86" s="148" t="str">
        <f>+IF((D43&gt;=1.5),"HABIL","NO HABIL")</f>
        <v>HABIL</v>
      </c>
      <c r="E86" s="149"/>
      <c r="F86" s="148" t="str">
        <f>+IF((F43&gt;=1.5),"HABIL","NO HABIL")</f>
        <v>HABIL</v>
      </c>
      <c r="G86" s="149"/>
      <c r="H86" s="148" t="str">
        <f>+IF((H43&gt;=1.5),"HABIL","NO HABIL")</f>
        <v>HABIL</v>
      </c>
      <c r="I86" s="149"/>
      <c r="T86" s="148" t="str">
        <f>+IF((T43&gt;=1.5),"HABIL","NO HABIL")</f>
        <v>HABIL</v>
      </c>
      <c r="U86" s="149"/>
      <c r="V86" s="105" t="str">
        <f>+IF((V42&gt;=1.5),"HABIL","NO HABIL")</f>
        <v>HABIL</v>
      </c>
      <c r="W86" s="105" t="str">
        <f>+IF((W42&gt;=1.5),"HABIL","NO HABIL")</f>
        <v>HABIL</v>
      </c>
      <c r="X86" s="105" t="str">
        <f>+IF((X42&gt;=1.5),"HABIL","NO HABIL")</f>
        <v>HABIL</v>
      </c>
      <c r="Y86" s="105" t="str">
        <f t="shared" ref="Y86:Z86" si="38">+IF((Y42&gt;=1.5),"HABIL","NO HABIL")</f>
        <v>HABIL</v>
      </c>
      <c r="Z86" s="105" t="str">
        <f t="shared" si="38"/>
        <v>HABIL</v>
      </c>
    </row>
    <row r="87" spans="1:26" ht="12.75" customHeight="1" x14ac:dyDescent="0.2">
      <c r="A87" s="44" t="s">
        <v>38</v>
      </c>
      <c r="B87" s="148" t="str">
        <f>+IF((B46&gt;=381299887),"HABIL","NO HABIL")</f>
        <v>HABIL</v>
      </c>
      <c r="C87" s="149"/>
      <c r="D87" s="148" t="str">
        <f>+IF((D46&gt;=381299887),"HABIL","NO HABIL")</f>
        <v>HABIL</v>
      </c>
      <c r="E87" s="149"/>
      <c r="F87" s="148" t="str">
        <f>+IF((F46&gt;=381299887),"HABIL","NO HABIL")</f>
        <v>HABIL</v>
      </c>
      <c r="G87" s="149"/>
      <c r="H87" s="148" t="str">
        <f>+IF((H46&gt;=381299887),"HABIL","NO HABIL")</f>
        <v>HABIL</v>
      </c>
      <c r="I87" s="149"/>
      <c r="T87" s="148" t="str">
        <f>+IF((T46&gt;=381299887),"HABIL","NO HABIL")</f>
        <v>HABIL</v>
      </c>
      <c r="U87" s="149"/>
      <c r="V87" s="105" t="str">
        <f>+IF((V44&gt;=381299887),"HABIL","NO HABIL")</f>
        <v>HABIL</v>
      </c>
      <c r="W87" s="105" t="str">
        <f>+IF((W44&gt;=381299887),"HABIL","NO HABIL")</f>
        <v>HABIL</v>
      </c>
      <c r="X87" s="105" t="str">
        <f>+IF((X44&gt;=381299887),"HABIL","NO HABIL")</f>
        <v>HABIL</v>
      </c>
      <c r="Y87" s="105" t="str">
        <f t="shared" ref="Y87:Z87" si="39">+IF((Y44&gt;=381299887),"HABIL","NO HABIL")</f>
        <v>HABIL</v>
      </c>
      <c r="Z87" s="105" t="str">
        <f t="shared" si="39"/>
        <v>HABIL</v>
      </c>
    </row>
    <row r="88" spans="1:26" ht="12.75" customHeight="1" x14ac:dyDescent="0.2">
      <c r="A88" s="44" t="s">
        <v>39</v>
      </c>
      <c r="B88" s="148" t="str">
        <f>+IF((B60&gt;=0),"HABIL","NO HABIL")</f>
        <v>HABIL</v>
      </c>
      <c r="C88" s="149"/>
      <c r="D88" s="148" t="str">
        <f>+IF((D60&gt;=0),"HABIL","NO HABIL")</f>
        <v>HABIL</v>
      </c>
      <c r="E88" s="149"/>
      <c r="F88" s="148" t="str">
        <f>+IF((F60&gt;=0),"HABIL","NO HABIL")</f>
        <v>HABIL</v>
      </c>
      <c r="G88" s="149"/>
      <c r="H88" s="148" t="str">
        <f>+IF((H60&gt;=0),"HABIL","NO HABIL")</f>
        <v>HABIL</v>
      </c>
      <c r="I88" s="149"/>
      <c r="T88" s="148" t="str">
        <f>+IF((T60&gt;=0),"HABIL","NO HABIL")</f>
        <v>HABIL</v>
      </c>
      <c r="U88" s="149"/>
      <c r="V88" s="105" t="str">
        <f>+IF((V59&gt;=0),"HABIL","NO HABIL")</f>
        <v>HABIL</v>
      </c>
      <c r="W88" s="105" t="str">
        <f>+IF((W59&gt;=0),"HABIL","NO HABIL")</f>
        <v>HABIL</v>
      </c>
      <c r="X88" s="105" t="str">
        <f>+IF((X59&gt;=0),"HABIL","NO HABIL")</f>
        <v>HABIL</v>
      </c>
      <c r="Y88" s="105" t="str">
        <f t="shared" ref="Y88:Z88" si="40">+IF((Y59&gt;=0),"HABIL","NO HABIL")</f>
        <v>HABIL</v>
      </c>
      <c r="Z88" s="105" t="str">
        <f t="shared" si="40"/>
        <v>HABIL</v>
      </c>
    </row>
    <row r="89" spans="1:26" ht="12.75" customHeight="1" x14ac:dyDescent="0.2">
      <c r="A89" s="81" t="s">
        <v>40</v>
      </c>
      <c r="B89" s="150" t="str">
        <f>+IF((B62&gt;=0),"HABIL","NO HABIL")</f>
        <v>HABIL</v>
      </c>
      <c r="C89" s="151"/>
      <c r="D89" s="150" t="str">
        <f>+IF((D62&gt;=0),"HABIL","NO HABIL")</f>
        <v>HABIL</v>
      </c>
      <c r="E89" s="151"/>
      <c r="F89" s="150" t="str">
        <f>+IF((F62&gt;=0),"HABIL","NO HABIL")</f>
        <v>HABIL</v>
      </c>
      <c r="G89" s="151"/>
      <c r="H89" s="150" t="str">
        <f>+IF((H62&gt;=0),"HABIL","NO HABIL")</f>
        <v>HABIL</v>
      </c>
      <c r="I89" s="151"/>
      <c r="T89" s="150" t="str">
        <f>+IF((T62&gt;=0),"HABIL","NO HABIL")</f>
        <v>HABIL</v>
      </c>
      <c r="U89" s="151"/>
      <c r="V89" s="106" t="str">
        <f>+IF((V61&gt;=0),"HABIL","NO HABIL")</f>
        <v>HABIL</v>
      </c>
      <c r="W89" s="106" t="str">
        <f>+IF((W61&gt;=0),"HABIL","NO HABIL")</f>
        <v>HABIL</v>
      </c>
      <c r="X89" s="106" t="str">
        <f>+IF((X61&gt;=0),"HABIL","NO HABIL")</f>
        <v>HABIL</v>
      </c>
      <c r="Y89" s="106" t="str">
        <f t="shared" ref="Y89:Z89" si="41">+IF((Y61&gt;=0),"HABIL","NO HABIL")</f>
        <v>HABIL</v>
      </c>
      <c r="Z89" s="106" t="str">
        <f t="shared" si="41"/>
        <v>HABIL</v>
      </c>
    </row>
    <row r="90" spans="1:26" ht="12.75" customHeight="1" x14ac:dyDescent="0.2">
      <c r="A90" s="82" t="s">
        <v>41</v>
      </c>
      <c r="B90" s="152" t="str">
        <f>+IF((B48&gt;=508399696),"HABIL","NO HABIL")</f>
        <v>HABIL</v>
      </c>
      <c r="C90" s="153"/>
      <c r="D90" s="152" t="str">
        <f>+IF((D48&gt;=508399696),"HABIL","NO HABIL")</f>
        <v>HABIL</v>
      </c>
      <c r="E90" s="153"/>
      <c r="F90" s="152" t="str">
        <f>+IF((F48&gt;=508399696),"HABIL","NO HABIL")</f>
        <v>HABIL</v>
      </c>
      <c r="G90" s="153"/>
      <c r="H90" s="152" t="str">
        <f>+IF((H48&gt;=508399696),"HABIL","NO HABIL")</f>
        <v>HABIL</v>
      </c>
      <c r="I90" s="153"/>
      <c r="T90" s="152" t="str">
        <f>+IF((T48&gt;=508399696),"HABIL","NO HABIL")</f>
        <v>HABIL</v>
      </c>
      <c r="U90" s="153"/>
      <c r="V90" s="108" t="str">
        <f>+IF((V47&gt;=508399696),"HABIL","NO HABIL")</f>
        <v>HABIL</v>
      </c>
      <c r="W90" s="108" t="str">
        <f>+IF((W47&gt;=508399696),"HABIL","NO HABIL")</f>
        <v>HABIL</v>
      </c>
      <c r="X90" s="108" t="str">
        <f>+IF((X47&gt;=508399696),"HABIL","NO HABIL")</f>
        <v>HABIL</v>
      </c>
      <c r="Y90" s="108" t="str">
        <f t="shared" ref="Y90:Z90" si="42">+IF((Y47&gt;=508399696),"HABIL","NO HABIL")</f>
        <v>HABIL</v>
      </c>
      <c r="Z90" s="108" t="str">
        <f t="shared" si="42"/>
        <v>HABIL</v>
      </c>
    </row>
    <row r="91" spans="1:26" x14ac:dyDescent="0.2">
      <c r="A91" s="35"/>
      <c r="B91" s="83"/>
      <c r="C91" s="83"/>
      <c r="D91" s="83"/>
      <c r="E91" s="83"/>
      <c r="F91" s="83"/>
      <c r="G91" s="35"/>
      <c r="H91" s="35"/>
      <c r="I91" s="35"/>
      <c r="J91" s="35"/>
      <c r="K91" s="35"/>
      <c r="L91" s="35"/>
      <c r="M91" s="35"/>
      <c r="N91" s="35"/>
      <c r="O91" s="35"/>
      <c r="P91" s="35"/>
      <c r="Q91" s="35"/>
      <c r="R91" s="35"/>
      <c r="S91" s="35"/>
      <c r="T91" s="35"/>
      <c r="U91" s="35"/>
      <c r="V91" s="35"/>
      <c r="W91" s="35"/>
      <c r="X91" s="35"/>
      <c r="Y91" s="35"/>
      <c r="Z91" s="35"/>
    </row>
    <row r="92" spans="1:26" s="14" customFormat="1" ht="18.75" x14ac:dyDescent="0.25">
      <c r="A92" s="204" t="s">
        <v>42</v>
      </c>
      <c r="B92" s="205"/>
      <c r="C92" s="205"/>
      <c r="D92" s="205"/>
      <c r="E92" s="205"/>
      <c r="G92" s="35"/>
      <c r="H92" s="35"/>
      <c r="I92" s="35"/>
      <c r="J92" s="35"/>
      <c r="K92" s="35"/>
      <c r="L92" s="35"/>
      <c r="M92" s="35"/>
      <c r="N92" s="35"/>
      <c r="O92" s="35"/>
      <c r="P92" s="35"/>
      <c r="Q92" s="35"/>
      <c r="R92" s="35"/>
      <c r="S92" s="35"/>
      <c r="T92" s="35"/>
      <c r="U92" s="35"/>
      <c r="V92" s="35"/>
      <c r="W92" s="35"/>
      <c r="X92" s="35"/>
      <c r="Y92" s="35"/>
      <c r="Z92" s="35"/>
    </row>
    <row r="93" spans="1:26" ht="12.75" customHeight="1" x14ac:dyDescent="0.2"/>
    <row r="94" spans="1:26" ht="12.75" customHeight="1" x14ac:dyDescent="0.2"/>
    <row r="95" spans="1:26" ht="50.25" customHeight="1" x14ac:dyDescent="0.2"/>
    <row r="96" spans="1:26" s="35" customFormat="1" ht="15.75" customHeight="1" x14ac:dyDescent="0.3">
      <c r="A96" s="206" t="s">
        <v>43</v>
      </c>
      <c r="B96" s="206"/>
      <c r="C96" s="206"/>
      <c r="D96" s="206"/>
      <c r="E96" s="206"/>
      <c r="G96" s="1"/>
      <c r="H96" s="1"/>
      <c r="I96" s="1"/>
      <c r="J96" s="1"/>
      <c r="K96" s="1"/>
      <c r="L96" s="1"/>
      <c r="M96" s="1"/>
      <c r="N96" s="1"/>
      <c r="O96" s="1"/>
      <c r="P96" s="1"/>
      <c r="Q96" s="1"/>
      <c r="R96" s="1"/>
      <c r="S96" s="1"/>
      <c r="T96" s="1"/>
      <c r="U96" s="1"/>
      <c r="V96" s="1"/>
      <c r="W96" s="1"/>
      <c r="X96" s="1"/>
      <c r="Y96" s="1"/>
      <c r="Z96" s="1"/>
    </row>
    <row r="97" spans="1:26" s="35" customFormat="1" ht="15.75" customHeight="1" x14ac:dyDescent="0.3">
      <c r="A97" s="207" t="s">
        <v>125</v>
      </c>
      <c r="B97" s="207"/>
      <c r="C97" s="207"/>
      <c r="D97" s="207"/>
      <c r="E97" s="207"/>
      <c r="G97" s="1"/>
      <c r="H97" s="1"/>
      <c r="I97" s="1"/>
      <c r="J97" s="1"/>
      <c r="K97" s="1"/>
      <c r="L97" s="1"/>
      <c r="M97" s="1"/>
      <c r="N97" s="1"/>
      <c r="O97" s="1"/>
      <c r="P97" s="1"/>
      <c r="Q97" s="1"/>
      <c r="R97" s="1"/>
      <c r="S97" s="1"/>
      <c r="T97" s="1"/>
      <c r="U97" s="1"/>
      <c r="V97" s="1"/>
      <c r="W97" s="1"/>
      <c r="X97" s="1"/>
      <c r="Y97" s="1"/>
      <c r="Z97" s="1"/>
    </row>
    <row r="98" spans="1:26" ht="15.75" customHeight="1" x14ac:dyDescent="0.3">
      <c r="A98" s="208" t="s">
        <v>44</v>
      </c>
      <c r="B98" s="208"/>
      <c r="C98" s="208"/>
      <c r="D98" s="208"/>
      <c r="E98" s="208"/>
    </row>
  </sheetData>
  <mergeCells count="298">
    <mergeCell ref="B88:C88"/>
    <mergeCell ref="D88:E88"/>
    <mergeCell ref="F88:G88"/>
    <mergeCell ref="H88:I88"/>
    <mergeCell ref="T88:U88"/>
    <mergeCell ref="A92:E92"/>
    <mergeCell ref="A96:E96"/>
    <mergeCell ref="A97:E97"/>
    <mergeCell ref="A98:E98"/>
    <mergeCell ref="B89:C89"/>
    <mergeCell ref="D89:E89"/>
    <mergeCell ref="F89:G89"/>
    <mergeCell ref="H89:I89"/>
    <mergeCell ref="T89:U89"/>
    <mergeCell ref="B90:C90"/>
    <mergeCell ref="D90:E90"/>
    <mergeCell ref="F90:G90"/>
    <mergeCell ref="H90:I90"/>
    <mergeCell ref="T90:U90"/>
    <mergeCell ref="B86:C86"/>
    <mergeCell ref="D86:E86"/>
    <mergeCell ref="F86:G86"/>
    <mergeCell ref="H86:I86"/>
    <mergeCell ref="T86:U86"/>
    <mergeCell ref="B87:C87"/>
    <mergeCell ref="D87:E87"/>
    <mergeCell ref="F87:G87"/>
    <mergeCell ref="H87:I87"/>
    <mergeCell ref="T87:U87"/>
    <mergeCell ref="B84:C84"/>
    <mergeCell ref="D84:E84"/>
    <mergeCell ref="F84:G84"/>
    <mergeCell ref="H84:I84"/>
    <mergeCell ref="T84:U84"/>
    <mergeCell ref="B85:C85"/>
    <mergeCell ref="D85:E85"/>
    <mergeCell ref="F85:G85"/>
    <mergeCell ref="H85:I85"/>
    <mergeCell ref="T85:U85"/>
    <mergeCell ref="A81:A82"/>
    <mergeCell ref="B81:C81"/>
    <mergeCell ref="D81:E81"/>
    <mergeCell ref="F81:G81"/>
    <mergeCell ref="H81:I81"/>
    <mergeCell ref="T81:U81"/>
    <mergeCell ref="Z78:Z79"/>
    <mergeCell ref="B79:C79"/>
    <mergeCell ref="D79:E79"/>
    <mergeCell ref="F79:G79"/>
    <mergeCell ref="H79:I79"/>
    <mergeCell ref="T79:U79"/>
    <mergeCell ref="V81:V82"/>
    <mergeCell ref="W81:W82"/>
    <mergeCell ref="X81:X82"/>
    <mergeCell ref="Y81:Y82"/>
    <mergeCell ref="Z81:Z82"/>
    <mergeCell ref="A78:A79"/>
    <mergeCell ref="V78:V79"/>
    <mergeCell ref="W78:W79"/>
    <mergeCell ref="X78:X79"/>
    <mergeCell ref="Y78:Y79"/>
    <mergeCell ref="A76:A77"/>
    <mergeCell ref="V76:V77"/>
    <mergeCell ref="W76:W77"/>
    <mergeCell ref="X76:X77"/>
    <mergeCell ref="Y76:Y77"/>
    <mergeCell ref="Z76:Z77"/>
    <mergeCell ref="B77:C77"/>
    <mergeCell ref="D77:E77"/>
    <mergeCell ref="F77:G77"/>
    <mergeCell ref="H77:I77"/>
    <mergeCell ref="Z74:Z75"/>
    <mergeCell ref="B75:C75"/>
    <mergeCell ref="D75:E75"/>
    <mergeCell ref="F75:G75"/>
    <mergeCell ref="H75:I75"/>
    <mergeCell ref="T75:U75"/>
    <mergeCell ref="T77:U77"/>
    <mergeCell ref="A74:A75"/>
    <mergeCell ref="V74:V75"/>
    <mergeCell ref="W74:W75"/>
    <mergeCell ref="X74:X75"/>
    <mergeCell ref="Y74:Y75"/>
    <mergeCell ref="A72:A73"/>
    <mergeCell ref="V72:V73"/>
    <mergeCell ref="W72:W73"/>
    <mergeCell ref="X72:X73"/>
    <mergeCell ref="Y72:Y73"/>
    <mergeCell ref="Z72:Z73"/>
    <mergeCell ref="B73:C73"/>
    <mergeCell ref="D73:E73"/>
    <mergeCell ref="F73:G73"/>
    <mergeCell ref="H73:I73"/>
    <mergeCell ref="Z70:Z71"/>
    <mergeCell ref="B71:C71"/>
    <mergeCell ref="D71:E71"/>
    <mergeCell ref="F71:G71"/>
    <mergeCell ref="H71:I71"/>
    <mergeCell ref="T71:U71"/>
    <mergeCell ref="T73:U73"/>
    <mergeCell ref="A70:A71"/>
    <mergeCell ref="V70:V71"/>
    <mergeCell ref="W70:W71"/>
    <mergeCell ref="X70:X71"/>
    <mergeCell ref="Y70:Y71"/>
    <mergeCell ref="A68:A69"/>
    <mergeCell ref="V68:V69"/>
    <mergeCell ref="W68:W69"/>
    <mergeCell ref="X68:X69"/>
    <mergeCell ref="Y68:Y69"/>
    <mergeCell ref="Z68:Z69"/>
    <mergeCell ref="B69:C69"/>
    <mergeCell ref="D69:E69"/>
    <mergeCell ref="F69:G69"/>
    <mergeCell ref="H69:I69"/>
    <mergeCell ref="Z66:Z67"/>
    <mergeCell ref="B67:C67"/>
    <mergeCell ref="D67:E67"/>
    <mergeCell ref="F67:G67"/>
    <mergeCell ref="H67:I67"/>
    <mergeCell ref="T67:U67"/>
    <mergeCell ref="T69:U69"/>
    <mergeCell ref="W64:W65"/>
    <mergeCell ref="X64:X65"/>
    <mergeCell ref="Y64:Y65"/>
    <mergeCell ref="Z64:Z65"/>
    <mergeCell ref="A66:A67"/>
    <mergeCell ref="V66:V67"/>
    <mergeCell ref="W66:W67"/>
    <mergeCell ref="X66:X67"/>
    <mergeCell ref="Y66:Y67"/>
    <mergeCell ref="A64:A65"/>
    <mergeCell ref="B64:C64"/>
    <mergeCell ref="D64:E64"/>
    <mergeCell ref="F64:G64"/>
    <mergeCell ref="H64:I64"/>
    <mergeCell ref="T64:U64"/>
    <mergeCell ref="A61:A62"/>
    <mergeCell ref="V61:V62"/>
    <mergeCell ref="V64:V65"/>
    <mergeCell ref="W61:W62"/>
    <mergeCell ref="X61:X62"/>
    <mergeCell ref="Y61:Y62"/>
    <mergeCell ref="Z61:Z62"/>
    <mergeCell ref="B62:C62"/>
    <mergeCell ref="D62:E62"/>
    <mergeCell ref="F62:G62"/>
    <mergeCell ref="H62:I62"/>
    <mergeCell ref="Z59:Z60"/>
    <mergeCell ref="B60:C60"/>
    <mergeCell ref="D60:E60"/>
    <mergeCell ref="F60:G60"/>
    <mergeCell ref="H60:I60"/>
    <mergeCell ref="T60:U60"/>
    <mergeCell ref="T62:U62"/>
    <mergeCell ref="V57:V58"/>
    <mergeCell ref="W57:W58"/>
    <mergeCell ref="X57:X58"/>
    <mergeCell ref="Y57:Y58"/>
    <mergeCell ref="Z57:Z58"/>
    <mergeCell ref="A59:A60"/>
    <mergeCell ref="V59:V60"/>
    <mergeCell ref="W59:W60"/>
    <mergeCell ref="X59:X60"/>
    <mergeCell ref="Y59:Y60"/>
    <mergeCell ref="A57:A58"/>
    <mergeCell ref="B57:C57"/>
    <mergeCell ref="D57:E57"/>
    <mergeCell ref="F57:G57"/>
    <mergeCell ref="H57:I57"/>
    <mergeCell ref="T57:U57"/>
    <mergeCell ref="B51:X51"/>
    <mergeCell ref="A52:A54"/>
    <mergeCell ref="B52:X52"/>
    <mergeCell ref="B53:X53"/>
    <mergeCell ref="B54:X54"/>
    <mergeCell ref="B55:X55"/>
    <mergeCell ref="T48:U48"/>
    <mergeCell ref="B49:E49"/>
    <mergeCell ref="F49:I49"/>
    <mergeCell ref="T49:V49"/>
    <mergeCell ref="B50:E50"/>
    <mergeCell ref="F50:I50"/>
    <mergeCell ref="T50:V50"/>
    <mergeCell ref="A47:A48"/>
    <mergeCell ref="V47:V48"/>
    <mergeCell ref="W47:W48"/>
    <mergeCell ref="X47:X48"/>
    <mergeCell ref="Y47:Y48"/>
    <mergeCell ref="Z47:Z48"/>
    <mergeCell ref="B48:C48"/>
    <mergeCell ref="D48:E48"/>
    <mergeCell ref="F48:G48"/>
    <mergeCell ref="H48:I48"/>
    <mergeCell ref="X44:X46"/>
    <mergeCell ref="Y44:Y46"/>
    <mergeCell ref="Z44:Z46"/>
    <mergeCell ref="B46:C46"/>
    <mergeCell ref="D46:E46"/>
    <mergeCell ref="F46:G46"/>
    <mergeCell ref="H46:I46"/>
    <mergeCell ref="T46:U46"/>
    <mergeCell ref="H44:H45"/>
    <mergeCell ref="I44:I45"/>
    <mergeCell ref="T44:T45"/>
    <mergeCell ref="U44:U45"/>
    <mergeCell ref="V44:V46"/>
    <mergeCell ref="W44:W46"/>
    <mergeCell ref="B44:B45"/>
    <mergeCell ref="C44:C45"/>
    <mergeCell ref="D44:D45"/>
    <mergeCell ref="E44:E45"/>
    <mergeCell ref="F44:F45"/>
    <mergeCell ref="G44:G45"/>
    <mergeCell ref="Z42:Z43"/>
    <mergeCell ref="B43:C43"/>
    <mergeCell ref="D43:E43"/>
    <mergeCell ref="F43:G43"/>
    <mergeCell ref="H43:I43"/>
    <mergeCell ref="T43:U43"/>
    <mergeCell ref="T41:U41"/>
    <mergeCell ref="Z40:Z41"/>
    <mergeCell ref="A42:A43"/>
    <mergeCell ref="V42:V43"/>
    <mergeCell ref="W42:W43"/>
    <mergeCell ref="X42:X43"/>
    <mergeCell ref="Y42:Y43"/>
    <mergeCell ref="A40:A41"/>
    <mergeCell ref="V40:V41"/>
    <mergeCell ref="W40:W41"/>
    <mergeCell ref="X40:X41"/>
    <mergeCell ref="Y40:Y41"/>
    <mergeCell ref="B41:C41"/>
    <mergeCell ref="D41:E41"/>
    <mergeCell ref="F41:G41"/>
    <mergeCell ref="H41:I41"/>
    <mergeCell ref="Z38:Z39"/>
    <mergeCell ref="B39:C39"/>
    <mergeCell ref="D39:E39"/>
    <mergeCell ref="F39:G39"/>
    <mergeCell ref="H39:I39"/>
    <mergeCell ref="T39:U39"/>
    <mergeCell ref="V36:V37"/>
    <mergeCell ref="W36:W37"/>
    <mergeCell ref="X36:X37"/>
    <mergeCell ref="Y36:Y37"/>
    <mergeCell ref="Z36:Z37"/>
    <mergeCell ref="A38:A39"/>
    <mergeCell ref="V38:V39"/>
    <mergeCell ref="W38:W39"/>
    <mergeCell ref="X38:X39"/>
    <mergeCell ref="Y38:Y39"/>
    <mergeCell ref="A31:A32"/>
    <mergeCell ref="B31:X31"/>
    <mergeCell ref="B32:X32"/>
    <mergeCell ref="B33:X33"/>
    <mergeCell ref="A36:A37"/>
    <mergeCell ref="B36:C36"/>
    <mergeCell ref="D36:E36"/>
    <mergeCell ref="F36:G36"/>
    <mergeCell ref="H36:I36"/>
    <mergeCell ref="T36:U36"/>
    <mergeCell ref="A22:X22"/>
    <mergeCell ref="A24:X26"/>
    <mergeCell ref="B27:X27"/>
    <mergeCell ref="B28:X28"/>
    <mergeCell ref="A29:A30"/>
    <mergeCell ref="B29:X29"/>
    <mergeCell ref="B30:X30"/>
    <mergeCell ref="B18:C18"/>
    <mergeCell ref="D18:E18"/>
    <mergeCell ref="F18:G18"/>
    <mergeCell ref="H18:I18"/>
    <mergeCell ref="T18:U18"/>
    <mergeCell ref="A21:X21"/>
    <mergeCell ref="Y15:Y16"/>
    <mergeCell ref="Z15:Z16"/>
    <mergeCell ref="A14:A16"/>
    <mergeCell ref="B14:C14"/>
    <mergeCell ref="D14:E14"/>
    <mergeCell ref="F14:G14"/>
    <mergeCell ref="H14:I14"/>
    <mergeCell ref="T14:U14"/>
    <mergeCell ref="B15:C15"/>
    <mergeCell ref="D15:E15"/>
    <mergeCell ref="F15:G15"/>
    <mergeCell ref="H15:I15"/>
    <mergeCell ref="A1:E1"/>
    <mergeCell ref="A7:E7"/>
    <mergeCell ref="A8:E8"/>
    <mergeCell ref="A9:X9"/>
    <mergeCell ref="B11:D11"/>
    <mergeCell ref="F11:H11"/>
    <mergeCell ref="T11:V11"/>
    <mergeCell ref="T15:U15"/>
    <mergeCell ref="V15:V16"/>
    <mergeCell ref="W15:W16"/>
    <mergeCell ref="X15:X16"/>
  </mergeCells>
  <printOptions horizontalCentered="1" verticalCentered="1"/>
  <pageMargins left="1.1417322834645669" right="0.19685039370078741" top="0.39370078740157483" bottom="0.43307086614173229" header="0" footer="0.59055118110236227"/>
  <pageSetup paperSize="5" scale="48"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AB98"/>
  <sheetViews>
    <sheetView zoomScale="85" zoomScaleNormal="85" workbookViewId="0">
      <selection sqref="A1:E1"/>
    </sheetView>
  </sheetViews>
  <sheetFormatPr baseColWidth="10" defaultColWidth="11.42578125" defaultRowHeight="12.75" x14ac:dyDescent="0.2"/>
  <cols>
    <col min="1" max="1" width="72.28515625" style="1" customWidth="1"/>
    <col min="2" max="3" width="30" style="1" customWidth="1"/>
    <col min="4" max="4" width="24.85546875" style="1" customWidth="1"/>
    <col min="5" max="5" width="23.5703125" style="1" customWidth="1"/>
    <col min="6" max="7" width="30" style="1" customWidth="1"/>
    <col min="8" max="8" width="24.85546875" style="1" customWidth="1"/>
    <col min="9" max="9" width="23.5703125" style="1" customWidth="1"/>
    <col min="10" max="19" width="0" style="1" hidden="1" customWidth="1"/>
    <col min="20" max="21" width="30" style="1" customWidth="1"/>
    <col min="22" max="24" width="24.85546875" style="1" customWidth="1"/>
    <col min="25" max="25" width="23.5703125" style="1" customWidth="1"/>
    <col min="26" max="27" width="24.85546875" style="1" customWidth="1"/>
    <col min="28" max="28" width="23.5703125" style="1" customWidth="1"/>
    <col min="29" max="16384" width="11.42578125" style="1"/>
  </cols>
  <sheetData>
    <row r="1" spans="1:28" ht="20.25" customHeight="1" x14ac:dyDescent="0.2">
      <c r="A1" s="168"/>
      <c r="B1" s="168"/>
      <c r="C1" s="168"/>
      <c r="D1" s="168"/>
      <c r="E1" s="168"/>
    </row>
    <row r="2" spans="1:28" ht="20.25" customHeight="1" x14ac:dyDescent="0.2"/>
    <row r="3" spans="1:28" ht="9.75" customHeight="1" x14ac:dyDescent="0.2">
      <c r="A3" s="2"/>
    </row>
    <row r="4" spans="1:28" s="4" customFormat="1" ht="14.25" customHeight="1" x14ac:dyDescent="0.2">
      <c r="A4" s="3" t="s">
        <v>0</v>
      </c>
    </row>
    <row r="5" spans="1:28" s="4" customFormat="1" ht="15.75" customHeight="1" x14ac:dyDescent="0.2">
      <c r="A5" s="5" t="s">
        <v>1</v>
      </c>
    </row>
    <row r="7" spans="1:28" s="6" customFormat="1" ht="72" customHeight="1" x14ac:dyDescent="0.2">
      <c r="A7" s="169"/>
      <c r="B7" s="170"/>
      <c r="C7" s="170"/>
      <c r="D7" s="170"/>
      <c r="E7" s="170"/>
    </row>
    <row r="8" spans="1:28" x14ac:dyDescent="0.2">
      <c r="A8" s="171"/>
      <c r="B8" s="172"/>
      <c r="C8" s="172"/>
      <c r="D8" s="172"/>
      <c r="E8" s="172"/>
    </row>
    <row r="9" spans="1:28" s="6" customFormat="1" ht="67.5" customHeight="1" x14ac:dyDescent="0.2">
      <c r="A9" s="173" t="s">
        <v>78</v>
      </c>
      <c r="B9" s="174"/>
      <c r="C9" s="174"/>
      <c r="D9" s="174"/>
      <c r="E9" s="174"/>
      <c r="F9" s="175"/>
      <c r="G9" s="175"/>
      <c r="H9" s="175"/>
      <c r="I9" s="175"/>
      <c r="J9" s="175"/>
      <c r="K9" s="175"/>
      <c r="L9" s="175"/>
      <c r="M9" s="175"/>
      <c r="N9" s="175"/>
      <c r="O9" s="175"/>
      <c r="P9" s="175"/>
      <c r="Q9" s="175"/>
      <c r="R9" s="175"/>
      <c r="S9" s="175"/>
      <c r="T9" s="175"/>
      <c r="U9" s="175"/>
      <c r="V9" s="175"/>
      <c r="W9" s="175"/>
      <c r="X9" s="175"/>
      <c r="Y9" s="175"/>
      <c r="Z9" s="175"/>
      <c r="AA9" s="175"/>
      <c r="AB9" s="175"/>
    </row>
    <row r="10" spans="1:28" ht="15" customHeight="1" x14ac:dyDescent="0.2">
      <c r="A10" s="7"/>
      <c r="B10" s="7"/>
      <c r="C10" s="7"/>
      <c r="D10" s="7"/>
      <c r="E10" s="78"/>
      <c r="F10" s="7"/>
      <c r="G10" s="7"/>
      <c r="H10" s="7"/>
      <c r="I10" s="78"/>
      <c r="T10" s="7"/>
      <c r="U10" s="7"/>
      <c r="V10" s="7"/>
      <c r="W10" s="7"/>
      <c r="X10" s="7"/>
      <c r="Y10" s="78"/>
      <c r="Z10" s="7"/>
      <c r="AA10" s="7"/>
      <c r="AB10" s="78"/>
    </row>
    <row r="11" spans="1:28" s="45" customFormat="1" ht="23.25" x14ac:dyDescent="0.2">
      <c r="A11" s="8" t="s">
        <v>2</v>
      </c>
      <c r="B11" s="176">
        <v>1270999240</v>
      </c>
      <c r="C11" s="176"/>
      <c r="D11" s="176"/>
      <c r="E11" s="79"/>
      <c r="F11" s="176"/>
      <c r="G11" s="176"/>
      <c r="H11" s="176"/>
      <c r="I11" s="79"/>
      <c r="T11" s="176"/>
      <c r="U11" s="176"/>
      <c r="V11" s="176"/>
      <c r="W11" s="176"/>
      <c r="X11" s="176"/>
      <c r="Y11" s="79"/>
      <c r="Z11" s="176"/>
      <c r="AA11" s="176"/>
      <c r="AB11" s="79"/>
    </row>
    <row r="12" spans="1:28" s="45" customFormat="1" ht="23.25" x14ac:dyDescent="0.2">
      <c r="A12" s="46" t="s">
        <v>3</v>
      </c>
      <c r="B12" s="77" t="s">
        <v>67</v>
      </c>
      <c r="C12" s="77"/>
      <c r="D12" s="47"/>
      <c r="E12" s="80"/>
      <c r="F12" s="77"/>
      <c r="G12" s="77"/>
      <c r="H12" s="47"/>
      <c r="I12" s="80"/>
      <c r="J12" s="119"/>
      <c r="K12" s="119"/>
      <c r="L12" s="119"/>
      <c r="M12" s="119"/>
      <c r="N12" s="119"/>
      <c r="O12" s="119"/>
      <c r="P12" s="119"/>
      <c r="Q12" s="119"/>
      <c r="R12" s="119"/>
      <c r="S12" s="119"/>
      <c r="T12" s="77"/>
      <c r="U12" s="77"/>
      <c r="V12" s="47"/>
      <c r="W12" s="47"/>
      <c r="X12" s="47"/>
      <c r="Y12" s="80"/>
      <c r="Z12" s="47"/>
      <c r="AA12" s="47"/>
      <c r="AB12" s="80"/>
    </row>
    <row r="13" spans="1:28" s="4" customFormat="1" ht="6" customHeight="1" x14ac:dyDescent="0.2">
      <c r="A13" s="10"/>
      <c r="B13" s="11"/>
      <c r="C13" s="11"/>
      <c r="D13" s="9"/>
      <c r="E13" s="9"/>
      <c r="F13" s="11"/>
      <c r="G13" s="11"/>
      <c r="H13" s="9"/>
      <c r="I13" s="9"/>
      <c r="T13" s="11"/>
      <c r="U13" s="11"/>
      <c r="V13" s="9"/>
      <c r="W13" s="9"/>
      <c r="X13" s="9"/>
      <c r="Y13" s="9"/>
      <c r="Z13" s="9"/>
      <c r="AA13" s="9"/>
      <c r="AB13" s="9"/>
    </row>
    <row r="14" spans="1:28" s="12" customFormat="1" ht="15.75" x14ac:dyDescent="0.2">
      <c r="A14" s="162" t="s">
        <v>4</v>
      </c>
      <c r="B14" s="167">
        <v>21</v>
      </c>
      <c r="C14" s="167"/>
      <c r="D14" s="167">
        <v>22</v>
      </c>
      <c r="E14" s="167"/>
      <c r="F14" s="167">
        <v>23</v>
      </c>
      <c r="G14" s="167"/>
      <c r="H14" s="167">
        <v>24</v>
      </c>
      <c r="I14" s="167"/>
      <c r="T14" s="167">
        <v>25</v>
      </c>
      <c r="U14" s="167"/>
      <c r="V14" s="116">
        <v>26</v>
      </c>
      <c r="W14" s="116">
        <v>27</v>
      </c>
      <c r="X14" s="167">
        <v>28</v>
      </c>
      <c r="Y14" s="167"/>
      <c r="Z14" s="116">
        <v>29</v>
      </c>
      <c r="AA14" s="167">
        <v>30</v>
      </c>
      <c r="AB14" s="167"/>
    </row>
    <row r="15" spans="1:28" s="13" customFormat="1" ht="15.75" customHeight="1" x14ac:dyDescent="0.25">
      <c r="A15" s="162"/>
      <c r="B15" s="154" t="s">
        <v>159</v>
      </c>
      <c r="C15" s="155"/>
      <c r="D15" s="154" t="s">
        <v>158</v>
      </c>
      <c r="E15" s="155"/>
      <c r="F15" s="154" t="s">
        <v>157</v>
      </c>
      <c r="G15" s="155"/>
      <c r="H15" s="154" t="s">
        <v>156</v>
      </c>
      <c r="I15" s="155"/>
      <c r="T15" s="154" t="s">
        <v>155</v>
      </c>
      <c r="U15" s="155"/>
      <c r="V15" s="135" t="s">
        <v>154</v>
      </c>
      <c r="W15" s="135" t="s">
        <v>153</v>
      </c>
      <c r="X15" s="154" t="s">
        <v>152</v>
      </c>
      <c r="Y15" s="155"/>
      <c r="Z15" s="135" t="s">
        <v>151</v>
      </c>
      <c r="AA15" s="154" t="s">
        <v>150</v>
      </c>
      <c r="AB15" s="155"/>
    </row>
    <row r="16" spans="1:28" s="53" customFormat="1" ht="22.5" x14ac:dyDescent="0.2">
      <c r="A16" s="162"/>
      <c r="B16" s="84" t="s">
        <v>149</v>
      </c>
      <c r="C16" s="84" t="s">
        <v>148</v>
      </c>
      <c r="D16" s="84" t="s">
        <v>147</v>
      </c>
      <c r="E16" s="84" t="s">
        <v>146</v>
      </c>
      <c r="F16" s="84" t="s">
        <v>145</v>
      </c>
      <c r="G16" s="84" t="s">
        <v>144</v>
      </c>
      <c r="H16" s="84" t="s">
        <v>143</v>
      </c>
      <c r="I16" s="84" t="s">
        <v>142</v>
      </c>
      <c r="T16" s="84" t="s">
        <v>141</v>
      </c>
      <c r="U16" s="84" t="s">
        <v>140</v>
      </c>
      <c r="V16" s="136"/>
      <c r="W16" s="136"/>
      <c r="X16" s="84" t="s">
        <v>139</v>
      </c>
      <c r="Y16" s="84" t="s">
        <v>138</v>
      </c>
      <c r="Z16" s="136"/>
      <c r="AA16" s="84" t="s">
        <v>137</v>
      </c>
      <c r="AB16" s="84" t="s">
        <v>136</v>
      </c>
    </row>
    <row r="17" spans="1:28" s="17" customFormat="1" ht="15.75" x14ac:dyDescent="0.25">
      <c r="A17" s="15" t="s">
        <v>5</v>
      </c>
      <c r="B17" s="16">
        <v>0.5</v>
      </c>
      <c r="C17" s="16">
        <v>0.5</v>
      </c>
      <c r="D17" s="16">
        <v>0.5</v>
      </c>
      <c r="E17" s="16">
        <v>0.5</v>
      </c>
      <c r="F17" s="16">
        <v>0.5</v>
      </c>
      <c r="G17" s="16">
        <v>0.5</v>
      </c>
      <c r="H17" s="16">
        <v>0.5</v>
      </c>
      <c r="I17" s="16">
        <v>0.5</v>
      </c>
      <c r="T17" s="16">
        <v>0.51</v>
      </c>
      <c r="U17" s="16">
        <v>0.49</v>
      </c>
      <c r="V17" s="16">
        <v>1</v>
      </c>
      <c r="W17" s="16">
        <v>1</v>
      </c>
      <c r="X17" s="16">
        <v>0.51</v>
      </c>
      <c r="Y17" s="16">
        <v>0.49</v>
      </c>
      <c r="Z17" s="16">
        <v>1</v>
      </c>
      <c r="AA17" s="16">
        <v>0.5</v>
      </c>
      <c r="AB17" s="16">
        <v>0.5</v>
      </c>
    </row>
    <row r="18" spans="1:28" s="56" customFormat="1" ht="11.25" customHeight="1" x14ac:dyDescent="0.2">
      <c r="A18" s="55" t="s">
        <v>6</v>
      </c>
      <c r="B18" s="165" t="s">
        <v>135</v>
      </c>
      <c r="C18" s="166"/>
      <c r="D18" s="165" t="s">
        <v>134</v>
      </c>
      <c r="E18" s="166"/>
      <c r="F18" s="165" t="s">
        <v>133</v>
      </c>
      <c r="G18" s="166"/>
      <c r="H18" s="165" t="s">
        <v>132</v>
      </c>
      <c r="I18" s="166"/>
      <c r="T18" s="165" t="s">
        <v>131</v>
      </c>
      <c r="U18" s="166"/>
      <c r="V18" s="107" t="s">
        <v>130</v>
      </c>
      <c r="W18" s="107" t="s">
        <v>129</v>
      </c>
      <c r="X18" s="165" t="s">
        <v>128</v>
      </c>
      <c r="Y18" s="166"/>
      <c r="Z18" s="107" t="s">
        <v>127</v>
      </c>
      <c r="AA18" s="165"/>
      <c r="AB18" s="166"/>
    </row>
    <row r="19" spans="1:28" s="14" customFormat="1" ht="21.75" customHeight="1" x14ac:dyDescent="0.25">
      <c r="A19" s="19" t="s">
        <v>7</v>
      </c>
      <c r="B19" s="20"/>
      <c r="C19" s="20"/>
      <c r="D19" s="20"/>
      <c r="E19" s="20"/>
      <c r="F19" s="20"/>
      <c r="G19" s="20"/>
      <c r="H19" s="20"/>
      <c r="I19" s="20"/>
      <c r="T19" s="20"/>
      <c r="U19" s="20"/>
      <c r="V19" s="20"/>
      <c r="W19" s="20"/>
      <c r="X19" s="20"/>
      <c r="Y19" s="20"/>
      <c r="Z19" s="20"/>
      <c r="AA19" s="20"/>
      <c r="AB19" s="20"/>
    </row>
    <row r="20" spans="1:28" s="14" customFormat="1" ht="48.75" customHeight="1" x14ac:dyDescent="0.25">
      <c r="A20" s="21" t="s">
        <v>8</v>
      </c>
      <c r="B20" s="85" t="s">
        <v>9</v>
      </c>
      <c r="C20" s="85" t="s">
        <v>9</v>
      </c>
      <c r="D20" s="85" t="s">
        <v>9</v>
      </c>
      <c r="E20" s="85" t="s">
        <v>9</v>
      </c>
      <c r="F20" s="85" t="s">
        <v>9</v>
      </c>
      <c r="G20" s="85" t="s">
        <v>9</v>
      </c>
      <c r="H20" s="85" t="s">
        <v>9</v>
      </c>
      <c r="I20" s="85" t="s">
        <v>9</v>
      </c>
      <c r="T20" s="85" t="s">
        <v>9</v>
      </c>
      <c r="U20" s="85" t="s">
        <v>9</v>
      </c>
      <c r="V20" s="85" t="s">
        <v>9</v>
      </c>
      <c r="W20" s="85" t="s">
        <v>9</v>
      </c>
      <c r="X20" s="85" t="s">
        <v>9</v>
      </c>
      <c r="Y20" s="85" t="s">
        <v>9</v>
      </c>
      <c r="Z20" s="85" t="s">
        <v>9</v>
      </c>
      <c r="AA20" s="85" t="s">
        <v>9</v>
      </c>
      <c r="AB20" s="85" t="s">
        <v>9</v>
      </c>
    </row>
    <row r="21" spans="1:28" s="9" customFormat="1" ht="19.5" customHeight="1" x14ac:dyDescent="0.2">
      <c r="A21" s="181" t="s">
        <v>68</v>
      </c>
      <c r="B21" s="182"/>
      <c r="C21" s="182"/>
      <c r="D21" s="182"/>
      <c r="E21" s="182"/>
      <c r="F21" s="183"/>
      <c r="G21" s="183"/>
      <c r="H21" s="183"/>
      <c r="I21" s="183"/>
      <c r="J21" s="183"/>
      <c r="K21" s="183"/>
      <c r="L21" s="183"/>
      <c r="M21" s="183"/>
      <c r="N21" s="183"/>
      <c r="O21" s="183"/>
      <c r="P21" s="183"/>
      <c r="Q21" s="183"/>
      <c r="R21" s="183"/>
      <c r="S21" s="183"/>
      <c r="T21" s="183"/>
      <c r="U21" s="183"/>
      <c r="V21" s="183"/>
      <c r="W21" s="183"/>
      <c r="X21" s="183"/>
      <c r="Y21" s="183"/>
      <c r="Z21" s="183"/>
      <c r="AA21" s="183"/>
      <c r="AB21" s="183"/>
    </row>
    <row r="22" spans="1:28" s="14" customFormat="1" ht="46.15" customHeight="1" x14ac:dyDescent="0.25">
      <c r="A22" s="181" t="s">
        <v>10</v>
      </c>
      <c r="B22" s="182"/>
      <c r="C22" s="182"/>
      <c r="D22" s="182"/>
      <c r="E22" s="182"/>
      <c r="F22" s="183"/>
      <c r="G22" s="183"/>
      <c r="H22" s="183"/>
      <c r="I22" s="183"/>
      <c r="J22" s="183"/>
      <c r="K22" s="183"/>
      <c r="L22" s="183"/>
      <c r="M22" s="183"/>
      <c r="N22" s="183"/>
      <c r="O22" s="183"/>
      <c r="P22" s="183"/>
      <c r="Q22" s="183"/>
      <c r="R22" s="183"/>
      <c r="S22" s="183"/>
      <c r="T22" s="183"/>
      <c r="U22" s="183"/>
      <c r="V22" s="183"/>
      <c r="W22" s="183"/>
      <c r="X22" s="183"/>
      <c r="Y22" s="183"/>
      <c r="Z22" s="183"/>
      <c r="AA22" s="183"/>
      <c r="AB22" s="183"/>
    </row>
    <row r="23" spans="1:28" s="14" customFormat="1" ht="34.5" customHeight="1" x14ac:dyDescent="0.25">
      <c r="A23" s="22" t="s">
        <v>11</v>
      </c>
      <c r="B23" s="85" t="s">
        <v>9</v>
      </c>
      <c r="C23" s="85" t="s">
        <v>9</v>
      </c>
      <c r="D23" s="85" t="s">
        <v>9</v>
      </c>
      <c r="E23" s="85" t="s">
        <v>9</v>
      </c>
      <c r="F23" s="85" t="s">
        <v>9</v>
      </c>
      <c r="G23" s="85" t="s">
        <v>9</v>
      </c>
      <c r="H23" s="85" t="s">
        <v>9</v>
      </c>
      <c r="I23" s="85" t="s">
        <v>9</v>
      </c>
      <c r="T23" s="85" t="s">
        <v>9</v>
      </c>
      <c r="U23" s="85" t="s">
        <v>9</v>
      </c>
      <c r="V23" s="85" t="s">
        <v>9</v>
      </c>
      <c r="W23" s="85" t="s">
        <v>9</v>
      </c>
      <c r="X23" s="85" t="s">
        <v>9</v>
      </c>
      <c r="Y23" s="85" t="s">
        <v>9</v>
      </c>
      <c r="Z23" s="85" t="s">
        <v>9</v>
      </c>
      <c r="AA23" s="85" t="s">
        <v>9</v>
      </c>
      <c r="AB23" s="85" t="s">
        <v>9</v>
      </c>
    </row>
    <row r="24" spans="1:28" s="23" customFormat="1" ht="12.75" customHeight="1" x14ac:dyDescent="0.3">
      <c r="A24" s="184" t="s">
        <v>12</v>
      </c>
      <c r="B24" s="175"/>
      <c r="C24" s="175"/>
      <c r="D24" s="175"/>
      <c r="E24" s="175"/>
      <c r="F24" s="175"/>
      <c r="G24" s="175"/>
      <c r="H24" s="175"/>
      <c r="I24" s="175"/>
      <c r="J24" s="175"/>
      <c r="K24" s="175"/>
      <c r="L24" s="175"/>
      <c r="M24" s="175"/>
      <c r="N24" s="175"/>
      <c r="O24" s="175"/>
      <c r="P24" s="175"/>
      <c r="Q24" s="175"/>
      <c r="R24" s="175"/>
      <c r="S24" s="175"/>
      <c r="T24" s="175"/>
      <c r="U24" s="175"/>
      <c r="V24" s="175"/>
      <c r="W24" s="175"/>
      <c r="X24" s="175"/>
      <c r="Y24" s="175"/>
      <c r="Z24" s="175"/>
      <c r="AA24" s="175"/>
      <c r="AB24" s="175"/>
    </row>
    <row r="25" spans="1:28" s="35" customFormat="1" x14ac:dyDescent="0.2">
      <c r="A25" s="175"/>
      <c r="B25" s="175"/>
      <c r="C25" s="175"/>
      <c r="D25" s="175"/>
      <c r="E25" s="175"/>
      <c r="F25" s="175"/>
      <c r="G25" s="175"/>
      <c r="H25" s="175"/>
      <c r="I25" s="175"/>
      <c r="J25" s="175"/>
      <c r="K25" s="175"/>
      <c r="L25" s="175"/>
      <c r="M25" s="175"/>
      <c r="N25" s="175"/>
      <c r="O25" s="175"/>
      <c r="P25" s="175"/>
      <c r="Q25" s="175"/>
      <c r="R25" s="175"/>
      <c r="S25" s="175"/>
      <c r="T25" s="175"/>
      <c r="U25" s="175"/>
      <c r="V25" s="175"/>
      <c r="W25" s="175"/>
      <c r="X25" s="175"/>
      <c r="Y25" s="175"/>
      <c r="Z25" s="175"/>
      <c r="AA25" s="175"/>
      <c r="AB25" s="175"/>
    </row>
    <row r="26" spans="1:28" s="6" customFormat="1" x14ac:dyDescent="0.2">
      <c r="A26" s="175"/>
      <c r="B26" s="175"/>
      <c r="C26" s="175"/>
      <c r="D26" s="175"/>
      <c r="E26" s="175"/>
      <c r="F26" s="175"/>
      <c r="G26" s="175"/>
      <c r="H26" s="175"/>
      <c r="I26" s="175"/>
      <c r="J26" s="175"/>
      <c r="K26" s="175"/>
      <c r="L26" s="175"/>
      <c r="M26" s="175"/>
      <c r="N26" s="175"/>
      <c r="O26" s="175"/>
      <c r="P26" s="175"/>
      <c r="Q26" s="175"/>
      <c r="R26" s="175"/>
      <c r="S26" s="175"/>
      <c r="T26" s="175"/>
      <c r="U26" s="175"/>
      <c r="V26" s="175"/>
      <c r="W26" s="175"/>
      <c r="X26" s="175"/>
      <c r="Y26" s="175"/>
      <c r="Z26" s="175"/>
      <c r="AA26" s="175"/>
      <c r="AB26" s="175"/>
    </row>
    <row r="27" spans="1:28" s="6" customFormat="1" ht="31.9" customHeight="1" x14ac:dyDescent="0.2">
      <c r="A27" s="115" t="s">
        <v>45</v>
      </c>
      <c r="B27" s="179" t="s">
        <v>74</v>
      </c>
      <c r="C27" s="180"/>
      <c r="D27" s="180"/>
      <c r="E27" s="180"/>
      <c r="F27" s="175"/>
      <c r="G27" s="175"/>
      <c r="H27" s="175"/>
      <c r="I27" s="175"/>
      <c r="J27" s="175"/>
      <c r="K27" s="175"/>
      <c r="L27" s="175"/>
      <c r="M27" s="175"/>
      <c r="N27" s="175"/>
      <c r="O27" s="175"/>
      <c r="P27" s="175"/>
      <c r="Q27" s="175"/>
      <c r="R27" s="175"/>
      <c r="S27" s="175"/>
      <c r="T27" s="175"/>
      <c r="U27" s="175"/>
      <c r="V27" s="175"/>
      <c r="W27" s="175"/>
      <c r="X27" s="175"/>
      <c r="Y27" s="175"/>
      <c r="Z27" s="175"/>
      <c r="AA27" s="175"/>
      <c r="AB27" s="175"/>
    </row>
    <row r="28" spans="1:28" s="6" customFormat="1" ht="30.6" customHeight="1" x14ac:dyDescent="0.2">
      <c r="A28" s="25" t="s">
        <v>46</v>
      </c>
      <c r="B28" s="179" t="s">
        <v>51</v>
      </c>
      <c r="C28" s="180"/>
      <c r="D28" s="180"/>
      <c r="E28" s="180"/>
      <c r="F28" s="175"/>
      <c r="G28" s="175"/>
      <c r="H28" s="175"/>
      <c r="I28" s="175"/>
      <c r="J28" s="175"/>
      <c r="K28" s="175"/>
      <c r="L28" s="175"/>
      <c r="M28" s="175"/>
      <c r="N28" s="175"/>
      <c r="O28" s="175"/>
      <c r="P28" s="175"/>
      <c r="Q28" s="175"/>
      <c r="R28" s="175"/>
      <c r="S28" s="175"/>
      <c r="T28" s="175"/>
      <c r="U28" s="175"/>
      <c r="V28" s="175"/>
      <c r="W28" s="175"/>
      <c r="X28" s="175"/>
      <c r="Y28" s="175"/>
      <c r="Z28" s="175"/>
      <c r="AA28" s="175"/>
      <c r="AB28" s="175"/>
    </row>
    <row r="29" spans="1:28" s="6" customFormat="1" ht="22.5" customHeight="1" x14ac:dyDescent="0.2">
      <c r="A29" s="185" t="s">
        <v>47</v>
      </c>
      <c r="B29" s="179" t="s">
        <v>13</v>
      </c>
      <c r="C29" s="180"/>
      <c r="D29" s="180"/>
      <c r="E29" s="180"/>
      <c r="F29" s="175"/>
      <c r="G29" s="175"/>
      <c r="H29" s="175"/>
      <c r="I29" s="175"/>
      <c r="J29" s="175"/>
      <c r="K29" s="175"/>
      <c r="L29" s="175"/>
      <c r="M29" s="175"/>
      <c r="N29" s="175"/>
      <c r="O29" s="175"/>
      <c r="P29" s="175"/>
      <c r="Q29" s="175"/>
      <c r="R29" s="175"/>
      <c r="S29" s="175"/>
      <c r="T29" s="175"/>
      <c r="U29" s="175"/>
      <c r="V29" s="175"/>
      <c r="W29" s="175"/>
      <c r="X29" s="175"/>
      <c r="Y29" s="175"/>
      <c r="Z29" s="175"/>
      <c r="AA29" s="175"/>
      <c r="AB29" s="175"/>
    </row>
    <row r="30" spans="1:28" s="6" customFormat="1" ht="31.5" customHeight="1" x14ac:dyDescent="0.2">
      <c r="A30" s="185"/>
      <c r="B30" s="179" t="s">
        <v>14</v>
      </c>
      <c r="C30" s="180"/>
      <c r="D30" s="180"/>
      <c r="E30" s="180"/>
      <c r="F30" s="175"/>
      <c r="G30" s="175"/>
      <c r="H30" s="175"/>
      <c r="I30" s="175"/>
      <c r="J30" s="175"/>
      <c r="K30" s="175"/>
      <c r="L30" s="175"/>
      <c r="M30" s="175"/>
      <c r="N30" s="175"/>
      <c r="O30" s="175"/>
      <c r="P30" s="175"/>
      <c r="Q30" s="175"/>
      <c r="R30" s="175"/>
      <c r="S30" s="175"/>
      <c r="T30" s="175"/>
      <c r="U30" s="175"/>
      <c r="V30" s="175"/>
      <c r="W30" s="175"/>
      <c r="X30" s="175"/>
      <c r="Y30" s="175"/>
      <c r="Z30" s="175"/>
      <c r="AA30" s="175"/>
      <c r="AB30" s="175"/>
    </row>
    <row r="31" spans="1:28" s="6" customFormat="1" ht="25.5" customHeight="1" x14ac:dyDescent="0.2">
      <c r="A31" s="177" t="s">
        <v>52</v>
      </c>
      <c r="B31" s="179" t="s">
        <v>75</v>
      </c>
      <c r="C31" s="180"/>
      <c r="D31" s="180"/>
      <c r="E31" s="180"/>
      <c r="F31" s="175"/>
      <c r="G31" s="175"/>
      <c r="H31" s="175"/>
      <c r="I31" s="175"/>
      <c r="J31" s="175"/>
      <c r="K31" s="175"/>
      <c r="L31" s="175"/>
      <c r="M31" s="175"/>
      <c r="N31" s="175"/>
      <c r="O31" s="175"/>
      <c r="P31" s="175"/>
      <c r="Q31" s="175"/>
      <c r="R31" s="175"/>
      <c r="S31" s="175"/>
      <c r="T31" s="175"/>
      <c r="U31" s="175"/>
      <c r="V31" s="175"/>
      <c r="W31" s="175"/>
      <c r="X31" s="175"/>
      <c r="Y31" s="175"/>
      <c r="Z31" s="175"/>
      <c r="AA31" s="175"/>
      <c r="AB31" s="175"/>
    </row>
    <row r="32" spans="1:28" s="6" customFormat="1" ht="30" customHeight="1" x14ac:dyDescent="0.2">
      <c r="A32" s="178"/>
      <c r="B32" s="179" t="s">
        <v>76</v>
      </c>
      <c r="C32" s="180"/>
      <c r="D32" s="180"/>
      <c r="E32" s="180"/>
      <c r="F32" s="175"/>
      <c r="G32" s="175"/>
      <c r="H32" s="175"/>
      <c r="I32" s="175"/>
      <c r="J32" s="175"/>
      <c r="K32" s="175"/>
      <c r="L32" s="175"/>
      <c r="M32" s="175"/>
      <c r="N32" s="175"/>
      <c r="O32" s="175"/>
      <c r="P32" s="175"/>
      <c r="Q32" s="175"/>
      <c r="R32" s="175"/>
      <c r="S32" s="175"/>
      <c r="T32" s="175"/>
      <c r="U32" s="175"/>
      <c r="V32" s="175"/>
      <c r="W32" s="175"/>
      <c r="X32" s="175"/>
      <c r="Y32" s="175"/>
      <c r="Z32" s="175"/>
      <c r="AA32" s="175"/>
      <c r="AB32" s="175"/>
    </row>
    <row r="33" spans="1:28" s="6" customFormat="1" ht="30.75" customHeight="1" x14ac:dyDescent="0.2">
      <c r="A33" s="25" t="s">
        <v>53</v>
      </c>
      <c r="B33" s="179" t="s">
        <v>77</v>
      </c>
      <c r="C33" s="180"/>
      <c r="D33" s="180"/>
      <c r="E33" s="180"/>
      <c r="F33" s="175"/>
      <c r="G33" s="175"/>
      <c r="H33" s="175"/>
      <c r="I33" s="175"/>
      <c r="J33" s="175"/>
      <c r="K33" s="175"/>
      <c r="L33" s="175"/>
      <c r="M33" s="175"/>
      <c r="N33" s="175"/>
      <c r="O33" s="175"/>
      <c r="P33" s="175"/>
      <c r="Q33" s="175"/>
      <c r="R33" s="175"/>
      <c r="S33" s="175"/>
      <c r="T33" s="175"/>
      <c r="U33" s="175"/>
      <c r="V33" s="175"/>
      <c r="W33" s="175"/>
      <c r="X33" s="175"/>
      <c r="Y33" s="175"/>
      <c r="Z33" s="175"/>
      <c r="AA33" s="175"/>
      <c r="AB33" s="175"/>
    </row>
    <row r="34" spans="1:28" s="6" customFormat="1" ht="18.75" x14ac:dyDescent="0.25">
      <c r="A34" s="26"/>
      <c r="B34" s="111"/>
      <c r="C34" s="111"/>
      <c r="D34" s="111"/>
      <c r="E34" s="111"/>
      <c r="F34" s="14"/>
      <c r="G34" s="14"/>
      <c r="H34" s="14"/>
      <c r="I34" s="14"/>
      <c r="J34" s="14"/>
      <c r="K34" s="14"/>
      <c r="L34" s="14"/>
      <c r="M34" s="14"/>
      <c r="N34" s="14"/>
      <c r="O34" s="14"/>
      <c r="P34" s="14"/>
      <c r="Q34" s="14"/>
      <c r="R34" s="14"/>
      <c r="S34" s="14"/>
      <c r="T34" s="14"/>
      <c r="U34" s="14"/>
      <c r="V34" s="14"/>
      <c r="W34" s="14"/>
      <c r="X34" s="14"/>
      <c r="Y34" s="14"/>
      <c r="Z34" s="14"/>
      <c r="AA34" s="14"/>
      <c r="AB34" s="14"/>
    </row>
    <row r="35" spans="1:28" s="28" customFormat="1" ht="14.25" customHeight="1" x14ac:dyDescent="0.2">
      <c r="A35" s="26"/>
      <c r="B35" s="27"/>
      <c r="C35" s="27"/>
      <c r="D35" s="27"/>
      <c r="E35" s="27"/>
      <c r="F35" s="27"/>
      <c r="G35" s="27"/>
      <c r="H35" s="27"/>
      <c r="I35" s="27"/>
      <c r="T35" s="27"/>
      <c r="U35" s="27"/>
      <c r="V35" s="27"/>
      <c r="W35" s="27"/>
      <c r="X35" s="27"/>
      <c r="Y35" s="27"/>
      <c r="Z35" s="27"/>
      <c r="AA35" s="27"/>
      <c r="AB35" s="27"/>
    </row>
    <row r="36" spans="1:28" s="24" customFormat="1" ht="15.75" customHeight="1" x14ac:dyDescent="0.25">
      <c r="A36" s="162" t="s">
        <v>15</v>
      </c>
      <c r="B36" s="162" t="str">
        <f>+B15</f>
        <v>CONSORCIO CCC-JPS USAQUEN</v>
      </c>
      <c r="C36" s="162"/>
      <c r="D36" s="162" t="str">
        <f>+D15</f>
        <v>CONSORCIO  SI USAQUEN</v>
      </c>
      <c r="E36" s="162"/>
      <c r="F36" s="162" t="str">
        <f>+F15</f>
        <v>CONSORCIO UQUEN</v>
      </c>
      <c r="G36" s="162"/>
      <c r="H36" s="162" t="str">
        <f>+H15</f>
        <v>CONSORCIO USAQUEN 2018</v>
      </c>
      <c r="I36" s="162"/>
      <c r="T36" s="162" t="str">
        <f>+T15</f>
        <v>CONSORCIO VIAS USAQUEN</v>
      </c>
      <c r="U36" s="162"/>
      <c r="V36" s="135" t="str">
        <f>+V15</f>
        <v xml:space="preserve"> CIVING INGENIEROS CONTRATISTAS S.A.S. </v>
      </c>
      <c r="W36" s="135" t="str">
        <f>+W15</f>
        <v>VELNEC SA</v>
      </c>
      <c r="X36" s="162" t="str">
        <f>+X15</f>
        <v>CONSORCIO FDLUSA-006</v>
      </c>
      <c r="Y36" s="162"/>
      <c r="Z36" s="135" t="str">
        <f>+Z15</f>
        <v xml:space="preserve"> INGENIERIA DE PROYECTOS S.A.S</v>
      </c>
      <c r="AA36" s="162" t="str">
        <f>+AA15</f>
        <v xml:space="preserve">CONSORCIO ARA-JARP </v>
      </c>
      <c r="AB36" s="162"/>
    </row>
    <row r="37" spans="1:28" s="52" customFormat="1" ht="22.5" x14ac:dyDescent="0.2">
      <c r="A37" s="162"/>
      <c r="B37" s="84" t="str">
        <f>+B16</f>
        <v>JPS INGENIERIA SOCIEDAD ANONIMA</v>
      </c>
      <c r="C37" s="84" t="str">
        <f>+C16</f>
        <v xml:space="preserve">COMPAÑÍA COLOMBIANA DE CONSULTORES S.A.S. </v>
      </c>
      <c r="D37" s="84" t="str">
        <f>+D16</f>
        <v>SOLUCIONES PARA INGENIERIA SAS</v>
      </c>
      <c r="E37" s="84" t="str">
        <f>+E16</f>
        <v>YAMILL MONTENEGRO CALDERON</v>
      </c>
      <c r="F37" s="84" t="str">
        <f>+F16</f>
        <v>CONSULTORES DONOVAN SAS</v>
      </c>
      <c r="G37" s="84" t="str">
        <f>+G16</f>
        <v>CPS INGENIEROS FILIAL COLOMBIA SAS</v>
      </c>
      <c r="H37" s="84" t="str">
        <f>+H16</f>
        <v>KRYSTAL INGENIEROS SAS</v>
      </c>
      <c r="I37" s="84" t="str">
        <f>+I16</f>
        <v>DPC INGENIEROS SAS</v>
      </c>
      <c r="T37" s="84" t="str">
        <f>+T16</f>
        <v>INCGROUP SAS</v>
      </c>
      <c r="U37" s="84" t="str">
        <f>+U16</f>
        <v>JORGE ISAAC VELASQUEZ</v>
      </c>
      <c r="V37" s="136"/>
      <c r="W37" s="136"/>
      <c r="X37" s="84" t="str">
        <f>+X16</f>
        <v>SANDRA MONICA CARDOZO ROJAS</v>
      </c>
      <c r="Y37" s="84" t="str">
        <f>+Y16</f>
        <v>SAVIMAC SAS</v>
      </c>
      <c r="Z37" s="136"/>
      <c r="AA37" s="84" t="str">
        <f>+AA16</f>
        <v xml:space="preserve">ARA INGENIERIA S.A.S </v>
      </c>
      <c r="AB37" s="84" t="str">
        <f>+AB16</f>
        <v xml:space="preserve">JOSÉ ALBERTO ROJAS PRIETO </v>
      </c>
    </row>
    <row r="38" spans="1:28" s="24" customFormat="1" ht="15.75" x14ac:dyDescent="0.25">
      <c r="A38" s="186" t="s">
        <v>16</v>
      </c>
      <c r="B38" s="29">
        <f t="shared" ref="B38:I38" si="0">(B66/B70)</f>
        <v>3.4848052749457286</v>
      </c>
      <c r="C38" s="29">
        <f t="shared" si="0"/>
        <v>2.2049987882916811</v>
      </c>
      <c r="D38" s="29">
        <f t="shared" si="0"/>
        <v>341.10599999999999</v>
      </c>
      <c r="E38" s="29">
        <f t="shared" si="0"/>
        <v>2.1860569247305692</v>
      </c>
      <c r="F38" s="29">
        <f t="shared" si="0"/>
        <v>2.5063525843996723</v>
      </c>
      <c r="G38" s="29">
        <f t="shared" si="0"/>
        <v>2.438046477870675</v>
      </c>
      <c r="H38" s="29">
        <f t="shared" si="0"/>
        <v>6.0369849766655141</v>
      </c>
      <c r="I38" s="29">
        <f t="shared" si="0"/>
        <v>1.9659932040291832</v>
      </c>
      <c r="T38" s="29">
        <f t="shared" ref="T38:AB38" si="1">(T66/T70)</f>
        <v>1.8338878903211748</v>
      </c>
      <c r="U38" s="29">
        <f t="shared" si="1"/>
        <v>9.8769480571819717</v>
      </c>
      <c r="V38" s="137">
        <f t="shared" si="1"/>
        <v>32.230181422127096</v>
      </c>
      <c r="W38" s="137">
        <f t="shared" si="1"/>
        <v>1.6666231488448258</v>
      </c>
      <c r="X38" s="29">
        <f t="shared" si="1"/>
        <v>12.638327038338705</v>
      </c>
      <c r="Y38" s="29">
        <f t="shared" si="1"/>
        <v>4.4076989691101547</v>
      </c>
      <c r="Z38" s="137">
        <f t="shared" si="1"/>
        <v>7.1889014073198334</v>
      </c>
      <c r="AA38" s="29">
        <f t="shared" si="1"/>
        <v>23.05358859152118</v>
      </c>
      <c r="AB38" s="29" t="e">
        <f t="shared" si="1"/>
        <v>#DIV/0!</v>
      </c>
    </row>
    <row r="39" spans="1:28" s="24" customFormat="1" ht="15.75" x14ac:dyDescent="0.25">
      <c r="A39" s="187"/>
      <c r="B39" s="164">
        <f>+B67/B71</f>
        <v>2.3766408710688784</v>
      </c>
      <c r="C39" s="164"/>
      <c r="D39" s="164">
        <f>+D67/D71</f>
        <v>2.4418188163112848</v>
      </c>
      <c r="E39" s="164"/>
      <c r="F39" s="164">
        <f>+F67/F71</f>
        <v>2.5005932171655143</v>
      </c>
      <c r="G39" s="164"/>
      <c r="H39" s="164">
        <f>+H67/H71</f>
        <v>2.4968795240519177</v>
      </c>
      <c r="I39" s="164"/>
      <c r="T39" s="164">
        <f>+T67/T71</f>
        <v>1.9713421123035899</v>
      </c>
      <c r="U39" s="164"/>
      <c r="V39" s="138"/>
      <c r="W39" s="138"/>
      <c r="X39" s="164">
        <f>+X67/X71</f>
        <v>7.6727008858639936</v>
      </c>
      <c r="Y39" s="164"/>
      <c r="Z39" s="138"/>
      <c r="AA39" s="164">
        <f>+AA67/AA71</f>
        <v>43.292114564179165</v>
      </c>
      <c r="AB39" s="164"/>
    </row>
    <row r="40" spans="1:28" s="24" customFormat="1" ht="15.75" x14ac:dyDescent="0.25">
      <c r="A40" s="186" t="s">
        <v>17</v>
      </c>
      <c r="B40" s="29">
        <f t="shared" ref="B40:I40" si="2">(B72/B68)</f>
        <v>0.31136062966553796</v>
      </c>
      <c r="C40" s="29">
        <f t="shared" si="2"/>
        <v>0.42994006843886695</v>
      </c>
      <c r="D40" s="29">
        <f t="shared" si="2"/>
        <v>2.2128691618979335E-3</v>
      </c>
      <c r="E40" s="29">
        <f t="shared" si="2"/>
        <v>0.49016246936534053</v>
      </c>
      <c r="F40" s="29">
        <f t="shared" si="2"/>
        <v>0.52465723676992326</v>
      </c>
      <c r="G40" s="29">
        <f t="shared" si="2"/>
        <v>0.76138017955398507</v>
      </c>
      <c r="H40" s="29">
        <f t="shared" si="2"/>
        <v>0.16564560022349814</v>
      </c>
      <c r="I40" s="29">
        <f t="shared" si="2"/>
        <v>0.45544547630763432</v>
      </c>
      <c r="T40" s="29">
        <f t="shared" ref="T40:AB40" si="3">(T72/T68)</f>
        <v>0.75914996667225076</v>
      </c>
      <c r="U40" s="29">
        <f t="shared" si="3"/>
        <v>0.10172413000222306</v>
      </c>
      <c r="V40" s="137">
        <f t="shared" si="3"/>
        <v>3.2785414176518569E-2</v>
      </c>
      <c r="W40" s="137">
        <f t="shared" si="3"/>
        <v>0.52670583941173243</v>
      </c>
      <c r="X40" s="29">
        <f t="shared" si="3"/>
        <v>4.8634695794669426E-2</v>
      </c>
      <c r="Y40" s="29">
        <f t="shared" si="3"/>
        <v>0.4186393246910784</v>
      </c>
      <c r="Z40" s="137">
        <f t="shared" si="3"/>
        <v>0.28511266172214739</v>
      </c>
      <c r="AA40" s="29">
        <f t="shared" si="3"/>
        <v>0.25715167640067688</v>
      </c>
      <c r="AB40" s="29">
        <f t="shared" si="3"/>
        <v>1.3730054503276641E-2</v>
      </c>
    </row>
    <row r="41" spans="1:28" s="24" customFormat="1" ht="15.75" x14ac:dyDescent="0.25">
      <c r="A41" s="187"/>
      <c r="B41" s="164">
        <f>+B73/B69</f>
        <v>0.40925293191566836</v>
      </c>
      <c r="C41" s="164"/>
      <c r="D41" s="164">
        <f>+D73/D69</f>
        <v>0.45116278464346254</v>
      </c>
      <c r="E41" s="164"/>
      <c r="F41" s="164">
        <f>+F73/F69</f>
        <v>0.5437009889799409</v>
      </c>
      <c r="G41" s="164"/>
      <c r="H41" s="164">
        <f>+H73/H69</f>
        <v>0.41267901697919929</v>
      </c>
      <c r="I41" s="164"/>
      <c r="T41" s="164">
        <f>+T73/T69</f>
        <v>0.69591345799383442</v>
      </c>
      <c r="U41" s="164"/>
      <c r="V41" s="138"/>
      <c r="W41" s="138"/>
      <c r="X41" s="164">
        <f>+X73/X69</f>
        <v>0.16236510748360308</v>
      </c>
      <c r="Y41" s="164"/>
      <c r="Z41" s="138"/>
      <c r="AA41" s="164">
        <f>+AA73/AA69</f>
        <v>0.15182786497785256</v>
      </c>
      <c r="AB41" s="164"/>
    </row>
    <row r="42" spans="1:28" s="24" customFormat="1" ht="15.75" x14ac:dyDescent="0.25">
      <c r="A42" s="186" t="s">
        <v>18</v>
      </c>
      <c r="B42" s="30">
        <f t="shared" ref="B42:I42" si="4">(B76/B78)</f>
        <v>845.41056219384359</v>
      </c>
      <c r="C42" s="30">
        <f t="shared" si="4"/>
        <v>30.96030422280672</v>
      </c>
      <c r="D42" s="30">
        <f t="shared" si="4"/>
        <v>182.42903225806452</v>
      </c>
      <c r="E42" s="30">
        <f t="shared" si="4"/>
        <v>2.6023504418009114</v>
      </c>
      <c r="F42" s="30">
        <f t="shared" si="4"/>
        <v>31.798852426594731</v>
      </c>
      <c r="G42" s="30">
        <f t="shared" si="4"/>
        <v>16.795563773579932</v>
      </c>
      <c r="H42" s="30">
        <f t="shared" si="4"/>
        <v>65236.547115384616</v>
      </c>
      <c r="I42" s="30">
        <f t="shared" si="4"/>
        <v>63.765555336166159</v>
      </c>
      <c r="T42" s="30">
        <f t="shared" ref="T42:AB42" si="5">(T76/T78)</f>
        <v>1.7134911804588107</v>
      </c>
      <c r="U42" s="30">
        <f t="shared" si="5"/>
        <v>333.22444091422688</v>
      </c>
      <c r="V42" s="139">
        <f t="shared" si="5"/>
        <v>12.163734575168327</v>
      </c>
      <c r="W42" s="139">
        <f t="shared" si="5"/>
        <v>3.4495937318405421</v>
      </c>
      <c r="X42" s="30" t="e">
        <f t="shared" si="5"/>
        <v>#DIV/0!</v>
      </c>
      <c r="Y42" s="30" t="e">
        <f t="shared" si="5"/>
        <v>#DIV/0!</v>
      </c>
      <c r="Z42" s="139">
        <f t="shared" si="5"/>
        <v>27.103761615106169</v>
      </c>
      <c r="AA42" s="30">
        <f t="shared" si="5"/>
        <v>15.190282115181102</v>
      </c>
      <c r="AB42" s="30">
        <f t="shared" si="5"/>
        <v>8.0444135514018686</v>
      </c>
    </row>
    <row r="43" spans="1:28" s="24" customFormat="1" ht="15.75" x14ac:dyDescent="0.25">
      <c r="A43" s="187"/>
      <c r="B43" s="161">
        <f>+B77/B79</f>
        <v>44.724511134998174</v>
      </c>
      <c r="C43" s="161"/>
      <c r="D43" s="161">
        <f>+D77/D79</f>
        <v>2.9565939100305592</v>
      </c>
      <c r="E43" s="161"/>
      <c r="F43" s="161">
        <f>+F77/F79</f>
        <v>30.840120494601109</v>
      </c>
      <c r="G43" s="161"/>
      <c r="H43" s="161">
        <f>+H77/H79</f>
        <v>81.695667374333496</v>
      </c>
      <c r="I43" s="161"/>
      <c r="T43" s="161">
        <f>+T77/T79</f>
        <v>2.0835424178233191</v>
      </c>
      <c r="U43" s="161"/>
      <c r="V43" s="136"/>
      <c r="W43" s="136"/>
      <c r="X43" s="161" t="e">
        <f>+X77/X79</f>
        <v>#DIV/0!</v>
      </c>
      <c r="Y43" s="161"/>
      <c r="Z43" s="136"/>
      <c r="AA43" s="161">
        <f>+AA77/AA79</f>
        <v>11.852172411911303</v>
      </c>
      <c r="AB43" s="161"/>
    </row>
    <row r="44" spans="1:28" s="24" customFormat="1" ht="15.75" x14ac:dyDescent="0.25">
      <c r="A44" s="92" t="s">
        <v>19</v>
      </c>
      <c r="B44" s="140">
        <f t="shared" ref="B44:I44" si="6">+B66-B70</f>
        <v>1516053000</v>
      </c>
      <c r="C44" s="140">
        <f t="shared" si="6"/>
        <v>4746670157.5</v>
      </c>
      <c r="D44" s="140">
        <f t="shared" si="6"/>
        <v>425132500</v>
      </c>
      <c r="E44" s="140">
        <f t="shared" si="6"/>
        <v>1963129626</v>
      </c>
      <c r="F44" s="140">
        <f t="shared" si="6"/>
        <v>958011746.5</v>
      </c>
      <c r="G44" s="140">
        <f t="shared" si="6"/>
        <v>84214566.5</v>
      </c>
      <c r="H44" s="140">
        <f t="shared" si="6"/>
        <v>617972462.5</v>
      </c>
      <c r="I44" s="140">
        <f t="shared" si="6"/>
        <v>790291303.5</v>
      </c>
      <c r="T44" s="140">
        <f t="shared" ref="T44:AB44" si="7">+T66-T70</f>
        <v>3986682983</v>
      </c>
      <c r="U44" s="140">
        <f t="shared" si="7"/>
        <v>737888318</v>
      </c>
      <c r="V44" s="140">
        <f t="shared" si="7"/>
        <v>2393380949</v>
      </c>
      <c r="W44" s="140">
        <f t="shared" si="7"/>
        <v>1558340240</v>
      </c>
      <c r="X44" s="140">
        <f t="shared" si="7"/>
        <v>814036500</v>
      </c>
      <c r="Y44" s="140">
        <f t="shared" si="7"/>
        <v>362497590</v>
      </c>
      <c r="Z44" s="140">
        <f t="shared" si="7"/>
        <v>12024497000</v>
      </c>
      <c r="AA44" s="140">
        <f t="shared" si="7"/>
        <v>1289381780.5</v>
      </c>
      <c r="AB44" s="140">
        <f t="shared" si="7"/>
        <v>1183262603.5</v>
      </c>
    </row>
    <row r="45" spans="1:28" s="24" customFormat="1" ht="15.75" x14ac:dyDescent="0.25">
      <c r="A45" s="31" t="s">
        <v>20</v>
      </c>
      <c r="B45" s="158"/>
      <c r="C45" s="158"/>
      <c r="D45" s="158"/>
      <c r="E45" s="158"/>
      <c r="F45" s="158"/>
      <c r="G45" s="158"/>
      <c r="H45" s="158"/>
      <c r="I45" s="158"/>
      <c r="T45" s="158"/>
      <c r="U45" s="158"/>
      <c r="V45" s="141"/>
      <c r="W45" s="141"/>
      <c r="X45" s="158"/>
      <c r="Y45" s="158"/>
      <c r="Z45" s="141"/>
      <c r="AA45" s="158"/>
      <c r="AB45" s="158"/>
    </row>
    <row r="46" spans="1:28" s="32" customFormat="1" ht="15.75" x14ac:dyDescent="0.25">
      <c r="A46" s="110" t="s">
        <v>21</v>
      </c>
      <c r="B46" s="159">
        <f>+B44+C44</f>
        <v>6262723157.5</v>
      </c>
      <c r="C46" s="160"/>
      <c r="D46" s="159">
        <f>+D44+E44</f>
        <v>2388262126</v>
      </c>
      <c r="E46" s="160"/>
      <c r="F46" s="159">
        <f>+F44+G44</f>
        <v>1042226313</v>
      </c>
      <c r="G46" s="160"/>
      <c r="H46" s="159">
        <f>+H44+I44</f>
        <v>1408263766</v>
      </c>
      <c r="I46" s="160"/>
      <c r="T46" s="159">
        <f>+T44+U44</f>
        <v>4724571301</v>
      </c>
      <c r="U46" s="160"/>
      <c r="V46" s="142"/>
      <c r="W46" s="142"/>
      <c r="X46" s="159">
        <f>+X44+Y44</f>
        <v>1176534090</v>
      </c>
      <c r="Y46" s="160"/>
      <c r="Z46" s="142"/>
      <c r="AA46" s="159">
        <f>+AA44+AB44</f>
        <v>2472644384</v>
      </c>
      <c r="AB46" s="160"/>
    </row>
    <row r="47" spans="1:28" s="49" customFormat="1" ht="15.75" x14ac:dyDescent="0.25">
      <c r="A47" s="186" t="s">
        <v>22</v>
      </c>
      <c r="B47" s="48">
        <f t="shared" ref="B47:I47" si="8">+B74</f>
        <v>1513974000</v>
      </c>
      <c r="C47" s="48">
        <f t="shared" si="8"/>
        <v>5930553758</v>
      </c>
      <c r="D47" s="48">
        <f t="shared" si="8"/>
        <v>563627500</v>
      </c>
      <c r="E47" s="48">
        <f t="shared" si="8"/>
        <v>3315300326.5</v>
      </c>
      <c r="F47" s="48">
        <f t="shared" si="8"/>
        <v>784996036.5</v>
      </c>
      <c r="G47" s="48">
        <f t="shared" si="8"/>
        <v>34474875</v>
      </c>
      <c r="H47" s="48">
        <f t="shared" si="8"/>
        <v>617972462.5</v>
      </c>
      <c r="I47" s="48">
        <f t="shared" si="8"/>
        <v>2329766207.5</v>
      </c>
      <c r="T47" s="48">
        <f t="shared" ref="T47:AB47" si="9">+T74</f>
        <v>2294245354</v>
      </c>
      <c r="U47" s="48">
        <f t="shared" si="9"/>
        <v>910638318</v>
      </c>
      <c r="V47" s="143">
        <f t="shared" si="9"/>
        <v>4749961447</v>
      </c>
      <c r="W47" s="143">
        <f t="shared" si="9"/>
        <v>4192789224</v>
      </c>
      <c r="X47" s="48">
        <f t="shared" si="9"/>
        <v>1368215250</v>
      </c>
      <c r="Y47" s="48">
        <f t="shared" si="9"/>
        <v>371043190</v>
      </c>
      <c r="Z47" s="143">
        <f t="shared" si="9"/>
        <v>11782643000</v>
      </c>
      <c r="AA47" s="48">
        <f t="shared" si="9"/>
        <v>1205971470.5</v>
      </c>
      <c r="AB47" s="48">
        <f t="shared" si="9"/>
        <v>1221159688</v>
      </c>
    </row>
    <row r="48" spans="1:28" s="24" customFormat="1" ht="15.75" x14ac:dyDescent="0.25">
      <c r="A48" s="187"/>
      <c r="B48" s="161">
        <f>+B47+C47</f>
        <v>7444527758</v>
      </c>
      <c r="C48" s="161"/>
      <c r="D48" s="161">
        <f>+D47+E47</f>
        <v>3878927826.5</v>
      </c>
      <c r="E48" s="161"/>
      <c r="F48" s="161">
        <f>+F47+G47</f>
        <v>819470911.5</v>
      </c>
      <c r="G48" s="161"/>
      <c r="H48" s="161">
        <f>+H47+I47</f>
        <v>2947738670</v>
      </c>
      <c r="I48" s="161"/>
      <c r="T48" s="161">
        <f>+T47+U47</f>
        <v>3204883672</v>
      </c>
      <c r="U48" s="161"/>
      <c r="V48" s="142"/>
      <c r="W48" s="142"/>
      <c r="X48" s="161">
        <f>+X47+Y47</f>
        <v>1739258440</v>
      </c>
      <c r="Y48" s="161"/>
      <c r="Z48" s="142"/>
      <c r="AA48" s="161">
        <f>+AA47+AB47</f>
        <v>2427131158.5</v>
      </c>
      <c r="AB48" s="161"/>
    </row>
    <row r="49" spans="1:28" s="24" customFormat="1" ht="18.75" x14ac:dyDescent="0.25">
      <c r="A49" s="33"/>
      <c r="B49" s="188"/>
      <c r="C49" s="188"/>
      <c r="D49" s="188"/>
      <c r="E49" s="188"/>
      <c r="F49" s="188"/>
      <c r="G49" s="188"/>
      <c r="H49" s="188"/>
      <c r="I49" s="188"/>
      <c r="T49" s="188"/>
      <c r="U49" s="188"/>
      <c r="V49" s="188"/>
      <c r="W49" s="188"/>
      <c r="X49" s="188"/>
      <c r="Y49" s="188"/>
      <c r="Z49" s="188"/>
      <c r="AA49" s="188"/>
      <c r="AB49" s="188"/>
    </row>
    <row r="50" spans="1:28" ht="18.75" x14ac:dyDescent="0.2">
      <c r="A50" s="112" t="s">
        <v>48</v>
      </c>
      <c r="B50" s="163"/>
      <c r="C50" s="163"/>
      <c r="D50" s="163"/>
      <c r="E50" s="163"/>
      <c r="F50" s="163"/>
      <c r="G50" s="163"/>
      <c r="H50" s="163"/>
      <c r="I50" s="163"/>
      <c r="T50" s="163"/>
      <c r="U50" s="163"/>
      <c r="V50" s="163"/>
      <c r="W50" s="163"/>
      <c r="X50" s="163"/>
      <c r="Y50" s="163"/>
      <c r="Z50" s="163"/>
      <c r="AA50" s="163"/>
      <c r="AB50" s="163"/>
    </row>
    <row r="51" spans="1:28" ht="40.9" customHeight="1" x14ac:dyDescent="0.2">
      <c r="A51" s="50" t="s">
        <v>49</v>
      </c>
      <c r="B51" s="179" t="s">
        <v>23</v>
      </c>
      <c r="C51" s="180"/>
      <c r="D51" s="180"/>
      <c r="E51" s="180"/>
      <c r="F51" s="175"/>
      <c r="G51" s="175"/>
      <c r="H51" s="175"/>
      <c r="I51" s="175"/>
      <c r="J51" s="175"/>
      <c r="K51" s="175"/>
      <c r="L51" s="175"/>
      <c r="M51" s="175"/>
      <c r="N51" s="175"/>
      <c r="O51" s="175"/>
      <c r="P51" s="175"/>
      <c r="Q51" s="175"/>
      <c r="R51" s="175"/>
      <c r="S51" s="175"/>
      <c r="T51" s="175"/>
      <c r="U51" s="175"/>
      <c r="V51" s="175"/>
      <c r="W51" s="175"/>
      <c r="X51" s="175"/>
      <c r="Y51" s="175"/>
      <c r="Z51" s="175"/>
      <c r="AA51" s="175"/>
      <c r="AB51" s="191"/>
    </row>
    <row r="52" spans="1:28" ht="15.75" customHeight="1" x14ac:dyDescent="0.2">
      <c r="A52" s="192" t="s">
        <v>50</v>
      </c>
      <c r="B52" s="179" t="s">
        <v>23</v>
      </c>
      <c r="C52" s="180"/>
      <c r="D52" s="180"/>
      <c r="E52" s="180"/>
      <c r="F52" s="175"/>
      <c r="G52" s="175"/>
      <c r="H52" s="175"/>
      <c r="I52" s="175"/>
      <c r="J52" s="175"/>
      <c r="K52" s="175"/>
      <c r="L52" s="175"/>
      <c r="M52" s="175"/>
      <c r="N52" s="175"/>
      <c r="O52" s="175"/>
      <c r="P52" s="175"/>
      <c r="Q52" s="175"/>
      <c r="R52" s="175"/>
      <c r="S52" s="175"/>
      <c r="T52" s="175"/>
      <c r="U52" s="175"/>
      <c r="V52" s="175"/>
      <c r="W52" s="175"/>
      <c r="X52" s="175"/>
      <c r="Y52" s="175"/>
      <c r="Z52" s="175"/>
      <c r="AA52" s="175"/>
      <c r="AB52" s="191"/>
    </row>
    <row r="53" spans="1:28" ht="15.75" customHeight="1" x14ac:dyDescent="0.2">
      <c r="A53" s="192"/>
      <c r="B53" s="179" t="s">
        <v>24</v>
      </c>
      <c r="C53" s="180"/>
      <c r="D53" s="180"/>
      <c r="E53" s="180"/>
      <c r="F53" s="175"/>
      <c r="G53" s="175"/>
      <c r="H53" s="175"/>
      <c r="I53" s="175"/>
      <c r="J53" s="175"/>
      <c r="K53" s="175"/>
      <c r="L53" s="175"/>
      <c r="M53" s="175"/>
      <c r="N53" s="175"/>
      <c r="O53" s="175"/>
      <c r="P53" s="175"/>
      <c r="Q53" s="175"/>
      <c r="R53" s="175"/>
      <c r="S53" s="175"/>
      <c r="T53" s="175"/>
      <c r="U53" s="175"/>
      <c r="V53" s="175"/>
      <c r="W53" s="175"/>
      <c r="X53" s="175"/>
      <c r="Y53" s="175"/>
      <c r="Z53" s="175"/>
      <c r="AA53" s="175"/>
      <c r="AB53" s="191"/>
    </row>
    <row r="54" spans="1:28" ht="27" customHeight="1" x14ac:dyDescent="0.2">
      <c r="A54" s="192"/>
      <c r="B54" s="193" t="s">
        <v>54</v>
      </c>
      <c r="C54" s="194"/>
      <c r="D54" s="194"/>
      <c r="E54" s="194"/>
      <c r="F54" s="194"/>
      <c r="G54" s="194"/>
      <c r="H54" s="194"/>
      <c r="I54" s="194"/>
      <c r="J54" s="194"/>
      <c r="K54" s="194"/>
      <c r="L54" s="194"/>
      <c r="M54" s="194"/>
      <c r="N54" s="194"/>
      <c r="O54" s="194"/>
      <c r="P54" s="194"/>
      <c r="Q54" s="194"/>
      <c r="R54" s="194"/>
      <c r="S54" s="194"/>
      <c r="T54" s="194"/>
      <c r="U54" s="194"/>
      <c r="V54" s="194"/>
      <c r="W54" s="194"/>
      <c r="X54" s="194"/>
      <c r="Y54" s="194"/>
      <c r="Z54" s="194"/>
      <c r="AA54" s="194"/>
      <c r="AB54" s="195"/>
    </row>
    <row r="55" spans="1:28" s="6" customFormat="1" ht="38.25" customHeight="1" x14ac:dyDescent="0.2">
      <c r="A55" s="51"/>
      <c r="B55" s="196" t="s">
        <v>55</v>
      </c>
      <c r="C55" s="196"/>
      <c r="D55" s="196"/>
      <c r="E55" s="196"/>
      <c r="F55" s="197"/>
      <c r="G55" s="197"/>
      <c r="H55" s="197"/>
      <c r="I55" s="197"/>
      <c r="J55" s="197"/>
      <c r="K55" s="197"/>
      <c r="L55" s="197"/>
      <c r="M55" s="197"/>
      <c r="N55" s="197"/>
      <c r="O55" s="197"/>
      <c r="P55" s="197"/>
      <c r="Q55" s="197"/>
      <c r="R55" s="197"/>
      <c r="S55" s="197"/>
      <c r="T55" s="197"/>
      <c r="U55" s="197"/>
      <c r="V55" s="197"/>
      <c r="W55" s="197"/>
      <c r="X55" s="197"/>
      <c r="Y55" s="197"/>
      <c r="Z55" s="197"/>
      <c r="AA55" s="197"/>
      <c r="AB55" s="198"/>
    </row>
    <row r="56" spans="1:28" s="35" customFormat="1" ht="18.75" x14ac:dyDescent="0.2">
      <c r="A56" s="34"/>
      <c r="B56" s="27"/>
      <c r="C56" s="27"/>
      <c r="D56" s="27"/>
      <c r="E56" s="27"/>
      <c r="F56" s="27"/>
      <c r="G56" s="27"/>
      <c r="H56" s="27"/>
      <c r="I56" s="27"/>
      <c r="T56" s="27"/>
      <c r="U56" s="27"/>
      <c r="V56" s="27"/>
      <c r="W56" s="27"/>
      <c r="X56" s="27"/>
      <c r="Y56" s="27"/>
      <c r="Z56" s="27"/>
      <c r="AA56" s="27"/>
      <c r="AB56" s="27"/>
    </row>
    <row r="57" spans="1:28" s="24" customFormat="1" ht="15.75" customHeight="1" x14ac:dyDescent="0.25">
      <c r="A57" s="162" t="s">
        <v>15</v>
      </c>
      <c r="B57" s="162" t="str">
        <f>+B36</f>
        <v>CONSORCIO CCC-JPS USAQUEN</v>
      </c>
      <c r="C57" s="162"/>
      <c r="D57" s="162" t="str">
        <f>+D36</f>
        <v>CONSORCIO  SI USAQUEN</v>
      </c>
      <c r="E57" s="162"/>
      <c r="F57" s="162" t="str">
        <f>+F36</f>
        <v>CONSORCIO UQUEN</v>
      </c>
      <c r="G57" s="162"/>
      <c r="H57" s="162" t="str">
        <f>+H36</f>
        <v>CONSORCIO USAQUEN 2018</v>
      </c>
      <c r="I57" s="162"/>
      <c r="T57" s="162" t="str">
        <f>+T36</f>
        <v>CONSORCIO VIAS USAQUEN</v>
      </c>
      <c r="U57" s="162"/>
      <c r="V57" s="135" t="str">
        <f>+V36</f>
        <v xml:space="preserve"> CIVING INGENIEROS CONTRATISTAS S.A.S. </v>
      </c>
      <c r="W57" s="135" t="str">
        <f>+W36</f>
        <v>VELNEC SA</v>
      </c>
      <c r="X57" s="162" t="str">
        <f>+X36</f>
        <v>CONSORCIO FDLUSA-006</v>
      </c>
      <c r="Y57" s="162"/>
      <c r="Z57" s="135" t="str">
        <f>+Z36</f>
        <v xml:space="preserve"> INGENIERIA DE PROYECTOS S.A.S</v>
      </c>
      <c r="AA57" s="162" t="str">
        <f>+AA36</f>
        <v xml:space="preserve">CONSORCIO ARA-JARP </v>
      </c>
      <c r="AB57" s="162"/>
    </row>
    <row r="58" spans="1:28" s="54" customFormat="1" ht="22.5" x14ac:dyDescent="0.2">
      <c r="A58" s="162"/>
      <c r="B58" s="84" t="str">
        <f>+B37</f>
        <v>JPS INGENIERIA SOCIEDAD ANONIMA</v>
      </c>
      <c r="C58" s="84" t="str">
        <f>+C37</f>
        <v xml:space="preserve">COMPAÑÍA COLOMBIANA DE CONSULTORES S.A.S. </v>
      </c>
      <c r="D58" s="84" t="str">
        <f>+D37</f>
        <v>SOLUCIONES PARA INGENIERIA SAS</v>
      </c>
      <c r="E58" s="84" t="str">
        <f>+E37</f>
        <v>YAMILL MONTENEGRO CALDERON</v>
      </c>
      <c r="F58" s="84" t="str">
        <f>+F37</f>
        <v>CONSULTORES DONOVAN SAS</v>
      </c>
      <c r="G58" s="84" t="str">
        <f>+G37</f>
        <v>CPS INGENIEROS FILIAL COLOMBIA SAS</v>
      </c>
      <c r="H58" s="84" t="str">
        <f>+H37</f>
        <v>KRYSTAL INGENIEROS SAS</v>
      </c>
      <c r="I58" s="84" t="str">
        <f>+I37</f>
        <v>DPC INGENIEROS SAS</v>
      </c>
      <c r="T58" s="84" t="str">
        <f>+T37</f>
        <v>INCGROUP SAS</v>
      </c>
      <c r="U58" s="84" t="str">
        <f>+U37</f>
        <v>JORGE ISAAC VELASQUEZ</v>
      </c>
      <c r="V58" s="136"/>
      <c r="W58" s="136"/>
      <c r="X58" s="84" t="str">
        <f>+X37</f>
        <v>SANDRA MONICA CARDOZO ROJAS</v>
      </c>
      <c r="Y58" s="84" t="str">
        <f>+Y37</f>
        <v>SAVIMAC SAS</v>
      </c>
      <c r="Z58" s="136"/>
      <c r="AA58" s="84" t="str">
        <f>+AA37</f>
        <v xml:space="preserve">ARA INGENIERIA S.A.S </v>
      </c>
      <c r="AB58" s="84" t="str">
        <f>+AB37</f>
        <v xml:space="preserve">JOSÉ ALBERTO ROJAS PRIETO </v>
      </c>
    </row>
    <row r="59" spans="1:28" s="36" customFormat="1" ht="15.75" x14ac:dyDescent="0.25">
      <c r="A59" s="186" t="s">
        <v>25</v>
      </c>
      <c r="B59" s="29">
        <f t="shared" ref="B59:I59" si="10">(B76/B74)</f>
        <v>0.28686853274891116</v>
      </c>
      <c r="C59" s="29">
        <f t="shared" si="10"/>
        <v>0.15601081378815823</v>
      </c>
      <c r="D59" s="29">
        <f t="shared" si="10"/>
        <v>0.1003375456307579</v>
      </c>
      <c r="E59" s="29">
        <f t="shared" si="10"/>
        <v>0.12328223788144341</v>
      </c>
      <c r="F59" s="29">
        <f t="shared" si="10"/>
        <v>0.63013817331547761</v>
      </c>
      <c r="G59" s="29">
        <f t="shared" si="10"/>
        <v>0.51733617598323411</v>
      </c>
      <c r="H59" s="29">
        <f t="shared" si="10"/>
        <v>0.27447019534466716</v>
      </c>
      <c r="I59" s="29">
        <f t="shared" si="10"/>
        <v>0.25858951299944977</v>
      </c>
      <c r="T59" s="29">
        <f t="shared" ref="T59:AB59" si="11">(T76/T74)</f>
        <v>0.5974029136031106</v>
      </c>
      <c r="U59" s="29">
        <f t="shared" si="11"/>
        <v>0.32708851045734272</v>
      </c>
      <c r="V59" s="137">
        <f t="shared" si="11"/>
        <v>0.11039190882931812</v>
      </c>
      <c r="W59" s="137">
        <f t="shared" si="11"/>
        <v>0.25162610535272639</v>
      </c>
      <c r="X59" s="29">
        <f t="shared" si="11"/>
        <v>0.16166730344512678</v>
      </c>
      <c r="Y59" s="29">
        <f t="shared" si="11"/>
        <v>0.48721328101992656</v>
      </c>
      <c r="Z59" s="137">
        <f t="shared" si="11"/>
        <v>0.12328295103229386</v>
      </c>
      <c r="AA59" s="29">
        <f t="shared" si="11"/>
        <v>9.224284008466517E-2</v>
      </c>
      <c r="AB59" s="29">
        <f t="shared" si="11"/>
        <v>4.2291876736107917E-2</v>
      </c>
    </row>
    <row r="60" spans="1:28" s="36" customFormat="1" ht="15.75" x14ac:dyDescent="0.25">
      <c r="A60" s="187"/>
      <c r="B60" s="189">
        <f>+B77/B75</f>
        <v>0.18262300339185597</v>
      </c>
      <c r="C60" s="190"/>
      <c r="D60" s="189">
        <f>+D77/D75</f>
        <v>0.11994826001179272</v>
      </c>
      <c r="E60" s="190"/>
      <c r="F60" s="189">
        <f>+F77/F75</f>
        <v>0.62539262993717626</v>
      </c>
      <c r="G60" s="190"/>
      <c r="H60" s="189">
        <f>+H77/H75</f>
        <v>0.2619187851886477</v>
      </c>
      <c r="I60" s="190"/>
      <c r="T60" s="189">
        <f>+T77/T75</f>
        <v>0.52059555377209954</v>
      </c>
      <c r="U60" s="190"/>
      <c r="V60" s="138"/>
      <c r="W60" s="138"/>
      <c r="X60" s="189">
        <f>+X77/X75</f>
        <v>0.23111737206806368</v>
      </c>
      <c r="Y60" s="190"/>
      <c r="Z60" s="138"/>
      <c r="AA60" s="189">
        <f>+AA77/AA75</f>
        <v>6.7111069762157638E-2</v>
      </c>
      <c r="AB60" s="190"/>
    </row>
    <row r="61" spans="1:28" s="36" customFormat="1" ht="15.75" x14ac:dyDescent="0.25">
      <c r="A61" s="186" t="s">
        <v>26</v>
      </c>
      <c r="B61" s="29">
        <f t="shared" ref="B61:I61" si="12">+B76/B68</f>
        <v>0.19754896576098119</v>
      </c>
      <c r="C61" s="29">
        <f t="shared" si="12"/>
        <v>8.8935513830874155E-2</v>
      </c>
      <c r="D61" s="29">
        <f t="shared" si="12"/>
        <v>0.10011551177025108</v>
      </c>
      <c r="E61" s="29">
        <f t="shared" si="12"/>
        <v>6.2853911732589779E-2</v>
      </c>
      <c r="F61" s="29">
        <f t="shared" si="12"/>
        <v>0.29953162052053212</v>
      </c>
      <c r="G61" s="29">
        <f t="shared" si="12"/>
        <v>0.12344666542334734</v>
      </c>
      <c r="H61" s="29">
        <f t="shared" si="12"/>
        <v>0.22900541509333899</v>
      </c>
      <c r="I61" s="29">
        <f t="shared" si="12"/>
        <v>0.14081608908325616</v>
      </c>
      <c r="T61" s="29">
        <f t="shared" ref="T61:AB61" si="13">+T76/T68</f>
        <v>0.1438845116514037</v>
      </c>
      <c r="U61" s="29">
        <f t="shared" si="13"/>
        <v>0.29381571629734649</v>
      </c>
      <c r="V61" s="137">
        <f t="shared" si="13"/>
        <v>0.10677266437661245</v>
      </c>
      <c r="W61" s="137">
        <f t="shared" si="13"/>
        <v>0.11909316631501363</v>
      </c>
      <c r="X61" s="29">
        <f t="shared" si="13"/>
        <v>0.15380466332212853</v>
      </c>
      <c r="Y61" s="29">
        <f t="shared" si="13"/>
        <v>0.28324664207321987</v>
      </c>
      <c r="Z61" s="137">
        <f t="shared" si="13"/>
        <v>8.813342071851539E-2</v>
      </c>
      <c r="AA61" s="29">
        <f t="shared" si="13"/>
        <v>6.8522439120933962E-2</v>
      </c>
      <c r="AB61" s="29">
        <f t="shared" si="13"/>
        <v>4.1711206963475293E-2</v>
      </c>
    </row>
    <row r="62" spans="1:28" s="36" customFormat="1" ht="15.75" x14ac:dyDescent="0.25">
      <c r="A62" s="187"/>
      <c r="B62" s="189">
        <f>+B77/B69</f>
        <v>0.10788400381849388</v>
      </c>
      <c r="C62" s="190"/>
      <c r="D62" s="189">
        <f>+D77/D69</f>
        <v>6.5832069011734232E-2</v>
      </c>
      <c r="E62" s="190"/>
      <c r="F62" s="189">
        <f>+F77/F69</f>
        <v>0.28536603853956727</v>
      </c>
      <c r="G62" s="190"/>
      <c r="H62" s="189">
        <f>+H77/H69</f>
        <v>0.15383039838861048</v>
      </c>
      <c r="I62" s="190"/>
      <c r="T62" s="189">
        <f>+T77/T69</f>
        <v>0.1583061017303426</v>
      </c>
      <c r="U62" s="190"/>
      <c r="V62" s="138"/>
      <c r="W62" s="138"/>
      <c r="X62" s="189">
        <f>+X77/X69</f>
        <v>0.19359197511090465</v>
      </c>
      <c r="Y62" s="190"/>
      <c r="Z62" s="138"/>
      <c r="AA62" s="189">
        <f>+AA77/AA69</f>
        <v>5.6921739323789529E-2</v>
      </c>
      <c r="AB62" s="190"/>
    </row>
    <row r="63" spans="1:28" s="39" customFormat="1" ht="18.75" x14ac:dyDescent="0.3">
      <c r="A63" s="37"/>
      <c r="B63" s="38"/>
      <c r="C63" s="38"/>
      <c r="D63" s="38"/>
      <c r="E63" s="38"/>
      <c r="F63" s="38"/>
      <c r="G63" s="38"/>
      <c r="H63" s="38"/>
      <c r="I63" s="38"/>
      <c r="T63" s="38"/>
      <c r="U63" s="38"/>
      <c r="V63" s="38"/>
      <c r="W63" s="38"/>
      <c r="X63" s="38"/>
      <c r="Y63" s="38"/>
      <c r="Z63" s="38"/>
      <c r="AA63" s="38"/>
      <c r="AB63" s="38"/>
    </row>
    <row r="64" spans="1:28" s="24" customFormat="1" ht="15.75" customHeight="1" x14ac:dyDescent="0.25">
      <c r="A64" s="135" t="s">
        <v>27</v>
      </c>
      <c r="B64" s="154" t="str">
        <f>+B57</f>
        <v>CONSORCIO CCC-JPS USAQUEN</v>
      </c>
      <c r="C64" s="155"/>
      <c r="D64" s="154" t="str">
        <f>+D57</f>
        <v>CONSORCIO  SI USAQUEN</v>
      </c>
      <c r="E64" s="155"/>
      <c r="F64" s="154" t="str">
        <f>+F57</f>
        <v>CONSORCIO UQUEN</v>
      </c>
      <c r="G64" s="155"/>
      <c r="H64" s="154" t="str">
        <f>+H57</f>
        <v>CONSORCIO USAQUEN 2018</v>
      </c>
      <c r="I64" s="155"/>
      <c r="T64" s="154" t="str">
        <f>+T57</f>
        <v>CONSORCIO VIAS USAQUEN</v>
      </c>
      <c r="U64" s="155"/>
      <c r="V64" s="135" t="str">
        <f>+V57</f>
        <v xml:space="preserve"> CIVING INGENIEROS CONTRATISTAS S.A.S. </v>
      </c>
      <c r="W64" s="135" t="str">
        <f>+W57</f>
        <v>VELNEC SA</v>
      </c>
      <c r="X64" s="154" t="str">
        <f>+X57</f>
        <v>CONSORCIO FDLUSA-006</v>
      </c>
      <c r="Y64" s="155"/>
      <c r="Z64" s="135" t="str">
        <f>+Z57</f>
        <v xml:space="preserve"> INGENIERIA DE PROYECTOS S.A.S</v>
      </c>
      <c r="AA64" s="154" t="str">
        <f>+AA57</f>
        <v xml:space="preserve">CONSORCIO ARA-JARP </v>
      </c>
      <c r="AB64" s="155"/>
    </row>
    <row r="65" spans="1:28" s="52" customFormat="1" ht="22.5" x14ac:dyDescent="0.2">
      <c r="A65" s="201"/>
      <c r="B65" s="107" t="str">
        <f>+B58</f>
        <v>JPS INGENIERIA SOCIEDAD ANONIMA</v>
      </c>
      <c r="C65" s="107" t="str">
        <f>+C58</f>
        <v xml:space="preserve">COMPAÑÍA COLOMBIANA DE CONSULTORES S.A.S. </v>
      </c>
      <c r="D65" s="107" t="str">
        <f>+D58</f>
        <v>SOLUCIONES PARA INGENIERIA SAS</v>
      </c>
      <c r="E65" s="107" t="str">
        <f>+E58</f>
        <v>YAMILL MONTENEGRO CALDERON</v>
      </c>
      <c r="F65" s="107" t="str">
        <f>+F58</f>
        <v>CONSULTORES DONOVAN SAS</v>
      </c>
      <c r="G65" s="107" t="str">
        <f>+G58</f>
        <v>CPS INGENIEROS FILIAL COLOMBIA SAS</v>
      </c>
      <c r="H65" s="107" t="str">
        <f>+H58</f>
        <v>KRYSTAL INGENIEROS SAS</v>
      </c>
      <c r="I65" s="107" t="str">
        <f>+I58</f>
        <v>DPC INGENIEROS SAS</v>
      </c>
      <c r="T65" s="107" t="str">
        <f>+T58</f>
        <v>INCGROUP SAS</v>
      </c>
      <c r="U65" s="107" t="str">
        <f>+U58</f>
        <v>JORGE ISAAC VELASQUEZ</v>
      </c>
      <c r="V65" s="136"/>
      <c r="W65" s="136"/>
      <c r="X65" s="107" t="str">
        <f>+X58</f>
        <v>SANDRA MONICA CARDOZO ROJAS</v>
      </c>
      <c r="Y65" s="107" t="str">
        <f>+Y58</f>
        <v>SAVIMAC SAS</v>
      </c>
      <c r="Z65" s="136"/>
      <c r="AA65" s="107" t="str">
        <f>+AA58</f>
        <v xml:space="preserve">ARA INGENIERIA S.A.S </v>
      </c>
      <c r="AB65" s="107" t="str">
        <f>+AB58</f>
        <v xml:space="preserve">JOSÉ ALBERTO ROJAS PRIETO </v>
      </c>
    </row>
    <row r="66" spans="1:28" s="14" customFormat="1" ht="15.75" x14ac:dyDescent="0.25">
      <c r="A66" s="209" t="s">
        <v>28</v>
      </c>
      <c r="B66" s="125">
        <f>4252365000*B17</f>
        <v>2126182500</v>
      </c>
      <c r="C66" s="125">
        <f>17371638955*C17</f>
        <v>8685819477.5</v>
      </c>
      <c r="D66" s="125">
        <f>852765000*D17</f>
        <v>426382500</v>
      </c>
      <c r="E66" s="125">
        <f>7236605636*E17</f>
        <v>3618302818</v>
      </c>
      <c r="F66" s="125">
        <f>3187985657*F17</f>
        <v>1593992828.5</v>
      </c>
      <c r="G66" s="125">
        <f>285552700*G17</f>
        <v>142776350</v>
      </c>
      <c r="H66" s="125">
        <f>1481318880*H17</f>
        <v>740659440</v>
      </c>
      <c r="I66" s="125">
        <f>3216807997*I17</f>
        <v>1608403998.5</v>
      </c>
      <c r="T66" s="125">
        <v>8767521066</v>
      </c>
      <c r="U66" s="125">
        <v>821012418</v>
      </c>
      <c r="V66" s="214">
        <v>2470017742</v>
      </c>
      <c r="W66" s="214">
        <v>3896003195</v>
      </c>
      <c r="X66" s="125">
        <f>1733296000*X17</f>
        <v>883980960</v>
      </c>
      <c r="Y66" s="125">
        <f>956885000*Y17</f>
        <v>468873650</v>
      </c>
      <c r="Z66" s="214">
        <v>13967410000</v>
      </c>
      <c r="AA66" s="125">
        <f>2695695259*AA17</f>
        <v>1347847629.5</v>
      </c>
      <c r="AB66" s="125">
        <f>2366525207*AB17</f>
        <v>1183262603.5</v>
      </c>
    </row>
    <row r="67" spans="1:28" s="18" customFormat="1" ht="15.75" x14ac:dyDescent="0.25">
      <c r="A67" s="210"/>
      <c r="B67" s="156">
        <f>+B66+C66</f>
        <v>10812001977.5</v>
      </c>
      <c r="C67" s="157"/>
      <c r="D67" s="156">
        <f>+D66+E66</f>
        <v>4044685318</v>
      </c>
      <c r="E67" s="157"/>
      <c r="F67" s="156">
        <f>+F66+G66</f>
        <v>1736769178.5</v>
      </c>
      <c r="G67" s="157"/>
      <c r="H67" s="156">
        <f>+H66+I66</f>
        <v>2349063438.5</v>
      </c>
      <c r="I67" s="157"/>
      <c r="T67" s="156">
        <f>+T66+U66</f>
        <v>9588533484</v>
      </c>
      <c r="U67" s="157"/>
      <c r="V67" s="142"/>
      <c r="W67" s="142"/>
      <c r="X67" s="156">
        <f>+X66+Y66</f>
        <v>1352854610</v>
      </c>
      <c r="Y67" s="157"/>
      <c r="Z67" s="142"/>
      <c r="AA67" s="156">
        <f>+AA66+AB66</f>
        <v>2531110233</v>
      </c>
      <c r="AB67" s="157"/>
    </row>
    <row r="68" spans="1:28" s="14" customFormat="1" ht="15.75" x14ac:dyDescent="0.25">
      <c r="A68" s="209" t="s">
        <v>29</v>
      </c>
      <c r="B68" s="125">
        <f>4397001000*B17</f>
        <v>2198500500</v>
      </c>
      <c r="C68" s="125">
        <f>20806772866*C17</f>
        <v>10403386433</v>
      </c>
      <c r="D68" s="125">
        <f>1129755000*D17</f>
        <v>564877500</v>
      </c>
      <c r="E68" s="125">
        <f>13005320822*E17</f>
        <v>6502660411</v>
      </c>
      <c r="F68" s="125">
        <f>3302863101*F17</f>
        <v>1651431550.5</v>
      </c>
      <c r="G68" s="125">
        <f>288952317*G17</f>
        <v>144476158.5</v>
      </c>
      <c r="H68" s="125">
        <f>1481318880*H17</f>
        <v>740659440</v>
      </c>
      <c r="I68" s="125">
        <f>8556594817*I17</f>
        <v>4278297408.5</v>
      </c>
      <c r="T68" s="125">
        <v>9525617756</v>
      </c>
      <c r="U68" s="125">
        <v>1013762418</v>
      </c>
      <c r="V68" s="214">
        <v>4910969620</v>
      </c>
      <c r="W68" s="214">
        <v>8858738546</v>
      </c>
      <c r="X68" s="125">
        <f>2819921000*X17</f>
        <v>1438159710</v>
      </c>
      <c r="Y68" s="125">
        <f>1302515000*Y17</f>
        <v>638232350</v>
      </c>
      <c r="Z68" s="214">
        <v>16481818000</v>
      </c>
      <c r="AA68" s="125">
        <f>3246884814*AA17</f>
        <v>1623442407</v>
      </c>
      <c r="AB68" s="125">
        <f>2476319376*AB17</f>
        <v>1238159688</v>
      </c>
    </row>
    <row r="69" spans="1:28" s="18" customFormat="1" ht="15.75" x14ac:dyDescent="0.25">
      <c r="A69" s="210"/>
      <c r="B69" s="156">
        <f>+B68+C68</f>
        <v>12601886933</v>
      </c>
      <c r="C69" s="157"/>
      <c r="D69" s="156">
        <f>+D68+E68</f>
        <v>7067537911</v>
      </c>
      <c r="E69" s="157"/>
      <c r="F69" s="156">
        <f>+F68+G68</f>
        <v>1795907709</v>
      </c>
      <c r="G69" s="157"/>
      <c r="H69" s="156">
        <f>+H68+I68</f>
        <v>5018956848.5</v>
      </c>
      <c r="I69" s="157"/>
      <c r="T69" s="156">
        <f>+T68+U68</f>
        <v>10539380174</v>
      </c>
      <c r="U69" s="157"/>
      <c r="V69" s="142"/>
      <c r="W69" s="142"/>
      <c r="X69" s="156">
        <f>+X68+Y68</f>
        <v>2076392060</v>
      </c>
      <c r="Y69" s="157"/>
      <c r="Z69" s="142"/>
      <c r="AA69" s="156">
        <f>+AA68+AB68</f>
        <v>2861602095</v>
      </c>
      <c r="AB69" s="157"/>
    </row>
    <row r="70" spans="1:28" s="14" customFormat="1" ht="15.75" x14ac:dyDescent="0.25">
      <c r="A70" s="209" t="s">
        <v>30</v>
      </c>
      <c r="B70" s="125">
        <f>1220259000*B17</f>
        <v>610129500</v>
      </c>
      <c r="C70" s="125">
        <f>7878298640*C17</f>
        <v>3939149320</v>
      </c>
      <c r="D70" s="125">
        <f>2500000*D17</f>
        <v>1250000</v>
      </c>
      <c r="E70" s="125">
        <f>3310346384*E17</f>
        <v>1655173192</v>
      </c>
      <c r="F70" s="125">
        <f>1271962164*F17</f>
        <v>635981082</v>
      </c>
      <c r="G70" s="125">
        <f>117123567*G17</f>
        <v>58561783.5</v>
      </c>
      <c r="H70" s="125">
        <f>245373955*H17</f>
        <v>122686977.5</v>
      </c>
      <c r="I70" s="125">
        <f>1636225390*I17</f>
        <v>818112695</v>
      </c>
      <c r="T70" s="125">
        <v>4780838083</v>
      </c>
      <c r="U70" s="125">
        <v>83124100</v>
      </c>
      <c r="V70" s="214">
        <v>76636793</v>
      </c>
      <c r="W70" s="214">
        <v>2337662955</v>
      </c>
      <c r="X70" s="125">
        <f>137146000*X17</f>
        <v>69944460</v>
      </c>
      <c r="Y70" s="125">
        <f>217094000*Y17</f>
        <v>106376060</v>
      </c>
      <c r="Z70" s="214">
        <v>1942913000</v>
      </c>
      <c r="AA70" s="125">
        <f>116931698*AA17</f>
        <v>58465849</v>
      </c>
      <c r="AB70" s="125">
        <f>0*AB17</f>
        <v>0</v>
      </c>
    </row>
    <row r="71" spans="1:28" s="18" customFormat="1" ht="15.75" x14ac:dyDescent="0.25">
      <c r="A71" s="210"/>
      <c r="B71" s="156">
        <f>+B70+C70</f>
        <v>4549278820</v>
      </c>
      <c r="C71" s="157"/>
      <c r="D71" s="156">
        <f>+D70+E70</f>
        <v>1656423192</v>
      </c>
      <c r="E71" s="157"/>
      <c r="F71" s="156">
        <f>+F70+G70</f>
        <v>694542865.5</v>
      </c>
      <c r="G71" s="157"/>
      <c r="H71" s="156">
        <f>+H70+I70</f>
        <v>940799672.5</v>
      </c>
      <c r="I71" s="157"/>
      <c r="T71" s="156">
        <f>+T70+U70</f>
        <v>4863962183</v>
      </c>
      <c r="U71" s="157"/>
      <c r="V71" s="142"/>
      <c r="W71" s="142"/>
      <c r="X71" s="156">
        <f>+X70+Y70</f>
        <v>176320520</v>
      </c>
      <c r="Y71" s="157"/>
      <c r="Z71" s="142"/>
      <c r="AA71" s="156">
        <f>+AA70+AB70</f>
        <v>58465849</v>
      </c>
      <c r="AB71" s="157"/>
    </row>
    <row r="72" spans="1:28" s="14" customFormat="1" ht="15.75" x14ac:dyDescent="0.25">
      <c r="A72" s="209" t="s">
        <v>31</v>
      </c>
      <c r="B72" s="125">
        <f>1369053000*B17</f>
        <v>684526500</v>
      </c>
      <c r="C72" s="125">
        <f>8945665350*C17</f>
        <v>4472832675</v>
      </c>
      <c r="D72" s="125">
        <f>2500000*D17</f>
        <v>1250000</v>
      </c>
      <c r="E72" s="125">
        <f>6374720169*E17</f>
        <v>3187360084.5</v>
      </c>
      <c r="F72" s="125">
        <f>1732871028*F17</f>
        <v>866435514</v>
      </c>
      <c r="G72" s="125">
        <f>220002567*G17</f>
        <v>110001283.5</v>
      </c>
      <c r="H72" s="125">
        <f>245373955*H17</f>
        <v>122686977.5</v>
      </c>
      <c r="I72" s="125">
        <f>3897062402*I17</f>
        <v>1948531201</v>
      </c>
      <c r="T72" s="125">
        <v>7231372402</v>
      </c>
      <c r="U72" s="125">
        <v>103124100</v>
      </c>
      <c r="V72" s="214">
        <v>161008173</v>
      </c>
      <c r="W72" s="214">
        <v>4665949322</v>
      </c>
      <c r="X72" s="125">
        <f>137146000*X17</f>
        <v>69944460</v>
      </c>
      <c r="Y72" s="125">
        <f>545284000*Y17</f>
        <v>267189160</v>
      </c>
      <c r="Z72" s="214">
        <v>4699175000</v>
      </c>
      <c r="AA72" s="125">
        <f>834941873*AA17</f>
        <v>417470936.5</v>
      </c>
      <c r="AB72" s="125">
        <f>34000000*AB17</f>
        <v>17000000</v>
      </c>
    </row>
    <row r="73" spans="1:28" s="18" customFormat="1" ht="15.75" x14ac:dyDescent="0.25">
      <c r="A73" s="210"/>
      <c r="B73" s="156">
        <f>+B72+C72</f>
        <v>5157359175</v>
      </c>
      <c r="C73" s="157"/>
      <c r="D73" s="156">
        <f>+D72+E72</f>
        <v>3188610084.5</v>
      </c>
      <c r="E73" s="157"/>
      <c r="F73" s="156">
        <f>+F72+G72</f>
        <v>976436797.5</v>
      </c>
      <c r="G73" s="157"/>
      <c r="H73" s="156">
        <f>+H72+I72</f>
        <v>2071218178.5</v>
      </c>
      <c r="I73" s="157"/>
      <c r="T73" s="156">
        <f>+T72+U72</f>
        <v>7334496502</v>
      </c>
      <c r="U73" s="157"/>
      <c r="V73" s="142"/>
      <c r="W73" s="142"/>
      <c r="X73" s="156">
        <f>+X72+Y72</f>
        <v>337133620</v>
      </c>
      <c r="Y73" s="157"/>
      <c r="Z73" s="142"/>
      <c r="AA73" s="156">
        <f>+AA72+AB72</f>
        <v>434470936.5</v>
      </c>
      <c r="AB73" s="157"/>
    </row>
    <row r="74" spans="1:28" s="14" customFormat="1" ht="19.5" customHeight="1" x14ac:dyDescent="0.25">
      <c r="A74" s="202" t="s">
        <v>32</v>
      </c>
      <c r="B74" s="40">
        <f t="shared" ref="B74:I74" si="14">+B68-B72</f>
        <v>1513974000</v>
      </c>
      <c r="C74" s="40">
        <f t="shared" si="14"/>
        <v>5930553758</v>
      </c>
      <c r="D74" s="40">
        <f t="shared" si="14"/>
        <v>563627500</v>
      </c>
      <c r="E74" s="40">
        <f t="shared" si="14"/>
        <v>3315300326.5</v>
      </c>
      <c r="F74" s="40">
        <f t="shared" si="14"/>
        <v>784996036.5</v>
      </c>
      <c r="G74" s="40">
        <f t="shared" si="14"/>
        <v>34474875</v>
      </c>
      <c r="H74" s="40">
        <f t="shared" si="14"/>
        <v>617972462.5</v>
      </c>
      <c r="I74" s="40">
        <f t="shared" si="14"/>
        <v>2329766207.5</v>
      </c>
      <c r="T74" s="40">
        <f t="shared" ref="T74:AB74" si="15">+T68-T72</f>
        <v>2294245354</v>
      </c>
      <c r="U74" s="40">
        <f t="shared" si="15"/>
        <v>910638318</v>
      </c>
      <c r="V74" s="145">
        <f t="shared" si="15"/>
        <v>4749961447</v>
      </c>
      <c r="W74" s="145">
        <f t="shared" si="15"/>
        <v>4192789224</v>
      </c>
      <c r="X74" s="40">
        <f t="shared" si="15"/>
        <v>1368215250</v>
      </c>
      <c r="Y74" s="40">
        <f t="shared" si="15"/>
        <v>371043190</v>
      </c>
      <c r="Z74" s="145">
        <f t="shared" si="15"/>
        <v>11782643000</v>
      </c>
      <c r="AA74" s="40">
        <f t="shared" si="15"/>
        <v>1205971470.5</v>
      </c>
      <c r="AB74" s="40">
        <f t="shared" si="15"/>
        <v>1221159688</v>
      </c>
    </row>
    <row r="75" spans="1:28" s="18" customFormat="1" ht="19.5" customHeight="1" x14ac:dyDescent="0.25">
      <c r="A75" s="203"/>
      <c r="B75" s="156">
        <f>+B74+C74</f>
        <v>7444527758</v>
      </c>
      <c r="C75" s="157"/>
      <c r="D75" s="156">
        <f>+D74+E74</f>
        <v>3878927826.5</v>
      </c>
      <c r="E75" s="157"/>
      <c r="F75" s="156">
        <f>+F74+G74</f>
        <v>819470911.5</v>
      </c>
      <c r="G75" s="157"/>
      <c r="H75" s="156">
        <f>+H74+I74</f>
        <v>2947738670</v>
      </c>
      <c r="I75" s="157"/>
      <c r="T75" s="156">
        <f>+T74+U74</f>
        <v>3204883672</v>
      </c>
      <c r="U75" s="157"/>
      <c r="V75" s="142"/>
      <c r="W75" s="142"/>
      <c r="X75" s="156">
        <f>+X74+Y74</f>
        <v>1739258440</v>
      </c>
      <c r="Y75" s="157"/>
      <c r="Z75" s="142"/>
      <c r="AA75" s="156">
        <f>+AA74+AB74</f>
        <v>2427131158.5</v>
      </c>
      <c r="AB75" s="157"/>
    </row>
    <row r="76" spans="1:28" s="14" customFormat="1" ht="15.75" x14ac:dyDescent="0.25">
      <c r="A76" s="209" t="s">
        <v>33</v>
      </c>
      <c r="B76" s="125">
        <f>868623000*B17</f>
        <v>434311500</v>
      </c>
      <c r="C76" s="125">
        <f>1850461036*C17</f>
        <v>925230518</v>
      </c>
      <c r="D76" s="125">
        <f>113106000*D17</f>
        <v>56553000</v>
      </c>
      <c r="E76" s="125">
        <f>817435287*E17</f>
        <v>408717643.5</v>
      </c>
      <c r="F76" s="125">
        <f>989311937*F17</f>
        <v>494655968.5</v>
      </c>
      <c r="G76" s="125">
        <f>35670200*G17</f>
        <v>17835100</v>
      </c>
      <c r="H76" s="125">
        <f>339230045*H17</f>
        <v>169615022.5</v>
      </c>
      <c r="I76" s="125">
        <f>1204906218*I17</f>
        <v>602453109</v>
      </c>
      <c r="T76" s="125">
        <v>1370588859</v>
      </c>
      <c r="U76" s="125">
        <v>297859331</v>
      </c>
      <c r="V76" s="214">
        <v>524357311</v>
      </c>
      <c r="W76" s="214">
        <v>1055015223</v>
      </c>
      <c r="X76" s="125">
        <f>433717000*X17</f>
        <v>221195670</v>
      </c>
      <c r="Y76" s="125">
        <f>368933000*Y17</f>
        <v>180777170</v>
      </c>
      <c r="Z76" s="214">
        <v>1452599000</v>
      </c>
      <c r="AA76" s="125">
        <f>222484467*AA17</f>
        <v>111242233.5</v>
      </c>
      <c r="AB76" s="125">
        <f>103290270*AB17</f>
        <v>51645135</v>
      </c>
    </row>
    <row r="77" spans="1:28" s="18" customFormat="1" ht="15.75" x14ac:dyDescent="0.25">
      <c r="A77" s="210"/>
      <c r="B77" s="156">
        <f>+B76+C76</f>
        <v>1359542018</v>
      </c>
      <c r="C77" s="157"/>
      <c r="D77" s="156">
        <f>+D76+E76</f>
        <v>465270643.5</v>
      </c>
      <c r="E77" s="157"/>
      <c r="F77" s="156">
        <f>+F76+G76</f>
        <v>512491068.5</v>
      </c>
      <c r="G77" s="157"/>
      <c r="H77" s="156">
        <f>+H76+I76</f>
        <v>772068131.5</v>
      </c>
      <c r="I77" s="157"/>
      <c r="T77" s="156">
        <f>+T76+U76</f>
        <v>1668448190</v>
      </c>
      <c r="U77" s="157"/>
      <c r="V77" s="142"/>
      <c r="W77" s="142"/>
      <c r="X77" s="156">
        <f>+X76+Y76</f>
        <v>401972840</v>
      </c>
      <c r="Y77" s="157"/>
      <c r="Z77" s="142"/>
      <c r="AA77" s="156">
        <f>+AA76+AB76</f>
        <v>162887368.5</v>
      </c>
      <c r="AB77" s="157"/>
    </row>
    <row r="78" spans="1:28" s="14" customFormat="1" ht="15.75" x14ac:dyDescent="0.25">
      <c r="A78" s="209" t="s">
        <v>34</v>
      </c>
      <c r="B78" s="124">
        <f>1027457*B17</f>
        <v>513728.5</v>
      </c>
      <c r="C78" s="124">
        <f>59768826*C17</f>
        <v>29884413</v>
      </c>
      <c r="D78" s="124">
        <f>620000*D17</f>
        <v>310000</v>
      </c>
      <c r="E78" s="124">
        <f>314114223*E17</f>
        <v>157057111.5</v>
      </c>
      <c r="F78" s="124">
        <f>31111561*F17</f>
        <v>15555780.5</v>
      </c>
      <c r="G78" s="124">
        <f>2123787*G17</f>
        <v>1061893.5</v>
      </c>
      <c r="H78" s="124">
        <f>5200*H17</f>
        <v>2600</v>
      </c>
      <c r="I78" s="124">
        <f>18895879*I17</f>
        <v>9447939.5</v>
      </c>
      <c r="T78" s="124">
        <v>799880895</v>
      </c>
      <c r="U78" s="124">
        <v>893870</v>
      </c>
      <c r="V78" s="215">
        <v>43108250</v>
      </c>
      <c r="W78" s="215">
        <v>305837529</v>
      </c>
      <c r="X78" s="124">
        <f>0*X17</f>
        <v>0</v>
      </c>
      <c r="Y78" s="124">
        <f>0*Y17</f>
        <v>0</v>
      </c>
      <c r="Z78" s="215">
        <v>53594000</v>
      </c>
      <c r="AA78" s="124">
        <f>14646500*AA17</f>
        <v>7323250</v>
      </c>
      <c r="AB78" s="124">
        <f>12840000*AB17</f>
        <v>6420000</v>
      </c>
    </row>
    <row r="79" spans="1:28" s="18" customFormat="1" ht="15.75" x14ac:dyDescent="0.25">
      <c r="A79" s="210"/>
      <c r="B79" s="156">
        <f>+B78+C78</f>
        <v>30398141.5</v>
      </c>
      <c r="C79" s="157"/>
      <c r="D79" s="156">
        <f>+D78+E78</f>
        <v>157367111.5</v>
      </c>
      <c r="E79" s="157"/>
      <c r="F79" s="156">
        <f>+F78+G78</f>
        <v>16617674</v>
      </c>
      <c r="G79" s="157"/>
      <c r="H79" s="156">
        <f>+H78+I78</f>
        <v>9450539.5</v>
      </c>
      <c r="I79" s="157"/>
      <c r="T79" s="156">
        <f>+T78+U78</f>
        <v>800774765</v>
      </c>
      <c r="U79" s="157"/>
      <c r="V79" s="142"/>
      <c r="W79" s="142"/>
      <c r="X79" s="156">
        <f>+X78+Y78</f>
        <v>0</v>
      </c>
      <c r="Y79" s="157"/>
      <c r="Z79" s="142"/>
      <c r="AA79" s="156">
        <f>+AA78+AB78</f>
        <v>13743250</v>
      </c>
      <c r="AB79" s="157"/>
    </row>
    <row r="80" spans="1:28" s="24" customFormat="1" ht="19.5" customHeight="1" x14ac:dyDescent="0.25">
      <c r="A80" s="41"/>
      <c r="B80" s="42"/>
      <c r="C80" s="42"/>
      <c r="D80" s="42"/>
      <c r="E80" s="42"/>
      <c r="F80" s="42"/>
      <c r="G80" s="42"/>
      <c r="H80" s="42"/>
      <c r="I80" s="42"/>
      <c r="T80" s="42"/>
      <c r="U80" s="42"/>
      <c r="V80" s="42"/>
      <c r="W80" s="42"/>
      <c r="X80" s="42"/>
      <c r="Y80" s="42"/>
      <c r="Z80" s="42"/>
      <c r="AA80" s="42"/>
      <c r="AB80" s="42"/>
    </row>
    <row r="81" spans="1:28" s="13" customFormat="1" ht="15.75" customHeight="1" x14ac:dyDescent="0.25">
      <c r="A81" s="135" t="s">
        <v>4</v>
      </c>
      <c r="B81" s="154" t="str">
        <f>+B64</f>
        <v>CONSORCIO CCC-JPS USAQUEN</v>
      </c>
      <c r="C81" s="155"/>
      <c r="D81" s="154" t="str">
        <f>+D64</f>
        <v>CONSORCIO  SI USAQUEN</v>
      </c>
      <c r="E81" s="155"/>
      <c r="F81" s="154" t="str">
        <f>+F64</f>
        <v>CONSORCIO UQUEN</v>
      </c>
      <c r="G81" s="155"/>
      <c r="H81" s="154" t="str">
        <f>+H64</f>
        <v>CONSORCIO USAQUEN 2018</v>
      </c>
      <c r="I81" s="155"/>
      <c r="T81" s="154" t="str">
        <f>+T64</f>
        <v>CONSORCIO VIAS USAQUEN</v>
      </c>
      <c r="U81" s="155"/>
      <c r="V81" s="135" t="str">
        <f>+V64</f>
        <v xml:space="preserve"> CIVING INGENIEROS CONTRATISTAS S.A.S. </v>
      </c>
      <c r="W81" s="135" t="str">
        <f>+W64</f>
        <v>VELNEC SA</v>
      </c>
      <c r="X81" s="154" t="str">
        <f>+X64</f>
        <v>CONSORCIO FDLUSA-006</v>
      </c>
      <c r="Y81" s="155"/>
      <c r="Z81" s="135" t="str">
        <f>+Z64</f>
        <v xml:space="preserve"> INGENIERIA DE PROYECTOS S.A.S</v>
      </c>
      <c r="AA81" s="154" t="str">
        <f>+AA64</f>
        <v xml:space="preserve">CONSORCIO ARA-JARP </v>
      </c>
      <c r="AB81" s="155"/>
    </row>
    <row r="82" spans="1:28" s="53" customFormat="1" ht="22.5" x14ac:dyDescent="0.2">
      <c r="A82" s="201"/>
      <c r="B82" s="84" t="str">
        <f>+B65</f>
        <v>JPS INGENIERIA SOCIEDAD ANONIMA</v>
      </c>
      <c r="C82" s="84" t="str">
        <f>+C65</f>
        <v xml:space="preserve">COMPAÑÍA COLOMBIANA DE CONSULTORES S.A.S. </v>
      </c>
      <c r="D82" s="84" t="str">
        <f>+D65</f>
        <v>SOLUCIONES PARA INGENIERIA SAS</v>
      </c>
      <c r="E82" s="84" t="str">
        <f>+E65</f>
        <v>YAMILL MONTENEGRO CALDERON</v>
      </c>
      <c r="F82" s="84" t="str">
        <f>+F65</f>
        <v>CONSULTORES DONOVAN SAS</v>
      </c>
      <c r="G82" s="84" t="str">
        <f>+G65</f>
        <v>CPS INGENIEROS FILIAL COLOMBIA SAS</v>
      </c>
      <c r="H82" s="84" t="str">
        <f>+H65</f>
        <v>KRYSTAL INGENIEROS SAS</v>
      </c>
      <c r="I82" s="84" t="str">
        <f>+I65</f>
        <v>DPC INGENIEROS SAS</v>
      </c>
      <c r="T82" s="84" t="str">
        <f>+T65</f>
        <v>INCGROUP SAS</v>
      </c>
      <c r="U82" s="84" t="str">
        <f>+U65</f>
        <v>JORGE ISAAC VELASQUEZ</v>
      </c>
      <c r="V82" s="136"/>
      <c r="W82" s="136"/>
      <c r="X82" s="84" t="str">
        <f>+X65</f>
        <v>SANDRA MONICA CARDOZO ROJAS</v>
      </c>
      <c r="Y82" s="84" t="str">
        <f>+Y65</f>
        <v>SAVIMAC SAS</v>
      </c>
      <c r="Z82" s="136"/>
      <c r="AA82" s="84" t="str">
        <f>+AA65</f>
        <v xml:space="preserve">ARA INGENIERIA S.A.S </v>
      </c>
      <c r="AB82" s="84" t="str">
        <f>+AB65</f>
        <v xml:space="preserve">JOSÉ ALBERTO ROJAS PRIETO </v>
      </c>
    </row>
    <row r="83" spans="1:28" s="17" customFormat="1" ht="15.75" x14ac:dyDescent="0.25">
      <c r="A83" s="15" t="s">
        <v>5</v>
      </c>
      <c r="B83" s="16">
        <f t="shared" ref="B83:I83" si="16">+B17</f>
        <v>0.5</v>
      </c>
      <c r="C83" s="16">
        <f t="shared" si="16"/>
        <v>0.5</v>
      </c>
      <c r="D83" s="16">
        <f t="shared" si="16"/>
        <v>0.5</v>
      </c>
      <c r="E83" s="16">
        <f t="shared" si="16"/>
        <v>0.5</v>
      </c>
      <c r="F83" s="16">
        <f t="shared" si="16"/>
        <v>0.5</v>
      </c>
      <c r="G83" s="16">
        <f t="shared" si="16"/>
        <v>0.5</v>
      </c>
      <c r="H83" s="16">
        <f t="shared" si="16"/>
        <v>0.5</v>
      </c>
      <c r="I83" s="16">
        <f t="shared" si="16"/>
        <v>0.5</v>
      </c>
      <c r="T83" s="16">
        <f t="shared" ref="T83:AB83" si="17">+T17</f>
        <v>0.51</v>
      </c>
      <c r="U83" s="16">
        <f t="shared" si="17"/>
        <v>0.49</v>
      </c>
      <c r="V83" s="16">
        <f t="shared" si="17"/>
        <v>1</v>
      </c>
      <c r="W83" s="16">
        <f t="shared" si="17"/>
        <v>1</v>
      </c>
      <c r="X83" s="16">
        <f t="shared" si="17"/>
        <v>0.51</v>
      </c>
      <c r="Y83" s="16">
        <f t="shared" si="17"/>
        <v>0.49</v>
      </c>
      <c r="Z83" s="16">
        <f t="shared" si="17"/>
        <v>1</v>
      </c>
      <c r="AA83" s="16">
        <f t="shared" si="17"/>
        <v>0.5</v>
      </c>
      <c r="AB83" s="16">
        <f t="shared" si="17"/>
        <v>0.5</v>
      </c>
    </row>
    <row r="84" spans="1:28" ht="12.75" customHeight="1" x14ac:dyDescent="0.2">
      <c r="A84" s="43" t="s">
        <v>35</v>
      </c>
      <c r="B84" s="146" t="str">
        <f>+IF((B39&gt;=1.2),"HABIL","NO HABIL")</f>
        <v>HABIL</v>
      </c>
      <c r="C84" s="147"/>
      <c r="D84" s="146" t="str">
        <f>+IF((D39&gt;=1.2),"HABIL","NO HABIL")</f>
        <v>HABIL</v>
      </c>
      <c r="E84" s="147"/>
      <c r="F84" s="146" t="str">
        <f>+IF((F39&gt;=1.2),"HABIL","NO HABIL")</f>
        <v>HABIL</v>
      </c>
      <c r="G84" s="147"/>
      <c r="H84" s="146" t="str">
        <f>+IF((H39&gt;=1.2),"HABIL","NO HABIL")</f>
        <v>HABIL</v>
      </c>
      <c r="I84" s="147"/>
      <c r="T84" s="146" t="str">
        <f>+IF((T39&gt;=1.2),"HABIL","NO HABIL")</f>
        <v>HABIL</v>
      </c>
      <c r="U84" s="147"/>
      <c r="V84" s="109" t="str">
        <f>+IF((V38&gt;=1.2),"HABIL","NO HABIL")</f>
        <v>HABIL</v>
      </c>
      <c r="W84" s="109" t="str">
        <f>+IF((W38&gt;=1.2),"HABIL","NO HABIL")</f>
        <v>HABIL</v>
      </c>
      <c r="X84" s="146" t="str">
        <f>+IF((X39&gt;=1.2),"HABIL","NO HABIL")</f>
        <v>HABIL</v>
      </c>
      <c r="Y84" s="147"/>
      <c r="Z84" s="109" t="str">
        <f>+IF((Z38&gt;=1.2),"HABIL","NO HABIL")</f>
        <v>HABIL</v>
      </c>
      <c r="AA84" s="146" t="str">
        <f>+IF((AA39&gt;=1.2),"HABIL","NO HABIL")</f>
        <v>HABIL</v>
      </c>
      <c r="AB84" s="147"/>
    </row>
    <row r="85" spans="1:28" ht="12.75" customHeight="1" x14ac:dyDescent="0.2">
      <c r="A85" s="44" t="s">
        <v>36</v>
      </c>
      <c r="B85" s="148" t="str">
        <f>+IF((B41&lt;=0.7),"HABIL","NO HABIL")</f>
        <v>HABIL</v>
      </c>
      <c r="C85" s="149"/>
      <c r="D85" s="148" t="str">
        <f>+IF((D41&lt;=0.7),"HABIL","NO HABIL")</f>
        <v>HABIL</v>
      </c>
      <c r="E85" s="149"/>
      <c r="F85" s="148" t="str">
        <f>+IF((F41&lt;=0.7),"HABIL","NO HABIL")</f>
        <v>HABIL</v>
      </c>
      <c r="G85" s="149"/>
      <c r="H85" s="148" t="str">
        <f>+IF((H41&lt;=0.7),"HABIL","NO HABIL")</f>
        <v>HABIL</v>
      </c>
      <c r="I85" s="149"/>
      <c r="T85" s="148" t="str">
        <f>+IF((T41&lt;=0.7),"HABIL","NO HABIL")</f>
        <v>HABIL</v>
      </c>
      <c r="U85" s="149"/>
      <c r="V85" s="105" t="str">
        <f>+IF((V40&lt;=0.7),"HABIL","NO HABIL")</f>
        <v>HABIL</v>
      </c>
      <c r="W85" s="105" t="str">
        <f>+IF((W40&lt;=0.7),"HABIL","NO HABIL")</f>
        <v>HABIL</v>
      </c>
      <c r="X85" s="148" t="str">
        <f>+IF((X41&lt;=0.7),"HABIL","NO HABIL")</f>
        <v>HABIL</v>
      </c>
      <c r="Y85" s="149"/>
      <c r="Z85" s="105" t="str">
        <f>+IF((Z40&lt;=0.7),"HABIL","NO HABIL")</f>
        <v>HABIL</v>
      </c>
      <c r="AA85" s="148" t="str">
        <f>+IF((AA41&lt;=0.7),"HABIL","NO HABIL")</f>
        <v>HABIL</v>
      </c>
      <c r="AB85" s="149"/>
    </row>
    <row r="86" spans="1:28" ht="12.75" customHeight="1" x14ac:dyDescent="0.2">
      <c r="A86" s="44" t="s">
        <v>37</v>
      </c>
      <c r="B86" s="148" t="str">
        <f>+IF((B43&gt;=1.5),"HABIL","NO HABIL")</f>
        <v>HABIL</v>
      </c>
      <c r="C86" s="149"/>
      <c r="D86" s="148" t="str">
        <f>+IF((D43&gt;=1.5),"HABIL","NO HABIL")</f>
        <v>HABIL</v>
      </c>
      <c r="E86" s="149"/>
      <c r="F86" s="148" t="str">
        <f>+IF((F43&gt;=1.5),"HABIL","NO HABIL")</f>
        <v>HABIL</v>
      </c>
      <c r="G86" s="149"/>
      <c r="H86" s="148" t="str">
        <f>+IF((H43&gt;=1.5),"HABIL","NO HABIL")</f>
        <v>HABIL</v>
      </c>
      <c r="I86" s="149"/>
      <c r="T86" s="148" t="str">
        <f>+IF((T43&gt;=1.5),"HABIL","NO HABIL")</f>
        <v>HABIL</v>
      </c>
      <c r="U86" s="149"/>
      <c r="V86" s="105" t="str">
        <f>+IF((V42&gt;=1.5),"HABIL","NO HABIL")</f>
        <v>HABIL</v>
      </c>
      <c r="W86" s="105" t="str">
        <f>+IF((W42&gt;=1.5),"HABIL","NO HABIL")</f>
        <v>HABIL</v>
      </c>
      <c r="X86" s="148" t="s">
        <v>126</v>
      </c>
      <c r="Y86" s="149"/>
      <c r="Z86" s="105" t="str">
        <f>+IF((Z42&gt;=1.5),"HABIL","NO HABIL")</f>
        <v>HABIL</v>
      </c>
      <c r="AA86" s="148" t="str">
        <f>+IF((AA43&gt;=1.5),"HABIL","NO HABIL")</f>
        <v>HABIL</v>
      </c>
      <c r="AB86" s="149"/>
    </row>
    <row r="87" spans="1:28" ht="12.75" customHeight="1" x14ac:dyDescent="0.2">
      <c r="A87" s="44" t="s">
        <v>38</v>
      </c>
      <c r="B87" s="148" t="str">
        <f>+IF((B46&gt;=381299887),"HABIL","NO HABIL")</f>
        <v>HABIL</v>
      </c>
      <c r="C87" s="149"/>
      <c r="D87" s="148" t="str">
        <f>+IF((D46&gt;=381299887),"HABIL","NO HABIL")</f>
        <v>HABIL</v>
      </c>
      <c r="E87" s="149"/>
      <c r="F87" s="148" t="str">
        <f>+IF((F46&gt;=381299887),"HABIL","NO HABIL")</f>
        <v>HABIL</v>
      </c>
      <c r="G87" s="149"/>
      <c r="H87" s="148" t="str">
        <f>+IF((H46&gt;=381299887),"HABIL","NO HABIL")</f>
        <v>HABIL</v>
      </c>
      <c r="I87" s="149"/>
      <c r="T87" s="148" t="str">
        <f>+IF((T46&gt;=381299887),"HABIL","NO HABIL")</f>
        <v>HABIL</v>
      </c>
      <c r="U87" s="149"/>
      <c r="V87" s="105" t="str">
        <f>+IF((V44&gt;=381299887),"HABIL","NO HABIL")</f>
        <v>HABIL</v>
      </c>
      <c r="W87" s="105" t="str">
        <f>+IF((W44&gt;=381299887),"HABIL","NO HABIL")</f>
        <v>HABIL</v>
      </c>
      <c r="X87" s="148" t="str">
        <f>+IF((X46&gt;=381299887),"HABIL","NO HABIL")</f>
        <v>HABIL</v>
      </c>
      <c r="Y87" s="149"/>
      <c r="Z87" s="105" t="str">
        <f>+IF((Z44&gt;=381299887),"HABIL","NO HABIL")</f>
        <v>HABIL</v>
      </c>
      <c r="AA87" s="148" t="str">
        <f>+IF((AA46&gt;=381299887),"HABIL","NO HABIL")</f>
        <v>HABIL</v>
      </c>
      <c r="AB87" s="149"/>
    </row>
    <row r="88" spans="1:28" ht="12.75" customHeight="1" x14ac:dyDescent="0.2">
      <c r="A88" s="44" t="s">
        <v>39</v>
      </c>
      <c r="B88" s="148" t="str">
        <f>+IF((B60&gt;=0),"HABIL","NO HABIL")</f>
        <v>HABIL</v>
      </c>
      <c r="C88" s="149"/>
      <c r="D88" s="148" t="str">
        <f>+IF((D60&gt;=0),"HABIL","NO HABIL")</f>
        <v>HABIL</v>
      </c>
      <c r="E88" s="149"/>
      <c r="F88" s="148" t="str">
        <f>+IF((F60&gt;=0),"HABIL","NO HABIL")</f>
        <v>HABIL</v>
      </c>
      <c r="G88" s="149"/>
      <c r="H88" s="148" t="str">
        <f>+IF((H60&gt;=0),"HABIL","NO HABIL")</f>
        <v>HABIL</v>
      </c>
      <c r="I88" s="149"/>
      <c r="T88" s="148" t="str">
        <f>+IF((T60&gt;=0),"HABIL","NO HABIL")</f>
        <v>HABIL</v>
      </c>
      <c r="U88" s="149"/>
      <c r="V88" s="105" t="str">
        <f>+IF((V59&gt;=0),"HABIL","NO HABIL")</f>
        <v>HABIL</v>
      </c>
      <c r="W88" s="105" t="str">
        <f>+IF((W59&gt;=0),"HABIL","NO HABIL")</f>
        <v>HABIL</v>
      </c>
      <c r="X88" s="148" t="str">
        <f>+IF((X60&gt;=0),"HABIL","NO HABIL")</f>
        <v>HABIL</v>
      </c>
      <c r="Y88" s="149"/>
      <c r="Z88" s="105" t="str">
        <f>+IF((Z59&gt;=0),"HABIL","NO HABIL")</f>
        <v>HABIL</v>
      </c>
      <c r="AA88" s="148" t="str">
        <f>+IF((AA60&gt;=0),"HABIL","NO HABIL")</f>
        <v>HABIL</v>
      </c>
      <c r="AB88" s="149"/>
    </row>
    <row r="89" spans="1:28" ht="12.75" customHeight="1" x14ac:dyDescent="0.2">
      <c r="A89" s="81" t="s">
        <v>40</v>
      </c>
      <c r="B89" s="150" t="str">
        <f>+IF((B62&gt;=0),"HABIL","NO HABIL")</f>
        <v>HABIL</v>
      </c>
      <c r="C89" s="151"/>
      <c r="D89" s="150" t="str">
        <f>+IF((D62&gt;=0),"HABIL","NO HABIL")</f>
        <v>HABIL</v>
      </c>
      <c r="E89" s="151"/>
      <c r="F89" s="150" t="str">
        <f>+IF((F62&gt;=0),"HABIL","NO HABIL")</f>
        <v>HABIL</v>
      </c>
      <c r="G89" s="151"/>
      <c r="H89" s="150" t="str">
        <f>+IF((H62&gt;=0),"HABIL","NO HABIL")</f>
        <v>HABIL</v>
      </c>
      <c r="I89" s="151"/>
      <c r="T89" s="150" t="str">
        <f>+IF((T62&gt;=0),"HABIL","NO HABIL")</f>
        <v>HABIL</v>
      </c>
      <c r="U89" s="151"/>
      <c r="V89" s="106" t="str">
        <f>+IF((V61&gt;=0),"HABIL","NO HABIL")</f>
        <v>HABIL</v>
      </c>
      <c r="W89" s="106" t="str">
        <f>+IF((W61&gt;=0),"HABIL","NO HABIL")</f>
        <v>HABIL</v>
      </c>
      <c r="X89" s="150" t="str">
        <f>+IF((X62&gt;=0),"HABIL","NO HABIL")</f>
        <v>HABIL</v>
      </c>
      <c r="Y89" s="151"/>
      <c r="Z89" s="106" t="str">
        <f>+IF((Z61&gt;=0),"HABIL","NO HABIL")</f>
        <v>HABIL</v>
      </c>
      <c r="AA89" s="150" t="str">
        <f>+IF((AA62&gt;=0),"HABIL","NO HABIL")</f>
        <v>HABIL</v>
      </c>
      <c r="AB89" s="151"/>
    </row>
    <row r="90" spans="1:28" ht="12.75" customHeight="1" x14ac:dyDescent="0.2">
      <c r="A90" s="82" t="s">
        <v>41</v>
      </c>
      <c r="B90" s="152" t="str">
        <f>+IF((B48&gt;=508399696),"HABIL","NO HABIL")</f>
        <v>HABIL</v>
      </c>
      <c r="C90" s="153"/>
      <c r="D90" s="152" t="str">
        <f>+IF((D48&gt;=508399696),"HABIL","NO HABIL")</f>
        <v>HABIL</v>
      </c>
      <c r="E90" s="153"/>
      <c r="F90" s="152" t="str">
        <f>+IF((F48&gt;=508399696),"HABIL","NO HABIL")</f>
        <v>HABIL</v>
      </c>
      <c r="G90" s="153"/>
      <c r="H90" s="152" t="str">
        <f>+IF((H48&gt;=508399696),"HABIL","NO HABIL")</f>
        <v>HABIL</v>
      </c>
      <c r="I90" s="153"/>
      <c r="T90" s="152" t="str">
        <f>+IF((T48&gt;=508399696),"HABIL","NO HABIL")</f>
        <v>HABIL</v>
      </c>
      <c r="U90" s="153"/>
      <c r="V90" s="108" t="str">
        <f>+IF((V47&gt;=508399696),"HABIL","NO HABIL")</f>
        <v>HABIL</v>
      </c>
      <c r="W90" s="108" t="str">
        <f>+IF((W47&gt;=508399696),"HABIL","NO HABIL")</f>
        <v>HABIL</v>
      </c>
      <c r="X90" s="152" t="str">
        <f>+IF((X48&gt;=508399696),"HABIL","NO HABIL")</f>
        <v>HABIL</v>
      </c>
      <c r="Y90" s="153"/>
      <c r="Z90" s="108" t="str">
        <f>+IF((Z47&gt;=508399696),"HABIL","NO HABIL")</f>
        <v>HABIL</v>
      </c>
      <c r="AA90" s="152" t="str">
        <f>+IF((AA48&gt;=508399696),"HABIL","NO HABIL")</f>
        <v>HABIL</v>
      </c>
      <c r="AB90" s="153"/>
    </row>
    <row r="91" spans="1:28" ht="27.75" customHeight="1" x14ac:dyDescent="0.2">
      <c r="A91" s="35"/>
      <c r="B91" s="83"/>
      <c r="C91" s="83"/>
      <c r="D91" s="83"/>
      <c r="E91" s="83"/>
      <c r="F91" s="216"/>
      <c r="G91" s="217"/>
      <c r="H91" s="35"/>
      <c r="I91" s="83"/>
      <c r="J91" s="35"/>
      <c r="K91" s="35"/>
      <c r="L91" s="35"/>
      <c r="M91" s="35"/>
      <c r="N91" s="35"/>
      <c r="O91" s="35"/>
      <c r="P91" s="35"/>
      <c r="Q91" s="35"/>
      <c r="R91" s="35"/>
      <c r="S91" s="35"/>
      <c r="T91" s="83"/>
      <c r="U91" s="35"/>
      <c r="V91" s="83"/>
      <c r="W91" s="83"/>
      <c r="X91" s="35"/>
      <c r="Y91" s="83"/>
      <c r="Z91" s="83"/>
      <c r="AA91" s="83"/>
      <c r="AB91" s="35"/>
    </row>
    <row r="92" spans="1:28" s="14" customFormat="1" ht="18.75" x14ac:dyDescent="0.25">
      <c r="A92" s="204" t="s">
        <v>42</v>
      </c>
      <c r="B92" s="205"/>
      <c r="C92" s="205"/>
      <c r="D92" s="205"/>
      <c r="E92" s="205"/>
      <c r="G92" s="1"/>
      <c r="H92" s="1"/>
      <c r="U92" s="35"/>
      <c r="X92" s="1"/>
      <c r="AB92" s="1"/>
    </row>
    <row r="93" spans="1:28" ht="12.75" customHeight="1" x14ac:dyDescent="0.2"/>
    <row r="94" spans="1:28" ht="12.75" customHeight="1" x14ac:dyDescent="0.2"/>
    <row r="95" spans="1:28" ht="50.25" customHeight="1" x14ac:dyDescent="0.2"/>
    <row r="96" spans="1:28" s="35" customFormat="1" ht="15.75" customHeight="1" x14ac:dyDescent="0.3">
      <c r="A96" s="206" t="s">
        <v>43</v>
      </c>
      <c r="B96" s="206"/>
      <c r="C96" s="206"/>
      <c r="D96" s="206"/>
      <c r="E96" s="206"/>
    </row>
    <row r="97" spans="1:5" s="35" customFormat="1" ht="15.75" customHeight="1" x14ac:dyDescent="0.3">
      <c r="A97" s="207" t="s">
        <v>69</v>
      </c>
      <c r="B97" s="207"/>
      <c r="C97" s="207"/>
      <c r="D97" s="207"/>
      <c r="E97" s="207"/>
    </row>
    <row r="98" spans="1:5" ht="15.75" customHeight="1" x14ac:dyDescent="0.3">
      <c r="A98" s="208" t="s">
        <v>44</v>
      </c>
      <c r="B98" s="208"/>
      <c r="C98" s="208"/>
      <c r="D98" s="208"/>
      <c r="E98" s="208"/>
    </row>
  </sheetData>
  <mergeCells count="327">
    <mergeCell ref="AA67:AB67"/>
    <mergeCell ref="AA69:AB69"/>
    <mergeCell ref="AA71:AB71"/>
    <mergeCell ref="AA60:AB60"/>
    <mergeCell ref="AA62:AB62"/>
    <mergeCell ref="AB44:AB45"/>
    <mergeCell ref="AA46:AB46"/>
    <mergeCell ref="AA39:AB39"/>
    <mergeCell ref="AA41:AB41"/>
    <mergeCell ref="AA43:AB43"/>
    <mergeCell ref="AA57:AB57"/>
    <mergeCell ref="AA48:AB48"/>
    <mergeCell ref="Z49:AB49"/>
    <mergeCell ref="Z50:AB50"/>
    <mergeCell ref="AA64:AB64"/>
    <mergeCell ref="Z68:Z69"/>
    <mergeCell ref="Z70:Z71"/>
    <mergeCell ref="F91:G91"/>
    <mergeCell ref="AA14:AB14"/>
    <mergeCell ref="AA15:AB15"/>
    <mergeCell ref="AA18:AB18"/>
    <mergeCell ref="X86:Y86"/>
    <mergeCell ref="X87:Y87"/>
    <mergeCell ref="X88:Y88"/>
    <mergeCell ref="X81:Y81"/>
    <mergeCell ref="X84:Y84"/>
    <mergeCell ref="AA44:AA45"/>
    <mergeCell ref="X71:Y71"/>
    <mergeCell ref="X43:Y43"/>
    <mergeCell ref="X44:X45"/>
    <mergeCell ref="Y44:Y45"/>
    <mergeCell ref="X36:Y36"/>
    <mergeCell ref="X39:Y39"/>
    <mergeCell ref="X41:Y41"/>
    <mergeCell ref="W50:Y50"/>
    <mergeCell ref="X46:Y46"/>
    <mergeCell ref="Z76:Z77"/>
    <mergeCell ref="Z78:Z79"/>
    <mergeCell ref="AA36:AB36"/>
    <mergeCell ref="X89:Y89"/>
    <mergeCell ref="X62:Y62"/>
    <mergeCell ref="X64:Y64"/>
    <mergeCell ref="X67:Y67"/>
    <mergeCell ref="X57:Y57"/>
    <mergeCell ref="X60:Y60"/>
    <mergeCell ref="X69:Y69"/>
    <mergeCell ref="X85:Y85"/>
    <mergeCell ref="X75:Y75"/>
    <mergeCell ref="X77:Y77"/>
    <mergeCell ref="X79:Y79"/>
    <mergeCell ref="X73:Y73"/>
    <mergeCell ref="Z74:Z75"/>
    <mergeCell ref="AA88:AB88"/>
    <mergeCell ref="AA89:AB89"/>
    <mergeCell ref="AA90:AB90"/>
    <mergeCell ref="AA85:AB85"/>
    <mergeCell ref="AA86:AB86"/>
    <mergeCell ref="AA87:AB87"/>
    <mergeCell ref="W68:W69"/>
    <mergeCell ref="W70:W71"/>
    <mergeCell ref="W59:W60"/>
    <mergeCell ref="X90:Y90"/>
    <mergeCell ref="AA79:AB79"/>
    <mergeCell ref="AA81:AB81"/>
    <mergeCell ref="AA84:AB84"/>
    <mergeCell ref="AA73:AB73"/>
    <mergeCell ref="AA75:AB75"/>
    <mergeCell ref="AA77:AB77"/>
    <mergeCell ref="T57:U57"/>
    <mergeCell ref="T89:U89"/>
    <mergeCell ref="T90:U90"/>
    <mergeCell ref="V72:V73"/>
    <mergeCell ref="V74:V75"/>
    <mergeCell ref="V76:V77"/>
    <mergeCell ref="V78:V79"/>
    <mergeCell ref="W72:W73"/>
    <mergeCell ref="W74:W75"/>
    <mergeCell ref="W76:W77"/>
    <mergeCell ref="W78:W79"/>
    <mergeCell ref="Z81:Z82"/>
    <mergeCell ref="V81:V82"/>
    <mergeCell ref="W81:W82"/>
    <mergeCell ref="V70:V71"/>
    <mergeCell ref="Z72:Z73"/>
    <mergeCell ref="T48:U48"/>
    <mergeCell ref="T49:V49"/>
    <mergeCell ref="T50:V50"/>
    <mergeCell ref="W61:W62"/>
    <mergeCell ref="W66:W67"/>
    <mergeCell ref="T75:U75"/>
    <mergeCell ref="T77:U77"/>
    <mergeCell ref="T88:U88"/>
    <mergeCell ref="X48:Y48"/>
    <mergeCell ref="W49:Y49"/>
    <mergeCell ref="T69:U69"/>
    <mergeCell ref="T71:U71"/>
    <mergeCell ref="T60:U60"/>
    <mergeCell ref="T62:U62"/>
    <mergeCell ref="T64:U64"/>
    <mergeCell ref="T67:U67"/>
    <mergeCell ref="T85:U85"/>
    <mergeCell ref="T86:U86"/>
    <mergeCell ref="T87:U87"/>
    <mergeCell ref="T79:U79"/>
    <mergeCell ref="T81:U81"/>
    <mergeCell ref="T84:U84"/>
    <mergeCell ref="T73:U73"/>
    <mergeCell ref="V68:V69"/>
    <mergeCell ref="H62:I62"/>
    <mergeCell ref="F64:G64"/>
    <mergeCell ref="H64:I64"/>
    <mergeCell ref="F67:G67"/>
    <mergeCell ref="H67:I67"/>
    <mergeCell ref="F57:G57"/>
    <mergeCell ref="T36:U36"/>
    <mergeCell ref="F89:G89"/>
    <mergeCell ref="H89:I89"/>
    <mergeCell ref="F69:G69"/>
    <mergeCell ref="H69:I69"/>
    <mergeCell ref="F71:G71"/>
    <mergeCell ref="H71:I71"/>
    <mergeCell ref="F73:G73"/>
    <mergeCell ref="H73:I73"/>
    <mergeCell ref="F62:G62"/>
    <mergeCell ref="T44:T45"/>
    <mergeCell ref="U44:U45"/>
    <mergeCell ref="T46:U46"/>
    <mergeCell ref="T39:U39"/>
    <mergeCell ref="T41:U41"/>
    <mergeCell ref="T43:U43"/>
    <mergeCell ref="F75:G75"/>
    <mergeCell ref="H75:I75"/>
    <mergeCell ref="F79:G79"/>
    <mergeCell ref="H79:I79"/>
    <mergeCell ref="F87:G87"/>
    <mergeCell ref="H87:I87"/>
    <mergeCell ref="F88:G88"/>
    <mergeCell ref="H88:I88"/>
    <mergeCell ref="F81:G81"/>
    <mergeCell ref="H81:I81"/>
    <mergeCell ref="F84:G84"/>
    <mergeCell ref="H84:I84"/>
    <mergeCell ref="F85:G85"/>
    <mergeCell ref="H85:I85"/>
    <mergeCell ref="F90:G90"/>
    <mergeCell ref="H90:I90"/>
    <mergeCell ref="T11:V11"/>
    <mergeCell ref="T14:U14"/>
    <mergeCell ref="T15:U15"/>
    <mergeCell ref="T18:U18"/>
    <mergeCell ref="F86:G86"/>
    <mergeCell ref="H86:I86"/>
    <mergeCell ref="F39:G39"/>
    <mergeCell ref="H39:I39"/>
    <mergeCell ref="F41:G41"/>
    <mergeCell ref="H41:I41"/>
    <mergeCell ref="H57:I57"/>
    <mergeCell ref="F60:G60"/>
    <mergeCell ref="H60:I60"/>
    <mergeCell ref="F50:I50"/>
    <mergeCell ref="F46:G46"/>
    <mergeCell ref="H46:I46"/>
    <mergeCell ref="F14:G14"/>
    <mergeCell ref="H14:I14"/>
    <mergeCell ref="F15:G15"/>
    <mergeCell ref="H15:I15"/>
    <mergeCell ref="F77:G77"/>
    <mergeCell ref="H77:I77"/>
    <mergeCell ref="D84:E84"/>
    <mergeCell ref="D87:E87"/>
    <mergeCell ref="D86:E86"/>
    <mergeCell ref="D85:E85"/>
    <mergeCell ref="B84:C84"/>
    <mergeCell ref="B85:C85"/>
    <mergeCell ref="B86:C86"/>
    <mergeCell ref="B87:C87"/>
    <mergeCell ref="D71:E71"/>
    <mergeCell ref="A96:E96"/>
    <mergeCell ref="A97:E97"/>
    <mergeCell ref="A98:E98"/>
    <mergeCell ref="D90:E90"/>
    <mergeCell ref="D89:E89"/>
    <mergeCell ref="D88:E88"/>
    <mergeCell ref="A92:E92"/>
    <mergeCell ref="B88:C88"/>
    <mergeCell ref="B73:C73"/>
    <mergeCell ref="B89:C89"/>
    <mergeCell ref="B90:C90"/>
    <mergeCell ref="A81:A82"/>
    <mergeCell ref="D81:E81"/>
    <mergeCell ref="A78:A79"/>
    <mergeCell ref="D79:E79"/>
    <mergeCell ref="B79:C79"/>
    <mergeCell ref="B81:C81"/>
    <mergeCell ref="A76:A77"/>
    <mergeCell ref="A74:A75"/>
    <mergeCell ref="D75:E75"/>
    <mergeCell ref="D77:E77"/>
    <mergeCell ref="B75:C75"/>
    <mergeCell ref="B77:C77"/>
    <mergeCell ref="A72:A73"/>
    <mergeCell ref="A70:A71"/>
    <mergeCell ref="D73:E73"/>
    <mergeCell ref="B71:C71"/>
    <mergeCell ref="A68:A69"/>
    <mergeCell ref="A66:A67"/>
    <mergeCell ref="D67:E67"/>
    <mergeCell ref="A64:A65"/>
    <mergeCell ref="D64:E64"/>
    <mergeCell ref="B67:C67"/>
    <mergeCell ref="D69:E69"/>
    <mergeCell ref="B69:C69"/>
    <mergeCell ref="B64:C64"/>
    <mergeCell ref="A57:A58"/>
    <mergeCell ref="D57:E57"/>
    <mergeCell ref="B50:E50"/>
    <mergeCell ref="A52:A54"/>
    <mergeCell ref="A61:A62"/>
    <mergeCell ref="D62:E62"/>
    <mergeCell ref="A59:A60"/>
    <mergeCell ref="D60:E60"/>
    <mergeCell ref="B57:C57"/>
    <mergeCell ref="B60:C60"/>
    <mergeCell ref="B62:C62"/>
    <mergeCell ref="H44:H45"/>
    <mergeCell ref="I44:I45"/>
    <mergeCell ref="F48:G48"/>
    <mergeCell ref="B49:E49"/>
    <mergeCell ref="A42:A43"/>
    <mergeCell ref="A40:A41"/>
    <mergeCell ref="D46:E46"/>
    <mergeCell ref="D43:E43"/>
    <mergeCell ref="B41:C41"/>
    <mergeCell ref="B43:C43"/>
    <mergeCell ref="D41:E41"/>
    <mergeCell ref="B44:B45"/>
    <mergeCell ref="C44:C45"/>
    <mergeCell ref="A47:A48"/>
    <mergeCell ref="D44:D45"/>
    <mergeCell ref="E44:E45"/>
    <mergeCell ref="D48:E48"/>
    <mergeCell ref="H48:I48"/>
    <mergeCell ref="F49:I49"/>
    <mergeCell ref="B36:C36"/>
    <mergeCell ref="B39:C39"/>
    <mergeCell ref="B46:C46"/>
    <mergeCell ref="B48:C48"/>
    <mergeCell ref="Z11:AA11"/>
    <mergeCell ref="A36:A37"/>
    <mergeCell ref="D36:E36"/>
    <mergeCell ref="A38:A39"/>
    <mergeCell ref="D39:E39"/>
    <mergeCell ref="A31:A32"/>
    <mergeCell ref="A29:A30"/>
    <mergeCell ref="B33:AB33"/>
    <mergeCell ref="F36:G36"/>
    <mergeCell ref="H36:I36"/>
    <mergeCell ref="B14:C14"/>
    <mergeCell ref="B15:C15"/>
    <mergeCell ref="B18:C18"/>
    <mergeCell ref="X18:Y18"/>
    <mergeCell ref="W11:X11"/>
    <mergeCell ref="X14:Y14"/>
    <mergeCell ref="X15:Y15"/>
    <mergeCell ref="F18:G18"/>
    <mergeCell ref="H18:I18"/>
    <mergeCell ref="F11:H11"/>
    <mergeCell ref="A1:E1"/>
    <mergeCell ref="A7:E7"/>
    <mergeCell ref="A8:E8"/>
    <mergeCell ref="B11:D11"/>
    <mergeCell ref="A14:A16"/>
    <mergeCell ref="D14:E14"/>
    <mergeCell ref="D15:E15"/>
    <mergeCell ref="D18:E18"/>
    <mergeCell ref="A9:AB9"/>
    <mergeCell ref="Z15:Z16"/>
    <mergeCell ref="V15:V16"/>
    <mergeCell ref="W15:W16"/>
    <mergeCell ref="V38:V39"/>
    <mergeCell ref="V40:V41"/>
    <mergeCell ref="V42:V43"/>
    <mergeCell ref="V44:V46"/>
    <mergeCell ref="V47:V48"/>
    <mergeCell ref="V66:V67"/>
    <mergeCell ref="V59:V60"/>
    <mergeCell ref="V61:V62"/>
    <mergeCell ref="Z66:Z67"/>
    <mergeCell ref="Z64:Z65"/>
    <mergeCell ref="B51:AB51"/>
    <mergeCell ref="B52:AB52"/>
    <mergeCell ref="W38:W39"/>
    <mergeCell ref="W40:W41"/>
    <mergeCell ref="B53:AB53"/>
    <mergeCell ref="B54:AB54"/>
    <mergeCell ref="B55:AB55"/>
    <mergeCell ref="W42:W43"/>
    <mergeCell ref="W44:W46"/>
    <mergeCell ref="W47:W48"/>
    <mergeCell ref="F43:G43"/>
    <mergeCell ref="H43:I43"/>
    <mergeCell ref="F44:F45"/>
    <mergeCell ref="G44:G45"/>
    <mergeCell ref="A21:AB21"/>
    <mergeCell ref="A22:AB22"/>
    <mergeCell ref="A24:AB26"/>
    <mergeCell ref="B27:AB27"/>
    <mergeCell ref="B28:AB28"/>
    <mergeCell ref="B29:AB29"/>
    <mergeCell ref="B30:AB30"/>
    <mergeCell ref="B31:AB31"/>
    <mergeCell ref="V64:V65"/>
    <mergeCell ref="Z38:Z39"/>
    <mergeCell ref="Z40:Z41"/>
    <mergeCell ref="Z42:Z43"/>
    <mergeCell ref="Z44:Z46"/>
    <mergeCell ref="Z47:Z48"/>
    <mergeCell ref="Z59:Z60"/>
    <mergeCell ref="Z61:Z62"/>
    <mergeCell ref="B32:AB32"/>
    <mergeCell ref="W64:W65"/>
    <mergeCell ref="W57:W58"/>
    <mergeCell ref="V57:V58"/>
    <mergeCell ref="Z57:Z58"/>
    <mergeCell ref="V36:V37"/>
    <mergeCell ref="W36:W37"/>
    <mergeCell ref="Z36:Z37"/>
  </mergeCells>
  <printOptions horizontalCentered="1" verticalCentered="1"/>
  <pageMargins left="1.1417322834645669" right="0.19685039370078741" top="0.39370078740157483" bottom="0.43307086614173229" header="0" footer="0.59055118110236227"/>
  <pageSetup paperSize="5" scale="48"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AQ98"/>
  <sheetViews>
    <sheetView zoomScale="85" zoomScaleNormal="85" workbookViewId="0">
      <selection sqref="A1:E1"/>
    </sheetView>
  </sheetViews>
  <sheetFormatPr baseColWidth="10" defaultColWidth="11.42578125" defaultRowHeight="12.75" x14ac:dyDescent="0.2"/>
  <cols>
    <col min="1" max="1" width="72.28515625" style="1" customWidth="1"/>
    <col min="2" max="3" width="30" style="1" customWidth="1"/>
    <col min="4" max="4" width="24.85546875" style="1" customWidth="1"/>
    <col min="5" max="5" width="23.5703125" style="1" customWidth="1"/>
    <col min="6" max="7" width="30" style="1" customWidth="1"/>
    <col min="8" max="8" width="24.85546875" style="1" customWidth="1"/>
    <col min="9" max="9" width="23.5703125" style="1" customWidth="1"/>
    <col min="10" max="19" width="11.42578125" style="1" hidden="1" customWidth="1"/>
    <col min="20" max="21" width="30" style="1" customWidth="1"/>
    <col min="22" max="28" width="24.85546875" style="1" customWidth="1"/>
    <col min="29" max="32" width="30" style="1" customWidth="1"/>
    <col min="33" max="34" width="24.85546875" style="1" customWidth="1"/>
    <col min="35" max="36" width="30" style="1" customWidth="1"/>
    <col min="37" max="37" width="24.85546875" style="1" customWidth="1"/>
    <col min="38" max="43" width="30" style="1" customWidth="1"/>
    <col min="44" max="16384" width="11.42578125" style="1"/>
  </cols>
  <sheetData>
    <row r="1" spans="1:43" ht="20.25" customHeight="1" x14ac:dyDescent="0.2">
      <c r="A1" s="168"/>
      <c r="B1" s="168"/>
      <c r="C1" s="168"/>
      <c r="D1" s="168"/>
      <c r="E1" s="168"/>
    </row>
    <row r="2" spans="1:43" ht="20.25" customHeight="1" x14ac:dyDescent="0.2"/>
    <row r="3" spans="1:43" ht="9.75" customHeight="1" x14ac:dyDescent="0.2">
      <c r="A3" s="2"/>
    </row>
    <row r="4" spans="1:43" s="4" customFormat="1" ht="14.25" customHeight="1" x14ac:dyDescent="0.2">
      <c r="A4" s="3" t="s">
        <v>0</v>
      </c>
    </row>
    <row r="5" spans="1:43" s="4" customFormat="1" ht="15.75" customHeight="1" x14ac:dyDescent="0.2">
      <c r="A5" s="5" t="s">
        <v>1</v>
      </c>
    </row>
    <row r="7" spans="1:43" s="6" customFormat="1" ht="72" customHeight="1" x14ac:dyDescent="0.2">
      <c r="A7" s="169"/>
      <c r="B7" s="170"/>
      <c r="C7" s="170"/>
      <c r="D7" s="170"/>
      <c r="E7" s="170"/>
    </row>
    <row r="8" spans="1:43" x14ac:dyDescent="0.2">
      <c r="A8" s="171"/>
      <c r="B8" s="172"/>
      <c r="C8" s="172"/>
      <c r="D8" s="172"/>
      <c r="E8" s="172"/>
    </row>
    <row r="9" spans="1:43" s="6" customFormat="1" ht="67.5" customHeight="1" x14ac:dyDescent="0.2">
      <c r="A9" s="173" t="s">
        <v>78</v>
      </c>
      <c r="B9" s="174"/>
      <c r="C9" s="174"/>
      <c r="D9" s="174"/>
      <c r="E9" s="174"/>
      <c r="F9" s="175"/>
      <c r="G9" s="175"/>
      <c r="H9" s="175"/>
      <c r="I9" s="175"/>
      <c r="J9" s="175"/>
      <c r="K9" s="175"/>
      <c r="L9" s="175"/>
      <c r="M9" s="175"/>
      <c r="N9" s="175"/>
      <c r="O9" s="175"/>
      <c r="P9" s="175"/>
      <c r="Q9" s="175"/>
      <c r="R9" s="175"/>
      <c r="S9" s="175"/>
      <c r="T9" s="175"/>
      <c r="U9" s="175"/>
      <c r="V9" s="175"/>
      <c r="W9" s="175"/>
      <c r="X9" s="175"/>
    </row>
    <row r="10" spans="1:43" ht="15" customHeight="1" x14ac:dyDescent="0.2">
      <c r="A10" s="7"/>
      <c r="B10" s="7"/>
      <c r="C10" s="7"/>
      <c r="D10" s="7"/>
      <c r="E10" s="78"/>
      <c r="F10" s="7"/>
      <c r="G10" s="7"/>
      <c r="H10" s="7"/>
      <c r="I10" s="78"/>
      <c r="T10" s="7"/>
      <c r="U10" s="7"/>
      <c r="V10" s="7"/>
      <c r="W10" s="7"/>
      <c r="X10" s="7"/>
      <c r="Y10" s="7"/>
      <c r="Z10" s="7"/>
      <c r="AA10" s="7"/>
      <c r="AB10" s="7"/>
      <c r="AC10" s="7"/>
      <c r="AD10" s="7"/>
      <c r="AE10" s="7"/>
      <c r="AF10" s="7"/>
      <c r="AG10" s="7"/>
      <c r="AH10" s="7"/>
      <c r="AI10" s="7"/>
      <c r="AJ10" s="7"/>
      <c r="AK10" s="7"/>
      <c r="AL10" s="7"/>
      <c r="AM10" s="7"/>
      <c r="AN10" s="7"/>
      <c r="AO10" s="7"/>
      <c r="AP10" s="7"/>
      <c r="AQ10" s="7"/>
    </row>
    <row r="11" spans="1:43" s="45" customFormat="1" ht="23.25" x14ac:dyDescent="0.2">
      <c r="A11" s="8" t="s">
        <v>2</v>
      </c>
      <c r="B11" s="176">
        <v>1270999240</v>
      </c>
      <c r="C11" s="176"/>
      <c r="D11" s="176"/>
      <c r="E11" s="79"/>
      <c r="F11" s="176"/>
      <c r="G11" s="176"/>
      <c r="H11" s="176"/>
      <c r="I11" s="79"/>
      <c r="T11" s="176"/>
      <c r="U11" s="176"/>
      <c r="V11" s="176"/>
      <c r="W11" s="117"/>
      <c r="X11" s="117"/>
      <c r="Y11" s="117"/>
      <c r="Z11" s="117"/>
      <c r="AA11" s="117"/>
      <c r="AB11" s="117"/>
      <c r="AG11" s="117"/>
      <c r="AH11" s="117"/>
      <c r="AK11" s="117"/>
    </row>
    <row r="12" spans="1:43" s="45" customFormat="1" ht="23.25" x14ac:dyDescent="0.2">
      <c r="A12" s="46" t="s">
        <v>3</v>
      </c>
      <c r="B12" s="77" t="s">
        <v>67</v>
      </c>
      <c r="C12" s="77"/>
      <c r="D12" s="47"/>
      <c r="E12" s="80"/>
      <c r="F12" s="77"/>
      <c r="G12" s="77"/>
      <c r="H12" s="47"/>
      <c r="I12" s="80"/>
      <c r="J12" s="119"/>
      <c r="K12" s="119"/>
      <c r="L12" s="119"/>
      <c r="M12" s="119"/>
      <c r="N12" s="119"/>
      <c r="O12" s="119"/>
      <c r="P12" s="119"/>
      <c r="Q12" s="119"/>
      <c r="R12" s="119"/>
      <c r="S12" s="119"/>
      <c r="T12" s="77"/>
      <c r="U12" s="77"/>
      <c r="V12" s="47"/>
      <c r="W12" s="47"/>
      <c r="X12" s="47"/>
      <c r="Y12" s="47"/>
      <c r="Z12" s="47"/>
      <c r="AA12" s="47"/>
      <c r="AB12" s="47"/>
      <c r="AC12" s="77"/>
      <c r="AD12" s="77"/>
      <c r="AE12" s="77"/>
      <c r="AF12" s="77"/>
      <c r="AG12" s="47"/>
      <c r="AH12" s="47"/>
      <c r="AI12" s="77"/>
      <c r="AJ12" s="77"/>
      <c r="AK12" s="47"/>
      <c r="AL12" s="77"/>
      <c r="AM12" s="77"/>
      <c r="AN12" s="77"/>
      <c r="AO12" s="77"/>
      <c r="AP12" s="77"/>
      <c r="AQ12" s="77"/>
    </row>
    <row r="13" spans="1:43" s="4" customFormat="1" ht="6" customHeight="1" x14ac:dyDescent="0.2">
      <c r="A13" s="10"/>
      <c r="B13" s="11"/>
      <c r="C13" s="11"/>
      <c r="D13" s="9"/>
      <c r="E13" s="9"/>
      <c r="F13" s="11"/>
      <c r="G13" s="11"/>
      <c r="H13" s="9"/>
      <c r="I13" s="9"/>
      <c r="T13" s="11"/>
      <c r="U13" s="11"/>
      <c r="V13" s="9"/>
      <c r="W13" s="9"/>
      <c r="X13" s="9"/>
      <c r="Y13" s="9"/>
      <c r="Z13" s="9"/>
      <c r="AA13" s="9"/>
      <c r="AB13" s="9"/>
      <c r="AC13" s="11"/>
      <c r="AD13" s="11"/>
      <c r="AE13" s="11"/>
      <c r="AF13" s="11"/>
      <c r="AG13" s="9"/>
      <c r="AH13" s="9"/>
      <c r="AI13" s="11"/>
      <c r="AJ13" s="11"/>
      <c r="AK13" s="9"/>
      <c r="AL13" s="11"/>
      <c r="AM13" s="11"/>
      <c r="AN13" s="11"/>
      <c r="AO13" s="11"/>
      <c r="AP13" s="11"/>
      <c r="AQ13" s="11"/>
    </row>
    <row r="14" spans="1:43" s="12" customFormat="1" ht="15.75" x14ac:dyDescent="0.2">
      <c r="A14" s="162" t="s">
        <v>4</v>
      </c>
      <c r="B14" s="167">
        <v>1</v>
      </c>
      <c r="C14" s="167"/>
      <c r="D14" s="167">
        <v>2</v>
      </c>
      <c r="E14" s="167"/>
      <c r="F14" s="167">
        <v>3</v>
      </c>
      <c r="G14" s="167"/>
      <c r="H14" s="167">
        <v>4</v>
      </c>
      <c r="I14" s="167"/>
      <c r="T14" s="167">
        <v>5</v>
      </c>
      <c r="U14" s="167"/>
      <c r="V14" s="116">
        <v>6</v>
      </c>
      <c r="W14" s="116">
        <v>7</v>
      </c>
      <c r="X14" s="116">
        <v>8</v>
      </c>
      <c r="Y14" s="116">
        <v>9</v>
      </c>
      <c r="Z14" s="116">
        <v>10</v>
      </c>
      <c r="AA14" s="116">
        <v>31</v>
      </c>
      <c r="AB14" s="116">
        <v>32</v>
      </c>
      <c r="AC14" s="167">
        <v>33</v>
      </c>
      <c r="AD14" s="167"/>
      <c r="AE14" s="167">
        <v>34</v>
      </c>
      <c r="AF14" s="167"/>
      <c r="AG14" s="116">
        <v>35</v>
      </c>
      <c r="AH14" s="116">
        <v>36</v>
      </c>
      <c r="AI14" s="167">
        <v>37</v>
      </c>
      <c r="AJ14" s="167"/>
      <c r="AK14" s="116">
        <v>38</v>
      </c>
      <c r="AL14" s="167">
        <v>39</v>
      </c>
      <c r="AM14" s="167"/>
      <c r="AN14" s="167">
        <v>40</v>
      </c>
      <c r="AO14" s="167"/>
      <c r="AP14" s="167">
        <v>41</v>
      </c>
      <c r="AQ14" s="167"/>
    </row>
    <row r="15" spans="1:43" s="13" customFormat="1" ht="15.75" customHeight="1" x14ac:dyDescent="0.25">
      <c r="A15" s="162"/>
      <c r="B15" s="154" t="s">
        <v>105</v>
      </c>
      <c r="C15" s="155"/>
      <c r="D15" s="154" t="s">
        <v>106</v>
      </c>
      <c r="E15" s="155"/>
      <c r="F15" s="154" t="s">
        <v>107</v>
      </c>
      <c r="G15" s="155"/>
      <c r="H15" s="154" t="s">
        <v>108</v>
      </c>
      <c r="I15" s="155"/>
      <c r="T15" s="154" t="s">
        <v>109</v>
      </c>
      <c r="U15" s="155"/>
      <c r="V15" s="135" t="s">
        <v>110</v>
      </c>
      <c r="W15" s="135" t="s">
        <v>111</v>
      </c>
      <c r="X15" s="135" t="s">
        <v>112</v>
      </c>
      <c r="Y15" s="135" t="s">
        <v>113</v>
      </c>
      <c r="Z15" s="135" t="s">
        <v>114</v>
      </c>
      <c r="AA15" s="135" t="s">
        <v>176</v>
      </c>
      <c r="AB15" s="135" t="s">
        <v>165</v>
      </c>
      <c r="AC15" s="154" t="s">
        <v>166</v>
      </c>
      <c r="AD15" s="155"/>
      <c r="AE15" s="154" t="s">
        <v>167</v>
      </c>
      <c r="AF15" s="155"/>
      <c r="AG15" s="135" t="s">
        <v>168</v>
      </c>
      <c r="AH15" s="135" t="s">
        <v>169</v>
      </c>
      <c r="AI15" s="154" t="s">
        <v>156</v>
      </c>
      <c r="AJ15" s="155"/>
      <c r="AK15" s="135" t="s">
        <v>170</v>
      </c>
      <c r="AL15" s="154" t="s">
        <v>171</v>
      </c>
      <c r="AM15" s="155"/>
      <c r="AN15" s="154" t="s">
        <v>172</v>
      </c>
      <c r="AO15" s="155"/>
      <c r="AP15" s="154" t="s">
        <v>173</v>
      </c>
      <c r="AQ15" s="155"/>
    </row>
    <row r="16" spans="1:43" s="53" customFormat="1" ht="33" customHeight="1" x14ac:dyDescent="0.2">
      <c r="A16" s="162"/>
      <c r="B16" s="84" t="s">
        <v>115</v>
      </c>
      <c r="C16" s="84" t="s">
        <v>116</v>
      </c>
      <c r="D16" s="84" t="s">
        <v>117</v>
      </c>
      <c r="E16" s="84" t="s">
        <v>118</v>
      </c>
      <c r="F16" s="84" t="s">
        <v>119</v>
      </c>
      <c r="G16" s="84" t="s">
        <v>120</v>
      </c>
      <c r="H16" s="84" t="s">
        <v>121</v>
      </c>
      <c r="I16" s="84" t="s">
        <v>122</v>
      </c>
      <c r="T16" s="84" t="s">
        <v>123</v>
      </c>
      <c r="U16" s="84" t="s">
        <v>124</v>
      </c>
      <c r="V16" s="136"/>
      <c r="W16" s="136"/>
      <c r="X16" s="136"/>
      <c r="Y16" s="136"/>
      <c r="Z16" s="136"/>
      <c r="AA16" s="201"/>
      <c r="AB16" s="201"/>
      <c r="AC16" s="84" t="s">
        <v>177</v>
      </c>
      <c r="AD16" s="84" t="s">
        <v>178</v>
      </c>
      <c r="AE16" s="84" t="s">
        <v>179</v>
      </c>
      <c r="AF16" s="84" t="s">
        <v>180</v>
      </c>
      <c r="AG16" s="201"/>
      <c r="AH16" s="201"/>
      <c r="AI16" s="84" t="s">
        <v>181</v>
      </c>
      <c r="AJ16" s="84" t="s">
        <v>182</v>
      </c>
      <c r="AK16" s="201"/>
      <c r="AL16" s="84" t="s">
        <v>183</v>
      </c>
      <c r="AM16" s="84" t="s">
        <v>184</v>
      </c>
      <c r="AN16" s="84" t="s">
        <v>185</v>
      </c>
      <c r="AO16" s="84" t="s">
        <v>186</v>
      </c>
      <c r="AP16" s="84" t="s">
        <v>187</v>
      </c>
      <c r="AQ16" s="84" t="s">
        <v>188</v>
      </c>
    </row>
    <row r="17" spans="1:43" s="17" customFormat="1" ht="15.75" x14ac:dyDescent="0.25">
      <c r="A17" s="15" t="s">
        <v>5</v>
      </c>
      <c r="B17" s="16">
        <v>0.5</v>
      </c>
      <c r="C17" s="16">
        <v>0.5</v>
      </c>
      <c r="D17" s="16">
        <v>0.5</v>
      </c>
      <c r="E17" s="16">
        <v>0.5</v>
      </c>
      <c r="F17" s="16">
        <v>0.5</v>
      </c>
      <c r="G17" s="16">
        <v>0.5</v>
      </c>
      <c r="H17" s="16">
        <v>0.5</v>
      </c>
      <c r="I17" s="16">
        <v>0.5</v>
      </c>
      <c r="T17" s="16">
        <v>0.5</v>
      </c>
      <c r="U17" s="16">
        <v>0.5</v>
      </c>
      <c r="V17" s="16">
        <v>1</v>
      </c>
      <c r="W17" s="16">
        <v>1</v>
      </c>
      <c r="X17" s="16">
        <v>1</v>
      </c>
      <c r="Y17" s="16">
        <v>1</v>
      </c>
      <c r="Z17" s="16">
        <v>1</v>
      </c>
      <c r="AA17" s="16">
        <v>1</v>
      </c>
      <c r="AB17" s="16">
        <v>1</v>
      </c>
      <c r="AC17" s="16">
        <v>0.5</v>
      </c>
      <c r="AD17" s="16">
        <v>0.5</v>
      </c>
      <c r="AE17" s="16">
        <v>0.55000000000000004</v>
      </c>
      <c r="AF17" s="16">
        <v>0.45</v>
      </c>
      <c r="AG17" s="16">
        <v>1</v>
      </c>
      <c r="AH17" s="16">
        <v>1</v>
      </c>
      <c r="AI17" s="16">
        <v>0.5</v>
      </c>
      <c r="AJ17" s="16">
        <v>0.5</v>
      </c>
      <c r="AK17" s="16">
        <v>1</v>
      </c>
      <c r="AL17" s="16">
        <v>0.9</v>
      </c>
      <c r="AM17" s="16">
        <v>0.1</v>
      </c>
      <c r="AN17" s="16">
        <v>0.5</v>
      </c>
      <c r="AO17" s="16">
        <v>0.5</v>
      </c>
      <c r="AP17" s="16">
        <v>0.51</v>
      </c>
      <c r="AQ17" s="16">
        <v>0.49</v>
      </c>
    </row>
    <row r="18" spans="1:43" s="56" customFormat="1" ht="11.25" customHeight="1" x14ac:dyDescent="0.2">
      <c r="A18" s="55" t="s">
        <v>6</v>
      </c>
      <c r="B18" s="165" t="s">
        <v>6</v>
      </c>
      <c r="C18" s="166"/>
      <c r="D18" s="165" t="s">
        <v>6</v>
      </c>
      <c r="E18" s="166"/>
      <c r="F18" s="165" t="s">
        <v>6</v>
      </c>
      <c r="G18" s="166"/>
      <c r="H18" s="165" t="s">
        <v>6</v>
      </c>
      <c r="I18" s="166"/>
      <c r="T18" s="165" t="s">
        <v>6</v>
      </c>
      <c r="U18" s="166"/>
      <c r="V18" s="84" t="s">
        <v>6</v>
      </c>
      <c r="W18" s="84" t="s">
        <v>6</v>
      </c>
      <c r="X18" s="84" t="s">
        <v>6</v>
      </c>
      <c r="Y18" s="84" t="s">
        <v>6</v>
      </c>
      <c r="Z18" s="84" t="s">
        <v>6</v>
      </c>
      <c r="AA18" s="84" t="s">
        <v>6</v>
      </c>
      <c r="AB18" s="84" t="s">
        <v>6</v>
      </c>
      <c r="AC18" s="165" t="s">
        <v>6</v>
      </c>
      <c r="AD18" s="166"/>
      <c r="AE18" s="165" t="s">
        <v>6</v>
      </c>
      <c r="AF18" s="166"/>
      <c r="AG18" s="84" t="s">
        <v>6</v>
      </c>
      <c r="AH18" s="84" t="s">
        <v>6</v>
      </c>
      <c r="AI18" s="165" t="s">
        <v>6</v>
      </c>
      <c r="AJ18" s="166"/>
      <c r="AK18" s="84" t="s">
        <v>6</v>
      </c>
      <c r="AL18" s="165" t="s">
        <v>6</v>
      </c>
      <c r="AM18" s="166"/>
      <c r="AN18" s="165" t="s">
        <v>6</v>
      </c>
      <c r="AO18" s="166"/>
      <c r="AP18" s="165" t="s">
        <v>6</v>
      </c>
      <c r="AQ18" s="166"/>
    </row>
    <row r="19" spans="1:43" s="14" customFormat="1" ht="21.75" customHeight="1" x14ac:dyDescent="0.25">
      <c r="A19" s="19" t="s">
        <v>7</v>
      </c>
      <c r="B19" s="20"/>
      <c r="C19" s="20"/>
      <c r="D19" s="20"/>
      <c r="E19" s="20"/>
      <c r="F19" s="20"/>
      <c r="G19" s="20"/>
      <c r="H19" s="20"/>
      <c r="I19" s="20"/>
      <c r="T19" s="20"/>
      <c r="U19" s="20"/>
      <c r="V19" s="20"/>
      <c r="W19" s="20"/>
      <c r="X19" s="20"/>
      <c r="Y19" s="20"/>
      <c r="Z19" s="20"/>
      <c r="AA19" s="107" t="s">
        <v>189</v>
      </c>
      <c r="AB19" s="107" t="s">
        <v>190</v>
      </c>
      <c r="AC19" s="165" t="s">
        <v>191</v>
      </c>
      <c r="AD19" s="166"/>
      <c r="AE19" s="165" t="s">
        <v>192</v>
      </c>
      <c r="AF19" s="166"/>
      <c r="AG19" s="107" t="s">
        <v>193</v>
      </c>
      <c r="AH19" s="107" t="s">
        <v>169</v>
      </c>
      <c r="AI19" s="165" t="s">
        <v>194</v>
      </c>
      <c r="AJ19" s="166"/>
      <c r="AK19" s="107" t="s">
        <v>195</v>
      </c>
      <c r="AL19" s="165" t="s">
        <v>196</v>
      </c>
      <c r="AM19" s="166"/>
      <c r="AN19" s="165" t="s">
        <v>197</v>
      </c>
      <c r="AO19" s="166"/>
      <c r="AP19" s="165" t="s">
        <v>198</v>
      </c>
      <c r="AQ19" s="166"/>
    </row>
    <row r="20" spans="1:43" s="14" customFormat="1" ht="48.75" customHeight="1" x14ac:dyDescent="0.25">
      <c r="A20" s="21" t="s">
        <v>8</v>
      </c>
      <c r="B20" s="85" t="s">
        <v>9</v>
      </c>
      <c r="C20" s="85" t="s">
        <v>9</v>
      </c>
      <c r="D20" s="85" t="s">
        <v>9</v>
      </c>
      <c r="E20" s="85" t="s">
        <v>9</v>
      </c>
      <c r="F20" s="85" t="s">
        <v>9</v>
      </c>
      <c r="G20" s="85" t="s">
        <v>9</v>
      </c>
      <c r="H20" s="85" t="s">
        <v>9</v>
      </c>
      <c r="I20" s="85" t="s">
        <v>9</v>
      </c>
      <c r="T20" s="85" t="s">
        <v>9</v>
      </c>
      <c r="U20" s="85" t="s">
        <v>9</v>
      </c>
      <c r="V20" s="85" t="s">
        <v>9</v>
      </c>
      <c r="W20" s="85" t="s">
        <v>9</v>
      </c>
      <c r="X20" s="85" t="s">
        <v>9</v>
      </c>
      <c r="Y20" s="85" t="s">
        <v>9</v>
      </c>
      <c r="Z20" s="85" t="s">
        <v>9</v>
      </c>
      <c r="AA20" s="85" t="s">
        <v>9</v>
      </c>
      <c r="AB20" s="85" t="s">
        <v>9</v>
      </c>
      <c r="AC20" s="85" t="s">
        <v>9</v>
      </c>
      <c r="AD20" s="85" t="s">
        <v>9</v>
      </c>
      <c r="AE20" s="85" t="s">
        <v>9</v>
      </c>
      <c r="AF20" s="85" t="s">
        <v>9</v>
      </c>
      <c r="AG20" s="85" t="s">
        <v>9</v>
      </c>
      <c r="AH20" s="85" t="s">
        <v>9</v>
      </c>
      <c r="AI20" s="85" t="s">
        <v>9</v>
      </c>
      <c r="AJ20" s="85" t="s">
        <v>9</v>
      </c>
      <c r="AK20" s="85" t="s">
        <v>9</v>
      </c>
      <c r="AL20" s="85" t="s">
        <v>9</v>
      </c>
      <c r="AM20" s="85" t="s">
        <v>9</v>
      </c>
      <c r="AN20" s="85" t="s">
        <v>9</v>
      </c>
      <c r="AO20" s="85" t="s">
        <v>9</v>
      </c>
      <c r="AP20" s="85" t="s">
        <v>9</v>
      </c>
      <c r="AQ20" s="85" t="s">
        <v>9</v>
      </c>
    </row>
    <row r="21" spans="1:43" s="9" customFormat="1" ht="19.5" customHeight="1" x14ac:dyDescent="0.2">
      <c r="A21" s="181" t="s">
        <v>68</v>
      </c>
      <c r="B21" s="182"/>
      <c r="C21" s="182"/>
      <c r="D21" s="182"/>
      <c r="E21" s="182"/>
      <c r="F21" s="183"/>
      <c r="G21" s="183"/>
      <c r="H21" s="183"/>
      <c r="I21" s="183"/>
      <c r="J21" s="183"/>
      <c r="K21" s="183"/>
      <c r="L21" s="183"/>
      <c r="M21" s="183"/>
      <c r="N21" s="183"/>
      <c r="O21" s="183"/>
      <c r="P21" s="183"/>
      <c r="Q21" s="183"/>
      <c r="R21" s="183"/>
      <c r="S21" s="183"/>
      <c r="T21" s="183"/>
      <c r="U21" s="183"/>
      <c r="V21" s="183"/>
      <c r="W21" s="183"/>
      <c r="X21" s="183"/>
    </row>
    <row r="22" spans="1:43" s="14" customFormat="1" ht="46.15" customHeight="1" x14ac:dyDescent="0.25">
      <c r="A22" s="181" t="s">
        <v>10</v>
      </c>
      <c r="B22" s="182"/>
      <c r="C22" s="182"/>
      <c r="D22" s="182"/>
      <c r="E22" s="182"/>
      <c r="F22" s="183"/>
      <c r="G22" s="183"/>
      <c r="H22" s="183"/>
      <c r="I22" s="183"/>
      <c r="J22" s="183"/>
      <c r="K22" s="183"/>
      <c r="L22" s="183"/>
      <c r="M22" s="183"/>
      <c r="N22" s="183"/>
      <c r="O22" s="183"/>
      <c r="P22" s="183"/>
      <c r="Q22" s="183"/>
      <c r="R22" s="183"/>
      <c r="S22" s="183"/>
      <c r="T22" s="183"/>
      <c r="U22" s="183"/>
      <c r="V22" s="183"/>
      <c r="W22" s="183"/>
      <c r="X22" s="183"/>
    </row>
    <row r="23" spans="1:43" s="14" customFormat="1" ht="34.5" customHeight="1" x14ac:dyDescent="0.25">
      <c r="A23" s="22" t="s">
        <v>11</v>
      </c>
      <c r="B23" s="85" t="s">
        <v>9</v>
      </c>
      <c r="C23" s="85" t="s">
        <v>9</v>
      </c>
      <c r="D23" s="85" t="s">
        <v>9</v>
      </c>
      <c r="E23" s="85" t="s">
        <v>9</v>
      </c>
      <c r="F23" s="85" t="s">
        <v>9</v>
      </c>
      <c r="G23" s="85" t="s">
        <v>9</v>
      </c>
      <c r="H23" s="85" t="s">
        <v>9</v>
      </c>
      <c r="I23" s="85" t="s">
        <v>9</v>
      </c>
      <c r="T23" s="85" t="s">
        <v>9</v>
      </c>
      <c r="U23" s="85" t="s">
        <v>9</v>
      </c>
      <c r="V23" s="85" t="s">
        <v>9</v>
      </c>
      <c r="W23" s="85" t="s">
        <v>9</v>
      </c>
      <c r="X23" s="85" t="s">
        <v>9</v>
      </c>
      <c r="Y23" s="85" t="s">
        <v>9</v>
      </c>
      <c r="Z23" s="85" t="s">
        <v>9</v>
      </c>
      <c r="AA23" s="85" t="s">
        <v>9</v>
      </c>
      <c r="AB23" s="85" t="s">
        <v>9</v>
      </c>
      <c r="AC23" s="85" t="s">
        <v>9</v>
      </c>
      <c r="AD23" s="85" t="s">
        <v>9</v>
      </c>
      <c r="AE23" s="85" t="s">
        <v>9</v>
      </c>
      <c r="AF23" s="85" t="s">
        <v>9</v>
      </c>
      <c r="AG23" s="85" t="s">
        <v>9</v>
      </c>
      <c r="AH23" s="85" t="s">
        <v>9</v>
      </c>
      <c r="AI23" s="85" t="s">
        <v>9</v>
      </c>
      <c r="AJ23" s="85" t="s">
        <v>9</v>
      </c>
      <c r="AK23" s="85" t="s">
        <v>9</v>
      </c>
      <c r="AL23" s="85" t="s">
        <v>9</v>
      </c>
      <c r="AM23" s="85" t="s">
        <v>9</v>
      </c>
      <c r="AN23" s="85" t="s">
        <v>9</v>
      </c>
      <c r="AO23" s="85" t="s">
        <v>9</v>
      </c>
      <c r="AP23" s="85" t="s">
        <v>9</v>
      </c>
      <c r="AQ23" s="85" t="s">
        <v>9</v>
      </c>
    </row>
    <row r="24" spans="1:43" s="23" customFormat="1" ht="12.75" customHeight="1" x14ac:dyDescent="0.3">
      <c r="A24" s="184" t="s">
        <v>12</v>
      </c>
      <c r="B24" s="175"/>
      <c r="C24" s="175"/>
      <c r="D24" s="175"/>
      <c r="E24" s="175"/>
      <c r="F24" s="175"/>
      <c r="G24" s="175"/>
      <c r="H24" s="175"/>
      <c r="I24" s="175"/>
      <c r="J24" s="175"/>
      <c r="K24" s="175"/>
      <c r="L24" s="175"/>
      <c r="M24" s="175"/>
      <c r="N24" s="175"/>
      <c r="O24" s="175"/>
      <c r="P24" s="175"/>
      <c r="Q24" s="175"/>
      <c r="R24" s="175"/>
      <c r="S24" s="175"/>
      <c r="T24" s="175"/>
      <c r="U24" s="175"/>
      <c r="V24" s="175"/>
      <c r="W24" s="175"/>
      <c r="X24" s="175"/>
    </row>
    <row r="25" spans="1:43" s="35" customFormat="1" x14ac:dyDescent="0.2">
      <c r="A25" s="175"/>
      <c r="B25" s="175"/>
      <c r="C25" s="175"/>
      <c r="D25" s="175"/>
      <c r="E25" s="175"/>
      <c r="F25" s="175"/>
      <c r="G25" s="175"/>
      <c r="H25" s="175"/>
      <c r="I25" s="175"/>
      <c r="J25" s="175"/>
      <c r="K25" s="175"/>
      <c r="L25" s="175"/>
      <c r="M25" s="175"/>
      <c r="N25" s="175"/>
      <c r="O25" s="175"/>
      <c r="P25" s="175"/>
      <c r="Q25" s="175"/>
      <c r="R25" s="175"/>
      <c r="S25" s="175"/>
      <c r="T25" s="175"/>
      <c r="U25" s="175"/>
      <c r="V25" s="175"/>
      <c r="W25" s="175"/>
      <c r="X25" s="175"/>
    </row>
    <row r="26" spans="1:43" s="6" customFormat="1" x14ac:dyDescent="0.2">
      <c r="A26" s="175"/>
      <c r="B26" s="175"/>
      <c r="C26" s="175"/>
      <c r="D26" s="175"/>
      <c r="E26" s="175"/>
      <c r="F26" s="175"/>
      <c r="G26" s="175"/>
      <c r="H26" s="175"/>
      <c r="I26" s="175"/>
      <c r="J26" s="175"/>
      <c r="K26" s="175"/>
      <c r="L26" s="175"/>
      <c r="M26" s="175"/>
      <c r="N26" s="175"/>
      <c r="O26" s="175"/>
      <c r="P26" s="175"/>
      <c r="Q26" s="175"/>
      <c r="R26" s="175"/>
      <c r="S26" s="175"/>
      <c r="T26" s="175"/>
      <c r="U26" s="175"/>
      <c r="V26" s="175"/>
      <c r="W26" s="175"/>
      <c r="X26" s="175"/>
    </row>
    <row r="27" spans="1:43" s="6" customFormat="1" ht="31.9" customHeight="1" x14ac:dyDescent="0.2">
      <c r="A27" s="115" t="s">
        <v>45</v>
      </c>
      <c r="B27" s="179" t="s">
        <v>74</v>
      </c>
      <c r="C27" s="180"/>
      <c r="D27" s="180"/>
      <c r="E27" s="180"/>
      <c r="F27" s="175"/>
      <c r="G27" s="175"/>
      <c r="H27" s="175"/>
      <c r="I27" s="175"/>
      <c r="J27" s="175"/>
      <c r="K27" s="175"/>
      <c r="L27" s="175"/>
      <c r="M27" s="175"/>
      <c r="N27" s="175"/>
      <c r="O27" s="175"/>
      <c r="P27" s="175"/>
      <c r="Q27" s="175"/>
      <c r="R27" s="175"/>
      <c r="S27" s="175"/>
      <c r="T27" s="175"/>
      <c r="U27" s="175"/>
      <c r="V27" s="175"/>
      <c r="W27" s="175"/>
      <c r="X27" s="175"/>
    </row>
    <row r="28" spans="1:43" s="6" customFormat="1" ht="30.6" customHeight="1" x14ac:dyDescent="0.2">
      <c r="A28" s="25" t="s">
        <v>46</v>
      </c>
      <c r="B28" s="179" t="s">
        <v>51</v>
      </c>
      <c r="C28" s="180"/>
      <c r="D28" s="180"/>
      <c r="E28" s="180"/>
      <c r="F28" s="175"/>
      <c r="G28" s="175"/>
      <c r="H28" s="175"/>
      <c r="I28" s="175"/>
      <c r="J28" s="175"/>
      <c r="K28" s="175"/>
      <c r="L28" s="175"/>
      <c r="M28" s="175"/>
      <c r="N28" s="175"/>
      <c r="O28" s="175"/>
      <c r="P28" s="175"/>
      <c r="Q28" s="175"/>
      <c r="R28" s="175"/>
      <c r="S28" s="175"/>
      <c r="T28" s="175"/>
      <c r="U28" s="175"/>
      <c r="V28" s="175"/>
      <c r="W28" s="175"/>
      <c r="X28" s="175"/>
    </row>
    <row r="29" spans="1:43" s="6" customFormat="1" ht="22.5" customHeight="1" x14ac:dyDescent="0.2">
      <c r="A29" s="185" t="s">
        <v>47</v>
      </c>
      <c r="B29" s="179" t="s">
        <v>13</v>
      </c>
      <c r="C29" s="180"/>
      <c r="D29" s="180"/>
      <c r="E29" s="180"/>
      <c r="F29" s="175"/>
      <c r="G29" s="175"/>
      <c r="H29" s="175"/>
      <c r="I29" s="175"/>
      <c r="J29" s="175"/>
      <c r="K29" s="175"/>
      <c r="L29" s="175"/>
      <c r="M29" s="175"/>
      <c r="N29" s="175"/>
      <c r="O29" s="175"/>
      <c r="P29" s="175"/>
      <c r="Q29" s="175"/>
      <c r="R29" s="175"/>
      <c r="S29" s="175"/>
      <c r="T29" s="175"/>
      <c r="U29" s="175"/>
      <c r="V29" s="175"/>
      <c r="W29" s="175"/>
      <c r="X29" s="175"/>
    </row>
    <row r="30" spans="1:43" s="6" customFormat="1" ht="31.5" customHeight="1" x14ac:dyDescent="0.2">
      <c r="A30" s="185"/>
      <c r="B30" s="179" t="s">
        <v>14</v>
      </c>
      <c r="C30" s="180"/>
      <c r="D30" s="180"/>
      <c r="E30" s="180"/>
      <c r="F30" s="175"/>
      <c r="G30" s="175"/>
      <c r="H30" s="175"/>
      <c r="I30" s="175"/>
      <c r="J30" s="175"/>
      <c r="K30" s="175"/>
      <c r="L30" s="175"/>
      <c r="M30" s="175"/>
      <c r="N30" s="175"/>
      <c r="O30" s="175"/>
      <c r="P30" s="175"/>
      <c r="Q30" s="175"/>
      <c r="R30" s="175"/>
      <c r="S30" s="175"/>
      <c r="T30" s="175"/>
      <c r="U30" s="175"/>
      <c r="V30" s="175"/>
      <c r="W30" s="175"/>
      <c r="X30" s="175"/>
    </row>
    <row r="31" spans="1:43" s="6" customFormat="1" ht="25.5" customHeight="1" x14ac:dyDescent="0.2">
      <c r="A31" s="177" t="s">
        <v>52</v>
      </c>
      <c r="B31" s="179" t="s">
        <v>75</v>
      </c>
      <c r="C31" s="180"/>
      <c r="D31" s="180"/>
      <c r="E31" s="180"/>
      <c r="F31" s="175"/>
      <c r="G31" s="175"/>
      <c r="H31" s="175"/>
      <c r="I31" s="175"/>
      <c r="J31" s="175"/>
      <c r="K31" s="175"/>
      <c r="L31" s="175"/>
      <c r="M31" s="175"/>
      <c r="N31" s="175"/>
      <c r="O31" s="175"/>
      <c r="P31" s="175"/>
      <c r="Q31" s="175"/>
      <c r="R31" s="175"/>
      <c r="S31" s="175"/>
      <c r="T31" s="175"/>
      <c r="U31" s="175"/>
      <c r="V31" s="175"/>
      <c r="W31" s="175"/>
      <c r="X31" s="175"/>
    </row>
    <row r="32" spans="1:43" s="6" customFormat="1" ht="30" customHeight="1" x14ac:dyDescent="0.2">
      <c r="A32" s="178"/>
      <c r="B32" s="179" t="s">
        <v>76</v>
      </c>
      <c r="C32" s="180"/>
      <c r="D32" s="180"/>
      <c r="E32" s="180"/>
      <c r="F32" s="175"/>
      <c r="G32" s="175"/>
      <c r="H32" s="175"/>
      <c r="I32" s="175"/>
      <c r="J32" s="175"/>
      <c r="K32" s="175"/>
      <c r="L32" s="175"/>
      <c r="M32" s="175"/>
      <c r="N32" s="175"/>
      <c r="O32" s="175"/>
      <c r="P32" s="175"/>
      <c r="Q32" s="175"/>
      <c r="R32" s="175"/>
      <c r="S32" s="175"/>
      <c r="T32" s="175"/>
      <c r="U32" s="175"/>
      <c r="V32" s="175"/>
      <c r="W32" s="175"/>
      <c r="X32" s="175"/>
    </row>
    <row r="33" spans="1:43" s="6" customFormat="1" ht="30.75" customHeight="1" x14ac:dyDescent="0.2">
      <c r="A33" s="25" t="s">
        <v>53</v>
      </c>
      <c r="B33" s="179" t="s">
        <v>77</v>
      </c>
      <c r="C33" s="180"/>
      <c r="D33" s="180"/>
      <c r="E33" s="180"/>
      <c r="F33" s="175"/>
      <c r="G33" s="175"/>
      <c r="H33" s="175"/>
      <c r="I33" s="175"/>
      <c r="J33" s="175"/>
      <c r="K33" s="175"/>
      <c r="L33" s="175"/>
      <c r="M33" s="175"/>
      <c r="N33" s="175"/>
      <c r="O33" s="175"/>
      <c r="P33" s="175"/>
      <c r="Q33" s="175"/>
      <c r="R33" s="175"/>
      <c r="S33" s="175"/>
      <c r="T33" s="175"/>
      <c r="U33" s="175"/>
      <c r="V33" s="175"/>
      <c r="W33" s="175"/>
      <c r="X33" s="175"/>
    </row>
    <row r="34" spans="1:43" s="6" customFormat="1" ht="18.75" x14ac:dyDescent="0.25">
      <c r="A34" s="26"/>
      <c r="B34" s="111"/>
      <c r="C34" s="111"/>
      <c r="D34" s="111"/>
      <c r="E34" s="111"/>
      <c r="F34" s="14"/>
      <c r="G34" s="14">
        <f>381299887*0.03</f>
        <v>11438996.609999999</v>
      </c>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row>
    <row r="35" spans="1:43" s="28" customFormat="1" ht="14.25" customHeight="1" x14ac:dyDescent="0.2">
      <c r="A35" s="26"/>
      <c r="B35" s="27"/>
      <c r="C35" s="27"/>
      <c r="D35" s="27"/>
      <c r="E35" s="27"/>
      <c r="F35" s="27"/>
      <c r="G35" s="27"/>
      <c r="H35" s="27"/>
      <c r="I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row>
    <row r="36" spans="1:43" s="24" customFormat="1" ht="15.75" customHeight="1" x14ac:dyDescent="0.25">
      <c r="A36" s="162" t="s">
        <v>15</v>
      </c>
      <c r="B36" s="162" t="str">
        <f>+B15</f>
        <v>CONSORCIO BGU</v>
      </c>
      <c r="C36" s="162"/>
      <c r="D36" s="162" t="str">
        <f>+D15</f>
        <v>CONSORCIO INTERDESARROLLO</v>
      </c>
      <c r="E36" s="162"/>
      <c r="F36" s="162" t="str">
        <f>+F15</f>
        <v>CONSORCIO INTERNORTE</v>
      </c>
      <c r="G36" s="162"/>
      <c r="H36" s="162" t="str">
        <f>+H15</f>
        <v>CONSORCIO INTER-USA</v>
      </c>
      <c r="I36" s="162"/>
      <c r="T36" s="162" t="str">
        <f>+T15</f>
        <v>CONSORCIO MG-006</v>
      </c>
      <c r="U36" s="162"/>
      <c r="V36" s="135" t="str">
        <f>+V15</f>
        <v>GMC INGENIEROS S.A-
GRUPO METRO COLOMBIA S.A</v>
      </c>
      <c r="W36" s="135" t="str">
        <f>+W15</f>
        <v>GNG INGENIERIA S A S</v>
      </c>
      <c r="X36" s="135" t="str">
        <f>+X15</f>
        <v>PRI COLOMBIA SAS</v>
      </c>
      <c r="Y36" s="135" t="str">
        <f t="shared" ref="Y36:AB36" si="0">+Y15</f>
        <v>R &amp; M CONSTRUCCIONES E INTERVENTORIAS S A S</v>
      </c>
      <c r="Z36" s="135" t="str">
        <f t="shared" si="0"/>
        <v>TECNICONSULTA SAS - 
TECNOLOGIAS Y CONSULTORIAS AMBIENTALES Y DE GESTION S.A.S</v>
      </c>
      <c r="AA36" s="135" t="str">
        <f t="shared" si="0"/>
        <v xml:space="preserve">CONSULTORES DE INGENIERIA UG21 SUCURSAL EN COLOMBIA
</v>
      </c>
      <c r="AB36" s="135" t="str">
        <f t="shared" si="0"/>
        <v>INGECON SAS</v>
      </c>
      <c r="AC36" s="162" t="str">
        <f>+AC15</f>
        <v>CONSORCIO INTERVENTORIA VPC</v>
      </c>
      <c r="AD36" s="162"/>
      <c r="AE36" s="162" t="str">
        <f>+AE15</f>
        <v>CONSORCIO INTERUSAQUEN</v>
      </c>
      <c r="AF36" s="162"/>
      <c r="AG36" s="135" t="str">
        <f t="shared" ref="AG36:AH36" si="1">+AG15</f>
        <v>MIRS LATINOAMERICA S.A.S.</v>
      </c>
      <c r="AH36" s="135" t="str">
        <f t="shared" si="1"/>
        <v>LINO ANDRES MENDOZA</v>
      </c>
      <c r="AI36" s="162" t="str">
        <f>+AI15</f>
        <v>CONSORCIO USAQUEN 2018</v>
      </c>
      <c r="AJ36" s="162"/>
      <c r="AK36" s="135" t="str">
        <f t="shared" ref="AK36" si="2">+AK15</f>
        <v>CB INGENIEROS</v>
      </c>
      <c r="AL36" s="162" t="str">
        <f>+AL15</f>
        <v xml:space="preserve">CONSORCIO INGESCOR  USAQUEN </v>
      </c>
      <c r="AM36" s="162"/>
      <c r="AN36" s="162" t="str">
        <f>+AN15</f>
        <v>CONSORCIO HEI 2018</v>
      </c>
      <c r="AO36" s="162"/>
      <c r="AP36" s="162" t="str">
        <f>+AP15</f>
        <v>CONSORCIO EUROARIAS 2018</v>
      </c>
      <c r="AQ36" s="162"/>
    </row>
    <row r="37" spans="1:43" s="52" customFormat="1" ht="65.25" customHeight="1" x14ac:dyDescent="0.2">
      <c r="A37" s="162"/>
      <c r="B37" s="84" t="str">
        <f>+B16</f>
        <v>CONSTRUCCIONES, CONSULTORIAS E INTERVENTORIAS DE OBRAS CIVILES LTDA</v>
      </c>
      <c r="C37" s="84" t="str">
        <f>+C16</f>
        <v>GUISA RUEDA RAFAEL JAVIER</v>
      </c>
      <c r="D37" s="84" t="str">
        <f>+D16</f>
        <v>ARM CONSULTING LTDA</v>
      </c>
      <c r="E37" s="84" t="str">
        <f>+E16</f>
        <v>SANCHEZ BLANCO JORGE ALVARO</v>
      </c>
      <c r="F37" s="84" t="str">
        <f>+F16</f>
        <v>GAVINCO INGENIEROS CONSULTORES SAS</v>
      </c>
      <c r="G37" s="84" t="str">
        <f>+G16</f>
        <v>ING INGENIERIA SAS</v>
      </c>
      <c r="H37" s="84" t="str">
        <f>+H16</f>
        <v>BAC GROUP SAS</v>
      </c>
      <c r="I37" s="84" t="str">
        <f>+I16</f>
        <v>BAC ENGINEERING CONSULTANCY GROUP SAS</v>
      </c>
      <c r="T37" s="84" t="str">
        <f>+T16</f>
        <v>MAB INGENIERIA DE VALOR S A</v>
      </c>
      <c r="U37" s="84" t="str">
        <f>+U16</f>
        <v>GIMPROSA COLOBIA SAS</v>
      </c>
      <c r="V37" s="136"/>
      <c r="W37" s="136"/>
      <c r="X37" s="136"/>
      <c r="Y37" s="136"/>
      <c r="Z37" s="136"/>
      <c r="AA37" s="136"/>
      <c r="AB37" s="136"/>
      <c r="AC37" s="84" t="str">
        <f>+AC16</f>
        <v>CIVILE SAS</v>
      </c>
      <c r="AD37" s="84" t="str">
        <f>+AD16</f>
        <v>VLADIMIR POLO PAZ</v>
      </c>
      <c r="AE37" s="84" t="str">
        <f>+AE16</f>
        <v>INTECSA - INACSA COLOMBIA SAS</v>
      </c>
      <c r="AF37" s="84" t="str">
        <f>+AF16</f>
        <v>CAYCO SAS</v>
      </c>
      <c r="AG37" s="136"/>
      <c r="AH37" s="136"/>
      <c r="AI37" s="84" t="str">
        <f>+AI16</f>
        <v>M&amp;R CONSULTORIA Y CONSTRUCCION SAS</v>
      </c>
      <c r="AJ37" s="84" t="str">
        <f>+AJ16</f>
        <v>ARREDONDO MADRID INGENIEROS CIVILES SAS</v>
      </c>
      <c r="AK37" s="136"/>
      <c r="AL37" s="84" t="str">
        <f>+AL16</f>
        <v>INGESCOR LTDA</v>
      </c>
      <c r="AM37" s="84" t="str">
        <f>+AM16</f>
        <v>JUAN CARLOS RIOS</v>
      </c>
      <c r="AN37" s="84" t="str">
        <f>+AN16</f>
        <v>ELBERTO ADILIO RODRIGUEZ GOMEZ</v>
      </c>
      <c r="AO37" s="84" t="str">
        <f>+AO16</f>
        <v>HR INGENIERIA SAS</v>
      </c>
      <c r="AP37" s="84" t="str">
        <f>+AP16</f>
        <v>EUROCONTROL SA SUCURSAL COLOMBIA</v>
      </c>
      <c r="AQ37" s="84" t="str">
        <f>+AQ16</f>
        <v>ARCELIA ARIAS DIAZ</v>
      </c>
    </row>
    <row r="38" spans="1:43" s="24" customFormat="1" ht="15.75" x14ac:dyDescent="0.25">
      <c r="A38" s="186" t="s">
        <v>16</v>
      </c>
      <c r="B38" s="29">
        <f>(B66/B70)</f>
        <v>25.744507795604619</v>
      </c>
      <c r="C38" s="29">
        <f t="shared" ref="C38:E38" si="3">(C66/C70)</f>
        <v>22.427026358888785</v>
      </c>
      <c r="D38" s="29">
        <f>(D66/D70)</f>
        <v>2.9958255033056895</v>
      </c>
      <c r="E38" s="29">
        <f t="shared" si="3"/>
        <v>2.2125583525816022</v>
      </c>
      <c r="F38" s="29">
        <f>(F66/F70)</f>
        <v>3.9355197992759026</v>
      </c>
      <c r="G38" s="29">
        <f t="shared" ref="G38" si="4">(G66/G70)</f>
        <v>4.1932304112523706</v>
      </c>
      <c r="H38" s="29">
        <f>(H66/H70)</f>
        <v>1.7202893797323577</v>
      </c>
      <c r="I38" s="29">
        <f t="shared" ref="I38" si="5">(I66/I70)</f>
        <v>1.3113709069527684</v>
      </c>
      <c r="T38" s="29">
        <f>(T66/T70)</f>
        <v>5.6544830684671048</v>
      </c>
      <c r="U38" s="29">
        <f t="shared" ref="U38" si="6">(U66/U70)</f>
        <v>4.7812463776727361</v>
      </c>
      <c r="V38" s="137">
        <f>(V66/V70)</f>
        <v>7.3839384922052851</v>
      </c>
      <c r="W38" s="137">
        <f>(W66/W70)</f>
        <v>3.9264787217698571</v>
      </c>
      <c r="X38" s="137">
        <f>(X66/X70)</f>
        <v>3.8232807797876913</v>
      </c>
      <c r="Y38" s="137">
        <f t="shared" ref="Y38:AB38" si="7">(Y66/Y70)</f>
        <v>4.6389286873800293</v>
      </c>
      <c r="Z38" s="137">
        <f t="shared" si="7"/>
        <v>10.82012986296208</v>
      </c>
      <c r="AA38" s="137">
        <f t="shared" si="7"/>
        <v>1.6720631315062207</v>
      </c>
      <c r="AB38" s="137">
        <f t="shared" si="7"/>
        <v>1.6101117028296794</v>
      </c>
      <c r="AC38" s="29">
        <f>(AC66/AC70)</f>
        <v>3.1420803637229797</v>
      </c>
      <c r="AD38" s="29">
        <f t="shared" ref="AD38:AH38" si="8">(AD66/AD70)</f>
        <v>2.2361592103445913</v>
      </c>
      <c r="AE38" s="29">
        <f>(AE66/AE70)</f>
        <v>2.7441107721574243</v>
      </c>
      <c r="AF38" s="29">
        <f t="shared" si="8"/>
        <v>10.759520464960998</v>
      </c>
      <c r="AG38" s="137">
        <f t="shared" si="8"/>
        <v>49.789572444781889</v>
      </c>
      <c r="AH38" s="137">
        <f t="shared" si="8"/>
        <v>23.154536617977527</v>
      </c>
      <c r="AI38" s="29">
        <f>(AI66/AI70)</f>
        <v>4.7647367164426999</v>
      </c>
      <c r="AJ38" s="29">
        <f t="shared" ref="AJ38:AK38" si="9">(AJ66/AJ70)</f>
        <v>2.7000730772899808</v>
      </c>
      <c r="AK38" s="137">
        <f t="shared" si="9"/>
        <v>4.3229789489503929</v>
      </c>
      <c r="AL38" s="29">
        <f>(AL66/AL70)</f>
        <v>8.3392222473267008</v>
      </c>
      <c r="AM38" s="29">
        <f t="shared" ref="AM38:AO38" si="10">(AM66/AM70)</f>
        <v>28.669843217805408</v>
      </c>
      <c r="AN38" s="29">
        <f>(AN66/AN70)</f>
        <v>8.3943952858937241</v>
      </c>
      <c r="AO38" s="29">
        <f t="shared" si="10"/>
        <v>17.356287214485953</v>
      </c>
      <c r="AP38" s="29">
        <f>(AP66/AP70)</f>
        <v>2.1200972391120154</v>
      </c>
      <c r="AQ38" s="29">
        <f t="shared" ref="AQ38" si="11">(AQ66/AQ70)</f>
        <v>19.304743460687362</v>
      </c>
    </row>
    <row r="39" spans="1:43" s="24" customFormat="1" ht="15.75" x14ac:dyDescent="0.25">
      <c r="A39" s="187"/>
      <c r="B39" s="164">
        <f>+B67/B71</f>
        <v>25.482047360155153</v>
      </c>
      <c r="C39" s="164"/>
      <c r="D39" s="164">
        <f>+D67/D71</f>
        <v>2.5247245762781292</v>
      </c>
      <c r="E39" s="164"/>
      <c r="F39" s="164">
        <f>+F67/F71</f>
        <v>4.0820578325208476</v>
      </c>
      <c r="G39" s="164"/>
      <c r="H39" s="164">
        <f>+H67/H71</f>
        <v>1.3385756442162651</v>
      </c>
      <c r="I39" s="164"/>
      <c r="T39" s="164">
        <f>+T67/T71</f>
        <v>5.5279126955543996</v>
      </c>
      <c r="U39" s="164"/>
      <c r="V39" s="138"/>
      <c r="W39" s="138"/>
      <c r="X39" s="138"/>
      <c r="Y39" s="138"/>
      <c r="Z39" s="138"/>
      <c r="AA39" s="138"/>
      <c r="AB39" s="138"/>
      <c r="AC39" s="164">
        <f>+AC67/AC71</f>
        <v>2.8135146072246902</v>
      </c>
      <c r="AD39" s="164"/>
      <c r="AE39" s="164">
        <f>+AE67/AE71</f>
        <v>5.1967728540049016</v>
      </c>
      <c r="AF39" s="164"/>
      <c r="AG39" s="138"/>
      <c r="AH39" s="138"/>
      <c r="AI39" s="164">
        <f>+AI67/AI71</f>
        <v>2.7701676825753285</v>
      </c>
      <c r="AJ39" s="164"/>
      <c r="AK39" s="138"/>
      <c r="AL39" s="164">
        <f>+AL67/AL71</f>
        <v>9.1433490674063833</v>
      </c>
      <c r="AM39" s="164"/>
      <c r="AN39" s="164">
        <f>+AN67/AN71</f>
        <v>12.974456284944679</v>
      </c>
      <c r="AO39" s="164"/>
      <c r="AP39" s="164">
        <f>+AP67/AP71</f>
        <v>2.1526164101913809</v>
      </c>
      <c r="AQ39" s="164"/>
    </row>
    <row r="40" spans="1:43" s="24" customFormat="1" ht="15.75" x14ac:dyDescent="0.25">
      <c r="A40" s="186" t="s">
        <v>17</v>
      </c>
      <c r="B40" s="29">
        <f t="shared" ref="B40:I40" si="12">(B72/B68)</f>
        <v>0.47173729582329282</v>
      </c>
      <c r="C40" s="29">
        <f t="shared" si="12"/>
        <v>0.37618266244846343</v>
      </c>
      <c r="D40" s="29">
        <f t="shared" si="12"/>
        <v>0.51700689407258504</v>
      </c>
      <c r="E40" s="29">
        <f t="shared" si="12"/>
        <v>0.42711718334436238</v>
      </c>
      <c r="F40" s="29">
        <f t="shared" si="12"/>
        <v>0.22329114424900146</v>
      </c>
      <c r="G40" s="29">
        <f t="shared" si="12"/>
        <v>0.59474402719769182</v>
      </c>
      <c r="H40" s="29">
        <f t="shared" si="12"/>
        <v>0.58129754899468122</v>
      </c>
      <c r="I40" s="29">
        <f t="shared" si="12"/>
        <v>0.62995386072186721</v>
      </c>
      <c r="T40" s="29">
        <f t="shared" ref="T40:AQ40" si="13">(T72/T68)</f>
        <v>0.483170026445783</v>
      </c>
      <c r="U40" s="29">
        <f t="shared" si="13"/>
        <v>0.71121334056034158</v>
      </c>
      <c r="V40" s="137">
        <f t="shared" si="13"/>
        <v>0.13339882237741318</v>
      </c>
      <c r="W40" s="137">
        <f t="shared" si="13"/>
        <v>0.43187853818530708</v>
      </c>
      <c r="X40" s="137">
        <f t="shared" si="13"/>
        <v>0.31784173528684617</v>
      </c>
      <c r="Y40" s="137">
        <f t="shared" si="13"/>
        <v>0.19070295129680062</v>
      </c>
      <c r="Z40" s="137">
        <f t="shared" si="13"/>
        <v>0.39631506132326172</v>
      </c>
      <c r="AA40" s="137">
        <f t="shared" si="13"/>
        <v>0.52427101487681682</v>
      </c>
      <c r="AB40" s="137">
        <f t="shared" si="13"/>
        <v>0.5454402951032461</v>
      </c>
      <c r="AC40" s="29">
        <f t="shared" si="13"/>
        <v>0.57573982601092144</v>
      </c>
      <c r="AD40" s="29">
        <f t="shared" si="13"/>
        <v>0.56993276003361715</v>
      </c>
      <c r="AE40" s="29">
        <f t="shared" si="13"/>
        <v>0.65613847425075322</v>
      </c>
      <c r="AF40" s="29">
        <f t="shared" si="13"/>
        <v>0.32130961863187191</v>
      </c>
      <c r="AG40" s="137">
        <f t="shared" si="13"/>
        <v>0.50472743695592781</v>
      </c>
      <c r="AH40" s="137">
        <f t="shared" si="13"/>
        <v>2.7797265717210327E-2</v>
      </c>
      <c r="AI40" s="29">
        <f t="shared" si="13"/>
        <v>0.30151084793042887</v>
      </c>
      <c r="AJ40" s="29">
        <f t="shared" si="13"/>
        <v>0.49977845474065746</v>
      </c>
      <c r="AK40" s="137">
        <f t="shared" si="13"/>
        <v>0.49276510416794805</v>
      </c>
      <c r="AL40" s="29">
        <f t="shared" si="13"/>
        <v>0.23098394328583127</v>
      </c>
      <c r="AM40" s="29">
        <f t="shared" si="13"/>
        <v>0.32521500875229209</v>
      </c>
      <c r="AN40" s="29">
        <f t="shared" si="13"/>
        <v>5.3311566438627313E-2</v>
      </c>
      <c r="AO40" s="29">
        <f t="shared" si="13"/>
        <v>9.8169157097418053E-2</v>
      </c>
      <c r="AP40" s="29">
        <f t="shared" si="13"/>
        <v>0.41771358392599439</v>
      </c>
      <c r="AQ40" s="29">
        <f t="shared" si="13"/>
        <v>0.32248802143234645</v>
      </c>
    </row>
    <row r="41" spans="1:43" s="24" customFormat="1" ht="15.75" x14ac:dyDescent="0.25">
      <c r="A41" s="187"/>
      <c r="B41" s="164">
        <f>+B73/B69</f>
        <v>0.4590008527039206</v>
      </c>
      <c r="C41" s="164"/>
      <c r="D41" s="164">
        <f>+D73/D69</f>
        <v>0.4662676657562777</v>
      </c>
      <c r="E41" s="164"/>
      <c r="F41" s="164">
        <f>+F73/F69</f>
        <v>0.44427751986744002</v>
      </c>
      <c r="G41" s="164"/>
      <c r="H41" s="164">
        <f>+H73/H69</f>
        <v>0.6264653061277069</v>
      </c>
      <c r="I41" s="164"/>
      <c r="T41" s="164">
        <f>+T73/T69</f>
        <v>0.51047179547027355</v>
      </c>
      <c r="U41" s="164"/>
      <c r="V41" s="138"/>
      <c r="W41" s="138"/>
      <c r="X41" s="138"/>
      <c r="Y41" s="138"/>
      <c r="Z41" s="138"/>
      <c r="AA41" s="138"/>
      <c r="AB41" s="138"/>
      <c r="AC41" s="164">
        <f>+AC73/AC69</f>
        <v>0.57405751370107694</v>
      </c>
      <c r="AD41" s="164"/>
      <c r="AE41" s="164">
        <f>+AE73/AE69</f>
        <v>0.44117343519796165</v>
      </c>
      <c r="AF41" s="164"/>
      <c r="AG41" s="138"/>
      <c r="AH41" s="138"/>
      <c r="AI41" s="164">
        <f>+AI73/AI69</f>
        <v>0.48848729386655104</v>
      </c>
      <c r="AJ41" s="164"/>
      <c r="AK41" s="138"/>
      <c r="AL41" s="164">
        <f>+AL73/AL69</f>
        <v>0.24049763260986462</v>
      </c>
      <c r="AM41" s="164"/>
      <c r="AN41" s="164">
        <f>+AN73/AN69</f>
        <v>6.7975272875499204E-2</v>
      </c>
      <c r="AO41" s="164"/>
      <c r="AP41" s="164">
        <f>+AP73/AP69</f>
        <v>0.41562187159812891</v>
      </c>
      <c r="AQ41" s="164"/>
    </row>
    <row r="42" spans="1:43" s="24" customFormat="1" ht="15.75" x14ac:dyDescent="0.25">
      <c r="A42" s="186" t="s">
        <v>18</v>
      </c>
      <c r="B42" s="30">
        <f>(B76/B78)</f>
        <v>83.537065018420037</v>
      </c>
      <c r="C42" s="30">
        <f t="shared" ref="C42:E42" si="14">(C76/C78)</f>
        <v>469.67529411764707</v>
      </c>
      <c r="D42" s="30">
        <f>(D76/D78)</f>
        <v>3.2109117180113809</v>
      </c>
      <c r="E42" s="30">
        <f t="shared" si="14"/>
        <v>4.8802819722473965</v>
      </c>
      <c r="F42" s="30">
        <f>(F76/F78)</f>
        <v>9.0428291879565101</v>
      </c>
      <c r="G42" s="30">
        <f t="shared" ref="G42" si="15">(G76/G78)</f>
        <v>2.9090857875448326</v>
      </c>
      <c r="H42" s="30">
        <f>(H76/H78)</f>
        <v>66.878473893344932</v>
      </c>
      <c r="I42" s="30">
        <f t="shared" ref="I42" si="16">(I76/I78)</f>
        <v>12.07777203093773</v>
      </c>
      <c r="T42" s="30">
        <f>(T76/T78)</f>
        <v>565.2157247364355</v>
      </c>
      <c r="U42" s="30">
        <f t="shared" ref="U42" si="17">(U76/U78)</f>
        <v>70.536995797220442</v>
      </c>
      <c r="V42" s="139">
        <f>(V76/V78)</f>
        <v>602.78848464614748</v>
      </c>
      <c r="W42" s="139">
        <f>(W76/W78)</f>
        <v>6.1001483145062521</v>
      </c>
      <c r="X42" s="139">
        <f>(X76/X78)</f>
        <v>102.88691352210513</v>
      </c>
      <c r="Y42" s="139">
        <f t="shared" ref="Y42:AB42" si="18">(Y76/Y78)</f>
        <v>37.089170563283545</v>
      </c>
      <c r="Z42" s="139">
        <f t="shared" si="18"/>
        <v>224.69487674873858</v>
      </c>
      <c r="AA42" s="139">
        <f t="shared" si="18"/>
        <v>8.7434540399293077</v>
      </c>
      <c r="AB42" s="139">
        <f t="shared" si="18"/>
        <v>28.324375761266747</v>
      </c>
      <c r="AC42" s="30">
        <f>(AC76/AC78)</f>
        <v>41.76269627112115</v>
      </c>
      <c r="AD42" s="30">
        <f t="shared" ref="AD42:AH42" si="19">(AD76/AD78)</f>
        <v>6.8846517696704588</v>
      </c>
      <c r="AE42" s="30">
        <f>(AE76/AE78)</f>
        <v>2169000</v>
      </c>
      <c r="AF42" s="30">
        <f t="shared" si="19"/>
        <v>116.47032443012536</v>
      </c>
      <c r="AG42" s="139">
        <f t="shared" si="19"/>
        <v>31.890258884250656</v>
      </c>
      <c r="AH42" s="139">
        <f t="shared" si="19"/>
        <v>40.608695652173914</v>
      </c>
      <c r="AI42" s="30">
        <f>(AI76/AI78)</f>
        <v>14.881863958492994</v>
      </c>
      <c r="AJ42" s="30">
        <f t="shared" ref="AJ42:AK42" si="20">(AJ76/AJ78)</f>
        <v>32.703779761649038</v>
      </c>
      <c r="AK42" s="139">
        <f t="shared" si="20"/>
        <v>6.1172610826742995</v>
      </c>
      <c r="AL42" s="30">
        <f>(AL76/AL78)</f>
        <v>5.0132763418869928</v>
      </c>
      <c r="AM42" s="30">
        <f t="shared" ref="AM42:AO42" si="21">(AM76/AM78)</f>
        <v>4.7583518402234848</v>
      </c>
      <c r="AN42" s="30">
        <f>(AN76/AN78)</f>
        <v>4.7868664411792627</v>
      </c>
      <c r="AO42" s="30">
        <f t="shared" si="21"/>
        <v>37.503791268385278</v>
      </c>
      <c r="AP42" s="30">
        <f>(AP76/AP78)</f>
        <v>9.7193773316367089</v>
      </c>
      <c r="AQ42" s="30">
        <f t="shared" ref="AQ42" si="22">(AQ76/AQ78)</f>
        <v>19.126970349746472</v>
      </c>
    </row>
    <row r="43" spans="1:43" s="24" customFormat="1" ht="15.75" x14ac:dyDescent="0.25">
      <c r="A43" s="187"/>
      <c r="B43" s="161">
        <f>+B77/B79</f>
        <v>92.613082617056548</v>
      </c>
      <c r="C43" s="161"/>
      <c r="D43" s="161">
        <f>+D77/D79</f>
        <v>3.5196195900623222</v>
      </c>
      <c r="E43" s="161"/>
      <c r="F43" s="161">
        <f>+F77/F79</f>
        <v>4.2402689245665233</v>
      </c>
      <c r="G43" s="161"/>
      <c r="H43" s="161">
        <f>+H77/H79</f>
        <v>18.509388852558939</v>
      </c>
      <c r="I43" s="161"/>
      <c r="T43" s="161">
        <f>+T77/T79</f>
        <v>316.19064691541837</v>
      </c>
      <c r="U43" s="161"/>
      <c r="V43" s="136"/>
      <c r="W43" s="136"/>
      <c r="X43" s="136"/>
      <c r="Y43" s="136"/>
      <c r="Z43" s="136"/>
      <c r="AA43" s="136"/>
      <c r="AB43" s="136"/>
      <c r="AC43" s="161">
        <f>+AC77/AC79</f>
        <v>11.919052838591057</v>
      </c>
      <c r="AD43" s="161"/>
      <c r="AE43" s="161">
        <f>+AE77/AE79</f>
        <v>117.06760466822391</v>
      </c>
      <c r="AF43" s="161"/>
      <c r="AG43" s="136"/>
      <c r="AH43" s="136"/>
      <c r="AI43" s="161">
        <f>+AI77/AI79</f>
        <v>31.82790684222347</v>
      </c>
      <c r="AJ43" s="161"/>
      <c r="AK43" s="136"/>
      <c r="AL43" s="161">
        <f>+AL77/AL79</f>
        <v>4.9790612223108957</v>
      </c>
      <c r="AM43" s="161"/>
      <c r="AN43" s="161">
        <f>+AN77/AN79</f>
        <v>9.1469483315173825</v>
      </c>
      <c r="AO43" s="161"/>
      <c r="AP43" s="161">
        <f>+AP77/AP79</f>
        <v>9.7801782603962337</v>
      </c>
      <c r="AQ43" s="161"/>
    </row>
    <row r="44" spans="1:43" s="24" customFormat="1" ht="15.75" x14ac:dyDescent="0.25">
      <c r="A44" s="92" t="s">
        <v>19</v>
      </c>
      <c r="B44" s="140">
        <f>+B66-B70</f>
        <v>4660377666</v>
      </c>
      <c r="C44" s="140">
        <f t="shared" ref="C44:E44" si="23">+C66-C70</f>
        <v>346700000</v>
      </c>
      <c r="D44" s="140">
        <f>+D66-D70</f>
        <v>803446500</v>
      </c>
      <c r="E44" s="140">
        <f t="shared" si="23"/>
        <v>736656611.5</v>
      </c>
      <c r="F44" s="140">
        <f>+F66-F70</f>
        <v>1319396201.5</v>
      </c>
      <c r="G44" s="140">
        <f t="shared" ref="G44" si="24">+G66-G70</f>
        <v>1891790982.5</v>
      </c>
      <c r="H44" s="140">
        <f>+H66-H70</f>
        <v>87996902.5</v>
      </c>
      <c r="I44" s="140">
        <f t="shared" ref="I44" si="25">+I66-I70</f>
        <v>533742342.5</v>
      </c>
      <c r="T44" s="140">
        <f>+T66-T70</f>
        <v>8153407695.5</v>
      </c>
      <c r="U44" s="140">
        <f t="shared" ref="U44" si="26">+U66-U70</f>
        <v>1122814930.5</v>
      </c>
      <c r="V44" s="140">
        <f>+V66-V70</f>
        <v>3765765739</v>
      </c>
      <c r="W44" s="140">
        <f>+W66-W70</f>
        <v>4571628000</v>
      </c>
      <c r="X44" s="140">
        <f>+X66-X70</f>
        <v>4097913000</v>
      </c>
      <c r="Y44" s="140">
        <f t="shared" ref="Y44:AB44" si="27">+Y66-Y70</f>
        <v>2832592282</v>
      </c>
      <c r="Z44" s="140">
        <f t="shared" si="27"/>
        <v>5729241310</v>
      </c>
      <c r="AA44" s="140">
        <f t="shared" si="27"/>
        <v>4915188060</v>
      </c>
      <c r="AB44" s="140">
        <f t="shared" si="27"/>
        <v>1779766000</v>
      </c>
      <c r="AC44" s="140">
        <f>+AC66-AC70</f>
        <v>1040421087</v>
      </c>
      <c r="AD44" s="140">
        <f t="shared" ref="AD44:AH44" si="28">+AD66-AD70</f>
        <v>341685747.5</v>
      </c>
      <c r="AE44" s="140">
        <f>+AE66-AE70</f>
        <v>296668468.80000001</v>
      </c>
      <c r="AF44" s="140">
        <f t="shared" si="28"/>
        <v>731937782.25000012</v>
      </c>
      <c r="AG44" s="140">
        <f t="shared" si="28"/>
        <v>4931060995</v>
      </c>
      <c r="AH44" s="140">
        <f t="shared" si="28"/>
        <v>1971753759</v>
      </c>
      <c r="AI44" s="140">
        <f>+AI66-AI70</f>
        <v>449354893.5</v>
      </c>
      <c r="AJ44" s="140">
        <f t="shared" ref="AJ44:AK44" si="29">+AJ66-AJ70</f>
        <v>5774135000</v>
      </c>
      <c r="AK44" s="140">
        <f t="shared" si="29"/>
        <v>839438132</v>
      </c>
      <c r="AL44" s="140">
        <f>+AL66-AL70</f>
        <v>2534941948.5</v>
      </c>
      <c r="AM44" s="140">
        <f t="shared" ref="AM44:AO44" si="30">+AM66-AM70</f>
        <v>393572684.5</v>
      </c>
      <c r="AN44" s="140">
        <f>+AN66-AN70</f>
        <v>109491051.5</v>
      </c>
      <c r="AO44" s="140">
        <f t="shared" si="30"/>
        <v>253149070.5</v>
      </c>
      <c r="AP44" s="140">
        <f>+AP66-AP70</f>
        <v>20609904639.749996</v>
      </c>
      <c r="AQ44" s="140">
        <f t="shared" ref="AQ44" si="31">+AQ66-AQ70</f>
        <v>638565401.52999997</v>
      </c>
    </row>
    <row r="45" spans="1:43" s="24" customFormat="1" ht="15.75" x14ac:dyDescent="0.25">
      <c r="A45" s="31" t="s">
        <v>20</v>
      </c>
      <c r="B45" s="158"/>
      <c r="C45" s="158"/>
      <c r="D45" s="158"/>
      <c r="E45" s="158"/>
      <c r="F45" s="158"/>
      <c r="G45" s="158"/>
      <c r="H45" s="158"/>
      <c r="I45" s="158"/>
      <c r="T45" s="158"/>
      <c r="U45" s="158"/>
      <c r="V45" s="141"/>
      <c r="W45" s="141"/>
      <c r="X45" s="141"/>
      <c r="Y45" s="141"/>
      <c r="Z45" s="141"/>
      <c r="AA45" s="141"/>
      <c r="AB45" s="141"/>
      <c r="AC45" s="158"/>
      <c r="AD45" s="158"/>
      <c r="AE45" s="158"/>
      <c r="AF45" s="158"/>
      <c r="AG45" s="141"/>
      <c r="AH45" s="141"/>
      <c r="AI45" s="158"/>
      <c r="AJ45" s="158"/>
      <c r="AK45" s="141"/>
      <c r="AL45" s="158"/>
      <c r="AM45" s="158"/>
      <c r="AN45" s="158"/>
      <c r="AO45" s="158"/>
      <c r="AP45" s="158"/>
      <c r="AQ45" s="158"/>
    </row>
    <row r="46" spans="1:43" s="32" customFormat="1" ht="15.75" x14ac:dyDescent="0.25">
      <c r="A46" s="110" t="s">
        <v>21</v>
      </c>
      <c r="B46" s="159">
        <f>+B44+C44</f>
        <v>5007077666</v>
      </c>
      <c r="C46" s="160"/>
      <c r="D46" s="159">
        <f>+D44+E44</f>
        <v>1540103111.5</v>
      </c>
      <c r="E46" s="160"/>
      <c r="F46" s="159">
        <f>+F44+G44</f>
        <v>3211187184</v>
      </c>
      <c r="G46" s="160"/>
      <c r="H46" s="159">
        <f>+H44+I44</f>
        <v>621739245</v>
      </c>
      <c r="I46" s="160"/>
      <c r="T46" s="159">
        <f>+T44+U44</f>
        <v>9276222626</v>
      </c>
      <c r="U46" s="160"/>
      <c r="V46" s="142"/>
      <c r="W46" s="142"/>
      <c r="X46" s="142"/>
      <c r="Y46" s="142"/>
      <c r="Z46" s="142"/>
      <c r="AA46" s="142"/>
      <c r="AB46" s="142"/>
      <c r="AC46" s="159">
        <f>+AC44+AD44</f>
        <v>1382106834.5</v>
      </c>
      <c r="AD46" s="160"/>
      <c r="AE46" s="159">
        <f>+AE44+AF44</f>
        <v>1028606251.0500002</v>
      </c>
      <c r="AF46" s="160"/>
      <c r="AG46" s="142"/>
      <c r="AH46" s="142"/>
      <c r="AI46" s="159">
        <f>+AI44+AJ44</f>
        <v>6223489893.5</v>
      </c>
      <c r="AJ46" s="160"/>
      <c r="AK46" s="142"/>
      <c r="AL46" s="159">
        <f>+AL44+AM44</f>
        <v>2928514633</v>
      </c>
      <c r="AM46" s="160"/>
      <c r="AN46" s="159">
        <f>+AN44+AO44</f>
        <v>362640122</v>
      </c>
      <c r="AO46" s="160"/>
      <c r="AP46" s="159">
        <f>+AP44+AQ44</f>
        <v>21248470041.279995</v>
      </c>
      <c r="AQ46" s="160"/>
    </row>
    <row r="47" spans="1:43" s="49" customFormat="1" ht="15.75" x14ac:dyDescent="0.25">
      <c r="A47" s="186" t="s">
        <v>22</v>
      </c>
      <c r="B47" s="48">
        <f t="shared" ref="B47:I47" si="32">+B74</f>
        <v>3358836659.5</v>
      </c>
      <c r="C47" s="48">
        <f t="shared" si="32"/>
        <v>609984500</v>
      </c>
      <c r="D47" s="48">
        <f t="shared" si="32"/>
        <v>701362500</v>
      </c>
      <c r="E47" s="48">
        <f t="shared" si="32"/>
        <v>1078137484.5</v>
      </c>
      <c r="F47" s="48">
        <f t="shared" si="32"/>
        <v>1563424715</v>
      </c>
      <c r="G47" s="48">
        <f t="shared" si="32"/>
        <v>1198046844.5</v>
      </c>
      <c r="H47" s="48">
        <f t="shared" si="32"/>
        <v>87996902.5</v>
      </c>
      <c r="I47" s="48">
        <f t="shared" si="32"/>
        <v>1006933434</v>
      </c>
      <c r="T47" s="48">
        <f t="shared" ref="T47:AQ47" si="33">+T74</f>
        <v>5510280270</v>
      </c>
      <c r="U47" s="48">
        <f t="shared" si="33"/>
        <v>418751763.5</v>
      </c>
      <c r="V47" s="143">
        <f t="shared" si="33"/>
        <v>3832056335</v>
      </c>
      <c r="W47" s="143">
        <f t="shared" si="33"/>
        <v>7019156000</v>
      </c>
      <c r="X47" s="143">
        <f t="shared" si="33"/>
        <v>3815964000</v>
      </c>
      <c r="Y47" s="143">
        <f t="shared" si="33"/>
        <v>3642899832</v>
      </c>
      <c r="Z47" s="143">
        <f t="shared" si="33"/>
        <v>3832910278</v>
      </c>
      <c r="AA47" s="143">
        <f t="shared" si="33"/>
        <v>7325945873</v>
      </c>
      <c r="AB47" s="143">
        <f t="shared" si="33"/>
        <v>3224612000</v>
      </c>
      <c r="AC47" s="48">
        <f t="shared" si="33"/>
        <v>652081441</v>
      </c>
      <c r="AD47" s="48">
        <f t="shared" si="33"/>
        <v>269596681</v>
      </c>
      <c r="AE47" s="48">
        <f t="shared" si="33"/>
        <v>163776233.5</v>
      </c>
      <c r="AF47" s="48">
        <f t="shared" si="33"/>
        <v>579720582</v>
      </c>
      <c r="AG47" s="143">
        <f t="shared" si="33"/>
        <v>2540855991</v>
      </c>
      <c r="AH47" s="143">
        <f t="shared" si="33"/>
        <v>3112753759</v>
      </c>
      <c r="AI47" s="48">
        <f t="shared" si="33"/>
        <v>430952493.5</v>
      </c>
      <c r="AJ47" s="48">
        <f t="shared" si="33"/>
        <v>5110700500</v>
      </c>
      <c r="AK47" s="143">
        <f t="shared" si="33"/>
        <v>831914119</v>
      </c>
      <c r="AL47" s="48">
        <f t="shared" si="33"/>
        <v>7159201994.7000008</v>
      </c>
      <c r="AM47" s="48">
        <f t="shared" si="33"/>
        <v>705457884</v>
      </c>
      <c r="AN47" s="48">
        <f t="shared" si="33"/>
        <v>529307819.5</v>
      </c>
      <c r="AO47" s="48">
        <f t="shared" si="33"/>
        <v>244878747.5</v>
      </c>
      <c r="AP47" s="48">
        <f t="shared" si="33"/>
        <v>26601974956.079998</v>
      </c>
      <c r="AQ47" s="48">
        <f t="shared" si="33"/>
        <v>695166120.80999994</v>
      </c>
    </row>
    <row r="48" spans="1:43" s="24" customFormat="1" ht="15.75" x14ac:dyDescent="0.25">
      <c r="A48" s="187"/>
      <c r="B48" s="161">
        <f>+B47+C47</f>
        <v>3968821159.5</v>
      </c>
      <c r="C48" s="161"/>
      <c r="D48" s="161">
        <f>+D47+E47</f>
        <v>1779499984.5</v>
      </c>
      <c r="E48" s="161"/>
      <c r="F48" s="161">
        <f>+F47+G47</f>
        <v>2761471559.5</v>
      </c>
      <c r="G48" s="161"/>
      <c r="H48" s="161">
        <f>+H47+I47</f>
        <v>1094930336.5</v>
      </c>
      <c r="I48" s="161"/>
      <c r="T48" s="161">
        <f>+T47+U47</f>
        <v>5929032033.5</v>
      </c>
      <c r="U48" s="161"/>
      <c r="V48" s="142"/>
      <c r="W48" s="142"/>
      <c r="X48" s="142"/>
      <c r="Y48" s="142"/>
      <c r="Z48" s="142"/>
      <c r="AA48" s="142"/>
      <c r="AB48" s="142"/>
      <c r="AC48" s="161">
        <f>+AC47+AD47</f>
        <v>921678122</v>
      </c>
      <c r="AD48" s="161"/>
      <c r="AE48" s="161">
        <f>+AE47+AF47</f>
        <v>743496815.5</v>
      </c>
      <c r="AF48" s="161"/>
      <c r="AG48" s="142"/>
      <c r="AH48" s="142"/>
      <c r="AI48" s="161">
        <f>+AI47+AJ47</f>
        <v>5541652993.5</v>
      </c>
      <c r="AJ48" s="161"/>
      <c r="AK48" s="142"/>
      <c r="AL48" s="161">
        <f>+AL47+AM47</f>
        <v>7864659878.7000008</v>
      </c>
      <c r="AM48" s="161"/>
      <c r="AN48" s="161">
        <f>+AN47+AO47</f>
        <v>774186567</v>
      </c>
      <c r="AO48" s="161"/>
      <c r="AP48" s="161">
        <f>+AP47+AQ47</f>
        <v>27297141076.889999</v>
      </c>
      <c r="AQ48" s="161"/>
    </row>
    <row r="49" spans="1:43" s="24" customFormat="1" ht="18.75" customHeight="1" x14ac:dyDescent="0.25">
      <c r="A49" s="33"/>
      <c r="B49" s="188"/>
      <c r="C49" s="188"/>
      <c r="D49" s="188"/>
      <c r="E49" s="188"/>
      <c r="F49" s="188"/>
      <c r="G49" s="188"/>
      <c r="H49" s="188"/>
      <c r="I49" s="188"/>
      <c r="T49" s="188"/>
      <c r="U49" s="188"/>
      <c r="V49" s="188"/>
      <c r="W49" s="113"/>
      <c r="X49" s="113"/>
      <c r="Y49" s="113"/>
      <c r="Z49" s="113"/>
      <c r="AA49" s="113"/>
      <c r="AB49" s="113"/>
      <c r="AG49" s="113"/>
      <c r="AH49" s="113"/>
      <c r="AK49" s="113"/>
    </row>
    <row r="50" spans="1:43" ht="18.75" customHeight="1" x14ac:dyDescent="0.2">
      <c r="A50" s="112" t="s">
        <v>48</v>
      </c>
      <c r="B50" s="163"/>
      <c r="C50" s="163"/>
      <c r="D50" s="163"/>
      <c r="E50" s="163"/>
      <c r="F50" s="163"/>
      <c r="G50" s="163"/>
      <c r="H50" s="163"/>
      <c r="I50" s="163"/>
      <c r="T50" s="163"/>
      <c r="U50" s="163"/>
      <c r="V50" s="163"/>
      <c r="W50" s="112"/>
      <c r="X50" s="112"/>
      <c r="Y50" s="112"/>
      <c r="Z50" s="112"/>
      <c r="AA50" s="112"/>
      <c r="AB50" s="112"/>
      <c r="AG50" s="112"/>
      <c r="AH50" s="112"/>
      <c r="AK50" s="112"/>
    </row>
    <row r="51" spans="1:43" ht="40.9" customHeight="1" x14ac:dyDescent="0.2">
      <c r="A51" s="50" t="s">
        <v>49</v>
      </c>
      <c r="B51" s="179" t="s">
        <v>23</v>
      </c>
      <c r="C51" s="180"/>
      <c r="D51" s="180"/>
      <c r="E51" s="180"/>
      <c r="F51" s="175"/>
      <c r="G51" s="175"/>
      <c r="H51" s="175"/>
      <c r="I51" s="175"/>
      <c r="J51" s="175"/>
      <c r="K51" s="175"/>
      <c r="L51" s="175"/>
      <c r="M51" s="175"/>
      <c r="N51" s="175"/>
      <c r="O51" s="175"/>
      <c r="P51" s="175"/>
      <c r="Q51" s="175"/>
      <c r="R51" s="175"/>
      <c r="S51" s="175"/>
      <c r="T51" s="175"/>
      <c r="U51" s="175"/>
      <c r="V51" s="175"/>
      <c r="W51" s="175"/>
      <c r="X51" s="175"/>
    </row>
    <row r="52" spans="1:43" ht="15.75" customHeight="1" x14ac:dyDescent="0.2">
      <c r="A52" s="192" t="s">
        <v>50</v>
      </c>
      <c r="B52" s="179" t="s">
        <v>23</v>
      </c>
      <c r="C52" s="180"/>
      <c r="D52" s="180"/>
      <c r="E52" s="180"/>
      <c r="F52" s="175"/>
      <c r="G52" s="175"/>
      <c r="H52" s="175"/>
      <c r="I52" s="175"/>
      <c r="J52" s="175"/>
      <c r="K52" s="175"/>
      <c r="L52" s="175"/>
      <c r="M52" s="175"/>
      <c r="N52" s="175"/>
      <c r="O52" s="175"/>
      <c r="P52" s="175"/>
      <c r="Q52" s="175"/>
      <c r="R52" s="175"/>
      <c r="S52" s="175"/>
      <c r="T52" s="175"/>
      <c r="U52" s="175"/>
      <c r="V52" s="175"/>
      <c r="W52" s="175"/>
      <c r="X52" s="175"/>
    </row>
    <row r="53" spans="1:43" ht="15.75" customHeight="1" x14ac:dyDescent="0.2">
      <c r="A53" s="192"/>
      <c r="B53" s="179" t="s">
        <v>24</v>
      </c>
      <c r="C53" s="180"/>
      <c r="D53" s="180"/>
      <c r="E53" s="180"/>
      <c r="F53" s="175"/>
      <c r="G53" s="175"/>
      <c r="H53" s="175"/>
      <c r="I53" s="175"/>
      <c r="J53" s="175"/>
      <c r="K53" s="175"/>
      <c r="L53" s="175"/>
      <c r="M53" s="175"/>
      <c r="N53" s="175"/>
      <c r="O53" s="175"/>
      <c r="P53" s="175"/>
      <c r="Q53" s="175"/>
      <c r="R53" s="175"/>
      <c r="S53" s="175"/>
      <c r="T53" s="175"/>
      <c r="U53" s="175"/>
      <c r="V53" s="175"/>
      <c r="W53" s="175"/>
      <c r="X53" s="175"/>
    </row>
    <row r="54" spans="1:43" ht="27" customHeight="1" x14ac:dyDescent="0.2">
      <c r="A54" s="192"/>
      <c r="B54" s="193" t="s">
        <v>54</v>
      </c>
      <c r="C54" s="194"/>
      <c r="D54" s="194"/>
      <c r="E54" s="194"/>
      <c r="F54" s="194"/>
      <c r="G54" s="194"/>
      <c r="H54" s="194"/>
      <c r="I54" s="194"/>
      <c r="J54" s="194"/>
      <c r="K54" s="194"/>
      <c r="L54" s="194"/>
      <c r="M54" s="194"/>
      <c r="N54" s="194"/>
      <c r="O54" s="194"/>
      <c r="P54" s="194"/>
      <c r="Q54" s="194"/>
      <c r="R54" s="194"/>
      <c r="S54" s="194"/>
      <c r="T54" s="194"/>
      <c r="U54" s="194"/>
      <c r="V54" s="194"/>
      <c r="W54" s="194"/>
      <c r="X54" s="194"/>
    </row>
    <row r="55" spans="1:43" s="6" customFormat="1" ht="38.25" customHeight="1" x14ac:dyDescent="0.2">
      <c r="A55" s="51"/>
      <c r="B55" s="196" t="s">
        <v>55</v>
      </c>
      <c r="C55" s="196"/>
      <c r="D55" s="196"/>
      <c r="E55" s="196"/>
      <c r="F55" s="197"/>
      <c r="G55" s="197"/>
      <c r="H55" s="197"/>
      <c r="I55" s="197"/>
      <c r="J55" s="197"/>
      <c r="K55" s="197"/>
      <c r="L55" s="197"/>
      <c r="M55" s="197"/>
      <c r="N55" s="197"/>
      <c r="O55" s="197"/>
      <c r="P55" s="197"/>
      <c r="Q55" s="197"/>
      <c r="R55" s="197"/>
      <c r="S55" s="197"/>
      <c r="T55" s="197"/>
      <c r="U55" s="197"/>
      <c r="V55" s="197"/>
      <c r="W55" s="197"/>
      <c r="X55" s="197"/>
    </row>
    <row r="56" spans="1:43" s="35" customFormat="1" ht="18.75" x14ac:dyDescent="0.2">
      <c r="A56" s="34"/>
      <c r="B56" s="27"/>
      <c r="C56" s="27"/>
      <c r="D56" s="27"/>
      <c r="E56" s="27"/>
      <c r="F56" s="27"/>
      <c r="G56" s="27"/>
      <c r="H56" s="27"/>
      <c r="I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row>
    <row r="57" spans="1:43" s="24" customFormat="1" ht="15.75" customHeight="1" x14ac:dyDescent="0.25">
      <c r="A57" s="162" t="s">
        <v>15</v>
      </c>
      <c r="B57" s="162" t="str">
        <f>+B36</f>
        <v>CONSORCIO BGU</v>
      </c>
      <c r="C57" s="162"/>
      <c r="D57" s="162" t="str">
        <f>+D36</f>
        <v>CONSORCIO INTERDESARROLLO</v>
      </c>
      <c r="E57" s="162"/>
      <c r="F57" s="162" t="str">
        <f>+F36</f>
        <v>CONSORCIO INTERNORTE</v>
      </c>
      <c r="G57" s="162"/>
      <c r="H57" s="162" t="str">
        <f>+H36</f>
        <v>CONSORCIO INTER-USA</v>
      </c>
      <c r="I57" s="162"/>
      <c r="T57" s="162" t="str">
        <f>+T36</f>
        <v>CONSORCIO MG-006</v>
      </c>
      <c r="U57" s="162"/>
      <c r="V57" s="135" t="str">
        <f>+V36</f>
        <v>GMC INGENIEROS S.A-
GRUPO METRO COLOMBIA S.A</v>
      </c>
      <c r="W57" s="135" t="str">
        <f>+W36</f>
        <v>GNG INGENIERIA S A S</v>
      </c>
      <c r="X57" s="135" t="str">
        <f>+X36</f>
        <v>PRI COLOMBIA SAS</v>
      </c>
      <c r="Y57" s="135" t="str">
        <f t="shared" ref="Y57:AB57" si="34">+Y36</f>
        <v>R &amp; M CONSTRUCCIONES E INTERVENTORIAS S A S</v>
      </c>
      <c r="Z57" s="135" t="str">
        <f t="shared" si="34"/>
        <v>TECNICONSULTA SAS - 
TECNOLOGIAS Y CONSULTORIAS AMBIENTALES Y DE GESTION S.A.S</v>
      </c>
      <c r="AA57" s="135" t="str">
        <f t="shared" si="34"/>
        <v xml:space="preserve">CONSULTORES DE INGENIERIA UG21 SUCURSAL EN COLOMBIA
</v>
      </c>
      <c r="AB57" s="135" t="str">
        <f t="shared" si="34"/>
        <v>INGECON SAS</v>
      </c>
      <c r="AC57" s="162" t="str">
        <f>+AC36</f>
        <v>CONSORCIO INTERVENTORIA VPC</v>
      </c>
      <c r="AD57" s="162"/>
      <c r="AE57" s="162" t="str">
        <f>+AE36</f>
        <v>CONSORCIO INTERUSAQUEN</v>
      </c>
      <c r="AF57" s="162"/>
      <c r="AG57" s="135" t="str">
        <f t="shared" ref="AG57:AH57" si="35">+AG36</f>
        <v>MIRS LATINOAMERICA S.A.S.</v>
      </c>
      <c r="AH57" s="135" t="str">
        <f t="shared" si="35"/>
        <v>LINO ANDRES MENDOZA</v>
      </c>
      <c r="AI57" s="162" t="str">
        <f>+AI36</f>
        <v>CONSORCIO USAQUEN 2018</v>
      </c>
      <c r="AJ57" s="162"/>
      <c r="AK57" s="135" t="str">
        <f t="shared" ref="AK57" si="36">+AK36</f>
        <v>CB INGENIEROS</v>
      </c>
      <c r="AL57" s="162" t="str">
        <f>+AL36</f>
        <v xml:space="preserve">CONSORCIO INGESCOR  USAQUEN </v>
      </c>
      <c r="AM57" s="162"/>
      <c r="AN57" s="162" t="str">
        <f>+AN36</f>
        <v>CONSORCIO HEI 2018</v>
      </c>
      <c r="AO57" s="162"/>
      <c r="AP57" s="162" t="str">
        <f>+AP36</f>
        <v>CONSORCIO EUROARIAS 2018</v>
      </c>
      <c r="AQ57" s="162"/>
    </row>
    <row r="58" spans="1:43" s="54" customFormat="1" ht="69" customHeight="1" x14ac:dyDescent="0.2">
      <c r="A58" s="162"/>
      <c r="B58" s="84" t="str">
        <f>+B37</f>
        <v>CONSTRUCCIONES, CONSULTORIAS E INTERVENTORIAS DE OBRAS CIVILES LTDA</v>
      </c>
      <c r="C58" s="84" t="str">
        <f>+C37</f>
        <v>GUISA RUEDA RAFAEL JAVIER</v>
      </c>
      <c r="D58" s="84" t="str">
        <f>+D37</f>
        <v>ARM CONSULTING LTDA</v>
      </c>
      <c r="E58" s="84" t="str">
        <f>+E37</f>
        <v>SANCHEZ BLANCO JORGE ALVARO</v>
      </c>
      <c r="F58" s="84" t="str">
        <f>+F37</f>
        <v>GAVINCO INGENIEROS CONSULTORES SAS</v>
      </c>
      <c r="G58" s="84" t="str">
        <f>+G37</f>
        <v>ING INGENIERIA SAS</v>
      </c>
      <c r="H58" s="84" t="str">
        <f>+H37</f>
        <v>BAC GROUP SAS</v>
      </c>
      <c r="I58" s="84" t="str">
        <f>+I37</f>
        <v>BAC ENGINEERING CONSULTANCY GROUP SAS</v>
      </c>
      <c r="T58" s="84" t="str">
        <f>+T37</f>
        <v>MAB INGENIERIA DE VALOR S A</v>
      </c>
      <c r="U58" s="84" t="str">
        <f>+U37</f>
        <v>GIMPROSA COLOBIA SAS</v>
      </c>
      <c r="V58" s="136"/>
      <c r="W58" s="136"/>
      <c r="X58" s="136"/>
      <c r="Y58" s="136"/>
      <c r="Z58" s="136"/>
      <c r="AA58" s="136"/>
      <c r="AB58" s="136"/>
      <c r="AC58" s="84" t="str">
        <f>+AC37</f>
        <v>CIVILE SAS</v>
      </c>
      <c r="AD58" s="84" t="str">
        <f>+AD37</f>
        <v>VLADIMIR POLO PAZ</v>
      </c>
      <c r="AE58" s="84" t="str">
        <f>+AE37</f>
        <v>INTECSA - INACSA COLOMBIA SAS</v>
      </c>
      <c r="AF58" s="84" t="str">
        <f>+AF37</f>
        <v>CAYCO SAS</v>
      </c>
      <c r="AG58" s="136"/>
      <c r="AH58" s="136"/>
      <c r="AI58" s="84" t="str">
        <f>+AI37</f>
        <v>M&amp;R CONSULTORIA Y CONSTRUCCION SAS</v>
      </c>
      <c r="AJ58" s="84" t="str">
        <f>+AJ37</f>
        <v>ARREDONDO MADRID INGENIEROS CIVILES SAS</v>
      </c>
      <c r="AK58" s="136"/>
      <c r="AL58" s="84" t="str">
        <f>+AL37</f>
        <v>INGESCOR LTDA</v>
      </c>
      <c r="AM58" s="84" t="str">
        <f>+AM37</f>
        <v>JUAN CARLOS RIOS</v>
      </c>
      <c r="AN58" s="84" t="str">
        <f>+AN37</f>
        <v>ELBERTO ADILIO RODRIGUEZ GOMEZ</v>
      </c>
      <c r="AO58" s="84" t="str">
        <f>+AO37</f>
        <v>HR INGENIERIA SAS</v>
      </c>
      <c r="AP58" s="84" t="str">
        <f>+AP37</f>
        <v>EUROCONTROL SA SUCURSAL COLOMBIA</v>
      </c>
      <c r="AQ58" s="84" t="str">
        <f>+AQ37</f>
        <v>ARCELIA ARIAS DIAZ</v>
      </c>
    </row>
    <row r="59" spans="1:43" s="36" customFormat="1" ht="15.75" x14ac:dyDescent="0.25">
      <c r="A59" s="186" t="s">
        <v>25</v>
      </c>
      <c r="B59" s="29">
        <f t="shared" ref="B59:I59" si="37">(B76/B74)</f>
        <v>0.21956693708642072</v>
      </c>
      <c r="C59" s="29">
        <f t="shared" si="37"/>
        <v>0.16362055101400116</v>
      </c>
      <c r="D59" s="29">
        <f t="shared" si="37"/>
        <v>0.25664403215170473</v>
      </c>
      <c r="E59" s="29">
        <f t="shared" si="37"/>
        <v>5.7572281728787256E-2</v>
      </c>
      <c r="F59" s="29">
        <f t="shared" si="37"/>
        <v>0.16679010827841492</v>
      </c>
      <c r="G59" s="29">
        <f t="shared" si="37"/>
        <v>0.25261589927755118</v>
      </c>
      <c r="H59" s="29">
        <f t="shared" si="37"/>
        <v>1.4733291606485808</v>
      </c>
      <c r="I59" s="29">
        <f t="shared" si="37"/>
        <v>0.17486971090086975</v>
      </c>
      <c r="T59" s="29">
        <f t="shared" ref="T59:AQ59" si="38">(T76/T74)</f>
        <v>0.42751727590437066</v>
      </c>
      <c r="U59" s="29">
        <f t="shared" si="38"/>
        <v>0.71169398191680688</v>
      </c>
      <c r="V59" s="137">
        <f t="shared" si="38"/>
        <v>0.55361894934146372</v>
      </c>
      <c r="W59" s="137">
        <f t="shared" si="38"/>
        <v>0.34982126056181112</v>
      </c>
      <c r="X59" s="137">
        <f t="shared" si="38"/>
        <v>0.9160149309584682</v>
      </c>
      <c r="Y59" s="137">
        <f t="shared" si="38"/>
        <v>0.26284261224781325</v>
      </c>
      <c r="Z59" s="137">
        <f t="shared" si="38"/>
        <v>0.71954904575514822</v>
      </c>
      <c r="AA59" s="137">
        <f t="shared" si="38"/>
        <v>0.25822857318290754</v>
      </c>
      <c r="AB59" s="137">
        <f t="shared" si="38"/>
        <v>0.34615234328967331</v>
      </c>
      <c r="AC59" s="29">
        <f t="shared" si="38"/>
        <v>0.32321814078435029</v>
      </c>
      <c r="AD59" s="29">
        <f t="shared" si="38"/>
        <v>0.76397739110148766</v>
      </c>
      <c r="AE59" s="29">
        <f t="shared" si="38"/>
        <v>7.284023905703021E-3</v>
      </c>
      <c r="AF59" s="29">
        <f t="shared" si="38"/>
        <v>0.4012520097138797</v>
      </c>
      <c r="AG59" s="137">
        <f t="shared" si="38"/>
        <v>0.41256048934415979</v>
      </c>
      <c r="AH59" s="137">
        <f t="shared" si="38"/>
        <v>0.15002792901614803</v>
      </c>
      <c r="AI59" s="29">
        <f t="shared" si="38"/>
        <v>0.10386286116244504</v>
      </c>
      <c r="AJ59" s="29">
        <f t="shared" si="38"/>
        <v>0.37237204567162563</v>
      </c>
      <c r="AK59" s="137">
        <f t="shared" si="38"/>
        <v>8.5346292818477817E-2</v>
      </c>
      <c r="AL59" s="29">
        <f t="shared" si="38"/>
        <v>7.4379118440045314E-2</v>
      </c>
      <c r="AM59" s="29">
        <f t="shared" si="38"/>
        <v>0.11106487329298881</v>
      </c>
      <c r="AN59" s="29">
        <f t="shared" si="38"/>
        <v>9.0508241584743868E-2</v>
      </c>
      <c r="AO59" s="29">
        <f t="shared" si="38"/>
        <v>0.23567090688423256</v>
      </c>
      <c r="AP59" s="29">
        <f t="shared" si="38"/>
        <v>7.6004331978663631E-2</v>
      </c>
      <c r="AQ59" s="29">
        <f t="shared" si="38"/>
        <v>3.7232225888456559E-2</v>
      </c>
    </row>
    <row r="60" spans="1:43" s="36" customFormat="1" ht="15.75" x14ac:dyDescent="0.25">
      <c r="A60" s="187"/>
      <c r="B60" s="189">
        <f>+B77/B75</f>
        <v>0.21096830616713508</v>
      </c>
      <c r="C60" s="190"/>
      <c r="D60" s="189">
        <f>+D77/D75</f>
        <v>0.13603334482074564</v>
      </c>
      <c r="E60" s="190"/>
      <c r="F60" s="189">
        <f>+F77/F75</f>
        <v>0.20402508096154812</v>
      </c>
      <c r="G60" s="190"/>
      <c r="H60" s="189">
        <f>+H77/H75</f>
        <v>0.27922375589417237</v>
      </c>
      <c r="I60" s="190"/>
      <c r="T60" s="189">
        <f>+T77/T75</f>
        <v>0.44758792084539339</v>
      </c>
      <c r="U60" s="190"/>
      <c r="V60" s="138"/>
      <c r="W60" s="138"/>
      <c r="X60" s="138"/>
      <c r="Y60" s="138"/>
      <c r="Z60" s="138"/>
      <c r="AA60" s="138"/>
      <c r="AB60" s="138"/>
      <c r="AC60" s="189">
        <f>+AC77/AC75</f>
        <v>0.45214300963954096</v>
      </c>
      <c r="AD60" s="190"/>
      <c r="AE60" s="189">
        <f>+AE77/AE75</f>
        <v>0.3144694015168919</v>
      </c>
      <c r="AF60" s="190"/>
      <c r="AG60" s="138"/>
      <c r="AH60" s="138"/>
      <c r="AI60" s="189">
        <f>+AI77/AI75</f>
        <v>0.35149114556337113</v>
      </c>
      <c r="AJ60" s="190"/>
      <c r="AK60" s="138"/>
      <c r="AL60" s="189">
        <f>+AL77/AL75</f>
        <v>7.7669820821414937E-2</v>
      </c>
      <c r="AM60" s="190"/>
      <c r="AN60" s="189">
        <f>+AN77/AN75</f>
        <v>0.1364238556983384</v>
      </c>
      <c r="AO60" s="190"/>
      <c r="AP60" s="189">
        <f>+AP77/AP75</f>
        <v>7.5016937199465242E-2</v>
      </c>
      <c r="AQ60" s="190"/>
    </row>
    <row r="61" spans="1:43" s="36" customFormat="1" ht="15.75" x14ac:dyDescent="0.25">
      <c r="A61" s="186" t="s">
        <v>26</v>
      </c>
      <c r="B61" s="29">
        <f t="shared" ref="B61:I61" si="39">+B76/B68</f>
        <v>0.11598902393306955</v>
      </c>
      <c r="C61" s="29">
        <f t="shared" si="39"/>
        <v>0.10206933650226958</v>
      </c>
      <c r="D61" s="29">
        <f t="shared" si="39"/>
        <v>0.1239572982066872</v>
      </c>
      <c r="E61" s="29">
        <f t="shared" si="39"/>
        <v>3.2982170918079541E-2</v>
      </c>
      <c r="F61" s="29">
        <f t="shared" si="39"/>
        <v>0.12954735415151281</v>
      </c>
      <c r="G61" s="29">
        <f t="shared" si="39"/>
        <v>0.10237410200705391</v>
      </c>
      <c r="H61" s="29">
        <f t="shared" si="39"/>
        <v>0.61688653070116983</v>
      </c>
      <c r="I61" s="29">
        <f t="shared" si="39"/>
        <v>6.4709861395550058E-2</v>
      </c>
      <c r="T61" s="29">
        <f t="shared" ref="T61:AQ61" si="40">+T76/T68</f>
        <v>0.22095374239962676</v>
      </c>
      <c r="U61" s="29">
        <f t="shared" si="40"/>
        <v>0.2055277275810633</v>
      </c>
      <c r="V61" s="137">
        <f t="shared" si="40"/>
        <v>0.47976683345349169</v>
      </c>
      <c r="W61" s="137">
        <f t="shared" si="40"/>
        <v>0.19874096592423474</v>
      </c>
      <c r="X61" s="137">
        <f t="shared" si="40"/>
        <v>0.62486715575396812</v>
      </c>
      <c r="Y61" s="137">
        <f t="shared" si="40"/>
        <v>0.21271775036559468</v>
      </c>
      <c r="Z61" s="137">
        <f t="shared" si="40"/>
        <v>0.43438092156160224</v>
      </c>
      <c r="AA61" s="137">
        <f t="shared" si="40"/>
        <v>0.12284681705011224</v>
      </c>
      <c r="AB61" s="137">
        <f t="shared" si="40"/>
        <v>0.15734690701507376</v>
      </c>
      <c r="AC61" s="29">
        <f t="shared" si="40"/>
        <v>0.13712858464559494</v>
      </c>
      <c r="AD61" s="29">
        <f t="shared" si="40"/>
        <v>0.32856164798773457</v>
      </c>
      <c r="AE61" s="29">
        <f t="shared" si="40"/>
        <v>2.5046955738090289E-3</v>
      </c>
      <c r="AF61" s="29">
        <f t="shared" si="40"/>
        <v>0.27232587949744086</v>
      </c>
      <c r="AG61" s="137">
        <f t="shared" si="40"/>
        <v>0.20432989096819865</v>
      </c>
      <c r="AH61" s="137">
        <f t="shared" si="40"/>
        <v>0.14585756280828341</v>
      </c>
      <c r="AI61" s="29">
        <f t="shared" si="40"/>
        <v>7.2547081824875834E-2</v>
      </c>
      <c r="AJ61" s="29">
        <f t="shared" si="40"/>
        <v>0.18626852009724304</v>
      </c>
      <c r="AK61" s="137">
        <f t="shared" si="40"/>
        <v>4.32906179474324E-2</v>
      </c>
      <c r="AL61" s="29">
        <f t="shared" si="40"/>
        <v>5.7198736364639763E-2</v>
      </c>
      <c r="AM61" s="29">
        <f t="shared" si="40"/>
        <v>7.4944909552937242E-2</v>
      </c>
      <c r="AN61" s="29">
        <f t="shared" si="40"/>
        <v>8.5683105450255467E-2</v>
      </c>
      <c r="AO61" s="29">
        <f t="shared" si="40"/>
        <v>0.21253529260302337</v>
      </c>
      <c r="AP61" s="29">
        <f t="shared" si="40"/>
        <v>4.4256290073954985E-2</v>
      </c>
      <c r="AQ61" s="29">
        <f t="shared" si="40"/>
        <v>2.5225279028166014E-2</v>
      </c>
    </row>
    <row r="62" spans="1:43" s="36" customFormat="1" ht="15.75" x14ac:dyDescent="0.25">
      <c r="A62" s="187"/>
      <c r="B62" s="189">
        <f>+B77/B69</f>
        <v>0.11413367374291827</v>
      </c>
      <c r="C62" s="190"/>
      <c r="D62" s="189">
        <f>+D77/D69</f>
        <v>7.260539466615773E-2</v>
      </c>
      <c r="E62" s="190"/>
      <c r="F62" s="189">
        <f>+F77/F69</f>
        <v>0.11338132400119787</v>
      </c>
      <c r="G62" s="190"/>
      <c r="H62" s="189">
        <f>+H77/H69</f>
        <v>0.10429976017980158</v>
      </c>
      <c r="I62" s="190"/>
      <c r="T62" s="189">
        <f>+T77/T69</f>
        <v>0.21910691126063878</v>
      </c>
      <c r="U62" s="190"/>
      <c r="V62" s="138"/>
      <c r="W62" s="138"/>
      <c r="X62" s="138"/>
      <c r="Y62" s="138"/>
      <c r="Z62" s="138"/>
      <c r="AA62" s="138"/>
      <c r="AB62" s="138"/>
      <c r="AC62" s="189">
        <f>+AC77/AC69</f>
        <v>0.192586917688544</v>
      </c>
      <c r="AD62" s="190"/>
      <c r="AE62" s="189">
        <f>+AE77/AE69</f>
        <v>0.17573385538503761</v>
      </c>
      <c r="AF62" s="190"/>
      <c r="AG62" s="138"/>
      <c r="AH62" s="138"/>
      <c r="AI62" s="189">
        <f>+AI77/AI69</f>
        <v>0.17979218704906599</v>
      </c>
      <c r="AJ62" s="190"/>
      <c r="AK62" s="138"/>
      <c r="AL62" s="189">
        <f>+AL77/AL69</f>
        <v>5.899041278863227E-2</v>
      </c>
      <c r="AM62" s="190"/>
      <c r="AN62" s="189">
        <f>+AN77/AN69</f>
        <v>0.12715040688051613</v>
      </c>
      <c r="AO62" s="190"/>
      <c r="AP62" s="189">
        <f>+AP77/AP69</f>
        <v>4.3838257359064201E-2</v>
      </c>
      <c r="AQ62" s="190"/>
    </row>
    <row r="63" spans="1:43" s="39" customFormat="1" ht="18.75" x14ac:dyDescent="0.3">
      <c r="A63" s="37"/>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c r="AB63" s="38"/>
      <c r="AC63" s="38"/>
      <c r="AD63" s="38"/>
      <c r="AE63" s="38"/>
      <c r="AF63" s="38"/>
      <c r="AG63" s="38"/>
      <c r="AH63" s="38"/>
      <c r="AI63" s="38"/>
      <c r="AJ63" s="38"/>
      <c r="AK63" s="38"/>
      <c r="AL63" s="38"/>
      <c r="AM63" s="38"/>
      <c r="AN63" s="120">
        <f>248596709</f>
        <v>248596709</v>
      </c>
      <c r="AO63" s="120">
        <f>29614606</f>
        <v>29614606</v>
      </c>
      <c r="AP63" s="129">
        <f>+AN63-AO63</f>
        <v>218982103</v>
      </c>
      <c r="AQ63" s="38"/>
    </row>
    <row r="64" spans="1:43" s="24" customFormat="1" ht="15.75" customHeight="1" x14ac:dyDescent="0.25">
      <c r="A64" s="135" t="s">
        <v>27</v>
      </c>
      <c r="B64" s="154" t="str">
        <f>+B57</f>
        <v>CONSORCIO BGU</v>
      </c>
      <c r="C64" s="155"/>
      <c r="D64" s="154" t="str">
        <f>+D57</f>
        <v>CONSORCIO INTERDESARROLLO</v>
      </c>
      <c r="E64" s="155"/>
      <c r="F64" s="154" t="str">
        <f>+F57</f>
        <v>CONSORCIO INTERNORTE</v>
      </c>
      <c r="G64" s="155"/>
      <c r="H64" s="154" t="str">
        <f>+H57</f>
        <v>CONSORCIO INTER-USA</v>
      </c>
      <c r="I64" s="155"/>
      <c r="T64" s="154" t="str">
        <f>+T57</f>
        <v>CONSORCIO MG-006</v>
      </c>
      <c r="U64" s="155"/>
      <c r="V64" s="135" t="str">
        <f>+V57</f>
        <v>GMC INGENIEROS S.A-
GRUPO METRO COLOMBIA S.A</v>
      </c>
      <c r="W64" s="135" t="str">
        <f>+W57</f>
        <v>GNG INGENIERIA S A S</v>
      </c>
      <c r="X64" s="135" t="str">
        <f>+X57</f>
        <v>PRI COLOMBIA SAS</v>
      </c>
      <c r="Y64" s="135" t="str">
        <f t="shared" ref="Y64:AB64" si="41">+Y57</f>
        <v>R &amp; M CONSTRUCCIONES E INTERVENTORIAS S A S</v>
      </c>
      <c r="Z64" s="135" t="str">
        <f t="shared" si="41"/>
        <v>TECNICONSULTA SAS - 
TECNOLOGIAS Y CONSULTORIAS AMBIENTALES Y DE GESTION S.A.S</v>
      </c>
      <c r="AA64" s="135" t="str">
        <f t="shared" si="41"/>
        <v xml:space="preserve">CONSULTORES DE INGENIERIA UG21 SUCURSAL EN COLOMBIA
</v>
      </c>
      <c r="AB64" s="135" t="str">
        <f t="shared" si="41"/>
        <v>INGECON SAS</v>
      </c>
      <c r="AC64" s="154" t="str">
        <f>+AC57</f>
        <v>CONSORCIO INTERVENTORIA VPC</v>
      </c>
      <c r="AD64" s="155"/>
      <c r="AE64" s="154" t="str">
        <f>+AE57</f>
        <v>CONSORCIO INTERUSAQUEN</v>
      </c>
      <c r="AF64" s="155"/>
      <c r="AG64" s="135" t="str">
        <f t="shared" ref="AG64:AH64" si="42">+AG57</f>
        <v>MIRS LATINOAMERICA S.A.S.</v>
      </c>
      <c r="AH64" s="135" t="str">
        <f t="shared" si="42"/>
        <v>LINO ANDRES MENDOZA</v>
      </c>
      <c r="AI64" s="154" t="str">
        <f>+AI57</f>
        <v>CONSORCIO USAQUEN 2018</v>
      </c>
      <c r="AJ64" s="155"/>
      <c r="AK64" s="135" t="str">
        <f t="shared" ref="AK64" si="43">+AK57</f>
        <v>CB INGENIEROS</v>
      </c>
      <c r="AL64" s="154" t="str">
        <f>+AL57</f>
        <v xml:space="preserve">CONSORCIO INGESCOR  USAQUEN </v>
      </c>
      <c r="AM64" s="155"/>
      <c r="AN64" s="154" t="str">
        <f>+AN57</f>
        <v>CONSORCIO HEI 2018</v>
      </c>
      <c r="AO64" s="155"/>
      <c r="AP64" s="154" t="str">
        <f>+AP57</f>
        <v>CONSORCIO EUROARIAS 2018</v>
      </c>
      <c r="AQ64" s="155"/>
    </row>
    <row r="65" spans="1:43" s="52" customFormat="1" ht="54" customHeight="1" x14ac:dyDescent="0.2">
      <c r="A65" s="201"/>
      <c r="B65" s="107" t="str">
        <f>+B58</f>
        <v>CONSTRUCCIONES, CONSULTORIAS E INTERVENTORIAS DE OBRAS CIVILES LTDA</v>
      </c>
      <c r="C65" s="107" t="str">
        <f>+C58</f>
        <v>GUISA RUEDA RAFAEL JAVIER</v>
      </c>
      <c r="D65" s="107" t="str">
        <f>+D58</f>
        <v>ARM CONSULTING LTDA</v>
      </c>
      <c r="E65" s="107" t="str">
        <f>+E58</f>
        <v>SANCHEZ BLANCO JORGE ALVARO</v>
      </c>
      <c r="F65" s="107" t="str">
        <f>+F58</f>
        <v>GAVINCO INGENIEROS CONSULTORES SAS</v>
      </c>
      <c r="G65" s="107" t="str">
        <f>+G58</f>
        <v>ING INGENIERIA SAS</v>
      </c>
      <c r="H65" s="107" t="str">
        <f>+H58</f>
        <v>BAC GROUP SAS</v>
      </c>
      <c r="I65" s="107" t="str">
        <f>+I58</f>
        <v>BAC ENGINEERING CONSULTANCY GROUP SAS</v>
      </c>
      <c r="T65" s="107" t="str">
        <f>+T58</f>
        <v>MAB INGENIERIA DE VALOR S A</v>
      </c>
      <c r="U65" s="107" t="str">
        <f>+U58</f>
        <v>GIMPROSA COLOBIA SAS</v>
      </c>
      <c r="V65" s="136"/>
      <c r="W65" s="136"/>
      <c r="X65" s="136"/>
      <c r="Y65" s="136"/>
      <c r="Z65" s="136"/>
      <c r="AA65" s="136"/>
      <c r="AB65" s="136"/>
      <c r="AC65" s="107" t="str">
        <f>+AC58</f>
        <v>CIVILE SAS</v>
      </c>
      <c r="AD65" s="107" t="str">
        <f>+AD58</f>
        <v>VLADIMIR POLO PAZ</v>
      </c>
      <c r="AE65" s="107" t="str">
        <f>+AE58</f>
        <v>INTECSA - INACSA COLOMBIA SAS</v>
      </c>
      <c r="AF65" s="107" t="str">
        <f>+AF58</f>
        <v>CAYCO SAS</v>
      </c>
      <c r="AG65" s="136"/>
      <c r="AH65" s="136"/>
      <c r="AI65" s="107" t="str">
        <f>+AI58</f>
        <v>M&amp;R CONSULTORIA Y CONSTRUCCION SAS</v>
      </c>
      <c r="AJ65" s="107" t="str">
        <f>+AJ58</f>
        <v>ARREDONDO MADRID INGENIEROS CIVILES SAS</v>
      </c>
      <c r="AK65" s="136"/>
      <c r="AL65" s="107" t="str">
        <f>+AL58</f>
        <v>INGESCOR LTDA</v>
      </c>
      <c r="AM65" s="107" t="str">
        <f>+AM58</f>
        <v>JUAN CARLOS RIOS</v>
      </c>
      <c r="AN65" s="107" t="str">
        <f>+AN58</f>
        <v>ELBERTO ADILIO RODRIGUEZ GOMEZ</v>
      </c>
      <c r="AO65" s="107" t="str">
        <f>+AO58</f>
        <v>HR INGENIERIA SAS</v>
      </c>
      <c r="AP65" s="107" t="str">
        <f>+AP58</f>
        <v>EUROCONTROL SA SUCURSAL COLOMBIA</v>
      </c>
      <c r="AQ65" s="107" t="str">
        <f>+AQ58</f>
        <v>ARCELIA ARIAS DIAZ</v>
      </c>
    </row>
    <row r="66" spans="1:43" s="14" customFormat="1" ht="15.75" x14ac:dyDescent="0.25">
      <c r="A66" s="209" t="s">
        <v>28</v>
      </c>
      <c r="B66" s="120">
        <f>9697435095*B17</f>
        <v>4848717547.5</v>
      </c>
      <c r="C66" s="120">
        <f>725761000*C17</f>
        <v>362880500</v>
      </c>
      <c r="D66" s="120">
        <f>2412020000*D17</f>
        <v>1206010000</v>
      </c>
      <c r="E66" s="120">
        <f>2688358437*E17</f>
        <v>1344179218.5</v>
      </c>
      <c r="F66" s="120">
        <f>3537710681*F17</f>
        <v>1768855340.5</v>
      </c>
      <c r="G66" s="120">
        <f>4968457930*G17</f>
        <v>2484228965</v>
      </c>
      <c r="H66" s="120">
        <f>420331442*H17</f>
        <v>210165721</v>
      </c>
      <c r="I66" s="120">
        <f>4495822597*I17</f>
        <v>2247911298.5</v>
      </c>
      <c r="J66" s="121"/>
      <c r="K66" s="121"/>
      <c r="L66" s="121"/>
      <c r="M66" s="121"/>
      <c r="N66" s="121"/>
      <c r="O66" s="121"/>
      <c r="P66" s="121"/>
      <c r="Q66" s="121"/>
      <c r="R66" s="121"/>
      <c r="S66" s="121"/>
      <c r="T66" s="120">
        <f>19810279718*T17</f>
        <v>9905139859</v>
      </c>
      <c r="U66" s="120">
        <f>2839516013*U17</f>
        <v>1419758006.5</v>
      </c>
      <c r="V66" s="211">
        <v>4355647008</v>
      </c>
      <c r="W66" s="211">
        <v>6133788000</v>
      </c>
      <c r="X66" s="211">
        <v>5549385000</v>
      </c>
      <c r="Y66" s="211">
        <v>3611006075</v>
      </c>
      <c r="Z66" s="211">
        <v>6312659390</v>
      </c>
      <c r="AA66" s="211">
        <v>12228768927</v>
      </c>
      <c r="AB66" s="211">
        <v>4696881000</v>
      </c>
      <c r="AC66" s="120">
        <f>3052253989*AC17</f>
        <v>1526126994.5</v>
      </c>
      <c r="AD66" s="120">
        <f>1236189845*AD17</f>
        <v>618094922.5</v>
      </c>
      <c r="AE66" s="120">
        <f>848664967*AE17</f>
        <v>466765731.85000002</v>
      </c>
      <c r="AF66" s="120">
        <f>1793189094*AF17</f>
        <v>806935092.30000007</v>
      </c>
      <c r="AG66" s="211">
        <v>5032128923</v>
      </c>
      <c r="AH66" s="211">
        <v>2060753759</v>
      </c>
      <c r="AI66" s="120">
        <f>1137427619*AI17</f>
        <v>568713809.5</v>
      </c>
      <c r="AJ66" s="120">
        <f>18341078000*AJ17</f>
        <v>9170539000</v>
      </c>
      <c r="AK66" s="211">
        <v>1092054277</v>
      </c>
      <c r="AL66" s="120">
        <f>3200376095*AL17</f>
        <v>2880338485.5</v>
      </c>
      <c r="AM66" s="120">
        <f>4077965701*AM17</f>
        <v>407796570.10000002</v>
      </c>
      <c r="AN66" s="120">
        <f>248596709*AN17</f>
        <v>124298354.5</v>
      </c>
      <c r="AO66" s="120">
        <f>537252485*AO17</f>
        <v>268626242.5</v>
      </c>
      <c r="AP66" s="120">
        <f>76490211181*AP17</f>
        <v>39010007702.309998</v>
      </c>
      <c r="AQ66" s="120">
        <f>1374389068*AQ17</f>
        <v>673450643.31999993</v>
      </c>
    </row>
    <row r="67" spans="1:43" s="18" customFormat="1" ht="15.75" x14ac:dyDescent="0.25">
      <c r="A67" s="210"/>
      <c r="B67" s="156">
        <f>+B66+C66</f>
        <v>5211598047.5</v>
      </c>
      <c r="C67" s="157"/>
      <c r="D67" s="156">
        <f>+D66+E66</f>
        <v>2550189218.5</v>
      </c>
      <c r="E67" s="157"/>
      <c r="F67" s="156">
        <f>+F66+G66</f>
        <v>4253084305.5</v>
      </c>
      <c r="G67" s="157"/>
      <c r="H67" s="156">
        <f>+H66+I66</f>
        <v>2458077019.5</v>
      </c>
      <c r="I67" s="157"/>
      <c r="T67" s="156">
        <f>+T66+U66</f>
        <v>11324897865.5</v>
      </c>
      <c r="U67" s="157"/>
      <c r="V67" s="212"/>
      <c r="W67" s="212"/>
      <c r="X67" s="212"/>
      <c r="Y67" s="212"/>
      <c r="Z67" s="212"/>
      <c r="AA67" s="212"/>
      <c r="AB67" s="212"/>
      <c r="AC67" s="156">
        <f>+AC66+AD66</f>
        <v>2144221917</v>
      </c>
      <c r="AD67" s="157"/>
      <c r="AE67" s="156">
        <f>+AE66+AF66</f>
        <v>1273700824.1500001</v>
      </c>
      <c r="AF67" s="157"/>
      <c r="AG67" s="212"/>
      <c r="AH67" s="212"/>
      <c r="AI67" s="156">
        <f>+AI66+AJ66</f>
        <v>9739252809.5</v>
      </c>
      <c r="AJ67" s="157"/>
      <c r="AK67" s="212"/>
      <c r="AL67" s="156">
        <f>+AL66+AM66</f>
        <v>3288135055.5999999</v>
      </c>
      <c r="AM67" s="157"/>
      <c r="AN67" s="156">
        <f>+AN66+AO66</f>
        <v>392924597</v>
      </c>
      <c r="AO67" s="157"/>
      <c r="AP67" s="156">
        <f>+AP66+AQ66</f>
        <v>39683458345.629997</v>
      </c>
      <c r="AQ67" s="157"/>
    </row>
    <row r="68" spans="1:43" s="14" customFormat="1" ht="15.75" x14ac:dyDescent="0.25">
      <c r="A68" s="209" t="s">
        <v>29</v>
      </c>
      <c r="B68" s="120">
        <f>12716539074*B17</f>
        <v>6358269537</v>
      </c>
      <c r="C68" s="120">
        <f>1955651000*C17</f>
        <v>977825500</v>
      </c>
      <c r="D68" s="120">
        <f>2904234000*D17</f>
        <v>1452117000</v>
      </c>
      <c r="E68" s="120">
        <f>3763902331*E17</f>
        <v>1881951165.5</v>
      </c>
      <c r="F68" s="120">
        <f>4025767708*F17</f>
        <v>2012883854</v>
      </c>
      <c r="G68" s="120">
        <f>5912543799*G17</f>
        <v>2956271899.5</v>
      </c>
      <c r="H68" s="120">
        <f>420331442*H17</f>
        <v>210165721</v>
      </c>
      <c r="I68" s="120">
        <f>5442204780*I17</f>
        <v>2721102390</v>
      </c>
      <c r="J68" s="121"/>
      <c r="K68" s="121"/>
      <c r="L68" s="121"/>
      <c r="M68" s="121"/>
      <c r="N68" s="121"/>
      <c r="O68" s="121"/>
      <c r="P68" s="121"/>
      <c r="Q68" s="121"/>
      <c r="R68" s="121"/>
      <c r="S68" s="121"/>
      <c r="T68" s="120">
        <f>21323377327*T17</f>
        <v>10661688663.5</v>
      </c>
      <c r="U68" s="120">
        <f>2900076924*U17</f>
        <v>1450038462</v>
      </c>
      <c r="V68" s="211">
        <v>4421937604</v>
      </c>
      <c r="W68" s="211">
        <v>12355027000</v>
      </c>
      <c r="X68" s="211">
        <v>5593957000</v>
      </c>
      <c r="Y68" s="211">
        <v>4501313625</v>
      </c>
      <c r="Z68" s="211">
        <v>6349189838</v>
      </c>
      <c r="AA68" s="211">
        <v>15399410383</v>
      </c>
      <c r="AB68" s="211">
        <v>7093924000</v>
      </c>
      <c r="AC68" s="120">
        <f>3073969611*AC17</f>
        <v>1536984805.5</v>
      </c>
      <c r="AD68" s="120">
        <f>1253742001*AD17</f>
        <v>626871000.5</v>
      </c>
      <c r="AE68" s="120">
        <f>865973503*AE17</f>
        <v>476285426.65000004</v>
      </c>
      <c r="AF68" s="120">
        <f>1898167405*AF17</f>
        <v>854175332.25</v>
      </c>
      <c r="AG68" s="211">
        <v>5130217542</v>
      </c>
      <c r="AH68" s="211">
        <v>3201753759</v>
      </c>
      <c r="AI68" s="120">
        <f>1233956153*AI17</f>
        <v>616978076.5</v>
      </c>
      <c r="AJ68" s="120">
        <f>20433748000*AJ17</f>
        <v>10216874000</v>
      </c>
      <c r="AK68" s="211">
        <v>1640096385</v>
      </c>
      <c r="AL68" s="120">
        <f>10343956818*AL17</f>
        <v>9309561136.2000008</v>
      </c>
      <c r="AM68" s="120">
        <f>10454558017*AM17</f>
        <v>1045455801.7</v>
      </c>
      <c r="AN68" s="120">
        <f>1118230245*AN17</f>
        <v>559115122.5</v>
      </c>
      <c r="AO68" s="120">
        <f>543070243*AO17</f>
        <v>271535121.5</v>
      </c>
      <c r="AP68" s="120">
        <f>89579172325*AP17</f>
        <v>45685377885.75</v>
      </c>
      <c r="AQ68" s="120">
        <f>2093994518*AQ17</f>
        <v>1026057313.8199999</v>
      </c>
    </row>
    <row r="69" spans="1:43" s="18" customFormat="1" ht="15.75" x14ac:dyDescent="0.25">
      <c r="A69" s="210"/>
      <c r="B69" s="156">
        <f>+B68+C68</f>
        <v>7336095037</v>
      </c>
      <c r="C69" s="157"/>
      <c r="D69" s="156">
        <f>+D68+E68</f>
        <v>3334068165.5</v>
      </c>
      <c r="E69" s="157"/>
      <c r="F69" s="156">
        <f>+F68+G68</f>
        <v>4969155753.5</v>
      </c>
      <c r="G69" s="157"/>
      <c r="H69" s="156">
        <f>+H68+I68</f>
        <v>2931268111</v>
      </c>
      <c r="I69" s="157"/>
      <c r="T69" s="156">
        <f>+T68+U68</f>
        <v>12111727125.5</v>
      </c>
      <c r="U69" s="157"/>
      <c r="V69" s="212"/>
      <c r="W69" s="212"/>
      <c r="X69" s="212"/>
      <c r="Y69" s="212"/>
      <c r="Z69" s="212"/>
      <c r="AA69" s="212"/>
      <c r="AB69" s="212"/>
      <c r="AC69" s="156">
        <f>+AC68+AD68</f>
        <v>2163855806</v>
      </c>
      <c r="AD69" s="157"/>
      <c r="AE69" s="156">
        <f>+AE68+AF68</f>
        <v>1330460758.9000001</v>
      </c>
      <c r="AF69" s="157"/>
      <c r="AG69" s="212"/>
      <c r="AH69" s="212"/>
      <c r="AI69" s="156">
        <f>+AI68+AJ68</f>
        <v>10833852076.5</v>
      </c>
      <c r="AJ69" s="157"/>
      <c r="AK69" s="212"/>
      <c r="AL69" s="156">
        <f>+AL68+AM68</f>
        <v>10355016937.900002</v>
      </c>
      <c r="AM69" s="157"/>
      <c r="AN69" s="156">
        <f>+AN68+AO68</f>
        <v>830650244</v>
      </c>
      <c r="AO69" s="157"/>
      <c r="AP69" s="156">
        <f>+AP68+AQ68</f>
        <v>46711435199.57</v>
      </c>
      <c r="AQ69" s="157"/>
    </row>
    <row r="70" spans="1:43" s="14" customFormat="1" ht="15.75" x14ac:dyDescent="0.25">
      <c r="A70" s="209" t="s">
        <v>30</v>
      </c>
      <c r="B70" s="120">
        <f>376679763*B17</f>
        <v>188339881.5</v>
      </c>
      <c r="C70" s="120">
        <f>32361000*C17</f>
        <v>16180500</v>
      </c>
      <c r="D70" s="120">
        <f>805127000*D17</f>
        <v>402563500</v>
      </c>
      <c r="E70" s="120">
        <f>1215045214*E17</f>
        <v>607522607</v>
      </c>
      <c r="F70" s="120">
        <f>898918278*F17</f>
        <v>449459139</v>
      </c>
      <c r="G70" s="120">
        <f>1184875965*G17</f>
        <v>592437982.5</v>
      </c>
      <c r="H70" s="120">
        <f>244337637*H17</f>
        <v>122168818.5</v>
      </c>
      <c r="I70" s="120">
        <f>3428337912*I17</f>
        <v>1714168956</v>
      </c>
      <c r="J70" s="121"/>
      <c r="K70" s="121"/>
      <c r="L70" s="121"/>
      <c r="M70" s="121"/>
      <c r="N70" s="121"/>
      <c r="O70" s="121"/>
      <c r="P70" s="121"/>
      <c r="Q70" s="121"/>
      <c r="R70" s="121"/>
      <c r="S70" s="121"/>
      <c r="T70" s="120">
        <f>3503464327*T17</f>
        <v>1751732163.5</v>
      </c>
      <c r="U70" s="120">
        <f>593886152*U17</f>
        <v>296943076</v>
      </c>
      <c r="V70" s="211">
        <v>589881269</v>
      </c>
      <c r="W70" s="211">
        <v>1562160000</v>
      </c>
      <c r="X70" s="211">
        <v>1451472000</v>
      </c>
      <c r="Y70" s="211">
        <v>778413793</v>
      </c>
      <c r="Z70" s="211">
        <v>583418080</v>
      </c>
      <c r="AA70" s="211">
        <v>7313580867</v>
      </c>
      <c r="AB70" s="130">
        <v>2917115000</v>
      </c>
      <c r="AC70" s="120">
        <f>971411815*AC17</f>
        <v>485705907.5</v>
      </c>
      <c r="AD70" s="120">
        <f>552818350*AD17</f>
        <v>276409175</v>
      </c>
      <c r="AE70" s="120">
        <f>309267751*AE17</f>
        <v>170097263.05000001</v>
      </c>
      <c r="AF70" s="120">
        <f>166660689*AF17</f>
        <v>74997310.049999997</v>
      </c>
      <c r="AG70" s="130">
        <v>101067928</v>
      </c>
      <c r="AH70" s="130">
        <v>89000000</v>
      </c>
      <c r="AI70" s="120">
        <f>238717832*AI17</f>
        <v>119358916</v>
      </c>
      <c r="AJ70" s="120">
        <f>6792808000*AJ17</f>
        <v>3396404000</v>
      </c>
      <c r="AK70" s="130">
        <v>252616145</v>
      </c>
      <c r="AL70" s="120">
        <f>383773930*AL17</f>
        <v>345396537</v>
      </c>
      <c r="AM70" s="120">
        <f>142238856*AM17</f>
        <v>14223885.600000001</v>
      </c>
      <c r="AN70" s="120">
        <f>29614606*AN17</f>
        <v>14807303</v>
      </c>
      <c r="AO70" s="120">
        <f>30954344*AO17</f>
        <v>15477172</v>
      </c>
      <c r="AP70" s="120">
        <f>36078633456*AP17</f>
        <v>18400103062.560001</v>
      </c>
      <c r="AQ70" s="120">
        <f>71194371*AQ17</f>
        <v>34885241.789999999</v>
      </c>
    </row>
    <row r="71" spans="1:43" s="18" customFormat="1" ht="15.75" x14ac:dyDescent="0.25">
      <c r="A71" s="210"/>
      <c r="B71" s="156">
        <f>+B70+C70</f>
        <v>204520381.5</v>
      </c>
      <c r="C71" s="157"/>
      <c r="D71" s="156">
        <f>+D70+E70</f>
        <v>1010086107</v>
      </c>
      <c r="E71" s="157"/>
      <c r="F71" s="156">
        <f>+F70+G70</f>
        <v>1041897121.5</v>
      </c>
      <c r="G71" s="157"/>
      <c r="H71" s="156">
        <f>+H70+I70</f>
        <v>1836337774.5</v>
      </c>
      <c r="I71" s="157"/>
      <c r="T71" s="156">
        <f>+T70+U70</f>
        <v>2048675239.5</v>
      </c>
      <c r="U71" s="157"/>
      <c r="V71" s="212"/>
      <c r="W71" s="212"/>
      <c r="X71" s="212"/>
      <c r="Y71" s="212"/>
      <c r="Z71" s="212"/>
      <c r="AA71" s="212"/>
      <c r="AB71" s="131"/>
      <c r="AC71" s="156">
        <f>+AC70+AD70</f>
        <v>762115082.5</v>
      </c>
      <c r="AD71" s="157"/>
      <c r="AE71" s="156">
        <f>+AE70+AF70</f>
        <v>245094573.10000002</v>
      </c>
      <c r="AF71" s="157"/>
      <c r="AG71" s="131"/>
      <c r="AH71" s="131"/>
      <c r="AI71" s="156">
        <f>+AI70+AJ70</f>
        <v>3515762916</v>
      </c>
      <c r="AJ71" s="157"/>
      <c r="AK71" s="131"/>
      <c r="AL71" s="156">
        <f>+AL70+AM70</f>
        <v>359620422.60000002</v>
      </c>
      <c r="AM71" s="157"/>
      <c r="AN71" s="156">
        <f>+AN70+AO70</f>
        <v>30284475</v>
      </c>
      <c r="AO71" s="157"/>
      <c r="AP71" s="156">
        <f>+AP70+AQ70</f>
        <v>18434988304.350002</v>
      </c>
      <c r="AQ71" s="157"/>
    </row>
    <row r="72" spans="1:43" s="14" customFormat="1" ht="15.75" x14ac:dyDescent="0.25">
      <c r="A72" s="209" t="s">
        <v>31</v>
      </c>
      <c r="B72" s="120">
        <f>5998865755*B17</f>
        <v>2999432877.5</v>
      </c>
      <c r="C72" s="120">
        <f>735682000*C17</f>
        <v>367841000</v>
      </c>
      <c r="D72" s="120">
        <f>1501509000*D17</f>
        <v>750754500</v>
      </c>
      <c r="E72" s="120">
        <f>1607627362*E17</f>
        <v>803813681</v>
      </c>
      <c r="F72" s="120">
        <f>898918278*F17</f>
        <v>449459139</v>
      </c>
      <c r="G72" s="120">
        <f>3516450110*G17</f>
        <v>1758225055</v>
      </c>
      <c r="H72" s="120">
        <f>244337637*H17</f>
        <v>122168818.5</v>
      </c>
      <c r="I72" s="120">
        <f>3428337912*I17</f>
        <v>1714168956</v>
      </c>
      <c r="J72" s="121"/>
      <c r="K72" s="121"/>
      <c r="L72" s="121"/>
      <c r="M72" s="121"/>
      <c r="N72" s="121"/>
      <c r="O72" s="121"/>
      <c r="P72" s="121"/>
      <c r="Q72" s="121"/>
      <c r="R72" s="121"/>
      <c r="S72" s="121"/>
      <c r="T72" s="120">
        <f>10302816787*T17</f>
        <v>5151408393.5</v>
      </c>
      <c r="U72" s="120">
        <f>2062573397*U17</f>
        <v>1031286698.5</v>
      </c>
      <c r="V72" s="211">
        <v>589881269</v>
      </c>
      <c r="W72" s="211">
        <v>5335871000</v>
      </c>
      <c r="X72" s="211">
        <v>1777993000</v>
      </c>
      <c r="Y72" s="211">
        <v>858413793</v>
      </c>
      <c r="Z72" s="211">
        <v>2516279560</v>
      </c>
      <c r="AA72" s="211">
        <v>8073464510</v>
      </c>
      <c r="AB72" s="130">
        <v>3869312000</v>
      </c>
      <c r="AC72" s="120">
        <f>1769806729*AC17</f>
        <v>884903364.5</v>
      </c>
      <c r="AD72" s="120">
        <f>714548639*AD17</f>
        <v>357274319.5</v>
      </c>
      <c r="AE72" s="120">
        <f>568198533*AE17</f>
        <v>312509193.15000004</v>
      </c>
      <c r="AF72" s="120">
        <f>609899445*AF17</f>
        <v>274454750.25</v>
      </c>
      <c r="AG72" s="130">
        <v>2589361551</v>
      </c>
      <c r="AH72" s="130">
        <v>89000000</v>
      </c>
      <c r="AI72" s="120">
        <f>372051166*AI17</f>
        <v>186025583</v>
      </c>
      <c r="AJ72" s="120">
        <f>10212347000*AJ17</f>
        <v>5106173500</v>
      </c>
      <c r="AK72" s="130">
        <v>808182266</v>
      </c>
      <c r="AL72" s="120">
        <f>2389287935*AL17</f>
        <v>2150359141.5</v>
      </c>
      <c r="AM72" s="120">
        <f>3399979177*AM17</f>
        <v>339997917.70000005</v>
      </c>
      <c r="AN72" s="120">
        <f>59614606*AN17</f>
        <v>29807303</v>
      </c>
      <c r="AO72" s="120">
        <f>53312748*AO17</f>
        <v>26656374</v>
      </c>
      <c r="AP72" s="120">
        <f>37418437117*AP17</f>
        <v>19083402929.670002</v>
      </c>
      <c r="AQ72" s="120">
        <f>675288149*AQ17</f>
        <v>330891193.00999999</v>
      </c>
    </row>
    <row r="73" spans="1:43" s="18" customFormat="1" ht="15.75" x14ac:dyDescent="0.25">
      <c r="A73" s="210"/>
      <c r="B73" s="156">
        <f>+B72+C72</f>
        <v>3367273877.5</v>
      </c>
      <c r="C73" s="157"/>
      <c r="D73" s="156">
        <f>+D72+E72</f>
        <v>1554568181</v>
      </c>
      <c r="E73" s="157"/>
      <c r="F73" s="156">
        <f>+F72+G72</f>
        <v>2207684194</v>
      </c>
      <c r="G73" s="157"/>
      <c r="H73" s="156">
        <f>+H72+I72</f>
        <v>1836337774.5</v>
      </c>
      <c r="I73" s="157"/>
      <c r="T73" s="156">
        <f>+T72+U72</f>
        <v>6182695092</v>
      </c>
      <c r="U73" s="157"/>
      <c r="V73" s="212"/>
      <c r="W73" s="212"/>
      <c r="X73" s="212"/>
      <c r="Y73" s="212"/>
      <c r="Z73" s="212"/>
      <c r="AA73" s="212"/>
      <c r="AB73" s="131"/>
      <c r="AC73" s="156">
        <f>+AC72+AD72</f>
        <v>1242177684</v>
      </c>
      <c r="AD73" s="157"/>
      <c r="AE73" s="156">
        <f>+AE72+AF72</f>
        <v>586963943.4000001</v>
      </c>
      <c r="AF73" s="157"/>
      <c r="AG73" s="131"/>
      <c r="AH73" s="131"/>
      <c r="AI73" s="156">
        <f>+AI72+AJ72</f>
        <v>5292199083</v>
      </c>
      <c r="AJ73" s="157"/>
      <c r="AK73" s="131"/>
      <c r="AL73" s="156">
        <f>+AL72+AM72</f>
        <v>2490357059.1999998</v>
      </c>
      <c r="AM73" s="157"/>
      <c r="AN73" s="156">
        <f>+AN72+AO72</f>
        <v>56463677</v>
      </c>
      <c r="AO73" s="157"/>
      <c r="AP73" s="156">
        <f>+AP72+AQ72</f>
        <v>19414294122.68</v>
      </c>
      <c r="AQ73" s="157"/>
    </row>
    <row r="74" spans="1:43" s="14" customFormat="1" ht="19.5" customHeight="1" x14ac:dyDescent="0.25">
      <c r="A74" s="202" t="s">
        <v>32</v>
      </c>
      <c r="B74" s="122">
        <f>+B68-B72</f>
        <v>3358836659.5</v>
      </c>
      <c r="C74" s="122">
        <f t="shared" ref="C74" si="44">+C68-C72</f>
        <v>609984500</v>
      </c>
      <c r="D74" s="122">
        <f>+D68-D72</f>
        <v>701362500</v>
      </c>
      <c r="E74" s="122">
        <f t="shared" ref="E74" si="45">+E68-E72</f>
        <v>1078137484.5</v>
      </c>
      <c r="F74" s="122">
        <f>+F68-F72</f>
        <v>1563424715</v>
      </c>
      <c r="G74" s="122">
        <f t="shared" ref="G74" si="46">+G68-G72</f>
        <v>1198046844.5</v>
      </c>
      <c r="H74" s="122">
        <f>+H68-H72</f>
        <v>87996902.5</v>
      </c>
      <c r="I74" s="122">
        <f t="shared" ref="I74" si="47">+I68-I72</f>
        <v>1006933434</v>
      </c>
      <c r="J74" s="36"/>
      <c r="K74" s="36"/>
      <c r="L74" s="36"/>
      <c r="M74" s="36"/>
      <c r="N74" s="36"/>
      <c r="O74" s="36"/>
      <c r="P74" s="36"/>
      <c r="Q74" s="36"/>
      <c r="R74" s="36"/>
      <c r="S74" s="36"/>
      <c r="T74" s="122">
        <f>+T68-T72</f>
        <v>5510280270</v>
      </c>
      <c r="U74" s="122">
        <f t="shared" ref="U74" si="48">+U68-U72</f>
        <v>418751763.5</v>
      </c>
      <c r="V74" s="145">
        <f>+V68-V72</f>
        <v>3832056335</v>
      </c>
      <c r="W74" s="145">
        <f>+W68-W72</f>
        <v>7019156000</v>
      </c>
      <c r="X74" s="145">
        <f>+X68-X72</f>
        <v>3815964000</v>
      </c>
      <c r="Y74" s="145">
        <f t="shared" ref="Y74" si="49">+Y68-Y72</f>
        <v>3642899832</v>
      </c>
      <c r="Z74" s="145">
        <f>+Z68-Z72</f>
        <v>3832910278</v>
      </c>
      <c r="AA74" s="145">
        <f>+AA68-AA72</f>
        <v>7325945873</v>
      </c>
      <c r="AB74" s="145">
        <f>+AB68-AB72</f>
        <v>3224612000</v>
      </c>
      <c r="AC74" s="122">
        <f>+AC68-AC72</f>
        <v>652081441</v>
      </c>
      <c r="AD74" s="122">
        <f t="shared" ref="AD74:AF74" si="50">+AD68-AD72</f>
        <v>269596681</v>
      </c>
      <c r="AE74" s="122">
        <f>+AE68-AE72</f>
        <v>163776233.5</v>
      </c>
      <c r="AF74" s="122">
        <f t="shared" si="50"/>
        <v>579720582</v>
      </c>
      <c r="AG74" s="145">
        <f>+AG68-AG72</f>
        <v>2540855991</v>
      </c>
      <c r="AH74" s="145">
        <f>+AH68-AH72</f>
        <v>3112753759</v>
      </c>
      <c r="AI74" s="122">
        <f>+AI68-AI72</f>
        <v>430952493.5</v>
      </c>
      <c r="AJ74" s="122">
        <f t="shared" ref="AJ74" si="51">+AJ68-AJ72</f>
        <v>5110700500</v>
      </c>
      <c r="AK74" s="145">
        <f>+AK68-AK72</f>
        <v>831914119</v>
      </c>
      <c r="AL74" s="122">
        <f>+AL68-AL72</f>
        <v>7159201994.7000008</v>
      </c>
      <c r="AM74" s="122">
        <f t="shared" ref="AM74:AO74" si="52">+AM68-AM72</f>
        <v>705457884</v>
      </c>
      <c r="AN74" s="122">
        <f>+AN68-AN72</f>
        <v>529307819.5</v>
      </c>
      <c r="AO74" s="122">
        <f t="shared" si="52"/>
        <v>244878747.5</v>
      </c>
      <c r="AP74" s="122">
        <f>+AP68-AP72</f>
        <v>26601974956.079998</v>
      </c>
      <c r="AQ74" s="122">
        <f t="shared" ref="AQ74" si="53">+AQ68-AQ72</f>
        <v>695166120.80999994</v>
      </c>
    </row>
    <row r="75" spans="1:43" s="18" customFormat="1" ht="19.5" customHeight="1" x14ac:dyDescent="0.25">
      <c r="A75" s="203"/>
      <c r="B75" s="156">
        <f>+B74+C74</f>
        <v>3968821159.5</v>
      </c>
      <c r="C75" s="157"/>
      <c r="D75" s="156">
        <f>+D74+E74</f>
        <v>1779499984.5</v>
      </c>
      <c r="E75" s="157"/>
      <c r="F75" s="156">
        <f>+F74+G74</f>
        <v>2761471559.5</v>
      </c>
      <c r="G75" s="157"/>
      <c r="H75" s="156">
        <f>+H74+I74</f>
        <v>1094930336.5</v>
      </c>
      <c r="I75" s="157"/>
      <c r="T75" s="156">
        <f>+T74+U74</f>
        <v>5929032033.5</v>
      </c>
      <c r="U75" s="157"/>
      <c r="V75" s="142"/>
      <c r="W75" s="142"/>
      <c r="X75" s="142"/>
      <c r="Y75" s="142"/>
      <c r="Z75" s="142"/>
      <c r="AA75" s="142"/>
      <c r="AB75" s="142"/>
      <c r="AC75" s="156">
        <f>+AC74+AD74</f>
        <v>921678122</v>
      </c>
      <c r="AD75" s="157"/>
      <c r="AE75" s="156">
        <f>+AE74+AF74</f>
        <v>743496815.5</v>
      </c>
      <c r="AF75" s="157"/>
      <c r="AG75" s="142"/>
      <c r="AH75" s="142"/>
      <c r="AI75" s="156">
        <f>+AI74+AJ74</f>
        <v>5541652993.5</v>
      </c>
      <c r="AJ75" s="157"/>
      <c r="AK75" s="142"/>
      <c r="AL75" s="156">
        <f>+AL74+AM74</f>
        <v>7864659878.7000008</v>
      </c>
      <c r="AM75" s="157"/>
      <c r="AN75" s="156">
        <f>+AN74+AO74</f>
        <v>774186567</v>
      </c>
      <c r="AO75" s="157"/>
      <c r="AP75" s="156">
        <f>+AP74+AQ74</f>
        <v>27297141076.889999</v>
      </c>
      <c r="AQ75" s="157"/>
    </row>
    <row r="76" spans="1:43" s="14" customFormat="1" ht="15.75" x14ac:dyDescent="0.25">
      <c r="A76" s="209" t="s">
        <v>33</v>
      </c>
      <c r="B76" s="120">
        <f>1474978955*B17</f>
        <v>737489477.5</v>
      </c>
      <c r="C76" s="120">
        <f>199612000*C17</f>
        <v>99806000</v>
      </c>
      <c r="D76" s="120">
        <f>360001000*D17</f>
        <v>180000500</v>
      </c>
      <c r="E76" s="120">
        <f>124141670*E17</f>
        <v>62070835</v>
      </c>
      <c r="F76" s="120">
        <f>521527555*F17</f>
        <v>260763777.5</v>
      </c>
      <c r="G76" s="120">
        <f>605291362*G17</f>
        <v>302645681</v>
      </c>
      <c r="H76" s="120">
        <f>259296805*H17</f>
        <v>129648402.5</v>
      </c>
      <c r="I76" s="120">
        <f>352164317*I17</f>
        <v>176082158.5</v>
      </c>
      <c r="J76" s="121"/>
      <c r="K76" s="121"/>
      <c r="L76" s="121"/>
      <c r="M76" s="121"/>
      <c r="N76" s="121"/>
      <c r="O76" s="121"/>
      <c r="P76" s="121"/>
      <c r="Q76" s="121"/>
      <c r="R76" s="121"/>
      <c r="S76" s="121"/>
      <c r="T76" s="120">
        <f>4711480021*T17</f>
        <v>2355740010.5</v>
      </c>
      <c r="U76" s="120">
        <f>596046220*U17</f>
        <v>298023110</v>
      </c>
      <c r="V76" s="211">
        <v>2121499002</v>
      </c>
      <c r="W76" s="211">
        <v>2455450000</v>
      </c>
      <c r="X76" s="211">
        <v>3495480000</v>
      </c>
      <c r="Y76" s="211">
        <v>957509308</v>
      </c>
      <c r="Z76" s="211">
        <v>2757966933</v>
      </c>
      <c r="AA76" s="211">
        <v>1891768550</v>
      </c>
      <c r="AB76" s="211">
        <v>1116207000</v>
      </c>
      <c r="AC76" s="120">
        <f>421529102*AC17</f>
        <v>210764551</v>
      </c>
      <c r="AD76" s="120">
        <f>411931538*AD17</f>
        <v>205965769</v>
      </c>
      <c r="AE76" s="120">
        <f>2169000*AE17</f>
        <v>1192950</v>
      </c>
      <c r="AF76" s="120">
        <f>516920108*AF17</f>
        <v>232614048.59999999</v>
      </c>
      <c r="AG76" s="211">
        <v>1048256791</v>
      </c>
      <c r="AH76" s="211">
        <v>467000000</v>
      </c>
      <c r="AI76" s="120">
        <f>89519918*AI17</f>
        <v>44759959</v>
      </c>
      <c r="AJ76" s="120">
        <f>3806164000*AJ17</f>
        <v>1903082000</v>
      </c>
      <c r="AK76" s="211">
        <v>71000786</v>
      </c>
      <c r="AL76" s="120">
        <f>591661259*AL17</f>
        <v>532495133.10000002</v>
      </c>
      <c r="AM76" s="120">
        <f>783515905*AM17</f>
        <v>78351590.5</v>
      </c>
      <c r="AN76" s="120">
        <f>95813440*AN17</f>
        <v>47906720</v>
      </c>
      <c r="AO76" s="120">
        <f>115421593*AO17</f>
        <v>57710796.5</v>
      </c>
      <c r="AP76" s="120">
        <f>3964441835*AP17</f>
        <v>2021865335.8500001</v>
      </c>
      <c r="AQ76" s="120">
        <f>52821596*AQ17</f>
        <v>25882582.039999999</v>
      </c>
    </row>
    <row r="77" spans="1:43" s="18" customFormat="1" ht="15.75" x14ac:dyDescent="0.25">
      <c r="A77" s="210"/>
      <c r="B77" s="156">
        <f>+B76+C76</f>
        <v>837295477.5</v>
      </c>
      <c r="C77" s="157"/>
      <c r="D77" s="156">
        <f>+D76+E76</f>
        <v>242071335</v>
      </c>
      <c r="E77" s="157"/>
      <c r="F77" s="156">
        <f>+F76+G76</f>
        <v>563409458.5</v>
      </c>
      <c r="G77" s="157"/>
      <c r="H77" s="156">
        <f>+H76+I76</f>
        <v>305730561</v>
      </c>
      <c r="I77" s="157"/>
      <c r="T77" s="156">
        <f>+T76+U76</f>
        <v>2653763120.5</v>
      </c>
      <c r="U77" s="157"/>
      <c r="V77" s="212"/>
      <c r="W77" s="212"/>
      <c r="X77" s="212"/>
      <c r="Y77" s="212"/>
      <c r="Z77" s="212"/>
      <c r="AA77" s="212"/>
      <c r="AB77" s="212"/>
      <c r="AC77" s="156">
        <f>+AC76+AD76</f>
        <v>416730320</v>
      </c>
      <c r="AD77" s="157"/>
      <c r="AE77" s="156">
        <f>+AE76+AF76</f>
        <v>233806998.59999999</v>
      </c>
      <c r="AF77" s="157"/>
      <c r="AG77" s="212"/>
      <c r="AH77" s="212"/>
      <c r="AI77" s="156">
        <f>+AI76+AJ76</f>
        <v>1947841959</v>
      </c>
      <c r="AJ77" s="157"/>
      <c r="AK77" s="212"/>
      <c r="AL77" s="156">
        <f>+AL76+AM76</f>
        <v>610846723.60000002</v>
      </c>
      <c r="AM77" s="157"/>
      <c r="AN77" s="156">
        <f>+AN76+AO76</f>
        <v>105617516.5</v>
      </c>
      <c r="AO77" s="157"/>
      <c r="AP77" s="156">
        <f>+AP76+AQ76</f>
        <v>2047747917.8900001</v>
      </c>
      <c r="AQ77" s="157"/>
    </row>
    <row r="78" spans="1:43" s="14" customFormat="1" ht="15.75" x14ac:dyDescent="0.25">
      <c r="A78" s="209" t="s">
        <v>34</v>
      </c>
      <c r="B78" s="123">
        <f>17656581*B17</f>
        <v>8828290.5</v>
      </c>
      <c r="C78" s="123">
        <f>425000*C17</f>
        <v>212500</v>
      </c>
      <c r="D78" s="123">
        <f>112118000*D17</f>
        <v>56059000</v>
      </c>
      <c r="E78" s="123">
        <f>25437397*E17</f>
        <v>12718698.5</v>
      </c>
      <c r="F78" s="123">
        <f>57673051.67*F17</f>
        <v>28836525.835000001</v>
      </c>
      <c r="G78" s="123">
        <f>208069272*G17</f>
        <v>104034636</v>
      </c>
      <c r="H78" s="123">
        <f>3877134*H17</f>
        <v>1938567</v>
      </c>
      <c r="I78" s="123">
        <f>29158053*I17</f>
        <v>14579026.5</v>
      </c>
      <c r="J78" s="121"/>
      <c r="K78" s="121"/>
      <c r="L78" s="121"/>
      <c r="M78" s="121"/>
      <c r="N78" s="121"/>
      <c r="O78" s="121"/>
      <c r="P78" s="121"/>
      <c r="Q78" s="121"/>
      <c r="R78" s="121"/>
      <c r="S78" s="121"/>
      <c r="T78" s="123">
        <f>8335720*T17</f>
        <v>4167860</v>
      </c>
      <c r="U78" s="123">
        <f>8450122*U17</f>
        <v>4225061</v>
      </c>
      <c r="V78" s="213">
        <v>3519475</v>
      </c>
      <c r="W78" s="213">
        <v>402523000</v>
      </c>
      <c r="X78" s="213">
        <v>33974000</v>
      </c>
      <c r="Y78" s="213">
        <v>25816412</v>
      </c>
      <c r="Z78" s="213">
        <v>12274276</v>
      </c>
      <c r="AA78" s="213">
        <v>216363984</v>
      </c>
      <c r="AB78" s="213">
        <v>39408000</v>
      </c>
      <c r="AC78" s="123">
        <f>10093436*AC17</f>
        <v>5046718</v>
      </c>
      <c r="AD78" s="123">
        <f>59833315*AD17</f>
        <v>29916657.5</v>
      </c>
      <c r="AE78" s="123">
        <f>1*AE17</f>
        <v>0.55000000000000004</v>
      </c>
      <c r="AF78" s="123">
        <f>4438213*AF17</f>
        <v>1997195.85</v>
      </c>
      <c r="AG78" s="213">
        <v>32870752</v>
      </c>
      <c r="AH78" s="213">
        <v>11500000</v>
      </c>
      <c r="AI78" s="123">
        <f>6015370*AI17</f>
        <v>3007685</v>
      </c>
      <c r="AJ78" s="123">
        <f>116383000*AJ17</f>
        <v>58191500</v>
      </c>
      <c r="AK78" s="213">
        <v>11606630</v>
      </c>
      <c r="AL78" s="123">
        <f>118018880*AL17</f>
        <v>106216992</v>
      </c>
      <c r="AM78" s="123">
        <f>164661196*AM17</f>
        <v>16466119.600000001</v>
      </c>
      <c r="AN78" s="123">
        <f>20015900*AN17</f>
        <v>10007950</v>
      </c>
      <c r="AO78" s="123">
        <f>3077598*AO17</f>
        <v>1538799</v>
      </c>
      <c r="AP78" s="123">
        <f>407890516*AP17</f>
        <v>208024163.16</v>
      </c>
      <c r="AQ78" s="123">
        <f>2761629*AQ17</f>
        <v>1353198.21</v>
      </c>
    </row>
    <row r="79" spans="1:43" s="18" customFormat="1" ht="15.75" x14ac:dyDescent="0.25">
      <c r="A79" s="210"/>
      <c r="B79" s="156">
        <f>+B78+C78</f>
        <v>9040790.5</v>
      </c>
      <c r="C79" s="157"/>
      <c r="D79" s="156">
        <f>+D78+E78</f>
        <v>68777698.5</v>
      </c>
      <c r="E79" s="157"/>
      <c r="F79" s="156">
        <f>+F78+G78</f>
        <v>132871161.83500001</v>
      </c>
      <c r="G79" s="157"/>
      <c r="H79" s="156">
        <f>+H78+I78</f>
        <v>16517593.5</v>
      </c>
      <c r="I79" s="157"/>
      <c r="T79" s="156">
        <f>+T78+U78</f>
        <v>8392921</v>
      </c>
      <c r="U79" s="157"/>
      <c r="V79" s="212"/>
      <c r="W79" s="212"/>
      <c r="X79" s="212"/>
      <c r="Y79" s="212"/>
      <c r="Z79" s="212"/>
      <c r="AA79" s="212"/>
      <c r="AB79" s="212"/>
      <c r="AC79" s="156">
        <f>+AC78+AD78</f>
        <v>34963375.5</v>
      </c>
      <c r="AD79" s="157"/>
      <c r="AE79" s="156">
        <f>+AE78+AF78</f>
        <v>1997196.4000000001</v>
      </c>
      <c r="AF79" s="157"/>
      <c r="AG79" s="212"/>
      <c r="AH79" s="212"/>
      <c r="AI79" s="156">
        <f>+AI78+AJ78</f>
        <v>61199185</v>
      </c>
      <c r="AJ79" s="157"/>
      <c r="AK79" s="212"/>
      <c r="AL79" s="156">
        <f>+AL78+AM78</f>
        <v>122683111.59999999</v>
      </c>
      <c r="AM79" s="157"/>
      <c r="AN79" s="156">
        <f>+AN78+AO78</f>
        <v>11546749</v>
      </c>
      <c r="AO79" s="157"/>
      <c r="AP79" s="156">
        <f>+AP78+AQ78</f>
        <v>209377361.37</v>
      </c>
      <c r="AQ79" s="157"/>
    </row>
    <row r="80" spans="1:43" s="24" customFormat="1" ht="19.5" customHeight="1" x14ac:dyDescent="0.25">
      <c r="A80" s="41"/>
      <c r="B80" s="42"/>
      <c r="C80" s="42"/>
      <c r="D80" s="42"/>
      <c r="E80" s="42"/>
      <c r="F80" s="42"/>
      <c r="G80" s="42"/>
      <c r="H80" s="42"/>
      <c r="I80" s="42"/>
      <c r="T80" s="42"/>
      <c r="U80" s="42"/>
      <c r="V80" s="42"/>
      <c r="W80" s="42"/>
      <c r="X80" s="42"/>
      <c r="Y80" s="42"/>
      <c r="Z80" s="42"/>
      <c r="AA80" s="42"/>
      <c r="AB80" s="42"/>
      <c r="AC80" s="42"/>
      <c r="AD80" s="42"/>
      <c r="AE80" s="42"/>
      <c r="AF80" s="42"/>
      <c r="AG80" s="42"/>
      <c r="AH80" s="42"/>
      <c r="AI80" s="42"/>
      <c r="AJ80" s="42"/>
      <c r="AK80" s="42"/>
      <c r="AL80" s="42"/>
      <c r="AM80" s="42"/>
      <c r="AN80" s="42"/>
      <c r="AO80" s="42"/>
      <c r="AP80" s="42"/>
      <c r="AQ80" s="42"/>
    </row>
    <row r="81" spans="1:43" s="13" customFormat="1" ht="15.75" customHeight="1" x14ac:dyDescent="0.25">
      <c r="A81" s="135" t="s">
        <v>4</v>
      </c>
      <c r="B81" s="154" t="str">
        <f>+B64</f>
        <v>CONSORCIO BGU</v>
      </c>
      <c r="C81" s="155"/>
      <c r="D81" s="154" t="str">
        <f>+D64</f>
        <v>CONSORCIO INTERDESARROLLO</v>
      </c>
      <c r="E81" s="155"/>
      <c r="F81" s="154" t="str">
        <f>+F64</f>
        <v>CONSORCIO INTERNORTE</v>
      </c>
      <c r="G81" s="155"/>
      <c r="H81" s="154" t="str">
        <f>+H64</f>
        <v>CONSORCIO INTER-USA</v>
      </c>
      <c r="I81" s="155"/>
      <c r="T81" s="154" t="str">
        <f>+T64</f>
        <v>CONSORCIO MG-006</v>
      </c>
      <c r="U81" s="155"/>
      <c r="V81" s="135" t="str">
        <f>+V64</f>
        <v>GMC INGENIEROS S.A-
GRUPO METRO COLOMBIA S.A</v>
      </c>
      <c r="W81" s="135" t="str">
        <f>+W64</f>
        <v>GNG INGENIERIA S A S</v>
      </c>
      <c r="X81" s="135" t="str">
        <f>+X64</f>
        <v>PRI COLOMBIA SAS</v>
      </c>
      <c r="Y81" s="135" t="str">
        <f t="shared" ref="Y81:AB81" si="54">+Y64</f>
        <v>R &amp; M CONSTRUCCIONES E INTERVENTORIAS S A S</v>
      </c>
      <c r="Z81" s="135" t="str">
        <f t="shared" si="54"/>
        <v>TECNICONSULTA SAS - 
TECNOLOGIAS Y CONSULTORIAS AMBIENTALES Y DE GESTION S.A.S</v>
      </c>
      <c r="AA81" s="135" t="str">
        <f t="shared" si="54"/>
        <v xml:space="preserve">CONSULTORES DE INGENIERIA UG21 SUCURSAL EN COLOMBIA
</v>
      </c>
      <c r="AB81" s="135" t="str">
        <f t="shared" si="54"/>
        <v>INGECON SAS</v>
      </c>
      <c r="AC81" s="154" t="str">
        <f>+AC64</f>
        <v>CONSORCIO INTERVENTORIA VPC</v>
      </c>
      <c r="AD81" s="155"/>
      <c r="AE81" s="154" t="str">
        <f>+AE64</f>
        <v>CONSORCIO INTERUSAQUEN</v>
      </c>
      <c r="AF81" s="155"/>
      <c r="AG81" s="135" t="str">
        <f t="shared" ref="AG81:AH81" si="55">+AG64</f>
        <v>MIRS LATINOAMERICA S.A.S.</v>
      </c>
      <c r="AH81" s="135" t="str">
        <f t="shared" si="55"/>
        <v>LINO ANDRES MENDOZA</v>
      </c>
      <c r="AI81" s="154" t="str">
        <f>+AI64</f>
        <v>CONSORCIO USAQUEN 2018</v>
      </c>
      <c r="AJ81" s="155"/>
      <c r="AK81" s="135" t="str">
        <f t="shared" ref="AK81" si="56">+AK64</f>
        <v>CB INGENIEROS</v>
      </c>
      <c r="AL81" s="154" t="str">
        <f>+AL64</f>
        <v xml:space="preserve">CONSORCIO INGESCOR  USAQUEN </v>
      </c>
      <c r="AM81" s="155"/>
      <c r="AN81" s="154" t="str">
        <f>+AN64</f>
        <v>CONSORCIO HEI 2018</v>
      </c>
      <c r="AO81" s="155"/>
      <c r="AP81" s="154" t="str">
        <f>+AP64</f>
        <v>CONSORCIO EUROARIAS 2018</v>
      </c>
      <c r="AQ81" s="155"/>
    </row>
    <row r="82" spans="1:43" s="53" customFormat="1" ht="37.5" customHeight="1" x14ac:dyDescent="0.2">
      <c r="A82" s="201"/>
      <c r="B82" s="84" t="str">
        <f>+B65</f>
        <v>CONSTRUCCIONES, CONSULTORIAS E INTERVENTORIAS DE OBRAS CIVILES LTDA</v>
      </c>
      <c r="C82" s="84" t="str">
        <f>+C65</f>
        <v>GUISA RUEDA RAFAEL JAVIER</v>
      </c>
      <c r="D82" s="84" t="str">
        <f>+D65</f>
        <v>ARM CONSULTING LTDA</v>
      </c>
      <c r="E82" s="84" t="str">
        <f>+E65</f>
        <v>SANCHEZ BLANCO JORGE ALVARO</v>
      </c>
      <c r="F82" s="84" t="str">
        <f>+F65</f>
        <v>GAVINCO INGENIEROS CONSULTORES SAS</v>
      </c>
      <c r="G82" s="84" t="str">
        <f>+G65</f>
        <v>ING INGENIERIA SAS</v>
      </c>
      <c r="H82" s="84" t="str">
        <f>+H65</f>
        <v>BAC GROUP SAS</v>
      </c>
      <c r="I82" s="84" t="str">
        <f>+I65</f>
        <v>BAC ENGINEERING CONSULTANCY GROUP SAS</v>
      </c>
      <c r="T82" s="84" t="str">
        <f>+T65</f>
        <v>MAB INGENIERIA DE VALOR S A</v>
      </c>
      <c r="U82" s="84" t="str">
        <f>+U65</f>
        <v>GIMPROSA COLOBIA SAS</v>
      </c>
      <c r="V82" s="136"/>
      <c r="W82" s="136"/>
      <c r="X82" s="136"/>
      <c r="Y82" s="136"/>
      <c r="Z82" s="136"/>
      <c r="AA82" s="136"/>
      <c r="AB82" s="136"/>
      <c r="AC82" s="84" t="str">
        <f>+AC65</f>
        <v>CIVILE SAS</v>
      </c>
      <c r="AD82" s="84" t="str">
        <f>+AD65</f>
        <v>VLADIMIR POLO PAZ</v>
      </c>
      <c r="AE82" s="84" t="str">
        <f>+AE65</f>
        <v>INTECSA - INACSA COLOMBIA SAS</v>
      </c>
      <c r="AF82" s="84" t="str">
        <f>+AF65</f>
        <v>CAYCO SAS</v>
      </c>
      <c r="AG82" s="136"/>
      <c r="AH82" s="136"/>
      <c r="AI82" s="84" t="str">
        <f>+AI65</f>
        <v>M&amp;R CONSULTORIA Y CONSTRUCCION SAS</v>
      </c>
      <c r="AJ82" s="84" t="str">
        <f>+AJ65</f>
        <v>ARREDONDO MADRID INGENIEROS CIVILES SAS</v>
      </c>
      <c r="AK82" s="136"/>
      <c r="AL82" s="84" t="str">
        <f>+AL65</f>
        <v>INGESCOR LTDA</v>
      </c>
      <c r="AM82" s="84" t="str">
        <f>+AM65</f>
        <v>JUAN CARLOS RIOS</v>
      </c>
      <c r="AN82" s="84" t="str">
        <f>+AN65</f>
        <v>ELBERTO ADILIO RODRIGUEZ GOMEZ</v>
      </c>
      <c r="AO82" s="84" t="str">
        <f>+AO65</f>
        <v>HR INGENIERIA SAS</v>
      </c>
      <c r="AP82" s="84" t="str">
        <f>+AP65</f>
        <v>EUROCONTROL SA SUCURSAL COLOMBIA</v>
      </c>
      <c r="AQ82" s="84" t="str">
        <f>+AQ65</f>
        <v>ARCELIA ARIAS DIAZ</v>
      </c>
    </row>
    <row r="83" spans="1:43" s="17" customFormat="1" ht="15.75" x14ac:dyDescent="0.25">
      <c r="A83" s="15" t="s">
        <v>5</v>
      </c>
      <c r="B83" s="16">
        <f t="shared" ref="B83:I83" si="57">+B17</f>
        <v>0.5</v>
      </c>
      <c r="C83" s="16">
        <f t="shared" si="57"/>
        <v>0.5</v>
      </c>
      <c r="D83" s="16">
        <f t="shared" si="57"/>
        <v>0.5</v>
      </c>
      <c r="E83" s="16">
        <f t="shared" si="57"/>
        <v>0.5</v>
      </c>
      <c r="F83" s="16">
        <f t="shared" si="57"/>
        <v>0.5</v>
      </c>
      <c r="G83" s="16">
        <f t="shared" si="57"/>
        <v>0.5</v>
      </c>
      <c r="H83" s="16">
        <f t="shared" si="57"/>
        <v>0.5</v>
      </c>
      <c r="I83" s="16">
        <f t="shared" si="57"/>
        <v>0.5</v>
      </c>
      <c r="T83" s="16">
        <f t="shared" ref="T83:U83" si="58">+T17</f>
        <v>0.5</v>
      </c>
      <c r="U83" s="16">
        <f t="shared" si="58"/>
        <v>0.5</v>
      </c>
      <c r="V83" s="16">
        <f>+V17</f>
        <v>1</v>
      </c>
      <c r="W83" s="16">
        <f>+W17</f>
        <v>1</v>
      </c>
      <c r="X83" s="16">
        <f>+X17</f>
        <v>1</v>
      </c>
      <c r="Y83" s="16">
        <f t="shared" ref="Y83:AQ83" si="59">+Y17</f>
        <v>1</v>
      </c>
      <c r="Z83" s="16">
        <f t="shared" si="59"/>
        <v>1</v>
      </c>
      <c r="AA83" s="16">
        <f t="shared" si="59"/>
        <v>1</v>
      </c>
      <c r="AB83" s="16">
        <f t="shared" si="59"/>
        <v>1</v>
      </c>
      <c r="AC83" s="16">
        <f t="shared" si="59"/>
        <v>0.5</v>
      </c>
      <c r="AD83" s="16">
        <f t="shared" si="59"/>
        <v>0.5</v>
      </c>
      <c r="AE83" s="16">
        <f t="shared" si="59"/>
        <v>0.55000000000000004</v>
      </c>
      <c r="AF83" s="16">
        <f t="shared" si="59"/>
        <v>0.45</v>
      </c>
      <c r="AG83" s="16">
        <f t="shared" si="59"/>
        <v>1</v>
      </c>
      <c r="AH83" s="16">
        <f t="shared" si="59"/>
        <v>1</v>
      </c>
      <c r="AI83" s="16">
        <f t="shared" si="59"/>
        <v>0.5</v>
      </c>
      <c r="AJ83" s="16">
        <f t="shared" si="59"/>
        <v>0.5</v>
      </c>
      <c r="AK83" s="16">
        <f t="shared" si="59"/>
        <v>1</v>
      </c>
      <c r="AL83" s="16">
        <f t="shared" si="59"/>
        <v>0.9</v>
      </c>
      <c r="AM83" s="16">
        <f t="shared" si="59"/>
        <v>0.1</v>
      </c>
      <c r="AN83" s="16">
        <f t="shared" si="59"/>
        <v>0.5</v>
      </c>
      <c r="AO83" s="16">
        <f t="shared" si="59"/>
        <v>0.5</v>
      </c>
      <c r="AP83" s="16">
        <f t="shared" si="59"/>
        <v>0.51</v>
      </c>
      <c r="AQ83" s="16">
        <f t="shared" si="59"/>
        <v>0.49</v>
      </c>
    </row>
    <row r="84" spans="1:43" ht="12.75" customHeight="1" x14ac:dyDescent="0.2">
      <c r="A84" s="43" t="s">
        <v>35</v>
      </c>
      <c r="B84" s="146" t="str">
        <f>+IF((B39&gt;=1.2),"HABIL","NO HABIL")</f>
        <v>HABIL</v>
      </c>
      <c r="C84" s="147"/>
      <c r="D84" s="146" t="str">
        <f>+IF((D39&gt;=1.2),"HABIL","NO HABIL")</f>
        <v>HABIL</v>
      </c>
      <c r="E84" s="147"/>
      <c r="F84" s="146" t="str">
        <f>+IF((F39&gt;=1.2),"HABIL","NO HABIL")</f>
        <v>HABIL</v>
      </c>
      <c r="G84" s="147"/>
      <c r="H84" s="146" t="str">
        <f>+IF((H39&gt;=1.2),"HABIL","NO HABIL")</f>
        <v>HABIL</v>
      </c>
      <c r="I84" s="147"/>
      <c r="T84" s="146" t="str">
        <f>+IF((T39&gt;=1.2),"HABIL","NO HABIL")</f>
        <v>HABIL</v>
      </c>
      <c r="U84" s="147"/>
      <c r="V84" s="109" t="str">
        <f>+IF((V38&gt;=1.2),"HABIL","NO HABIL")</f>
        <v>HABIL</v>
      </c>
      <c r="W84" s="109" t="str">
        <f>+IF((W38&gt;=1.2),"HABIL","NO HABIL")</f>
        <v>HABIL</v>
      </c>
      <c r="X84" s="109" t="str">
        <f>+IF((X38&gt;=1.2),"HABIL","NO HABIL")</f>
        <v>HABIL</v>
      </c>
      <c r="Y84" s="109" t="str">
        <f t="shared" ref="Y84:AB84" si="60">+IF((Y38&gt;=1.2),"HABIL","NO HABIL")</f>
        <v>HABIL</v>
      </c>
      <c r="Z84" s="109" t="str">
        <f t="shared" si="60"/>
        <v>HABIL</v>
      </c>
      <c r="AA84" s="109" t="str">
        <f t="shared" si="60"/>
        <v>HABIL</v>
      </c>
      <c r="AB84" s="109" t="str">
        <f t="shared" si="60"/>
        <v>HABIL</v>
      </c>
      <c r="AC84" s="146" t="str">
        <f>+IF((AC39&gt;=1.2),"HABIL","NO HABIL")</f>
        <v>HABIL</v>
      </c>
      <c r="AD84" s="147"/>
      <c r="AE84" s="146" t="str">
        <f>+IF((AE39&gt;=1.2),"HABIL","NO HABIL")</f>
        <v>HABIL</v>
      </c>
      <c r="AF84" s="147"/>
      <c r="AG84" s="109" t="str">
        <f t="shared" ref="AG84:AH84" si="61">+IF((AG38&gt;=1.2),"HABIL","NO HABIL")</f>
        <v>HABIL</v>
      </c>
      <c r="AH84" s="109" t="str">
        <f t="shared" si="61"/>
        <v>HABIL</v>
      </c>
      <c r="AI84" s="146" t="str">
        <f>+IF((AI39&gt;=1.2),"HABIL","NO HABIL")</f>
        <v>HABIL</v>
      </c>
      <c r="AJ84" s="147"/>
      <c r="AK84" s="109" t="str">
        <f t="shared" ref="AK84" si="62">+IF((AK38&gt;=1.2),"HABIL","NO HABIL")</f>
        <v>HABIL</v>
      </c>
      <c r="AL84" s="146" t="str">
        <f>+IF((AL39&gt;=1.2),"HABIL","NO HABIL")</f>
        <v>HABIL</v>
      </c>
      <c r="AM84" s="147"/>
      <c r="AN84" s="146" t="str">
        <f>+IF((AN39&gt;=1.2),"HABIL","NO HABIL")</f>
        <v>HABIL</v>
      </c>
      <c r="AO84" s="147"/>
      <c r="AP84" s="146" t="str">
        <f>+IF((AP39&gt;=1.2),"HABIL","NO HABIL")</f>
        <v>HABIL</v>
      </c>
      <c r="AQ84" s="147"/>
    </row>
    <row r="85" spans="1:43" ht="12.75" customHeight="1" x14ac:dyDescent="0.2">
      <c r="A85" s="44" t="s">
        <v>36</v>
      </c>
      <c r="B85" s="148" t="str">
        <f>+IF((B41&lt;=0.7),"HABIL","NO HABIL")</f>
        <v>HABIL</v>
      </c>
      <c r="C85" s="149"/>
      <c r="D85" s="148" t="str">
        <f>+IF((D41&lt;=0.7),"HABIL","NO HABIL")</f>
        <v>HABIL</v>
      </c>
      <c r="E85" s="149"/>
      <c r="F85" s="148" t="str">
        <f>+IF((F41&lt;=0.7),"HABIL","NO HABIL")</f>
        <v>HABIL</v>
      </c>
      <c r="G85" s="149"/>
      <c r="H85" s="148" t="str">
        <f>+IF((H41&lt;=0.7),"HABIL","NO HABIL")</f>
        <v>HABIL</v>
      </c>
      <c r="I85" s="149"/>
      <c r="T85" s="148" t="str">
        <f>+IF((T41&lt;=0.7),"HABIL","NO HABIL")</f>
        <v>HABIL</v>
      </c>
      <c r="U85" s="149"/>
      <c r="V85" s="105" t="str">
        <f>+IF((V40&lt;=0.7),"HABIL","NO HABIL")</f>
        <v>HABIL</v>
      </c>
      <c r="W85" s="105" t="str">
        <f>+IF((W40&lt;=0.7),"HABIL","NO HABIL")</f>
        <v>HABIL</v>
      </c>
      <c r="X85" s="105" t="str">
        <f>+IF((X40&lt;=0.7),"HABIL","NO HABIL")</f>
        <v>HABIL</v>
      </c>
      <c r="Y85" s="105" t="str">
        <f t="shared" ref="Y85:AB85" si="63">+IF((Y40&lt;=0.7),"HABIL","NO HABIL")</f>
        <v>HABIL</v>
      </c>
      <c r="Z85" s="105" t="str">
        <f t="shared" si="63"/>
        <v>HABIL</v>
      </c>
      <c r="AA85" s="105" t="str">
        <f t="shared" si="63"/>
        <v>HABIL</v>
      </c>
      <c r="AB85" s="105" t="str">
        <f t="shared" si="63"/>
        <v>HABIL</v>
      </c>
      <c r="AC85" s="148" t="str">
        <f>+IF((AC41&lt;=0.7),"HABIL","NO HABIL")</f>
        <v>HABIL</v>
      </c>
      <c r="AD85" s="149"/>
      <c r="AE85" s="148" t="str">
        <f>+IF((AE41&lt;=0.7),"HABIL","NO HABIL")</f>
        <v>HABIL</v>
      </c>
      <c r="AF85" s="149"/>
      <c r="AG85" s="105" t="str">
        <f t="shared" ref="AG85:AH85" si="64">+IF((AG40&lt;=0.7),"HABIL","NO HABIL")</f>
        <v>HABIL</v>
      </c>
      <c r="AH85" s="105" t="str">
        <f t="shared" si="64"/>
        <v>HABIL</v>
      </c>
      <c r="AI85" s="148" t="str">
        <f>+IF((AI41&lt;=0.7),"HABIL","NO HABIL")</f>
        <v>HABIL</v>
      </c>
      <c r="AJ85" s="149"/>
      <c r="AK85" s="105" t="str">
        <f t="shared" ref="AK85" si="65">+IF((AK40&lt;=0.7),"HABIL","NO HABIL")</f>
        <v>HABIL</v>
      </c>
      <c r="AL85" s="148" t="str">
        <f>+IF((AL41&lt;=0.7),"HABIL","NO HABIL")</f>
        <v>HABIL</v>
      </c>
      <c r="AM85" s="149"/>
      <c r="AN85" s="148" t="str">
        <f>+IF((AN41&lt;=0.7),"HABIL","NO HABIL")</f>
        <v>HABIL</v>
      </c>
      <c r="AO85" s="149"/>
      <c r="AP85" s="148" t="str">
        <f>+IF((AP41&lt;=0.7),"HABIL","NO HABIL")</f>
        <v>HABIL</v>
      </c>
      <c r="AQ85" s="149"/>
    </row>
    <row r="86" spans="1:43" ht="12.75" customHeight="1" x14ac:dyDescent="0.2">
      <c r="A86" s="44" t="s">
        <v>37</v>
      </c>
      <c r="B86" s="148" t="str">
        <f>+IF((B43&gt;=1.5),"HABIL","NO HABIL")</f>
        <v>HABIL</v>
      </c>
      <c r="C86" s="149"/>
      <c r="D86" s="148" t="str">
        <f>+IF((D43&gt;=1.5),"HABIL","NO HABIL")</f>
        <v>HABIL</v>
      </c>
      <c r="E86" s="149"/>
      <c r="F86" s="148" t="str">
        <f>+IF((F43&gt;=1.5),"HABIL","NO HABIL")</f>
        <v>HABIL</v>
      </c>
      <c r="G86" s="149"/>
      <c r="H86" s="148" t="str">
        <f>+IF((H43&gt;=1.5),"HABIL","NO HABIL")</f>
        <v>HABIL</v>
      </c>
      <c r="I86" s="149"/>
      <c r="T86" s="148" t="str">
        <f>+IF((T43&gt;=1.5),"HABIL","NO HABIL")</f>
        <v>HABIL</v>
      </c>
      <c r="U86" s="149"/>
      <c r="V86" s="105" t="str">
        <f>+IF((V42&gt;=1.5),"HABIL","NO HABIL")</f>
        <v>HABIL</v>
      </c>
      <c r="W86" s="105" t="str">
        <f>+IF((W42&gt;=1.5),"HABIL","NO HABIL")</f>
        <v>HABIL</v>
      </c>
      <c r="X86" s="105" t="str">
        <f>+IF((X42&gt;=1.5),"HABIL","NO HABIL")</f>
        <v>HABIL</v>
      </c>
      <c r="Y86" s="105" t="str">
        <f t="shared" ref="Y86:AB86" si="66">+IF((Y42&gt;=1.5),"HABIL","NO HABIL")</f>
        <v>HABIL</v>
      </c>
      <c r="Z86" s="105" t="str">
        <f t="shared" si="66"/>
        <v>HABIL</v>
      </c>
      <c r="AA86" s="105" t="str">
        <f t="shared" si="66"/>
        <v>HABIL</v>
      </c>
      <c r="AB86" s="105" t="str">
        <f t="shared" si="66"/>
        <v>HABIL</v>
      </c>
      <c r="AC86" s="148" t="str">
        <f>+IF((AC43&gt;=1.5),"HABIL","NO HABIL")</f>
        <v>HABIL</v>
      </c>
      <c r="AD86" s="149"/>
      <c r="AE86" s="148" t="str">
        <f>+IF((AE43&gt;=1.5),"HABIL","NO HABIL")</f>
        <v>HABIL</v>
      </c>
      <c r="AF86" s="149"/>
      <c r="AG86" s="105" t="str">
        <f t="shared" ref="AG86:AH86" si="67">+IF((AG42&gt;=1.5),"HABIL","NO HABIL")</f>
        <v>HABIL</v>
      </c>
      <c r="AH86" s="105" t="str">
        <f t="shared" si="67"/>
        <v>HABIL</v>
      </c>
      <c r="AI86" s="148" t="str">
        <f>+IF((AI43&gt;=1.5),"HABIL","NO HABIL")</f>
        <v>HABIL</v>
      </c>
      <c r="AJ86" s="149"/>
      <c r="AK86" s="105" t="str">
        <f t="shared" ref="AK86" si="68">+IF((AK42&gt;=1.5),"HABIL","NO HABIL")</f>
        <v>HABIL</v>
      </c>
      <c r="AL86" s="148" t="str">
        <f>+IF((AL43&gt;=1.5),"HABIL","NO HABIL")</f>
        <v>HABIL</v>
      </c>
      <c r="AM86" s="149"/>
      <c r="AN86" s="148" t="str">
        <f>+IF((AN43&gt;=1.5),"HABIL","NO HABIL")</f>
        <v>HABIL</v>
      </c>
      <c r="AO86" s="149"/>
      <c r="AP86" s="148" t="str">
        <f>+IF((AP43&gt;=1.5),"HABIL","NO HABIL")</f>
        <v>HABIL</v>
      </c>
      <c r="AQ86" s="149"/>
    </row>
    <row r="87" spans="1:43" ht="12.75" customHeight="1" x14ac:dyDescent="0.2">
      <c r="A87" s="44" t="s">
        <v>38</v>
      </c>
      <c r="B87" s="148" t="str">
        <f>+IF((B46&gt;=381299887),"HABIL","NO HABIL")</f>
        <v>HABIL</v>
      </c>
      <c r="C87" s="149"/>
      <c r="D87" s="148" t="str">
        <f>+IF((D46&gt;=381299887),"HABIL","NO HABIL")</f>
        <v>HABIL</v>
      </c>
      <c r="E87" s="149"/>
      <c r="F87" s="148" t="str">
        <f>+IF((F46&gt;=381299887),"HABIL","NO HABIL")</f>
        <v>HABIL</v>
      </c>
      <c r="G87" s="149"/>
      <c r="H87" s="148" t="str">
        <f>+IF((H46&gt;=381299887),"HABIL","NO HABIL")</f>
        <v>HABIL</v>
      </c>
      <c r="I87" s="149"/>
      <c r="T87" s="148" t="str">
        <f>+IF((T46&gt;=381299887),"HABIL","NO HABIL")</f>
        <v>HABIL</v>
      </c>
      <c r="U87" s="149"/>
      <c r="V87" s="105" t="str">
        <f>+IF((V44&gt;=381299887),"HABIL","NO HABIL")</f>
        <v>HABIL</v>
      </c>
      <c r="W87" s="105" t="str">
        <f>+IF((W44&gt;=381299887),"HABIL","NO HABIL")</f>
        <v>HABIL</v>
      </c>
      <c r="X87" s="105" t="str">
        <f>+IF((X44&gt;=381299887),"HABIL","NO HABIL")</f>
        <v>HABIL</v>
      </c>
      <c r="Y87" s="105" t="str">
        <f t="shared" ref="Y87:AB87" si="69">+IF((Y44&gt;=381299887),"HABIL","NO HABIL")</f>
        <v>HABIL</v>
      </c>
      <c r="Z87" s="105" t="str">
        <f t="shared" si="69"/>
        <v>HABIL</v>
      </c>
      <c r="AA87" s="105" t="str">
        <f t="shared" si="69"/>
        <v>HABIL</v>
      </c>
      <c r="AB87" s="105" t="str">
        <f t="shared" si="69"/>
        <v>HABIL</v>
      </c>
      <c r="AC87" s="148" t="str">
        <f>+IF((AC46&gt;=381299887),"HABIL","NO HABIL")</f>
        <v>HABIL</v>
      </c>
      <c r="AD87" s="149"/>
      <c r="AE87" s="148" t="str">
        <f>+IF((AE46&gt;=381299887),"HABIL","NO HABIL")</f>
        <v>HABIL</v>
      </c>
      <c r="AF87" s="149"/>
      <c r="AG87" s="105" t="str">
        <f t="shared" ref="AG87:AH87" si="70">+IF((AG44&gt;=381299887),"HABIL","NO HABIL")</f>
        <v>HABIL</v>
      </c>
      <c r="AH87" s="105" t="str">
        <f t="shared" si="70"/>
        <v>HABIL</v>
      </c>
      <c r="AI87" s="148" t="str">
        <f>+IF((AI46&gt;=381299887),"HABIL","NO HABIL")</f>
        <v>HABIL</v>
      </c>
      <c r="AJ87" s="149"/>
      <c r="AK87" s="105" t="str">
        <f t="shared" ref="AK87" si="71">+IF((AK44&gt;=381299887),"HABIL","NO HABIL")</f>
        <v>HABIL</v>
      </c>
      <c r="AL87" s="148" t="str">
        <f>+IF((AL46&gt;=381299887),"HABIL","NO HABIL")</f>
        <v>HABIL</v>
      </c>
      <c r="AM87" s="149"/>
      <c r="AN87" s="148" t="str">
        <f>+IF((AN46&gt;=381299887),"HABIL","NO HABIL")</f>
        <v>NO HABIL</v>
      </c>
      <c r="AO87" s="149"/>
      <c r="AP87" s="148" t="str">
        <f>+IF((AP46&gt;=381299887),"HABIL","NO HABIL")</f>
        <v>HABIL</v>
      </c>
      <c r="AQ87" s="149"/>
    </row>
    <row r="88" spans="1:43" ht="12.75" customHeight="1" x14ac:dyDescent="0.2">
      <c r="A88" s="44" t="s">
        <v>39</v>
      </c>
      <c r="B88" s="148" t="str">
        <f>+IF((B60&gt;=0),"HABIL","NO HABIL")</f>
        <v>HABIL</v>
      </c>
      <c r="C88" s="149"/>
      <c r="D88" s="148" t="str">
        <f>+IF((D60&gt;=0),"HABIL","NO HABIL")</f>
        <v>HABIL</v>
      </c>
      <c r="E88" s="149"/>
      <c r="F88" s="148" t="str">
        <f>+IF((F60&gt;=0),"HABIL","NO HABIL")</f>
        <v>HABIL</v>
      </c>
      <c r="G88" s="149"/>
      <c r="H88" s="148" t="str">
        <f>+IF((H60&gt;=0),"HABIL","NO HABIL")</f>
        <v>HABIL</v>
      </c>
      <c r="I88" s="149"/>
      <c r="T88" s="148" t="str">
        <f>+IF((T60&gt;=0),"HABIL","NO HABIL")</f>
        <v>HABIL</v>
      </c>
      <c r="U88" s="149"/>
      <c r="V88" s="105" t="str">
        <f>+IF((V59&gt;=0),"HABIL","NO HABIL")</f>
        <v>HABIL</v>
      </c>
      <c r="W88" s="105" t="str">
        <f>+IF((W59&gt;=0),"HABIL","NO HABIL")</f>
        <v>HABIL</v>
      </c>
      <c r="X88" s="105" t="str">
        <f>+IF((X59&gt;=0),"HABIL","NO HABIL")</f>
        <v>HABIL</v>
      </c>
      <c r="Y88" s="105" t="str">
        <f t="shared" ref="Y88:AB88" si="72">+IF((Y59&gt;=0),"HABIL","NO HABIL")</f>
        <v>HABIL</v>
      </c>
      <c r="Z88" s="105" t="str">
        <f t="shared" si="72"/>
        <v>HABIL</v>
      </c>
      <c r="AA88" s="105" t="str">
        <f t="shared" si="72"/>
        <v>HABIL</v>
      </c>
      <c r="AB88" s="105" t="str">
        <f t="shared" si="72"/>
        <v>HABIL</v>
      </c>
      <c r="AC88" s="148" t="str">
        <f>+IF((AC60&gt;=0),"HABIL","NO HABIL")</f>
        <v>HABIL</v>
      </c>
      <c r="AD88" s="149"/>
      <c r="AE88" s="148" t="str">
        <f>+IF((AE60&gt;=0),"HABIL","NO HABIL")</f>
        <v>HABIL</v>
      </c>
      <c r="AF88" s="149"/>
      <c r="AG88" s="105" t="str">
        <f t="shared" ref="AG88:AH88" si="73">+IF((AG59&gt;=0),"HABIL","NO HABIL")</f>
        <v>HABIL</v>
      </c>
      <c r="AH88" s="105" t="str">
        <f t="shared" si="73"/>
        <v>HABIL</v>
      </c>
      <c r="AI88" s="148" t="str">
        <f>+IF((AI60&gt;=0),"HABIL","NO HABIL")</f>
        <v>HABIL</v>
      </c>
      <c r="AJ88" s="149"/>
      <c r="AK88" s="105" t="str">
        <f t="shared" ref="AK88" si="74">+IF((AK59&gt;=0),"HABIL","NO HABIL")</f>
        <v>HABIL</v>
      </c>
      <c r="AL88" s="148" t="str">
        <f>+IF((AL60&gt;=0),"HABIL","NO HABIL")</f>
        <v>HABIL</v>
      </c>
      <c r="AM88" s="149"/>
      <c r="AN88" s="148" t="str">
        <f>+IF((AN60&gt;=0),"HABIL","NO HABIL")</f>
        <v>HABIL</v>
      </c>
      <c r="AO88" s="149"/>
      <c r="AP88" s="148" t="str">
        <f>+IF((AP60&gt;=0),"HABIL","NO HABIL")</f>
        <v>HABIL</v>
      </c>
      <c r="AQ88" s="149"/>
    </row>
    <row r="89" spans="1:43" ht="12.75" customHeight="1" x14ac:dyDescent="0.2">
      <c r="A89" s="81" t="s">
        <v>40</v>
      </c>
      <c r="B89" s="150" t="str">
        <f>+IF((B62&gt;=0),"HABIL","NO HABIL")</f>
        <v>HABIL</v>
      </c>
      <c r="C89" s="151"/>
      <c r="D89" s="150" t="str">
        <f>+IF((D62&gt;=0),"HABIL","NO HABIL")</f>
        <v>HABIL</v>
      </c>
      <c r="E89" s="151"/>
      <c r="F89" s="150" t="str">
        <f>+IF((F62&gt;=0),"HABIL","NO HABIL")</f>
        <v>HABIL</v>
      </c>
      <c r="G89" s="151"/>
      <c r="H89" s="150" t="str">
        <f>+IF((H62&gt;=0),"HABIL","NO HABIL")</f>
        <v>HABIL</v>
      </c>
      <c r="I89" s="151"/>
      <c r="T89" s="150" t="str">
        <f>+IF((T62&gt;=0),"HABIL","NO HABIL")</f>
        <v>HABIL</v>
      </c>
      <c r="U89" s="151"/>
      <c r="V89" s="106" t="str">
        <f>+IF((V61&gt;=0),"HABIL","NO HABIL")</f>
        <v>HABIL</v>
      </c>
      <c r="W89" s="106" t="str">
        <f>+IF((W61&gt;=0),"HABIL","NO HABIL")</f>
        <v>HABIL</v>
      </c>
      <c r="X89" s="106" t="str">
        <f>+IF((X61&gt;=0),"HABIL","NO HABIL")</f>
        <v>HABIL</v>
      </c>
      <c r="Y89" s="106" t="str">
        <f t="shared" ref="Y89:AB89" si="75">+IF((Y61&gt;=0),"HABIL","NO HABIL")</f>
        <v>HABIL</v>
      </c>
      <c r="Z89" s="106" t="str">
        <f t="shared" si="75"/>
        <v>HABIL</v>
      </c>
      <c r="AA89" s="106" t="str">
        <f t="shared" si="75"/>
        <v>HABIL</v>
      </c>
      <c r="AB89" s="106" t="str">
        <f t="shared" si="75"/>
        <v>HABIL</v>
      </c>
      <c r="AC89" s="150" t="str">
        <f>+IF((AC62&gt;=0),"HABIL","NO HABIL")</f>
        <v>HABIL</v>
      </c>
      <c r="AD89" s="151"/>
      <c r="AE89" s="150" t="str">
        <f>+IF((AE62&gt;=0),"HABIL","NO HABIL")</f>
        <v>HABIL</v>
      </c>
      <c r="AF89" s="151"/>
      <c r="AG89" s="106" t="str">
        <f t="shared" ref="AG89:AH89" si="76">+IF((AG61&gt;=0),"HABIL","NO HABIL")</f>
        <v>HABIL</v>
      </c>
      <c r="AH89" s="106" t="str">
        <f t="shared" si="76"/>
        <v>HABIL</v>
      </c>
      <c r="AI89" s="150" t="str">
        <f>+IF((AI62&gt;=0),"HABIL","NO HABIL")</f>
        <v>HABIL</v>
      </c>
      <c r="AJ89" s="151"/>
      <c r="AK89" s="106" t="str">
        <f t="shared" ref="AK89" si="77">+IF((AK61&gt;=0),"HABIL","NO HABIL")</f>
        <v>HABIL</v>
      </c>
      <c r="AL89" s="150" t="str">
        <f>+IF((AL62&gt;=0),"HABIL","NO HABIL")</f>
        <v>HABIL</v>
      </c>
      <c r="AM89" s="151"/>
      <c r="AN89" s="150" t="str">
        <f>+IF((AN62&gt;=0),"HABIL","NO HABIL")</f>
        <v>HABIL</v>
      </c>
      <c r="AO89" s="151"/>
      <c r="AP89" s="150" t="str">
        <f>+IF((AP62&gt;=0),"HABIL","NO HABIL")</f>
        <v>HABIL</v>
      </c>
      <c r="AQ89" s="151"/>
    </row>
    <row r="90" spans="1:43" ht="12.75" customHeight="1" x14ac:dyDescent="0.2">
      <c r="A90" s="82" t="s">
        <v>41</v>
      </c>
      <c r="B90" s="152" t="str">
        <f>+IF((B48&gt;=508399696),"HABIL","NO HABIL")</f>
        <v>HABIL</v>
      </c>
      <c r="C90" s="153"/>
      <c r="D90" s="152" t="str">
        <f>+IF((D48&gt;=508399696),"HABIL","NO HABIL")</f>
        <v>HABIL</v>
      </c>
      <c r="E90" s="153"/>
      <c r="F90" s="152" t="str">
        <f>+IF((F48&gt;=508399696),"HABIL","NO HABIL")</f>
        <v>HABIL</v>
      </c>
      <c r="G90" s="153"/>
      <c r="H90" s="152" t="str">
        <f>+IF((H48&gt;=508399696),"HABIL","NO HABIL")</f>
        <v>HABIL</v>
      </c>
      <c r="I90" s="153"/>
      <c r="T90" s="152" t="str">
        <f>+IF((T48&gt;=508399696),"HABIL","NO HABIL")</f>
        <v>HABIL</v>
      </c>
      <c r="U90" s="153"/>
      <c r="V90" s="108" t="str">
        <f>+IF((V47&gt;=508399696),"HABIL","NO HABIL")</f>
        <v>HABIL</v>
      </c>
      <c r="W90" s="108" t="str">
        <f>+IF((W47&gt;=508399696),"HABIL","NO HABIL")</f>
        <v>HABIL</v>
      </c>
      <c r="X90" s="108" t="str">
        <f>+IF((X47&gt;=508399696),"HABIL","NO HABIL")</f>
        <v>HABIL</v>
      </c>
      <c r="Y90" s="108" t="str">
        <f t="shared" ref="Y90:AB90" si="78">+IF((Y47&gt;=508399696),"HABIL","NO HABIL")</f>
        <v>HABIL</v>
      </c>
      <c r="Z90" s="108" t="str">
        <f t="shared" si="78"/>
        <v>HABIL</v>
      </c>
      <c r="AA90" s="108" t="str">
        <f t="shared" si="78"/>
        <v>HABIL</v>
      </c>
      <c r="AB90" s="108" t="str">
        <f t="shared" si="78"/>
        <v>HABIL</v>
      </c>
      <c r="AC90" s="152" t="str">
        <f>+IF((AC48&gt;=508399696),"HABIL","NO HABIL")</f>
        <v>HABIL</v>
      </c>
      <c r="AD90" s="153"/>
      <c r="AE90" s="152" t="str">
        <f>+IF((AE48&gt;=508399696),"HABIL","NO HABIL")</f>
        <v>HABIL</v>
      </c>
      <c r="AF90" s="153"/>
      <c r="AG90" s="108" t="str">
        <f t="shared" ref="AG90:AH90" si="79">+IF((AG47&gt;=508399696),"HABIL","NO HABIL")</f>
        <v>HABIL</v>
      </c>
      <c r="AH90" s="108" t="str">
        <f t="shared" si="79"/>
        <v>HABIL</v>
      </c>
      <c r="AI90" s="152" t="str">
        <f>+IF((AI48&gt;=508399696),"HABIL","NO HABIL")</f>
        <v>HABIL</v>
      </c>
      <c r="AJ90" s="153"/>
      <c r="AK90" s="108" t="str">
        <f t="shared" ref="AK90" si="80">+IF((AK47&gt;=508399696),"HABIL","NO HABIL")</f>
        <v>HABIL</v>
      </c>
      <c r="AL90" s="152" t="str">
        <f>+IF((AL48&gt;=508399696),"HABIL","NO HABIL")</f>
        <v>HABIL</v>
      </c>
      <c r="AM90" s="153"/>
      <c r="AN90" s="152" t="str">
        <f>+IF((AN48&gt;=508399696),"HABIL","NO HABIL")</f>
        <v>HABIL</v>
      </c>
      <c r="AO90" s="153"/>
      <c r="AP90" s="152" t="str">
        <f>+IF((AP48&gt;=508399696),"HABIL","NO HABIL")</f>
        <v>HABIL</v>
      </c>
      <c r="AQ90" s="153"/>
    </row>
    <row r="91" spans="1:43" x14ac:dyDescent="0.2">
      <c r="A91" s="35"/>
      <c r="B91" s="83"/>
      <c r="C91" s="83"/>
      <c r="D91" s="83"/>
      <c r="E91" s="83"/>
      <c r="F91" s="83"/>
      <c r="G91" s="35"/>
      <c r="H91" s="35"/>
      <c r="I91" s="35"/>
      <c r="J91" s="35"/>
      <c r="K91" s="35"/>
      <c r="L91" s="35"/>
      <c r="M91" s="35"/>
      <c r="N91" s="35"/>
      <c r="O91" s="35"/>
      <c r="P91" s="35"/>
      <c r="Q91" s="35"/>
      <c r="R91" s="35"/>
      <c r="S91" s="35"/>
      <c r="T91" s="35"/>
      <c r="U91" s="35"/>
      <c r="V91" s="35"/>
      <c r="W91" s="35"/>
      <c r="X91" s="35"/>
      <c r="Y91" s="35"/>
      <c r="Z91" s="35"/>
      <c r="AA91" s="35"/>
      <c r="AB91" s="35"/>
      <c r="AC91" s="35"/>
      <c r="AD91" s="35"/>
      <c r="AE91" s="35"/>
      <c r="AF91" s="35"/>
      <c r="AG91" s="35"/>
      <c r="AH91" s="35"/>
      <c r="AI91" s="35"/>
      <c r="AJ91" s="35"/>
      <c r="AK91" s="35"/>
      <c r="AL91" s="35"/>
      <c r="AM91" s="35"/>
      <c r="AN91" s="35"/>
      <c r="AO91" s="35"/>
      <c r="AP91" s="35"/>
      <c r="AQ91" s="35"/>
    </row>
    <row r="92" spans="1:43" s="14" customFormat="1" ht="18.75" x14ac:dyDescent="0.25">
      <c r="A92" s="204" t="s">
        <v>42</v>
      </c>
      <c r="B92" s="205"/>
      <c r="C92" s="205"/>
      <c r="D92" s="205"/>
      <c r="E92" s="20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row>
    <row r="93" spans="1:43" ht="12.75" customHeight="1" x14ac:dyDescent="0.2"/>
    <row r="94" spans="1:43" ht="12.75" customHeight="1" x14ac:dyDescent="0.2"/>
    <row r="95" spans="1:43" ht="50.25" customHeight="1" x14ac:dyDescent="0.2"/>
    <row r="96" spans="1:43" s="35" customFormat="1" ht="15.75" customHeight="1" x14ac:dyDescent="0.3">
      <c r="A96" s="206" t="s">
        <v>43</v>
      </c>
      <c r="B96" s="206"/>
      <c r="C96" s="206"/>
      <c r="D96" s="206"/>
      <c r="E96" s="206"/>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row>
    <row r="97" spans="1:43" s="35" customFormat="1" ht="15.75" customHeight="1" x14ac:dyDescent="0.3">
      <c r="A97" s="207" t="s">
        <v>199</v>
      </c>
      <c r="B97" s="207"/>
      <c r="C97" s="207"/>
      <c r="D97" s="207"/>
      <c r="E97" s="207"/>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row>
    <row r="98" spans="1:43" ht="15.75" customHeight="1" x14ac:dyDescent="0.3">
      <c r="A98" s="208" t="s">
        <v>44</v>
      </c>
      <c r="B98" s="208"/>
      <c r="C98" s="208"/>
      <c r="D98" s="208"/>
      <c r="E98" s="208"/>
    </row>
  </sheetData>
  <mergeCells count="571">
    <mergeCell ref="A96:E96"/>
    <mergeCell ref="A97:E97"/>
    <mergeCell ref="A98:E98"/>
    <mergeCell ref="AE90:AF90"/>
    <mergeCell ref="AI90:AJ90"/>
    <mergeCell ref="AL90:AM90"/>
    <mergeCell ref="AN90:AO90"/>
    <mergeCell ref="AP90:AQ90"/>
    <mergeCell ref="A92:E92"/>
    <mergeCell ref="B90:C90"/>
    <mergeCell ref="D90:E90"/>
    <mergeCell ref="F90:G90"/>
    <mergeCell ref="H90:I90"/>
    <mergeCell ref="T90:U90"/>
    <mergeCell ref="AC90:AD90"/>
    <mergeCell ref="AC89:AD89"/>
    <mergeCell ref="AE89:AF89"/>
    <mergeCell ref="AI89:AJ89"/>
    <mergeCell ref="AL89:AM89"/>
    <mergeCell ref="AN89:AO89"/>
    <mergeCell ref="AP89:AQ89"/>
    <mergeCell ref="AE88:AF88"/>
    <mergeCell ref="AI88:AJ88"/>
    <mergeCell ref="AL88:AM88"/>
    <mergeCell ref="AN88:AO88"/>
    <mergeCell ref="AP88:AQ88"/>
    <mergeCell ref="AC88:AD88"/>
    <mergeCell ref="B89:C89"/>
    <mergeCell ref="D89:E89"/>
    <mergeCell ref="F89:G89"/>
    <mergeCell ref="H89:I89"/>
    <mergeCell ref="T89:U89"/>
    <mergeCell ref="B88:C88"/>
    <mergeCell ref="D88:E88"/>
    <mergeCell ref="F88:G88"/>
    <mergeCell ref="H88:I88"/>
    <mergeCell ref="T88:U88"/>
    <mergeCell ref="AC87:AD87"/>
    <mergeCell ref="AE87:AF87"/>
    <mergeCell ref="AI87:AJ87"/>
    <mergeCell ref="AL87:AM87"/>
    <mergeCell ref="AN87:AO87"/>
    <mergeCell ref="AP87:AQ87"/>
    <mergeCell ref="AE86:AF86"/>
    <mergeCell ref="AI86:AJ86"/>
    <mergeCell ref="AL86:AM86"/>
    <mergeCell ref="AN86:AO86"/>
    <mergeCell ref="AP86:AQ86"/>
    <mergeCell ref="AC86:AD86"/>
    <mergeCell ref="B87:C87"/>
    <mergeCell ref="D87:E87"/>
    <mergeCell ref="F87:G87"/>
    <mergeCell ref="H87:I87"/>
    <mergeCell ref="T87:U87"/>
    <mergeCell ref="B86:C86"/>
    <mergeCell ref="D86:E86"/>
    <mergeCell ref="F86:G86"/>
    <mergeCell ref="H86:I86"/>
    <mergeCell ref="T86:U86"/>
    <mergeCell ref="AC85:AD85"/>
    <mergeCell ref="AE85:AF85"/>
    <mergeCell ref="AI85:AJ85"/>
    <mergeCell ref="AL85:AM85"/>
    <mergeCell ref="AN85:AO85"/>
    <mergeCell ref="AP85:AQ85"/>
    <mergeCell ref="AE84:AF84"/>
    <mergeCell ref="AI84:AJ84"/>
    <mergeCell ref="AL84:AM84"/>
    <mergeCell ref="AN84:AO84"/>
    <mergeCell ref="AP84:AQ84"/>
    <mergeCell ref="B85:C85"/>
    <mergeCell ref="D85:E85"/>
    <mergeCell ref="F85:G85"/>
    <mergeCell ref="H85:I85"/>
    <mergeCell ref="T85:U85"/>
    <mergeCell ref="AK81:AK82"/>
    <mergeCell ref="AL81:AM81"/>
    <mergeCell ref="AN81:AO81"/>
    <mergeCell ref="AP81:AQ81"/>
    <mergeCell ref="B84:C84"/>
    <mergeCell ref="D84:E84"/>
    <mergeCell ref="F84:G84"/>
    <mergeCell ref="H84:I84"/>
    <mergeCell ref="T84:U84"/>
    <mergeCell ref="AC84:AD84"/>
    <mergeCell ref="AB81:AB82"/>
    <mergeCell ref="AC81:AD81"/>
    <mergeCell ref="AE81:AF81"/>
    <mergeCell ref="AG81:AG82"/>
    <mergeCell ref="AH81:AH82"/>
    <mergeCell ref="AI81:AJ81"/>
    <mergeCell ref="V81:V82"/>
    <mergeCell ref="W81:W82"/>
    <mergeCell ref="X81:X82"/>
    <mergeCell ref="AH78:AH79"/>
    <mergeCell ref="AK78:AK79"/>
    <mergeCell ref="Y81:Y82"/>
    <mergeCell ref="Z81:Z82"/>
    <mergeCell ref="AA81:AA82"/>
    <mergeCell ref="A81:A82"/>
    <mergeCell ref="B81:C81"/>
    <mergeCell ref="D81:E81"/>
    <mergeCell ref="F81:G81"/>
    <mergeCell ref="H81:I81"/>
    <mergeCell ref="T81:U81"/>
    <mergeCell ref="B79:C79"/>
    <mergeCell ref="D79:E79"/>
    <mergeCell ref="F79:G79"/>
    <mergeCell ref="H79:I79"/>
    <mergeCell ref="T79:U79"/>
    <mergeCell ref="A78:A79"/>
    <mergeCell ref="V78:V79"/>
    <mergeCell ref="W78:W79"/>
    <mergeCell ref="X78:X79"/>
    <mergeCell ref="Y78:Y79"/>
    <mergeCell ref="Z78:Z79"/>
    <mergeCell ref="AC77:AD77"/>
    <mergeCell ref="AE77:AF77"/>
    <mergeCell ref="AI77:AJ77"/>
    <mergeCell ref="AL77:AM77"/>
    <mergeCell ref="AN77:AO77"/>
    <mergeCell ref="AP77:AQ77"/>
    <mergeCell ref="AA76:AA77"/>
    <mergeCell ref="AB76:AB77"/>
    <mergeCell ref="AG76:AG77"/>
    <mergeCell ref="AH76:AH77"/>
    <mergeCell ref="AK76:AK77"/>
    <mergeCell ref="Y76:Y77"/>
    <mergeCell ref="Z76:Z77"/>
    <mergeCell ref="AC79:AD79"/>
    <mergeCell ref="AE79:AF79"/>
    <mergeCell ref="AI79:AJ79"/>
    <mergeCell ref="AL79:AM79"/>
    <mergeCell ref="AN79:AO79"/>
    <mergeCell ref="AP79:AQ79"/>
    <mergeCell ref="AA78:AA79"/>
    <mergeCell ref="AB78:AB79"/>
    <mergeCell ref="AG78:AG79"/>
    <mergeCell ref="AK74:AK75"/>
    <mergeCell ref="B77:C77"/>
    <mergeCell ref="D77:E77"/>
    <mergeCell ref="F77:G77"/>
    <mergeCell ref="H77:I77"/>
    <mergeCell ref="T77:U77"/>
    <mergeCell ref="A76:A77"/>
    <mergeCell ref="V76:V77"/>
    <mergeCell ref="W76:W77"/>
    <mergeCell ref="X76:X77"/>
    <mergeCell ref="AL73:AM73"/>
    <mergeCell ref="AN73:AO73"/>
    <mergeCell ref="AP73:AQ73"/>
    <mergeCell ref="AA72:AA73"/>
    <mergeCell ref="Y72:Y73"/>
    <mergeCell ref="Z72:Z73"/>
    <mergeCell ref="B75:C75"/>
    <mergeCell ref="D75:E75"/>
    <mergeCell ref="F75:G75"/>
    <mergeCell ref="H75:I75"/>
    <mergeCell ref="T75:U75"/>
    <mergeCell ref="V74:V75"/>
    <mergeCell ref="W74:W75"/>
    <mergeCell ref="X74:X75"/>
    <mergeCell ref="AC75:AD75"/>
    <mergeCell ref="AE75:AF75"/>
    <mergeCell ref="AI75:AJ75"/>
    <mergeCell ref="AL75:AM75"/>
    <mergeCell ref="AN75:AO75"/>
    <mergeCell ref="AP75:AQ75"/>
    <mergeCell ref="AA74:AA75"/>
    <mergeCell ref="AB74:AB75"/>
    <mergeCell ref="AG74:AG75"/>
    <mergeCell ref="AH74:AH75"/>
    <mergeCell ref="A72:A73"/>
    <mergeCell ref="V72:V73"/>
    <mergeCell ref="W72:W73"/>
    <mergeCell ref="X72:X73"/>
    <mergeCell ref="Y74:Y75"/>
    <mergeCell ref="Z74:Z75"/>
    <mergeCell ref="AC73:AD73"/>
    <mergeCell ref="AE73:AF73"/>
    <mergeCell ref="AI73:AJ73"/>
    <mergeCell ref="A74:A75"/>
    <mergeCell ref="AA70:AA71"/>
    <mergeCell ref="B71:C71"/>
    <mergeCell ref="D71:E71"/>
    <mergeCell ref="F71:G71"/>
    <mergeCell ref="H71:I71"/>
    <mergeCell ref="T71:U71"/>
    <mergeCell ref="B73:C73"/>
    <mergeCell ref="D73:E73"/>
    <mergeCell ref="F73:G73"/>
    <mergeCell ref="H73:I73"/>
    <mergeCell ref="T73:U73"/>
    <mergeCell ref="AN69:AO69"/>
    <mergeCell ref="AP69:AQ69"/>
    <mergeCell ref="A70:A71"/>
    <mergeCell ref="V70:V71"/>
    <mergeCell ref="W70:W71"/>
    <mergeCell ref="X70:X71"/>
    <mergeCell ref="Y70:Y71"/>
    <mergeCell ref="AB68:AB69"/>
    <mergeCell ref="AG68:AG69"/>
    <mergeCell ref="AH68:AH69"/>
    <mergeCell ref="AK68:AK69"/>
    <mergeCell ref="B69:C69"/>
    <mergeCell ref="D69:E69"/>
    <mergeCell ref="F69:G69"/>
    <mergeCell ref="H69:I69"/>
    <mergeCell ref="T69:U69"/>
    <mergeCell ref="AC69:AD69"/>
    <mergeCell ref="AC71:AD71"/>
    <mergeCell ref="AE71:AF71"/>
    <mergeCell ref="AI71:AJ71"/>
    <mergeCell ref="AL71:AM71"/>
    <mergeCell ref="AN71:AO71"/>
    <mergeCell ref="AP71:AQ71"/>
    <mergeCell ref="Z70:Z71"/>
    <mergeCell ref="AB66:AB67"/>
    <mergeCell ref="AG66:AG67"/>
    <mergeCell ref="AH66:AH67"/>
    <mergeCell ref="AK66:AK67"/>
    <mergeCell ref="AE67:AF67"/>
    <mergeCell ref="AI67:AJ67"/>
    <mergeCell ref="AE69:AF69"/>
    <mergeCell ref="AI69:AJ69"/>
    <mergeCell ref="AL69:AM69"/>
    <mergeCell ref="A68:A69"/>
    <mergeCell ref="V68:V69"/>
    <mergeCell ref="W68:W69"/>
    <mergeCell ref="X68:X69"/>
    <mergeCell ref="Y68:Y69"/>
    <mergeCell ref="Z68:Z69"/>
    <mergeCell ref="AA68:AA69"/>
    <mergeCell ref="B67:C67"/>
    <mergeCell ref="D67:E67"/>
    <mergeCell ref="F67:G67"/>
    <mergeCell ref="H67:I67"/>
    <mergeCell ref="T67:U67"/>
    <mergeCell ref="Z66:Z67"/>
    <mergeCell ref="AA66:AA67"/>
    <mergeCell ref="AL64:AM64"/>
    <mergeCell ref="AN64:AO64"/>
    <mergeCell ref="AP64:AQ64"/>
    <mergeCell ref="A66:A67"/>
    <mergeCell ref="V66:V67"/>
    <mergeCell ref="W66:W67"/>
    <mergeCell ref="X66:X67"/>
    <mergeCell ref="Y66:Y67"/>
    <mergeCell ref="AA64:AA65"/>
    <mergeCell ref="AB64:AB65"/>
    <mergeCell ref="AC64:AD64"/>
    <mergeCell ref="AE64:AF64"/>
    <mergeCell ref="AG64:AG65"/>
    <mergeCell ref="AH64:AH65"/>
    <mergeCell ref="T64:U64"/>
    <mergeCell ref="V64:V65"/>
    <mergeCell ref="W64:W65"/>
    <mergeCell ref="X64:X65"/>
    <mergeCell ref="Y64:Y65"/>
    <mergeCell ref="Z64:Z65"/>
    <mergeCell ref="AL67:AM67"/>
    <mergeCell ref="AN67:AO67"/>
    <mergeCell ref="AP67:AQ67"/>
    <mergeCell ref="AC67:AD67"/>
    <mergeCell ref="A64:A65"/>
    <mergeCell ref="B64:C64"/>
    <mergeCell ref="D64:E64"/>
    <mergeCell ref="F64:G64"/>
    <mergeCell ref="H64:I64"/>
    <mergeCell ref="AB61:AB62"/>
    <mergeCell ref="AG61:AG62"/>
    <mergeCell ref="AH61:AH62"/>
    <mergeCell ref="AK61:AK62"/>
    <mergeCell ref="B62:C62"/>
    <mergeCell ref="D62:E62"/>
    <mergeCell ref="F62:G62"/>
    <mergeCell ref="H62:I62"/>
    <mergeCell ref="T62:U62"/>
    <mergeCell ref="AC62:AD62"/>
    <mergeCell ref="AI64:AJ64"/>
    <mergeCell ref="AK64:AK65"/>
    <mergeCell ref="AP60:AQ60"/>
    <mergeCell ref="A61:A62"/>
    <mergeCell ref="V61:V62"/>
    <mergeCell ref="W61:W62"/>
    <mergeCell ref="X61:X62"/>
    <mergeCell ref="Y61:Y62"/>
    <mergeCell ref="Z61:Z62"/>
    <mergeCell ref="AA61:AA62"/>
    <mergeCell ref="AH59:AH60"/>
    <mergeCell ref="AK59:AK60"/>
    <mergeCell ref="B60:C60"/>
    <mergeCell ref="D60:E60"/>
    <mergeCell ref="F60:G60"/>
    <mergeCell ref="H60:I60"/>
    <mergeCell ref="T60:U60"/>
    <mergeCell ref="AC60:AD60"/>
    <mergeCell ref="AE60:AF60"/>
    <mergeCell ref="AI60:AJ60"/>
    <mergeCell ref="AE62:AF62"/>
    <mergeCell ref="AI62:AJ62"/>
    <mergeCell ref="AL62:AM62"/>
    <mergeCell ref="AN62:AO62"/>
    <mergeCell ref="AP62:AQ62"/>
    <mergeCell ref="AP57:AQ57"/>
    <mergeCell ref="A59:A60"/>
    <mergeCell ref="V59:V60"/>
    <mergeCell ref="W59:W60"/>
    <mergeCell ref="X59:X60"/>
    <mergeCell ref="Y59:Y60"/>
    <mergeCell ref="Z59:Z60"/>
    <mergeCell ref="AA59:AA60"/>
    <mergeCell ref="AB59:AB60"/>
    <mergeCell ref="AG59:AG60"/>
    <mergeCell ref="AG57:AG58"/>
    <mergeCell ref="AH57:AH58"/>
    <mergeCell ref="AI57:AJ57"/>
    <mergeCell ref="AK57:AK58"/>
    <mergeCell ref="AL57:AM57"/>
    <mergeCell ref="AN57:AO57"/>
    <mergeCell ref="Y57:Y58"/>
    <mergeCell ref="Z57:Z58"/>
    <mergeCell ref="AA57:AA58"/>
    <mergeCell ref="AB57:AB58"/>
    <mergeCell ref="AC57:AD57"/>
    <mergeCell ref="AE57:AF57"/>
    <mergeCell ref="AL60:AM60"/>
    <mergeCell ref="AN60:AO60"/>
    <mergeCell ref="B55:X55"/>
    <mergeCell ref="A57:A58"/>
    <mergeCell ref="B57:C57"/>
    <mergeCell ref="D57:E57"/>
    <mergeCell ref="F57:G57"/>
    <mergeCell ref="H57:I57"/>
    <mergeCell ref="T57:U57"/>
    <mergeCell ref="V57:V58"/>
    <mergeCell ref="W57:W58"/>
    <mergeCell ref="X57:X58"/>
    <mergeCell ref="B50:E50"/>
    <mergeCell ref="F50:I50"/>
    <mergeCell ref="T50:V50"/>
    <mergeCell ref="B51:X51"/>
    <mergeCell ref="A52:A54"/>
    <mergeCell ref="B52:X52"/>
    <mergeCell ref="B53:X53"/>
    <mergeCell ref="B54:X54"/>
    <mergeCell ref="AL48:AM48"/>
    <mergeCell ref="AN48:AO48"/>
    <mergeCell ref="AP48:AQ48"/>
    <mergeCell ref="B49:E49"/>
    <mergeCell ref="F49:I49"/>
    <mergeCell ref="T49:V49"/>
    <mergeCell ref="AH47:AH48"/>
    <mergeCell ref="AK47:AK48"/>
    <mergeCell ref="B48:C48"/>
    <mergeCell ref="D48:E48"/>
    <mergeCell ref="F48:G48"/>
    <mergeCell ref="H48:I48"/>
    <mergeCell ref="T48:U48"/>
    <mergeCell ref="AC48:AD48"/>
    <mergeCell ref="AE48:AF48"/>
    <mergeCell ref="AI48:AJ48"/>
    <mergeCell ref="AP46:AQ46"/>
    <mergeCell ref="A47:A48"/>
    <mergeCell ref="V47:V48"/>
    <mergeCell ref="W47:W48"/>
    <mergeCell ref="X47:X48"/>
    <mergeCell ref="Y47:Y48"/>
    <mergeCell ref="Z47:Z48"/>
    <mergeCell ref="AA47:AA48"/>
    <mergeCell ref="AB47:AB48"/>
    <mergeCell ref="AG47:AG48"/>
    <mergeCell ref="X44:X46"/>
    <mergeCell ref="Y44:Y46"/>
    <mergeCell ref="Z44:Z46"/>
    <mergeCell ref="AA44:AA46"/>
    <mergeCell ref="AB44:AB46"/>
    <mergeCell ref="AC44:AC45"/>
    <mergeCell ref="H44:H45"/>
    <mergeCell ref="I44:I45"/>
    <mergeCell ref="T44:T45"/>
    <mergeCell ref="U44:U45"/>
    <mergeCell ref="V44:V46"/>
    <mergeCell ref="W44:W46"/>
    <mergeCell ref="B44:B45"/>
    <mergeCell ref="C44:C45"/>
    <mergeCell ref="AP44:AP45"/>
    <mergeCell ref="AQ44:AQ45"/>
    <mergeCell ref="B46:C46"/>
    <mergeCell ref="D46:E46"/>
    <mergeCell ref="F46:G46"/>
    <mergeCell ref="H46:I46"/>
    <mergeCell ref="T46:U46"/>
    <mergeCell ref="AC46:AD46"/>
    <mergeCell ref="AE46:AF46"/>
    <mergeCell ref="AI46:AJ46"/>
    <mergeCell ref="AJ44:AJ45"/>
    <mergeCell ref="AK44:AK46"/>
    <mergeCell ref="AL44:AL45"/>
    <mergeCell ref="AM44:AM45"/>
    <mergeCell ref="AN44:AN45"/>
    <mergeCell ref="AO44:AO45"/>
    <mergeCell ref="AL46:AM46"/>
    <mergeCell ref="AN46:AO46"/>
    <mergeCell ref="AD44:AD45"/>
    <mergeCell ref="AE44:AE45"/>
    <mergeCell ref="AF44:AF45"/>
    <mergeCell ref="AG44:AG46"/>
    <mergeCell ref="AH44:AH46"/>
    <mergeCell ref="AI44:AI45"/>
    <mergeCell ref="D44:D45"/>
    <mergeCell ref="E44:E45"/>
    <mergeCell ref="F44:F45"/>
    <mergeCell ref="G44:G45"/>
    <mergeCell ref="AC43:AD43"/>
    <mergeCell ref="AE43:AF43"/>
    <mergeCell ref="AI43:AJ43"/>
    <mergeCell ref="AL43:AM43"/>
    <mergeCell ref="AN43:AO43"/>
    <mergeCell ref="AP43:AQ43"/>
    <mergeCell ref="AA42:AA43"/>
    <mergeCell ref="AB42:AB43"/>
    <mergeCell ref="AG42:AG43"/>
    <mergeCell ref="AH42:AH43"/>
    <mergeCell ref="AK42:AK43"/>
    <mergeCell ref="B43:C43"/>
    <mergeCell ref="D43:E43"/>
    <mergeCell ref="F43:G43"/>
    <mergeCell ref="H43:I43"/>
    <mergeCell ref="T43:U43"/>
    <mergeCell ref="A42:A43"/>
    <mergeCell ref="V42:V43"/>
    <mergeCell ref="W42:W43"/>
    <mergeCell ref="X42:X43"/>
    <mergeCell ref="Y42:Y43"/>
    <mergeCell ref="Z42:Z43"/>
    <mergeCell ref="AC41:AD41"/>
    <mergeCell ref="AE41:AF41"/>
    <mergeCell ref="AI41:AJ41"/>
    <mergeCell ref="A40:A41"/>
    <mergeCell ref="AL41:AM41"/>
    <mergeCell ref="AN41:AO41"/>
    <mergeCell ref="AP41:AQ41"/>
    <mergeCell ref="AA40:AA41"/>
    <mergeCell ref="AB40:AB41"/>
    <mergeCell ref="AG40:AG41"/>
    <mergeCell ref="AH40:AH41"/>
    <mergeCell ref="AK40:AK41"/>
    <mergeCell ref="B41:C41"/>
    <mergeCell ref="D41:E41"/>
    <mergeCell ref="F41:G41"/>
    <mergeCell ref="H41:I41"/>
    <mergeCell ref="T41:U41"/>
    <mergeCell ref="V40:V41"/>
    <mergeCell ref="W40:W41"/>
    <mergeCell ref="X40:X41"/>
    <mergeCell ref="Y40:Y41"/>
    <mergeCell ref="Z40:Z41"/>
    <mergeCell ref="AK36:AK37"/>
    <mergeCell ref="AL36:AM36"/>
    <mergeCell ref="AN36:AO36"/>
    <mergeCell ref="AP36:AQ36"/>
    <mergeCell ref="AG36:AG37"/>
    <mergeCell ref="AH36:AH37"/>
    <mergeCell ref="AI36:AJ36"/>
    <mergeCell ref="AC39:AD39"/>
    <mergeCell ref="AE39:AF39"/>
    <mergeCell ref="AI39:AJ39"/>
    <mergeCell ref="AL39:AM39"/>
    <mergeCell ref="AN39:AO39"/>
    <mergeCell ref="AP39:AQ39"/>
    <mergeCell ref="AG38:AG39"/>
    <mergeCell ref="AH38:AH39"/>
    <mergeCell ref="AK38:AK39"/>
    <mergeCell ref="A38:A39"/>
    <mergeCell ref="V38:V39"/>
    <mergeCell ref="W38:W39"/>
    <mergeCell ref="X38:X39"/>
    <mergeCell ref="Y38:Y39"/>
    <mergeCell ref="Z38:Z39"/>
    <mergeCell ref="AB36:AB37"/>
    <mergeCell ref="AC36:AD36"/>
    <mergeCell ref="AE36:AF36"/>
    <mergeCell ref="V36:V37"/>
    <mergeCell ref="W36:W37"/>
    <mergeCell ref="X36:X37"/>
    <mergeCell ref="Y36:Y37"/>
    <mergeCell ref="Z36:Z37"/>
    <mergeCell ref="AA36:AA37"/>
    <mergeCell ref="B39:C39"/>
    <mergeCell ref="D39:E39"/>
    <mergeCell ref="F39:G39"/>
    <mergeCell ref="H39:I39"/>
    <mergeCell ref="T39:U39"/>
    <mergeCell ref="AA38:AA39"/>
    <mergeCell ref="AB38:AB39"/>
    <mergeCell ref="A31:A32"/>
    <mergeCell ref="B31:X31"/>
    <mergeCell ref="B32:X32"/>
    <mergeCell ref="B33:X33"/>
    <mergeCell ref="A36:A37"/>
    <mergeCell ref="B36:C36"/>
    <mergeCell ref="D36:E36"/>
    <mergeCell ref="F36:G36"/>
    <mergeCell ref="H36:I36"/>
    <mergeCell ref="T36:U36"/>
    <mergeCell ref="A21:X21"/>
    <mergeCell ref="A22:X22"/>
    <mergeCell ref="A24:X26"/>
    <mergeCell ref="B27:X27"/>
    <mergeCell ref="B28:X28"/>
    <mergeCell ref="A29:A30"/>
    <mergeCell ref="B29:X29"/>
    <mergeCell ref="B30:X30"/>
    <mergeCell ref="AC19:AD19"/>
    <mergeCell ref="AE19:AF19"/>
    <mergeCell ref="AI19:AJ19"/>
    <mergeCell ref="AL19:AM19"/>
    <mergeCell ref="AN19:AO19"/>
    <mergeCell ref="AP19:AQ19"/>
    <mergeCell ref="AC18:AD18"/>
    <mergeCell ref="AE18:AF18"/>
    <mergeCell ref="AI18:AJ18"/>
    <mergeCell ref="AL18:AM18"/>
    <mergeCell ref="AN18:AO18"/>
    <mergeCell ref="AP18:AQ18"/>
    <mergeCell ref="B18:C18"/>
    <mergeCell ref="D18:E18"/>
    <mergeCell ref="F18:G18"/>
    <mergeCell ref="H18:I18"/>
    <mergeCell ref="T18:U18"/>
    <mergeCell ref="AA15:AA16"/>
    <mergeCell ref="AB15:AB16"/>
    <mergeCell ref="AC15:AD15"/>
    <mergeCell ref="AE15:AF15"/>
    <mergeCell ref="T15:U15"/>
    <mergeCell ref="V15:V16"/>
    <mergeCell ref="W15:W16"/>
    <mergeCell ref="X15:X16"/>
    <mergeCell ref="Y15:Y16"/>
    <mergeCell ref="Z15:Z16"/>
    <mergeCell ref="AI14:AJ14"/>
    <mergeCell ref="AL14:AM14"/>
    <mergeCell ref="AN14:AO14"/>
    <mergeCell ref="AP14:AQ14"/>
    <mergeCell ref="A14:A16"/>
    <mergeCell ref="B14:C14"/>
    <mergeCell ref="D14:E14"/>
    <mergeCell ref="F14:G14"/>
    <mergeCell ref="H14:I14"/>
    <mergeCell ref="T14:U14"/>
    <mergeCell ref="B15:C15"/>
    <mergeCell ref="D15:E15"/>
    <mergeCell ref="F15:G15"/>
    <mergeCell ref="H15:I15"/>
    <mergeCell ref="AI15:AJ15"/>
    <mergeCell ref="AK15:AK16"/>
    <mergeCell ref="AL15:AM15"/>
    <mergeCell ref="AN15:AO15"/>
    <mergeCell ref="AP15:AQ15"/>
    <mergeCell ref="AG15:AG16"/>
    <mergeCell ref="AH15:AH16"/>
    <mergeCell ref="A1:E1"/>
    <mergeCell ref="A7:E7"/>
    <mergeCell ref="A8:E8"/>
    <mergeCell ref="A9:X9"/>
    <mergeCell ref="B11:D11"/>
    <mergeCell ref="F11:H11"/>
    <mergeCell ref="T11:V11"/>
    <mergeCell ref="AC14:AD14"/>
    <mergeCell ref="AE14:AF14"/>
  </mergeCells>
  <printOptions horizontalCentered="1" verticalCentered="1"/>
  <pageMargins left="1.1417322834645669" right="0.19685039370078741" top="0.39370078740157483" bottom="0.43307086614173229" header="0" footer="0.59055118110236227"/>
  <pageSetup paperSize="5" scale="48"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K58"/>
  <sheetViews>
    <sheetView tabSelected="1" topLeftCell="A13" zoomScale="84" zoomScaleNormal="84" workbookViewId="0">
      <selection activeCell="J47" sqref="J47"/>
    </sheetView>
  </sheetViews>
  <sheetFormatPr baseColWidth="10" defaultColWidth="9.140625" defaultRowHeight="12.75" x14ac:dyDescent="0.2"/>
  <cols>
    <col min="1" max="1" width="3.140625" customWidth="1"/>
    <col min="2" max="2" width="44.7109375" customWidth="1"/>
    <col min="3" max="3" width="17.7109375" customWidth="1"/>
    <col min="4" max="4" width="17.28515625" customWidth="1"/>
    <col min="5" max="5" width="16.7109375" customWidth="1"/>
    <col min="6" max="9" width="20.85546875" customWidth="1"/>
    <col min="10" max="10" width="49" customWidth="1"/>
    <col min="11" max="11" width="69" hidden="1" customWidth="1"/>
    <col min="17" max="17" width="15.5703125" customWidth="1"/>
  </cols>
  <sheetData>
    <row r="1" spans="1:11" ht="26.25" x14ac:dyDescent="0.2">
      <c r="A1" s="219" t="s">
        <v>1</v>
      </c>
      <c r="B1" s="219"/>
      <c r="C1" s="219"/>
      <c r="D1" s="219"/>
      <c r="E1" s="219"/>
      <c r="F1" s="219"/>
      <c r="G1" s="219"/>
      <c r="H1" s="219"/>
      <c r="I1" s="219"/>
      <c r="J1" s="219"/>
      <c r="K1" s="219"/>
    </row>
    <row r="2" spans="1:11" ht="26.25" x14ac:dyDescent="0.2">
      <c r="A2" s="219" t="s">
        <v>70</v>
      </c>
      <c r="B2" s="219"/>
      <c r="C2" s="219"/>
      <c r="D2" s="219"/>
      <c r="E2" s="219"/>
      <c r="F2" s="219"/>
      <c r="G2" s="219"/>
      <c r="H2" s="219"/>
      <c r="I2" s="219"/>
      <c r="J2" s="219"/>
      <c r="K2" s="219"/>
    </row>
    <row r="3" spans="1:11" ht="18.75" x14ac:dyDescent="0.2">
      <c r="A3" s="220" t="s">
        <v>56</v>
      </c>
      <c r="B3" s="220"/>
      <c r="C3" s="220"/>
      <c r="D3" s="220"/>
      <c r="E3" s="220"/>
      <c r="F3" s="220"/>
      <c r="G3" s="220"/>
      <c r="H3" s="220"/>
      <c r="I3" s="220"/>
      <c r="J3" s="220"/>
      <c r="K3" s="220"/>
    </row>
    <row r="4" spans="1:11" ht="26.25" x14ac:dyDescent="0.2">
      <c r="B4" s="57"/>
      <c r="C4" s="58"/>
      <c r="D4" s="58"/>
      <c r="E4" s="59"/>
      <c r="F4" s="59"/>
      <c r="G4" s="59"/>
      <c r="H4" s="59"/>
      <c r="I4" s="59"/>
      <c r="J4" s="59"/>
    </row>
    <row r="5" spans="1:11" ht="47.25" x14ac:dyDescent="0.2">
      <c r="A5" s="60"/>
      <c r="B5" s="61" t="s">
        <v>57</v>
      </c>
      <c r="C5" s="62" t="s">
        <v>36</v>
      </c>
      <c r="D5" s="63" t="s">
        <v>35</v>
      </c>
      <c r="E5" s="63" t="s">
        <v>58</v>
      </c>
      <c r="F5" s="63" t="s">
        <v>38</v>
      </c>
      <c r="G5" s="63" t="s">
        <v>41</v>
      </c>
      <c r="H5" s="63" t="s">
        <v>59</v>
      </c>
      <c r="I5" s="63" t="s">
        <v>40</v>
      </c>
      <c r="J5" s="61" t="s">
        <v>60</v>
      </c>
      <c r="K5" s="64" t="s">
        <v>61</v>
      </c>
    </row>
    <row r="6" spans="1:11" ht="18.75" x14ac:dyDescent="0.2">
      <c r="A6" s="60"/>
      <c r="B6" s="61"/>
      <c r="C6" s="65" t="s">
        <v>66</v>
      </c>
      <c r="D6" s="66" t="s">
        <v>71</v>
      </c>
      <c r="E6" s="66" t="s">
        <v>62</v>
      </c>
      <c r="F6" s="67" t="s">
        <v>63</v>
      </c>
      <c r="G6" s="67" t="s">
        <v>64</v>
      </c>
      <c r="H6" s="67" t="s">
        <v>65</v>
      </c>
      <c r="I6" s="67" t="s">
        <v>65</v>
      </c>
      <c r="J6" s="68"/>
      <c r="K6" s="69"/>
    </row>
    <row r="7" spans="1:11" ht="18.75" x14ac:dyDescent="0.2">
      <c r="A7" s="60"/>
      <c r="B7" s="61"/>
      <c r="C7" s="67"/>
      <c r="D7" s="67"/>
      <c r="E7" s="67"/>
      <c r="F7" s="70" t="s">
        <v>72</v>
      </c>
      <c r="G7" s="67" t="s">
        <v>73</v>
      </c>
      <c r="H7" s="67"/>
      <c r="I7" s="67"/>
      <c r="J7" s="68"/>
      <c r="K7" s="69"/>
    </row>
    <row r="8" spans="1:11" s="114" customFormat="1" ht="15" x14ac:dyDescent="0.2">
      <c r="A8" s="71">
        <v>1</v>
      </c>
      <c r="B8" s="72" t="s">
        <v>79</v>
      </c>
      <c r="C8" s="73" t="s">
        <v>201</v>
      </c>
      <c r="D8" s="73" t="s">
        <v>201</v>
      </c>
      <c r="E8" s="73" t="s">
        <v>201</v>
      </c>
      <c r="F8" s="73" t="s">
        <v>201</v>
      </c>
      <c r="G8" s="73" t="s">
        <v>201</v>
      </c>
      <c r="H8" s="73" t="s">
        <v>201</v>
      </c>
      <c r="I8" s="73" t="s">
        <v>201</v>
      </c>
      <c r="J8" s="74"/>
      <c r="K8" s="75"/>
    </row>
    <row r="9" spans="1:11" s="114" customFormat="1" ht="15" x14ac:dyDescent="0.2">
      <c r="A9" s="71">
        <f>A8+1</f>
        <v>2</v>
      </c>
      <c r="B9" s="76" t="s">
        <v>82</v>
      </c>
      <c r="C9" s="73" t="s">
        <v>201</v>
      </c>
      <c r="D9" s="73" t="s">
        <v>201</v>
      </c>
      <c r="E9" s="73" t="s">
        <v>201</v>
      </c>
      <c r="F9" s="73" t="s">
        <v>201</v>
      </c>
      <c r="G9" s="73" t="s">
        <v>201</v>
      </c>
      <c r="H9" s="73" t="s">
        <v>201</v>
      </c>
      <c r="I9" s="73" t="s">
        <v>201</v>
      </c>
      <c r="J9" s="74"/>
      <c r="K9" s="75"/>
    </row>
    <row r="10" spans="1:11" s="114" customFormat="1" ht="15" x14ac:dyDescent="0.2">
      <c r="A10" s="71">
        <f t="shared" ref="A10:A48" si="0">A9+1</f>
        <v>3</v>
      </c>
      <c r="B10" s="72" t="s">
        <v>85</v>
      </c>
      <c r="C10" s="73" t="s">
        <v>201</v>
      </c>
      <c r="D10" s="73" t="s">
        <v>201</v>
      </c>
      <c r="E10" s="73" t="s">
        <v>201</v>
      </c>
      <c r="F10" s="73" t="s">
        <v>201</v>
      </c>
      <c r="G10" s="73" t="s">
        <v>201</v>
      </c>
      <c r="H10" s="73" t="s">
        <v>201</v>
      </c>
      <c r="I10" s="73" t="s">
        <v>201</v>
      </c>
      <c r="J10" s="74"/>
      <c r="K10" s="75"/>
    </row>
    <row r="11" spans="1:11" s="114" customFormat="1" ht="15" x14ac:dyDescent="0.2">
      <c r="A11" s="71">
        <f t="shared" si="0"/>
        <v>4</v>
      </c>
      <c r="B11" s="72" t="s">
        <v>87</v>
      </c>
      <c r="C11" s="73" t="s">
        <v>201</v>
      </c>
      <c r="D11" s="73" t="s">
        <v>201</v>
      </c>
      <c r="E11" s="73" t="s">
        <v>201</v>
      </c>
      <c r="F11" s="73" t="s">
        <v>201</v>
      </c>
      <c r="G11" s="73" t="s">
        <v>201</v>
      </c>
      <c r="H11" s="73" t="s">
        <v>201</v>
      </c>
      <c r="I11" s="73" t="s">
        <v>201</v>
      </c>
      <c r="J11" s="74"/>
      <c r="K11" s="75"/>
    </row>
    <row r="12" spans="1:11" s="114" customFormat="1" ht="15" x14ac:dyDescent="0.2">
      <c r="A12" s="71">
        <f t="shared" si="0"/>
        <v>5</v>
      </c>
      <c r="B12" s="72" t="s">
        <v>90</v>
      </c>
      <c r="C12" s="73" t="s">
        <v>201</v>
      </c>
      <c r="D12" s="73" t="s">
        <v>201</v>
      </c>
      <c r="E12" s="73" t="s">
        <v>201</v>
      </c>
      <c r="F12" s="73" t="s">
        <v>201</v>
      </c>
      <c r="G12" s="73" t="s">
        <v>201</v>
      </c>
      <c r="H12" s="73" t="s">
        <v>201</v>
      </c>
      <c r="I12" s="73" t="s">
        <v>201</v>
      </c>
      <c r="J12" s="74"/>
      <c r="K12" s="75"/>
    </row>
    <row r="13" spans="1:11" s="114" customFormat="1" ht="15" x14ac:dyDescent="0.2">
      <c r="A13" s="71">
        <f t="shared" si="0"/>
        <v>6</v>
      </c>
      <c r="B13" s="72" t="s">
        <v>94</v>
      </c>
      <c r="C13" s="73" t="s">
        <v>201</v>
      </c>
      <c r="D13" s="73" t="s">
        <v>201</v>
      </c>
      <c r="E13" s="73" t="s">
        <v>201</v>
      </c>
      <c r="F13" s="73" t="s">
        <v>201</v>
      </c>
      <c r="G13" s="73" t="s">
        <v>201</v>
      </c>
      <c r="H13" s="73" t="s">
        <v>201</v>
      </c>
      <c r="I13" s="73" t="s">
        <v>201</v>
      </c>
      <c r="J13" s="74"/>
      <c r="K13" s="75"/>
    </row>
    <row r="14" spans="1:11" s="114" customFormat="1" ht="15" x14ac:dyDescent="0.2">
      <c r="A14" s="71">
        <f t="shared" si="0"/>
        <v>7</v>
      </c>
      <c r="B14" s="72" t="s">
        <v>96</v>
      </c>
      <c r="C14" s="73" t="s">
        <v>201</v>
      </c>
      <c r="D14" s="73" t="s">
        <v>201</v>
      </c>
      <c r="E14" s="73" t="s">
        <v>201</v>
      </c>
      <c r="F14" s="73" t="s">
        <v>201</v>
      </c>
      <c r="G14" s="73" t="s">
        <v>201</v>
      </c>
      <c r="H14" s="73" t="s">
        <v>201</v>
      </c>
      <c r="I14" s="73" t="s">
        <v>201</v>
      </c>
      <c r="J14" s="74"/>
      <c r="K14" s="75"/>
    </row>
    <row r="15" spans="1:11" s="114" customFormat="1" ht="15" x14ac:dyDescent="0.2">
      <c r="A15" s="71">
        <f t="shared" si="0"/>
        <v>8</v>
      </c>
      <c r="B15" s="72" t="s">
        <v>98</v>
      </c>
      <c r="C15" s="73" t="s">
        <v>201</v>
      </c>
      <c r="D15" s="73" t="s">
        <v>201</v>
      </c>
      <c r="E15" s="73" t="s">
        <v>201</v>
      </c>
      <c r="F15" s="73" t="s">
        <v>201</v>
      </c>
      <c r="G15" s="73" t="s">
        <v>201</v>
      </c>
      <c r="H15" s="73" t="s">
        <v>201</v>
      </c>
      <c r="I15" s="73" t="s">
        <v>201</v>
      </c>
      <c r="J15" s="74"/>
      <c r="K15" s="75"/>
    </row>
    <row r="16" spans="1:11" s="114" customFormat="1" ht="15" x14ac:dyDescent="0.2">
      <c r="A16" s="71">
        <f t="shared" si="0"/>
        <v>9</v>
      </c>
      <c r="B16" s="72" t="s">
        <v>103</v>
      </c>
      <c r="C16" s="73" t="s">
        <v>201</v>
      </c>
      <c r="D16" s="73" t="s">
        <v>201</v>
      </c>
      <c r="E16" s="73" t="s">
        <v>201</v>
      </c>
      <c r="F16" s="73" t="s">
        <v>201</v>
      </c>
      <c r="G16" s="73" t="s">
        <v>201</v>
      </c>
      <c r="H16" s="73" t="s">
        <v>201</v>
      </c>
      <c r="I16" s="73" t="s">
        <v>201</v>
      </c>
      <c r="J16" s="74"/>
      <c r="K16" s="75"/>
    </row>
    <row r="17" spans="1:11" s="114" customFormat="1" ht="16.5" customHeight="1" x14ac:dyDescent="0.2">
      <c r="A17" s="71">
        <f t="shared" si="0"/>
        <v>10</v>
      </c>
      <c r="B17" s="72" t="s">
        <v>203</v>
      </c>
      <c r="C17" s="73" t="s">
        <v>201</v>
      </c>
      <c r="D17" s="73" t="s">
        <v>201</v>
      </c>
      <c r="E17" s="73" t="s">
        <v>201</v>
      </c>
      <c r="F17" s="73" t="s">
        <v>201</v>
      </c>
      <c r="G17" s="73" t="s">
        <v>201</v>
      </c>
      <c r="H17" s="73" t="s">
        <v>201</v>
      </c>
      <c r="I17" s="73" t="s">
        <v>201</v>
      </c>
      <c r="J17" s="74"/>
      <c r="K17" s="75"/>
    </row>
    <row r="18" spans="1:11" s="114" customFormat="1" ht="15" x14ac:dyDescent="0.2">
      <c r="A18" s="71">
        <f t="shared" si="0"/>
        <v>11</v>
      </c>
      <c r="B18" s="72" t="s">
        <v>108</v>
      </c>
      <c r="C18" s="73" t="s">
        <v>201</v>
      </c>
      <c r="D18" s="73" t="s">
        <v>201</v>
      </c>
      <c r="E18" s="73" t="s">
        <v>201</v>
      </c>
      <c r="F18" s="73" t="s">
        <v>201</v>
      </c>
      <c r="G18" s="73" t="s">
        <v>201</v>
      </c>
      <c r="H18" s="73" t="s">
        <v>201</v>
      </c>
      <c r="I18" s="73" t="s">
        <v>201</v>
      </c>
      <c r="J18" s="74"/>
      <c r="K18" s="75"/>
    </row>
    <row r="19" spans="1:11" s="114" customFormat="1" ht="15" x14ac:dyDescent="0.2">
      <c r="A19" s="71">
        <f t="shared" si="0"/>
        <v>12</v>
      </c>
      <c r="B19" s="72" t="s">
        <v>109</v>
      </c>
      <c r="C19" s="73" t="s">
        <v>201</v>
      </c>
      <c r="D19" s="73" t="s">
        <v>201</v>
      </c>
      <c r="E19" s="73" t="s">
        <v>201</v>
      </c>
      <c r="F19" s="73" t="s">
        <v>201</v>
      </c>
      <c r="G19" s="73" t="s">
        <v>201</v>
      </c>
      <c r="H19" s="73" t="s">
        <v>201</v>
      </c>
      <c r="I19" s="73" t="s">
        <v>201</v>
      </c>
      <c r="J19" s="74"/>
      <c r="K19" s="75"/>
    </row>
    <row r="20" spans="1:11" s="114" customFormat="1" ht="15" x14ac:dyDescent="0.2">
      <c r="A20" s="71">
        <f t="shared" si="0"/>
        <v>13</v>
      </c>
      <c r="B20" s="72" t="s">
        <v>105</v>
      </c>
      <c r="C20" s="73" t="s">
        <v>201</v>
      </c>
      <c r="D20" s="73" t="s">
        <v>201</v>
      </c>
      <c r="E20" s="73" t="s">
        <v>201</v>
      </c>
      <c r="F20" s="73" t="s">
        <v>201</v>
      </c>
      <c r="G20" s="73" t="s">
        <v>201</v>
      </c>
      <c r="H20" s="73" t="s">
        <v>201</v>
      </c>
      <c r="I20" s="73" t="s">
        <v>201</v>
      </c>
      <c r="J20" s="74"/>
      <c r="K20" s="75"/>
    </row>
    <row r="21" spans="1:11" s="114" customFormat="1" ht="15" x14ac:dyDescent="0.2">
      <c r="A21" s="71">
        <f>A20+1</f>
        <v>14</v>
      </c>
      <c r="B21" s="126" t="s">
        <v>160</v>
      </c>
      <c r="C21" s="73" t="s">
        <v>201</v>
      </c>
      <c r="D21" s="73" t="s">
        <v>201</v>
      </c>
      <c r="E21" s="73" t="s">
        <v>201</v>
      </c>
      <c r="F21" s="73" t="s">
        <v>201</v>
      </c>
      <c r="G21" s="73" t="s">
        <v>201</v>
      </c>
      <c r="H21" s="73" t="s">
        <v>201</v>
      </c>
      <c r="I21" s="73" t="s">
        <v>201</v>
      </c>
      <c r="J21" s="74"/>
      <c r="K21" s="75"/>
    </row>
    <row r="22" spans="1:11" s="114" customFormat="1" ht="15" x14ac:dyDescent="0.2">
      <c r="A22" s="71">
        <f t="shared" si="0"/>
        <v>15</v>
      </c>
      <c r="B22" s="72" t="s">
        <v>107</v>
      </c>
      <c r="C22" s="73" t="s">
        <v>201</v>
      </c>
      <c r="D22" s="73" t="s">
        <v>201</v>
      </c>
      <c r="E22" s="73" t="s">
        <v>201</v>
      </c>
      <c r="F22" s="73" t="s">
        <v>201</v>
      </c>
      <c r="G22" s="73" t="s">
        <v>201</v>
      </c>
      <c r="H22" s="73" t="s">
        <v>201</v>
      </c>
      <c r="I22" s="73" t="s">
        <v>201</v>
      </c>
      <c r="J22" s="74"/>
      <c r="K22" s="75"/>
    </row>
    <row r="23" spans="1:11" s="114" customFormat="1" ht="15" x14ac:dyDescent="0.2">
      <c r="A23" s="71">
        <f t="shared" si="0"/>
        <v>16</v>
      </c>
      <c r="B23" s="127" t="s">
        <v>161</v>
      </c>
      <c r="C23" s="73" t="s">
        <v>201</v>
      </c>
      <c r="D23" s="73" t="s">
        <v>201</v>
      </c>
      <c r="E23" s="73" t="s">
        <v>201</v>
      </c>
      <c r="F23" s="73" t="s">
        <v>201</v>
      </c>
      <c r="G23" s="73" t="s">
        <v>201</v>
      </c>
      <c r="H23" s="73" t="s">
        <v>201</v>
      </c>
      <c r="I23" s="73" t="s">
        <v>201</v>
      </c>
      <c r="J23" s="74"/>
      <c r="K23" s="75"/>
    </row>
    <row r="24" spans="1:11" s="114" customFormat="1" ht="14.25" customHeight="1" x14ac:dyDescent="0.2">
      <c r="A24" s="71">
        <f t="shared" si="0"/>
        <v>17</v>
      </c>
      <c r="B24" s="72" t="s">
        <v>113</v>
      </c>
      <c r="C24" s="73" t="s">
        <v>201</v>
      </c>
      <c r="D24" s="73" t="s">
        <v>201</v>
      </c>
      <c r="E24" s="73" t="s">
        <v>201</v>
      </c>
      <c r="F24" s="73" t="s">
        <v>201</v>
      </c>
      <c r="G24" s="73" t="s">
        <v>201</v>
      </c>
      <c r="H24" s="73" t="s">
        <v>201</v>
      </c>
      <c r="I24" s="73" t="s">
        <v>201</v>
      </c>
      <c r="J24" s="74"/>
      <c r="K24" s="75"/>
    </row>
    <row r="25" spans="1:11" s="114" customFormat="1" ht="15" x14ac:dyDescent="0.2">
      <c r="A25" s="71">
        <f t="shared" si="0"/>
        <v>18</v>
      </c>
      <c r="B25" s="72" t="s">
        <v>112</v>
      </c>
      <c r="C25" s="73" t="s">
        <v>201</v>
      </c>
      <c r="D25" s="73" t="s">
        <v>201</v>
      </c>
      <c r="E25" s="73" t="s">
        <v>201</v>
      </c>
      <c r="F25" s="73" t="s">
        <v>201</v>
      </c>
      <c r="G25" s="73" t="s">
        <v>201</v>
      </c>
      <c r="H25" s="73" t="s">
        <v>201</v>
      </c>
      <c r="I25" s="73" t="s">
        <v>201</v>
      </c>
      <c r="J25" s="74"/>
      <c r="K25" s="75"/>
    </row>
    <row r="26" spans="1:11" s="114" customFormat="1" ht="15" x14ac:dyDescent="0.2">
      <c r="A26" s="71">
        <f t="shared" si="0"/>
        <v>19</v>
      </c>
      <c r="B26" s="72" t="s">
        <v>106</v>
      </c>
      <c r="C26" s="73" t="s">
        <v>201</v>
      </c>
      <c r="D26" s="73" t="s">
        <v>201</v>
      </c>
      <c r="E26" s="73" t="s">
        <v>201</v>
      </c>
      <c r="F26" s="73" t="s">
        <v>201</v>
      </c>
      <c r="G26" s="73" t="s">
        <v>201</v>
      </c>
      <c r="H26" s="73" t="s">
        <v>201</v>
      </c>
      <c r="I26" s="73" t="s">
        <v>201</v>
      </c>
      <c r="J26" s="74"/>
      <c r="K26" s="75"/>
    </row>
    <row r="27" spans="1:11" ht="15" x14ac:dyDescent="0.2">
      <c r="A27" s="71">
        <f t="shared" si="0"/>
        <v>20</v>
      </c>
      <c r="B27" s="72" t="s">
        <v>111</v>
      </c>
      <c r="C27" s="73" t="s">
        <v>201</v>
      </c>
      <c r="D27" s="73" t="s">
        <v>201</v>
      </c>
      <c r="E27" s="73" t="s">
        <v>201</v>
      </c>
      <c r="F27" s="73" t="s">
        <v>201</v>
      </c>
      <c r="G27" s="73" t="s">
        <v>201</v>
      </c>
      <c r="H27" s="73" t="s">
        <v>201</v>
      </c>
      <c r="I27" s="73" t="s">
        <v>201</v>
      </c>
      <c r="J27" s="74"/>
      <c r="K27" s="75"/>
    </row>
    <row r="28" spans="1:11" ht="15" x14ac:dyDescent="0.2">
      <c r="A28" s="71">
        <f t="shared" si="0"/>
        <v>21</v>
      </c>
      <c r="B28" s="72" t="s">
        <v>159</v>
      </c>
      <c r="C28" s="73" t="s">
        <v>201</v>
      </c>
      <c r="D28" s="73" t="s">
        <v>201</v>
      </c>
      <c r="E28" s="73" t="s">
        <v>201</v>
      </c>
      <c r="F28" s="73" t="s">
        <v>201</v>
      </c>
      <c r="G28" s="73" t="s">
        <v>201</v>
      </c>
      <c r="H28" s="73" t="s">
        <v>201</v>
      </c>
      <c r="I28" s="73" t="s">
        <v>201</v>
      </c>
      <c r="J28" s="74"/>
      <c r="K28" s="75"/>
    </row>
    <row r="29" spans="1:11" ht="15" x14ac:dyDescent="0.2">
      <c r="A29" s="71">
        <f t="shared" si="0"/>
        <v>22</v>
      </c>
      <c r="B29" s="72" t="s">
        <v>158</v>
      </c>
      <c r="C29" s="73" t="s">
        <v>201</v>
      </c>
      <c r="D29" s="73" t="s">
        <v>201</v>
      </c>
      <c r="E29" s="73" t="s">
        <v>201</v>
      </c>
      <c r="F29" s="73" t="s">
        <v>201</v>
      </c>
      <c r="G29" s="73" t="s">
        <v>201</v>
      </c>
      <c r="H29" s="73" t="s">
        <v>201</v>
      </c>
      <c r="I29" s="73" t="s">
        <v>201</v>
      </c>
      <c r="J29" s="74"/>
      <c r="K29" s="75"/>
    </row>
    <row r="30" spans="1:11" ht="15" x14ac:dyDescent="0.2">
      <c r="A30" s="71">
        <f t="shared" si="0"/>
        <v>23</v>
      </c>
      <c r="B30" s="72" t="s">
        <v>157</v>
      </c>
      <c r="C30" s="73" t="s">
        <v>201</v>
      </c>
      <c r="D30" s="73" t="s">
        <v>201</v>
      </c>
      <c r="E30" s="73" t="s">
        <v>201</v>
      </c>
      <c r="F30" s="73" t="s">
        <v>201</v>
      </c>
      <c r="G30" s="73" t="s">
        <v>201</v>
      </c>
      <c r="H30" s="73" t="s">
        <v>201</v>
      </c>
      <c r="I30" s="73" t="s">
        <v>201</v>
      </c>
      <c r="J30" s="74"/>
      <c r="K30" s="75"/>
    </row>
    <row r="31" spans="1:11" ht="15" x14ac:dyDescent="0.2">
      <c r="A31" s="71">
        <f t="shared" si="0"/>
        <v>24</v>
      </c>
      <c r="B31" s="128" t="s">
        <v>156</v>
      </c>
      <c r="C31" s="73" t="s">
        <v>201</v>
      </c>
      <c r="D31" s="73" t="s">
        <v>201</v>
      </c>
      <c r="E31" s="73" t="s">
        <v>201</v>
      </c>
      <c r="F31" s="73" t="s">
        <v>201</v>
      </c>
      <c r="G31" s="73" t="s">
        <v>201</v>
      </c>
      <c r="H31" s="73" t="s">
        <v>201</v>
      </c>
      <c r="I31" s="73" t="s">
        <v>201</v>
      </c>
      <c r="J31" s="74"/>
      <c r="K31" s="75"/>
    </row>
    <row r="32" spans="1:11" ht="15" x14ac:dyDescent="0.2">
      <c r="A32" s="71">
        <f>A31+1</f>
        <v>25</v>
      </c>
      <c r="B32" s="72" t="s">
        <v>155</v>
      </c>
      <c r="C32" s="73" t="s">
        <v>201</v>
      </c>
      <c r="D32" s="73" t="s">
        <v>201</v>
      </c>
      <c r="E32" s="73" t="s">
        <v>201</v>
      </c>
      <c r="F32" s="73" t="s">
        <v>201</v>
      </c>
      <c r="G32" s="73" t="s">
        <v>201</v>
      </c>
      <c r="H32" s="73" t="s">
        <v>201</v>
      </c>
      <c r="I32" s="73" t="s">
        <v>201</v>
      </c>
      <c r="J32" s="74"/>
      <c r="K32" s="75"/>
    </row>
    <row r="33" spans="1:11" ht="15" x14ac:dyDescent="0.2">
      <c r="A33" s="71">
        <f t="shared" si="0"/>
        <v>26</v>
      </c>
      <c r="B33" s="72" t="s">
        <v>162</v>
      </c>
      <c r="C33" s="73" t="s">
        <v>201</v>
      </c>
      <c r="D33" s="73" t="s">
        <v>201</v>
      </c>
      <c r="E33" s="73" t="s">
        <v>201</v>
      </c>
      <c r="F33" s="73" t="s">
        <v>201</v>
      </c>
      <c r="G33" s="73" t="s">
        <v>201</v>
      </c>
      <c r="H33" s="73" t="s">
        <v>201</v>
      </c>
      <c r="I33" s="73" t="s">
        <v>201</v>
      </c>
      <c r="J33" s="74"/>
      <c r="K33" s="75"/>
    </row>
    <row r="34" spans="1:11" ht="15" x14ac:dyDescent="0.2">
      <c r="A34" s="71">
        <f t="shared" si="0"/>
        <v>27</v>
      </c>
      <c r="B34" s="72" t="s">
        <v>153</v>
      </c>
      <c r="C34" s="73" t="s">
        <v>201</v>
      </c>
      <c r="D34" s="73" t="s">
        <v>201</v>
      </c>
      <c r="E34" s="73" t="s">
        <v>201</v>
      </c>
      <c r="F34" s="73" t="s">
        <v>201</v>
      </c>
      <c r="G34" s="73" t="s">
        <v>201</v>
      </c>
      <c r="H34" s="73" t="s">
        <v>201</v>
      </c>
      <c r="I34" s="73" t="s">
        <v>201</v>
      </c>
      <c r="J34" s="74"/>
      <c r="K34" s="75"/>
    </row>
    <row r="35" spans="1:11" ht="15" x14ac:dyDescent="0.2">
      <c r="A35" s="71">
        <f t="shared" si="0"/>
        <v>28</v>
      </c>
      <c r="B35" s="72" t="s">
        <v>152</v>
      </c>
      <c r="C35" s="73" t="s">
        <v>201</v>
      </c>
      <c r="D35" s="73" t="s">
        <v>201</v>
      </c>
      <c r="E35" s="73" t="s">
        <v>201</v>
      </c>
      <c r="F35" s="73" t="s">
        <v>201</v>
      </c>
      <c r="G35" s="73" t="s">
        <v>201</v>
      </c>
      <c r="H35" s="73" t="s">
        <v>201</v>
      </c>
      <c r="I35" s="73" t="s">
        <v>201</v>
      </c>
      <c r="J35" s="74"/>
      <c r="K35" s="75"/>
    </row>
    <row r="36" spans="1:11" ht="15" x14ac:dyDescent="0.2">
      <c r="A36" s="71">
        <f t="shared" si="0"/>
        <v>29</v>
      </c>
      <c r="B36" s="72" t="s">
        <v>163</v>
      </c>
      <c r="C36" s="73" t="s">
        <v>201</v>
      </c>
      <c r="D36" s="73" t="s">
        <v>201</v>
      </c>
      <c r="E36" s="73" t="s">
        <v>201</v>
      </c>
      <c r="F36" s="73" t="s">
        <v>201</v>
      </c>
      <c r="G36" s="73" t="s">
        <v>201</v>
      </c>
      <c r="H36" s="73" t="s">
        <v>201</v>
      </c>
      <c r="I36" s="73" t="s">
        <v>201</v>
      </c>
      <c r="J36" s="74"/>
      <c r="K36" s="75"/>
    </row>
    <row r="37" spans="1:11" ht="15" x14ac:dyDescent="0.2">
      <c r="A37" s="71">
        <f t="shared" si="0"/>
        <v>30</v>
      </c>
      <c r="B37" s="72" t="s">
        <v>150</v>
      </c>
      <c r="C37" s="73" t="s">
        <v>201</v>
      </c>
      <c r="D37" s="73" t="s">
        <v>201</v>
      </c>
      <c r="E37" s="73" t="s">
        <v>201</v>
      </c>
      <c r="F37" s="73" t="s">
        <v>201</v>
      </c>
      <c r="G37" s="73" t="s">
        <v>201</v>
      </c>
      <c r="H37" s="73" t="s">
        <v>201</v>
      </c>
      <c r="I37" s="73" t="s">
        <v>201</v>
      </c>
      <c r="J37" s="74"/>
      <c r="K37" s="75"/>
    </row>
    <row r="38" spans="1:11" ht="25.5" x14ac:dyDescent="0.2">
      <c r="A38" s="71">
        <f t="shared" si="0"/>
        <v>31</v>
      </c>
      <c r="B38" s="127" t="s">
        <v>164</v>
      </c>
      <c r="C38" s="73" t="s">
        <v>201</v>
      </c>
      <c r="D38" s="73" t="s">
        <v>201</v>
      </c>
      <c r="E38" s="73" t="s">
        <v>201</v>
      </c>
      <c r="F38" s="73" t="s">
        <v>201</v>
      </c>
      <c r="G38" s="73" t="s">
        <v>201</v>
      </c>
      <c r="H38" s="73" t="s">
        <v>201</v>
      </c>
      <c r="I38" s="73" t="s">
        <v>201</v>
      </c>
      <c r="J38" s="74"/>
      <c r="K38" s="75"/>
    </row>
    <row r="39" spans="1:11" ht="15" x14ac:dyDescent="0.2">
      <c r="A39" s="71">
        <f>A38+1</f>
        <v>32</v>
      </c>
      <c r="B39" s="72" t="s">
        <v>165</v>
      </c>
      <c r="C39" s="73" t="s">
        <v>201</v>
      </c>
      <c r="D39" s="73" t="s">
        <v>201</v>
      </c>
      <c r="E39" s="73" t="s">
        <v>201</v>
      </c>
      <c r="F39" s="73" t="s">
        <v>201</v>
      </c>
      <c r="G39" s="73" t="s">
        <v>201</v>
      </c>
      <c r="H39" s="73" t="s">
        <v>201</v>
      </c>
      <c r="I39" s="73" t="s">
        <v>201</v>
      </c>
      <c r="J39" s="74"/>
      <c r="K39" s="75"/>
    </row>
    <row r="40" spans="1:11" ht="15" x14ac:dyDescent="0.2">
      <c r="A40" s="71">
        <f t="shared" si="0"/>
        <v>33</v>
      </c>
      <c r="B40" s="72" t="s">
        <v>166</v>
      </c>
      <c r="C40" s="73" t="s">
        <v>201</v>
      </c>
      <c r="D40" s="73" t="s">
        <v>201</v>
      </c>
      <c r="E40" s="73" t="s">
        <v>201</v>
      </c>
      <c r="F40" s="73" t="s">
        <v>201</v>
      </c>
      <c r="G40" s="73" t="s">
        <v>201</v>
      </c>
      <c r="H40" s="73" t="s">
        <v>201</v>
      </c>
      <c r="I40" s="73" t="s">
        <v>201</v>
      </c>
      <c r="J40" s="74"/>
      <c r="K40" s="75"/>
    </row>
    <row r="41" spans="1:11" ht="15" x14ac:dyDescent="0.2">
      <c r="A41" s="71">
        <f t="shared" si="0"/>
        <v>34</v>
      </c>
      <c r="B41" s="72" t="s">
        <v>167</v>
      </c>
      <c r="C41" s="73" t="s">
        <v>201</v>
      </c>
      <c r="D41" s="73" t="s">
        <v>201</v>
      </c>
      <c r="E41" s="73" t="s">
        <v>201</v>
      </c>
      <c r="F41" s="73" t="s">
        <v>201</v>
      </c>
      <c r="G41" s="73" t="s">
        <v>201</v>
      </c>
      <c r="H41" s="73" t="s">
        <v>201</v>
      </c>
      <c r="I41" s="73" t="s">
        <v>201</v>
      </c>
      <c r="J41" s="74"/>
      <c r="K41" s="75"/>
    </row>
    <row r="42" spans="1:11" ht="15" x14ac:dyDescent="0.2">
      <c r="A42" s="71">
        <f t="shared" si="0"/>
        <v>35</v>
      </c>
      <c r="B42" s="72" t="s">
        <v>168</v>
      </c>
      <c r="C42" s="73" t="s">
        <v>201</v>
      </c>
      <c r="D42" s="73" t="s">
        <v>201</v>
      </c>
      <c r="E42" s="73" t="s">
        <v>201</v>
      </c>
      <c r="F42" s="73" t="s">
        <v>201</v>
      </c>
      <c r="G42" s="73" t="s">
        <v>201</v>
      </c>
      <c r="H42" s="73" t="s">
        <v>201</v>
      </c>
      <c r="I42" s="73" t="s">
        <v>201</v>
      </c>
      <c r="J42" s="74"/>
      <c r="K42" s="75"/>
    </row>
    <row r="43" spans="1:11" ht="15" x14ac:dyDescent="0.2">
      <c r="A43" s="71">
        <f t="shared" si="0"/>
        <v>36</v>
      </c>
      <c r="B43" s="72" t="s">
        <v>169</v>
      </c>
      <c r="C43" s="73" t="s">
        <v>201</v>
      </c>
      <c r="D43" s="73" t="s">
        <v>201</v>
      </c>
      <c r="E43" s="73" t="s">
        <v>201</v>
      </c>
      <c r="F43" s="73" t="s">
        <v>201</v>
      </c>
      <c r="G43" s="73" t="s">
        <v>201</v>
      </c>
      <c r="H43" s="73" t="s">
        <v>201</v>
      </c>
      <c r="I43" s="73" t="s">
        <v>201</v>
      </c>
      <c r="J43" s="74"/>
      <c r="K43" s="75"/>
    </row>
    <row r="44" spans="1:11" ht="15" x14ac:dyDescent="0.2">
      <c r="A44" s="71">
        <f t="shared" si="0"/>
        <v>37</v>
      </c>
      <c r="B44" s="128" t="s">
        <v>156</v>
      </c>
      <c r="C44" s="73" t="s">
        <v>201</v>
      </c>
      <c r="D44" s="73" t="s">
        <v>201</v>
      </c>
      <c r="E44" s="73" t="s">
        <v>201</v>
      </c>
      <c r="F44" s="73" t="s">
        <v>201</v>
      </c>
      <c r="G44" s="73" t="s">
        <v>201</v>
      </c>
      <c r="H44" s="73" t="s">
        <v>201</v>
      </c>
      <c r="I44" s="73" t="s">
        <v>201</v>
      </c>
      <c r="J44" s="74"/>
      <c r="K44" s="75"/>
    </row>
    <row r="45" spans="1:11" ht="15" x14ac:dyDescent="0.2">
      <c r="A45" s="71">
        <f t="shared" si="0"/>
        <v>38</v>
      </c>
      <c r="B45" s="72" t="s">
        <v>170</v>
      </c>
      <c r="C45" s="73" t="s">
        <v>201</v>
      </c>
      <c r="D45" s="73" t="s">
        <v>201</v>
      </c>
      <c r="E45" s="73" t="s">
        <v>201</v>
      </c>
      <c r="F45" s="73" t="s">
        <v>201</v>
      </c>
      <c r="G45" s="73" t="s">
        <v>201</v>
      </c>
      <c r="H45" s="73" t="s">
        <v>201</v>
      </c>
      <c r="I45" s="73" t="s">
        <v>201</v>
      </c>
      <c r="J45" s="74"/>
      <c r="K45" s="75"/>
    </row>
    <row r="46" spans="1:11" ht="15" x14ac:dyDescent="0.2">
      <c r="A46" s="71">
        <f t="shared" si="0"/>
        <v>39</v>
      </c>
      <c r="B46" s="72" t="s">
        <v>171</v>
      </c>
      <c r="C46" s="73" t="s">
        <v>201</v>
      </c>
      <c r="D46" s="73" t="s">
        <v>201</v>
      </c>
      <c r="E46" s="73" t="s">
        <v>201</v>
      </c>
      <c r="F46" s="73" t="s">
        <v>201</v>
      </c>
      <c r="G46" s="73" t="s">
        <v>201</v>
      </c>
      <c r="H46" s="73" t="s">
        <v>201</v>
      </c>
      <c r="I46" s="73" t="s">
        <v>201</v>
      </c>
      <c r="J46" s="74"/>
      <c r="K46" s="75"/>
    </row>
    <row r="47" spans="1:11" ht="15" x14ac:dyDescent="0.2">
      <c r="A47" s="71">
        <f t="shared" si="0"/>
        <v>40</v>
      </c>
      <c r="B47" s="72" t="s">
        <v>172</v>
      </c>
      <c r="C47" s="73" t="s">
        <v>201</v>
      </c>
      <c r="D47" s="73" t="s">
        <v>201</v>
      </c>
      <c r="E47" s="73" t="s">
        <v>201</v>
      </c>
      <c r="F47" s="132" t="s">
        <v>200</v>
      </c>
      <c r="G47" s="73" t="s">
        <v>201</v>
      </c>
      <c r="H47" s="73" t="s">
        <v>201</v>
      </c>
      <c r="I47" s="73" t="s">
        <v>201</v>
      </c>
      <c r="J47" s="221" t="s">
        <v>202</v>
      </c>
      <c r="K47" s="75"/>
    </row>
    <row r="48" spans="1:11" ht="15" x14ac:dyDescent="0.2">
      <c r="A48" s="71">
        <f t="shared" si="0"/>
        <v>41</v>
      </c>
      <c r="B48" s="72" t="s">
        <v>173</v>
      </c>
      <c r="C48" s="73" t="s">
        <v>201</v>
      </c>
      <c r="D48" s="73" t="s">
        <v>201</v>
      </c>
      <c r="E48" s="73" t="s">
        <v>201</v>
      </c>
      <c r="F48" s="73" t="s">
        <v>201</v>
      </c>
      <c r="G48" s="73" t="s">
        <v>201</v>
      </c>
      <c r="H48" s="73" t="s">
        <v>201</v>
      </c>
      <c r="I48" s="73" t="s">
        <v>201</v>
      </c>
      <c r="J48" s="74"/>
      <c r="K48" s="75"/>
    </row>
    <row r="52" spans="1:9" x14ac:dyDescent="0.2">
      <c r="A52" s="218" t="s">
        <v>43</v>
      </c>
      <c r="B52" s="218"/>
      <c r="C52" s="218"/>
      <c r="D52" s="218"/>
      <c r="E52" s="218"/>
      <c r="F52" s="218"/>
      <c r="G52" s="218"/>
      <c r="H52" s="218"/>
      <c r="I52" s="218"/>
    </row>
    <row r="53" spans="1:9" x14ac:dyDescent="0.2">
      <c r="A53" s="118"/>
      <c r="B53" s="118"/>
      <c r="C53" s="118"/>
      <c r="D53" s="118"/>
      <c r="E53" s="118"/>
      <c r="F53" s="118"/>
      <c r="G53" s="118"/>
      <c r="H53" s="118"/>
      <c r="I53" s="118"/>
    </row>
    <row r="54" spans="1:9" x14ac:dyDescent="0.2">
      <c r="A54" s="118"/>
      <c r="B54" s="118"/>
      <c r="C54" s="118"/>
      <c r="D54" s="118"/>
      <c r="E54" s="118"/>
      <c r="F54" s="118"/>
      <c r="G54" s="118"/>
      <c r="H54" s="118"/>
      <c r="I54" s="118"/>
    </row>
    <row r="55" spans="1:9" x14ac:dyDescent="0.2">
      <c r="A55" s="118"/>
      <c r="B55" s="118"/>
      <c r="C55" s="118"/>
      <c r="D55" s="118"/>
      <c r="E55" s="118"/>
      <c r="F55" s="118"/>
      <c r="G55" s="118"/>
      <c r="H55" s="118"/>
      <c r="I55" s="118"/>
    </row>
    <row r="56" spans="1:9" x14ac:dyDescent="0.2">
      <c r="A56" s="218" t="s">
        <v>174</v>
      </c>
      <c r="B56" s="218"/>
      <c r="C56" s="218"/>
      <c r="D56" s="218"/>
      <c r="E56" s="218"/>
      <c r="F56" s="218"/>
      <c r="G56" s="218"/>
      <c r="H56" s="218"/>
      <c r="I56" s="218"/>
    </row>
    <row r="57" spans="1:9" x14ac:dyDescent="0.2">
      <c r="A57" s="218" t="s">
        <v>44</v>
      </c>
      <c r="B57" s="218"/>
      <c r="C57" s="218"/>
      <c r="D57" s="218"/>
      <c r="E57" s="218"/>
      <c r="F57" s="218"/>
      <c r="G57" s="218"/>
      <c r="H57" s="218"/>
      <c r="I57" s="218"/>
    </row>
    <row r="58" spans="1:9" x14ac:dyDescent="0.2">
      <c r="A58" s="218" t="s">
        <v>175</v>
      </c>
      <c r="B58" s="218"/>
      <c r="C58" s="218"/>
      <c r="D58" s="218"/>
      <c r="E58" s="218"/>
      <c r="F58" s="218"/>
      <c r="G58" s="218"/>
      <c r="H58" s="218"/>
      <c r="I58" s="218"/>
    </row>
  </sheetData>
  <mergeCells count="7">
    <mergeCell ref="A58:I58"/>
    <mergeCell ref="A1:K1"/>
    <mergeCell ref="A2:K2"/>
    <mergeCell ref="A3:K3"/>
    <mergeCell ref="A52:I52"/>
    <mergeCell ref="A56:I56"/>
    <mergeCell ref="A57:I57"/>
  </mergeCells>
  <printOptions horizontalCentered="1" verticalCentered="1"/>
  <pageMargins left="0.70866141732283472" right="0.70866141732283472" top="0.74803149606299213" bottom="0.74803149606299213" header="0.31496062992125984" footer="0.31496062992125984"/>
  <pageSetup paperSize="9" scale="5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Evaluación JM</vt:lpstr>
      <vt:lpstr>Evaluación Jenny</vt:lpstr>
      <vt:lpstr>Evaluación Jeisson</vt:lpstr>
      <vt:lpstr>Evaluación Marleny</vt:lpstr>
      <vt:lpstr>INDICES FINANCIEROS</vt:lpstr>
      <vt:lpstr>'Evaluación Jeisson'!Área_de_impresión</vt:lpstr>
      <vt:lpstr>'Evaluación Jenny'!Área_de_impresión</vt:lpstr>
      <vt:lpstr>'Evaluación JM'!Área_de_impresión</vt:lpstr>
      <vt:lpstr>'Evaluación Marleny'!Área_de_impresión</vt:lpstr>
      <vt:lpstr>'Evaluación Jeisson'!Títulos_a_imprimir</vt:lpstr>
      <vt:lpstr>'Evaluación Jenny'!Títulos_a_imprimir</vt:lpstr>
      <vt:lpstr>'Evaluación JM'!Títulos_a_imprimir</vt:lpstr>
      <vt:lpstr>'Evaluación Marleny'!Títulos_a_imprimir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Alberto Cuellar Sanabria</dc:creator>
  <cp:lastModifiedBy>Sandra Patricia Gaitan Fajardo</cp:lastModifiedBy>
  <cp:lastPrinted>2018-09-14T14:44:14Z</cp:lastPrinted>
  <dcterms:created xsi:type="dcterms:W3CDTF">2017-12-12T17:00:26Z</dcterms:created>
  <dcterms:modified xsi:type="dcterms:W3CDTF">2018-09-17T17:07:07Z</dcterms:modified>
</cp:coreProperties>
</file>