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INFRAESTRUCTURA 2021\3. CONTRATO BIENES INMUEBLES-CTTO 2069-7\Acta Balance No. 1\2. Acta de balance ajustada\"/>
    </mc:Choice>
  </mc:AlternateContent>
  <bookViews>
    <workbookView xWindow="20370" yWindow="-120" windowWidth="20730" windowHeight="11160" tabRatio="756"/>
  </bookViews>
  <sheets>
    <sheet name="ACTA.2" sheetId="2" r:id="rId1"/>
  </sheets>
  <externalReferences>
    <externalReference r:id="rId2"/>
    <externalReference r:id="rId3"/>
  </externalReferences>
  <definedNames>
    <definedName name="_xlnm._FilterDatabase" localSheetId="0" hidden="1">ACTA.2!$B$20:$P$373</definedName>
    <definedName name="_xlnm.Print_Area" localSheetId="0">ACTA.2!$A$1:$Q$392</definedName>
    <definedName name="_xlnm.Print_Titles" localSheetId="0">ACTA.2!$1:$18</definedName>
  </definedNames>
  <calcPr calcId="162913"/>
</workbook>
</file>

<file path=xl/calcChain.xml><?xml version="1.0" encoding="utf-8"?>
<calcChain xmlns="http://schemas.openxmlformats.org/spreadsheetml/2006/main">
  <c r="M397" i="2" l="1"/>
  <c r="K397" i="2"/>
  <c r="I397" i="2"/>
  <c r="G399" i="2"/>
  <c r="G401" i="2" s="1"/>
  <c r="N355" i="2"/>
  <c r="O355" i="2" s="1"/>
  <c r="N356" i="2"/>
  <c r="O356" i="2" s="1"/>
  <c r="N357" i="2"/>
  <c r="O357" i="2" s="1"/>
  <c r="N358" i="2"/>
  <c r="O358" i="2" s="1"/>
  <c r="N359" i="2"/>
  <c r="O359" i="2" s="1"/>
  <c r="N354" i="2"/>
  <c r="O354" i="2" s="1"/>
  <c r="N343" i="2"/>
  <c r="O343" i="2" s="1"/>
  <c r="N344" i="2"/>
  <c r="O344" i="2" s="1"/>
  <c r="N345" i="2"/>
  <c r="O345" i="2" s="1"/>
  <c r="N346" i="2"/>
  <c r="O346" i="2" s="1"/>
  <c r="N347" i="2"/>
  <c r="O347" i="2" s="1"/>
  <c r="N348" i="2"/>
  <c r="O348" i="2" s="1"/>
  <c r="N349" i="2"/>
  <c r="O349" i="2" s="1"/>
  <c r="N350" i="2"/>
  <c r="O350" i="2" s="1"/>
  <c r="N351" i="2"/>
  <c r="O351" i="2" s="1"/>
  <c r="N352" i="2"/>
  <c r="O352" i="2" s="1"/>
  <c r="N342" i="2"/>
  <c r="O342" i="2" s="1"/>
  <c r="N315" i="2"/>
  <c r="O315" i="2" s="1"/>
  <c r="N316" i="2"/>
  <c r="O316" i="2" s="1"/>
  <c r="N317" i="2"/>
  <c r="O317" i="2" s="1"/>
  <c r="N318" i="2"/>
  <c r="O318" i="2" s="1"/>
  <c r="N319" i="2"/>
  <c r="O319" i="2" s="1"/>
  <c r="N320" i="2"/>
  <c r="O320" i="2" s="1"/>
  <c r="N321" i="2"/>
  <c r="O321" i="2" s="1"/>
  <c r="N322" i="2"/>
  <c r="O322" i="2" s="1"/>
  <c r="N323" i="2"/>
  <c r="O323" i="2" s="1"/>
  <c r="N324" i="2"/>
  <c r="O324" i="2" s="1"/>
  <c r="N325" i="2"/>
  <c r="O325" i="2" s="1"/>
  <c r="N326" i="2"/>
  <c r="O326" i="2" s="1"/>
  <c r="N327" i="2"/>
  <c r="O327" i="2" s="1"/>
  <c r="N328" i="2"/>
  <c r="O328" i="2" s="1"/>
  <c r="N329" i="2"/>
  <c r="O329" i="2" s="1"/>
  <c r="N330" i="2"/>
  <c r="O330" i="2" s="1"/>
  <c r="N331" i="2"/>
  <c r="O331" i="2" s="1"/>
  <c r="N332" i="2"/>
  <c r="O332" i="2" s="1"/>
  <c r="N314" i="2"/>
  <c r="O314" i="2" s="1"/>
  <c r="N311" i="2"/>
  <c r="O311" i="2" s="1"/>
  <c r="N312" i="2"/>
  <c r="O312" i="2" s="1"/>
  <c r="N310" i="2"/>
  <c r="O310" i="2" s="1"/>
  <c r="N304" i="2"/>
  <c r="O304" i="2" s="1"/>
  <c r="N305" i="2"/>
  <c r="O305" i="2" s="1"/>
  <c r="N306" i="2"/>
  <c r="O306" i="2" s="1"/>
  <c r="N307" i="2"/>
  <c r="O307" i="2" s="1"/>
  <c r="N308" i="2"/>
  <c r="O308" i="2" s="1"/>
  <c r="N303" i="2"/>
  <c r="O303" i="2" s="1"/>
  <c r="N301" i="2"/>
  <c r="O301" i="2" s="1"/>
  <c r="N300" i="2"/>
  <c r="O300" i="2" s="1"/>
  <c r="N294" i="2"/>
  <c r="O294" i="2" s="1"/>
  <c r="N295" i="2"/>
  <c r="O295" i="2" s="1"/>
  <c r="N296" i="2"/>
  <c r="O296" i="2" s="1"/>
  <c r="N297" i="2"/>
  <c r="O297" i="2" s="1"/>
  <c r="N298" i="2"/>
  <c r="O298" i="2" s="1"/>
  <c r="N293" i="2"/>
  <c r="O293" i="2" s="1"/>
  <c r="N288" i="2"/>
  <c r="O288" i="2" s="1"/>
  <c r="N289" i="2"/>
  <c r="O289" i="2" s="1"/>
  <c r="N290" i="2"/>
  <c r="O290" i="2" s="1"/>
  <c r="N291" i="2"/>
  <c r="O291" i="2" s="1"/>
  <c r="N287" i="2"/>
  <c r="O287" i="2" s="1"/>
  <c r="N282" i="2"/>
  <c r="O282" i="2" s="1"/>
  <c r="N283" i="2"/>
  <c r="O283" i="2" s="1"/>
  <c r="N284" i="2"/>
  <c r="O284" i="2" s="1"/>
  <c r="N285" i="2"/>
  <c r="O285" i="2" s="1"/>
  <c r="N281" i="2"/>
  <c r="O281" i="2" s="1"/>
  <c r="N274" i="2"/>
  <c r="O274" i="2" s="1"/>
  <c r="N275" i="2"/>
  <c r="O275" i="2" s="1"/>
  <c r="N276" i="2"/>
  <c r="O276" i="2" s="1"/>
  <c r="N277" i="2"/>
  <c r="O277" i="2" s="1"/>
  <c r="N278" i="2"/>
  <c r="O278" i="2" s="1"/>
  <c r="N279" i="2"/>
  <c r="O279" i="2" s="1"/>
  <c r="N273" i="2"/>
  <c r="O273" i="2" s="1"/>
  <c r="N271" i="2"/>
  <c r="O271" i="2" s="1"/>
  <c r="N270" i="2"/>
  <c r="O270" i="2" s="1"/>
  <c r="N259" i="2"/>
  <c r="O259" i="2" s="1"/>
  <c r="N257" i="2"/>
  <c r="O257" i="2" s="1"/>
  <c r="N256" i="2"/>
  <c r="O256" i="2" s="1"/>
  <c r="N254" i="2"/>
  <c r="O254" i="2" s="1"/>
  <c r="N253" i="2"/>
  <c r="O253" i="2" s="1"/>
  <c r="N251" i="2"/>
  <c r="O251" i="2" s="1"/>
  <c r="N250" i="2"/>
  <c r="O250" i="2" s="1"/>
  <c r="N249" i="2"/>
  <c r="O249" i="2" s="1"/>
  <c r="N247" i="2"/>
  <c r="O247" i="2" s="1"/>
  <c r="N246" i="2"/>
  <c r="O246" i="2" s="1"/>
  <c r="N244" i="2"/>
  <c r="O244" i="2" s="1"/>
  <c r="N243" i="2"/>
  <c r="O243" i="2" s="1"/>
  <c r="N241" i="2"/>
  <c r="O241" i="2" s="1"/>
  <c r="N237" i="2"/>
  <c r="O237" i="2" s="1"/>
  <c r="N238" i="2"/>
  <c r="O238" i="2" s="1"/>
  <c r="N239" i="2"/>
  <c r="O239" i="2" s="1"/>
  <c r="N236" i="2"/>
  <c r="O236" i="2" s="1"/>
  <c r="N209" i="2"/>
  <c r="O209" i="2" s="1"/>
  <c r="N210" i="2"/>
  <c r="O210" i="2" s="1"/>
  <c r="N211" i="2"/>
  <c r="O211" i="2" s="1"/>
  <c r="N212" i="2"/>
  <c r="O212" i="2" s="1"/>
  <c r="N213" i="2"/>
  <c r="O213" i="2" s="1"/>
  <c r="N214" i="2"/>
  <c r="O214" i="2" s="1"/>
  <c r="N215" i="2"/>
  <c r="O215" i="2" s="1"/>
  <c r="N216" i="2"/>
  <c r="O216" i="2" s="1"/>
  <c r="N217" i="2"/>
  <c r="O217" i="2" s="1"/>
  <c r="N218" i="2"/>
  <c r="O218" i="2" s="1"/>
  <c r="N219" i="2"/>
  <c r="O219" i="2" s="1"/>
  <c r="N220" i="2"/>
  <c r="O220" i="2" s="1"/>
  <c r="N221" i="2"/>
  <c r="O221" i="2" s="1"/>
  <c r="N222" i="2"/>
  <c r="O222" i="2" s="1"/>
  <c r="N223" i="2"/>
  <c r="O223" i="2" s="1"/>
  <c r="N224" i="2"/>
  <c r="O224" i="2" s="1"/>
  <c r="N225" i="2"/>
  <c r="O225" i="2" s="1"/>
  <c r="N208" i="2"/>
  <c r="O208" i="2" s="1"/>
  <c r="N206" i="2"/>
  <c r="O206" i="2" s="1"/>
  <c r="N205" i="2"/>
  <c r="O205" i="2" s="1"/>
  <c r="N203" i="2"/>
  <c r="O203" i="2" s="1"/>
  <c r="N202" i="2"/>
  <c r="O202" i="2" s="1"/>
  <c r="N201" i="2"/>
  <c r="O201" i="2" s="1"/>
  <c r="N196" i="2"/>
  <c r="O196" i="2" s="1"/>
  <c r="N199" i="2"/>
  <c r="O199" i="2" s="1"/>
  <c r="N198" i="2"/>
  <c r="O198" i="2" s="1"/>
  <c r="N194" i="2"/>
  <c r="O194" i="2" s="1"/>
  <c r="N195" i="2"/>
  <c r="O195" i="2" s="1"/>
  <c r="N193" i="2"/>
  <c r="O193" i="2" s="1"/>
  <c r="N190" i="2"/>
  <c r="O190" i="2" s="1"/>
  <c r="N191" i="2"/>
  <c r="O191" i="2" s="1"/>
  <c r="N189" i="2"/>
  <c r="O189" i="2" s="1"/>
  <c r="N183" i="2"/>
  <c r="O183" i="2" s="1"/>
  <c r="N184" i="2"/>
  <c r="O184" i="2" s="1"/>
  <c r="N185" i="2"/>
  <c r="O185" i="2" s="1"/>
  <c r="N186" i="2"/>
  <c r="O186" i="2" s="1"/>
  <c r="N187" i="2"/>
  <c r="O187" i="2" s="1"/>
  <c r="N182" i="2"/>
  <c r="O182" i="2" s="1"/>
  <c r="N171" i="2"/>
  <c r="O171" i="2" s="1"/>
  <c r="N163" i="2"/>
  <c r="O163" i="2" s="1"/>
  <c r="N164" i="2"/>
  <c r="O164" i="2" s="1"/>
  <c r="N165" i="2"/>
  <c r="O165" i="2" s="1"/>
  <c r="N166" i="2"/>
  <c r="O166" i="2" s="1"/>
  <c r="N167" i="2"/>
  <c r="O167" i="2" s="1"/>
  <c r="N168" i="2"/>
  <c r="O168" i="2" s="1"/>
  <c r="N169" i="2"/>
  <c r="O169" i="2" s="1"/>
  <c r="N170" i="2"/>
  <c r="O170" i="2" s="1"/>
  <c r="N162" i="2"/>
  <c r="O162" i="2" s="1"/>
  <c r="N160" i="2"/>
  <c r="O160" i="2" s="1"/>
  <c r="N159" i="2"/>
  <c r="O159" i="2" s="1"/>
  <c r="N155" i="2"/>
  <c r="O155" i="2" s="1"/>
  <c r="N156" i="2"/>
  <c r="O156" i="2" s="1"/>
  <c r="N157" i="2"/>
  <c r="O157" i="2" s="1"/>
  <c r="N154" i="2"/>
  <c r="O154" i="2" s="1"/>
  <c r="N146" i="2"/>
  <c r="O146" i="2" s="1"/>
  <c r="N147" i="2"/>
  <c r="O147" i="2" s="1"/>
  <c r="N148" i="2"/>
  <c r="O148" i="2" s="1"/>
  <c r="N149" i="2"/>
  <c r="O149" i="2" s="1"/>
  <c r="N150" i="2"/>
  <c r="O150" i="2" s="1"/>
  <c r="N151" i="2"/>
  <c r="O151" i="2" s="1"/>
  <c r="N152" i="2"/>
  <c r="O152" i="2" s="1"/>
  <c r="N145" i="2"/>
  <c r="O145" i="2" s="1"/>
  <c r="N143" i="2"/>
  <c r="O143" i="2" s="1"/>
  <c r="N141" i="2"/>
  <c r="O141" i="2" s="1"/>
  <c r="N140" i="2"/>
  <c r="O140" i="2" s="1"/>
  <c r="N139" i="2"/>
  <c r="O139" i="2" s="1"/>
  <c r="N137" i="2"/>
  <c r="O137" i="2" s="1"/>
  <c r="N136" i="2"/>
  <c r="O136" i="2" s="1"/>
  <c r="N135" i="2"/>
  <c r="O135" i="2" s="1"/>
  <c r="N133" i="2"/>
  <c r="O133" i="2" s="1"/>
  <c r="N132" i="2"/>
  <c r="O132" i="2" s="1"/>
  <c r="N122" i="2"/>
  <c r="O122" i="2" s="1"/>
  <c r="N111" i="2"/>
  <c r="O111" i="2" s="1"/>
  <c r="N112" i="2"/>
  <c r="O112" i="2" s="1"/>
  <c r="N113" i="2"/>
  <c r="O113" i="2" s="1"/>
  <c r="N114" i="2"/>
  <c r="O114" i="2" s="1"/>
  <c r="N115" i="2"/>
  <c r="O115" i="2" s="1"/>
  <c r="N116" i="2"/>
  <c r="O116" i="2" s="1"/>
  <c r="N117" i="2"/>
  <c r="O117" i="2" s="1"/>
  <c r="N118" i="2"/>
  <c r="O118" i="2" s="1"/>
  <c r="N119" i="2"/>
  <c r="O119" i="2" s="1"/>
  <c r="N120" i="2"/>
  <c r="O120" i="2" s="1"/>
  <c r="N121" i="2"/>
  <c r="O121" i="2" s="1"/>
  <c r="N110" i="2"/>
  <c r="O110" i="2" s="1"/>
  <c r="N108" i="2"/>
  <c r="O108" i="2" s="1"/>
  <c r="N106" i="2"/>
  <c r="O106" i="2" s="1"/>
  <c r="N105" i="2"/>
  <c r="O105" i="2" s="1"/>
  <c r="N104" i="2"/>
  <c r="O104" i="2" s="1"/>
  <c r="N102" i="2"/>
  <c r="O102" i="2" s="1"/>
  <c r="N100" i="2"/>
  <c r="O100" i="2" s="1"/>
  <c r="N99" i="2"/>
  <c r="O99" i="2" s="1"/>
  <c r="N97" i="2"/>
  <c r="O97" i="2" s="1"/>
  <c r="N96" i="2"/>
  <c r="O96" i="2" s="1"/>
  <c r="N89" i="2"/>
  <c r="O89" i="2" s="1"/>
  <c r="N90" i="2"/>
  <c r="O90" i="2" s="1"/>
  <c r="N92" i="2"/>
  <c r="O92" i="2" s="1"/>
  <c r="N93" i="2"/>
  <c r="O93" i="2" s="1"/>
  <c r="N94" i="2"/>
  <c r="O94" i="2" s="1"/>
  <c r="N88" i="2"/>
  <c r="O88" i="2" s="1"/>
  <c r="N86" i="2"/>
  <c r="O86" i="2" s="1"/>
  <c r="N82" i="2"/>
  <c r="O82" i="2" s="1"/>
  <c r="N83" i="2"/>
  <c r="O83" i="2" s="1"/>
  <c r="N84" i="2"/>
  <c r="O84" i="2" s="1"/>
  <c r="N85" i="2"/>
  <c r="O85" i="2" s="1"/>
  <c r="N81" i="2"/>
  <c r="O81" i="2" s="1"/>
  <c r="N72" i="2"/>
  <c r="O72" i="2" s="1"/>
  <c r="N73" i="2"/>
  <c r="O73" i="2" s="1"/>
  <c r="N74" i="2"/>
  <c r="O74" i="2" s="1"/>
  <c r="N75" i="2"/>
  <c r="O75" i="2" s="1"/>
  <c r="N76" i="2"/>
  <c r="O76" i="2" s="1"/>
  <c r="N77" i="2"/>
  <c r="O77" i="2" s="1"/>
  <c r="N78" i="2"/>
  <c r="O78" i="2" s="1"/>
  <c r="N79" i="2"/>
  <c r="O79" i="2" s="1"/>
  <c r="N71" i="2"/>
  <c r="O71" i="2" s="1"/>
  <c r="N59" i="2"/>
  <c r="O59" i="2" s="1"/>
  <c r="N60" i="2"/>
  <c r="O60" i="2" s="1"/>
  <c r="N58" i="2"/>
  <c r="O58" i="2" s="1"/>
  <c r="N56" i="2"/>
  <c r="O56" i="2" s="1"/>
  <c r="N51" i="2"/>
  <c r="O51" i="2" s="1"/>
  <c r="N52" i="2"/>
  <c r="O52" i="2" s="1"/>
  <c r="N53" i="2"/>
  <c r="O53" i="2" s="1"/>
  <c r="N54" i="2"/>
  <c r="O54" i="2" s="1"/>
  <c r="N50" i="2"/>
  <c r="O50" i="2" s="1"/>
  <c r="N46" i="2"/>
  <c r="O46" i="2" s="1"/>
  <c r="N47" i="2"/>
  <c r="O47" i="2" s="1"/>
  <c r="N48" i="2"/>
  <c r="O48" i="2" s="1"/>
  <c r="N45" i="2"/>
  <c r="O45" i="2" s="1"/>
  <c r="N39" i="2"/>
  <c r="O39" i="2" s="1"/>
  <c r="N40" i="2"/>
  <c r="O40" i="2" s="1"/>
  <c r="N41" i="2"/>
  <c r="O41" i="2" s="1"/>
  <c r="N42" i="2"/>
  <c r="O42" i="2" s="1"/>
  <c r="N43" i="2"/>
  <c r="O43" i="2" s="1"/>
  <c r="N34" i="2"/>
  <c r="O34" i="2" s="1"/>
  <c r="N32" i="2"/>
  <c r="O32" i="2" s="1"/>
  <c r="N30" i="2"/>
  <c r="O30" i="2" s="1"/>
  <c r="N23" i="2"/>
  <c r="O23" i="2" s="1"/>
  <c r="N24" i="2"/>
  <c r="O24" i="2" s="1"/>
  <c r="N25" i="2"/>
  <c r="O25" i="2" s="1"/>
  <c r="N21" i="2"/>
  <c r="O21" i="2" s="1"/>
  <c r="M381" i="2"/>
  <c r="J381" i="2"/>
  <c r="O124" i="2" l="1"/>
  <c r="I379" i="2"/>
  <c r="I381" i="2" s="1"/>
  <c r="M354" i="2" l="1"/>
  <c r="M122" i="2"/>
  <c r="M259" i="2"/>
  <c r="M257" i="2"/>
  <c r="M256" i="2"/>
  <c r="M254" i="2"/>
  <c r="M253" i="2"/>
  <c r="M250" i="2"/>
  <c r="M251" i="2"/>
  <c r="M249" i="2"/>
  <c r="M247" i="2"/>
  <c r="M246" i="2"/>
  <c r="M244" i="2"/>
  <c r="M243" i="2"/>
  <c r="M241" i="2"/>
  <c r="M237" i="2"/>
  <c r="M238" i="2"/>
  <c r="M239" i="2"/>
  <c r="M236" i="2"/>
  <c r="M225" i="2" l="1"/>
  <c r="M224" i="2"/>
  <c r="M223" i="2"/>
  <c r="O227" i="2"/>
  <c r="O229" i="2" s="1"/>
  <c r="J359" i="2"/>
  <c r="K359" i="2" s="1"/>
  <c r="M359" i="2"/>
  <c r="M261" i="2"/>
  <c r="M262" i="2" s="1"/>
  <c r="P359" i="2" l="1"/>
  <c r="O228" i="2"/>
  <c r="O230" i="2"/>
  <c r="M264" i="2"/>
  <c r="M263" i="2"/>
  <c r="O231" i="2" l="1"/>
  <c r="O232" i="2" s="1"/>
  <c r="M265" i="2"/>
  <c r="M266" i="2" s="1"/>
  <c r="I359" i="2" l="1"/>
  <c r="J303" i="2" l="1"/>
  <c r="I184" i="2"/>
  <c r="I185" i="2"/>
  <c r="I186" i="2"/>
  <c r="I187" i="2"/>
  <c r="I183" i="2"/>
  <c r="G239" i="2" l="1"/>
  <c r="H46" i="2" l="1"/>
  <c r="I171" i="2" l="1"/>
  <c r="J171" i="2"/>
  <c r="K171" i="2" s="1"/>
  <c r="M171" i="2"/>
  <c r="J357" i="2"/>
  <c r="K357" i="2" s="1"/>
  <c r="M358" i="2"/>
  <c r="J358" i="2"/>
  <c r="K358" i="2" s="1"/>
  <c r="I358" i="2"/>
  <c r="G358" i="2"/>
  <c r="I357" i="2"/>
  <c r="P171" i="2" l="1"/>
  <c r="P357" i="2"/>
  <c r="P358" i="2"/>
  <c r="J47" i="2" l="1"/>
  <c r="J45" i="2"/>
  <c r="K45" i="2" s="1"/>
  <c r="J326" i="2" l="1"/>
  <c r="J327" i="2"/>
  <c r="J328" i="2"/>
  <c r="J329" i="2"/>
  <c r="J330" i="2"/>
  <c r="J331" i="2"/>
  <c r="J332" i="2"/>
  <c r="J225" i="2"/>
  <c r="P225" i="2" s="1"/>
  <c r="J224" i="2"/>
  <c r="P224" i="2" s="1"/>
  <c r="J223" i="2"/>
  <c r="P223" i="2" s="1"/>
  <c r="J209" i="2"/>
  <c r="J170" i="2"/>
  <c r="J169" i="2"/>
  <c r="J168" i="2"/>
  <c r="J167" i="2"/>
  <c r="K167" i="2" s="1"/>
  <c r="I148" i="2"/>
  <c r="J122" i="2"/>
  <c r="J132" i="2"/>
  <c r="J60" i="2"/>
  <c r="H40" i="2"/>
  <c r="H39" i="2"/>
  <c r="M169" i="2"/>
  <c r="J201" i="2" l="1"/>
  <c r="H350" i="2"/>
  <c r="H348" i="2"/>
  <c r="H347" i="2"/>
  <c r="H344" i="2"/>
  <c r="H343" i="2"/>
  <c r="H342" i="2"/>
  <c r="I342" i="2" s="1"/>
  <c r="H306" i="2"/>
  <c r="H304" i="2"/>
  <c r="H300" i="2"/>
  <c r="H298" i="2"/>
  <c r="H297" i="2"/>
  <c r="H294" i="2"/>
  <c r="H293" i="2"/>
  <c r="H291" i="2"/>
  <c r="H290" i="2"/>
  <c r="H288" i="2"/>
  <c r="H285" i="2"/>
  <c r="H282" i="2"/>
  <c r="H281" i="2"/>
  <c r="H277" i="2"/>
  <c r="H270" i="2"/>
  <c r="K225" i="2"/>
  <c r="K224" i="2"/>
  <c r="I224" i="2"/>
  <c r="I225" i="2"/>
  <c r="H244" i="2"/>
  <c r="H243" i="2"/>
  <c r="H241" i="2"/>
  <c r="K223" i="2"/>
  <c r="I223" i="2"/>
  <c r="H193" i="2"/>
  <c r="H190" i="2"/>
  <c r="H159" i="2"/>
  <c r="H157" i="2"/>
  <c r="H154" i="2"/>
  <c r="H149" i="2"/>
  <c r="H140" i="2"/>
  <c r="H90" i="2"/>
  <c r="H99" i="2"/>
  <c r="J99" i="2" s="1"/>
  <c r="P122" i="2"/>
  <c r="K122" i="2"/>
  <c r="I122" i="2"/>
  <c r="H100" i="2"/>
  <c r="H93" i="2"/>
  <c r="H96" i="2"/>
  <c r="H92" i="2"/>
  <c r="H89" i="2"/>
  <c r="H83" i="2"/>
  <c r="H76" i="2"/>
  <c r="J39" i="2"/>
  <c r="H35" i="2"/>
  <c r="H29" i="2"/>
  <c r="J46" i="2"/>
  <c r="J355" i="2"/>
  <c r="K355" i="2" s="1"/>
  <c r="J356" i="2"/>
  <c r="K356" i="2" s="1"/>
  <c r="J354" i="2"/>
  <c r="I355" i="2"/>
  <c r="I356" i="2"/>
  <c r="I354" i="2"/>
  <c r="P329" i="2"/>
  <c r="P330" i="2"/>
  <c r="P331" i="2"/>
  <c r="P332" i="2"/>
  <c r="G328" i="2"/>
  <c r="G329" i="2"/>
  <c r="G330" i="2"/>
  <c r="G331" i="2"/>
  <c r="G332" i="2"/>
  <c r="M328" i="2"/>
  <c r="M329" i="2"/>
  <c r="M330" i="2"/>
  <c r="M331" i="2"/>
  <c r="M332" i="2"/>
  <c r="I327" i="2"/>
  <c r="I328" i="2"/>
  <c r="I329" i="2"/>
  <c r="I330" i="2"/>
  <c r="I331" i="2"/>
  <c r="I332" i="2"/>
  <c r="I326" i="2"/>
  <c r="I168" i="2"/>
  <c r="I169" i="2"/>
  <c r="I170" i="2"/>
  <c r="I167" i="2"/>
  <c r="K332" i="2"/>
  <c r="K331" i="2"/>
  <c r="K330" i="2"/>
  <c r="K354" i="2" l="1"/>
  <c r="M356" i="2" l="1"/>
  <c r="M355" i="2"/>
  <c r="P355" i="2"/>
  <c r="P356" i="2"/>
  <c r="K329" i="2"/>
  <c r="K328" i="2"/>
  <c r="M222" i="2" l="1"/>
  <c r="J222" i="2"/>
  <c r="K222" i="2" s="1"/>
  <c r="I222" i="2"/>
  <c r="P222" i="2" l="1"/>
  <c r="P328" i="2" l="1"/>
  <c r="P327" i="2"/>
  <c r="M327" i="2"/>
  <c r="K327" i="2"/>
  <c r="G327" i="2"/>
  <c r="P326" i="2" l="1"/>
  <c r="M326" i="2"/>
  <c r="G325" i="2"/>
  <c r="G326" i="2"/>
  <c r="K326" i="2" l="1"/>
  <c r="M170" i="2" l="1"/>
  <c r="K170" i="2"/>
  <c r="P169" i="2"/>
  <c r="K169" i="2"/>
  <c r="P168" i="2"/>
  <c r="M168" i="2"/>
  <c r="K168" i="2"/>
  <c r="P167" i="2"/>
  <c r="M167" i="2"/>
  <c r="P170" i="2" l="1"/>
  <c r="M221" i="2"/>
  <c r="J221" i="2"/>
  <c r="K221" i="2" s="1"/>
  <c r="I221" i="2"/>
  <c r="G221" i="2"/>
  <c r="M220" i="2"/>
  <c r="J220" i="2"/>
  <c r="K220" i="2" s="1"/>
  <c r="I220" i="2"/>
  <c r="G220" i="2"/>
  <c r="M219" i="2"/>
  <c r="J219" i="2"/>
  <c r="K219" i="2" s="1"/>
  <c r="I219" i="2"/>
  <c r="G219" i="2"/>
  <c r="M218" i="2"/>
  <c r="J218" i="2"/>
  <c r="K218" i="2" s="1"/>
  <c r="I218" i="2"/>
  <c r="G218" i="2"/>
  <c r="M217" i="2"/>
  <c r="J217" i="2"/>
  <c r="K217" i="2" s="1"/>
  <c r="I217" i="2"/>
  <c r="G217" i="2"/>
  <c r="M216" i="2"/>
  <c r="J216" i="2"/>
  <c r="K216" i="2" s="1"/>
  <c r="I216" i="2"/>
  <c r="G216" i="2"/>
  <c r="M215" i="2"/>
  <c r="J215" i="2"/>
  <c r="K215" i="2" s="1"/>
  <c r="I215" i="2"/>
  <c r="G215" i="2"/>
  <c r="M214" i="2"/>
  <c r="J214" i="2"/>
  <c r="K214" i="2" s="1"/>
  <c r="I214" i="2"/>
  <c r="G214" i="2"/>
  <c r="M213" i="2"/>
  <c r="J213" i="2"/>
  <c r="K213" i="2" s="1"/>
  <c r="I213" i="2"/>
  <c r="G213" i="2"/>
  <c r="M212" i="2"/>
  <c r="J212" i="2"/>
  <c r="K212" i="2" s="1"/>
  <c r="I212" i="2"/>
  <c r="G212" i="2"/>
  <c r="M211" i="2"/>
  <c r="J211" i="2"/>
  <c r="K211" i="2" s="1"/>
  <c r="I211" i="2"/>
  <c r="G211" i="2"/>
  <c r="M210" i="2"/>
  <c r="J210" i="2"/>
  <c r="K210" i="2" s="1"/>
  <c r="I210" i="2"/>
  <c r="G210" i="2"/>
  <c r="M209" i="2"/>
  <c r="K209" i="2"/>
  <c r="I209" i="2"/>
  <c r="G209" i="2"/>
  <c r="M208" i="2"/>
  <c r="J208" i="2"/>
  <c r="K208" i="2" s="1"/>
  <c r="I208" i="2"/>
  <c r="G208" i="2"/>
  <c r="M206" i="2"/>
  <c r="J206" i="2"/>
  <c r="K206" i="2" s="1"/>
  <c r="I206" i="2"/>
  <c r="G206" i="2"/>
  <c r="M205" i="2"/>
  <c r="J205" i="2"/>
  <c r="K205" i="2" s="1"/>
  <c r="I205" i="2"/>
  <c r="G205" i="2"/>
  <c r="M203" i="2"/>
  <c r="J203" i="2"/>
  <c r="K203" i="2" s="1"/>
  <c r="I203" i="2"/>
  <c r="G203" i="2"/>
  <c r="M202" i="2"/>
  <c r="J202" i="2"/>
  <c r="K202" i="2" s="1"/>
  <c r="I202" i="2"/>
  <c r="G202" i="2"/>
  <c r="M201" i="2"/>
  <c r="K201" i="2"/>
  <c r="I201" i="2"/>
  <c r="G201" i="2"/>
  <c r="M199" i="2"/>
  <c r="J199" i="2"/>
  <c r="K199" i="2" s="1"/>
  <c r="I199" i="2"/>
  <c r="G199" i="2"/>
  <c r="M198" i="2"/>
  <c r="J198" i="2"/>
  <c r="K198" i="2" s="1"/>
  <c r="I198" i="2"/>
  <c r="G198" i="2"/>
  <c r="M196" i="2"/>
  <c r="J196" i="2"/>
  <c r="K196" i="2" s="1"/>
  <c r="I196" i="2"/>
  <c r="G196" i="2"/>
  <c r="M195" i="2"/>
  <c r="J195" i="2"/>
  <c r="K195" i="2" s="1"/>
  <c r="I195" i="2"/>
  <c r="G195" i="2"/>
  <c r="M194" i="2"/>
  <c r="J194" i="2"/>
  <c r="K194" i="2" s="1"/>
  <c r="I194" i="2"/>
  <c r="G194" i="2"/>
  <c r="M193" i="2"/>
  <c r="J193" i="2"/>
  <c r="K193" i="2" s="1"/>
  <c r="I193" i="2"/>
  <c r="G193" i="2"/>
  <c r="M191" i="2"/>
  <c r="J191" i="2"/>
  <c r="K191" i="2" s="1"/>
  <c r="I191" i="2"/>
  <c r="G191" i="2"/>
  <c r="M190" i="2"/>
  <c r="K190" i="2"/>
  <c r="I190" i="2"/>
  <c r="G190" i="2"/>
  <c r="M189" i="2"/>
  <c r="H189" i="2"/>
  <c r="J189" i="2" s="1"/>
  <c r="K189" i="2" s="1"/>
  <c r="G189" i="2"/>
  <c r="M187" i="2"/>
  <c r="J187" i="2"/>
  <c r="K187" i="2" s="1"/>
  <c r="G187" i="2"/>
  <c r="M186" i="2"/>
  <c r="J186" i="2"/>
  <c r="K186" i="2" s="1"/>
  <c r="G186" i="2"/>
  <c r="M185" i="2"/>
  <c r="J185" i="2"/>
  <c r="K185" i="2" s="1"/>
  <c r="G185" i="2"/>
  <c r="M184" i="2"/>
  <c r="J184" i="2"/>
  <c r="K184" i="2" s="1"/>
  <c r="G184" i="2"/>
  <c r="M183" i="2"/>
  <c r="J183" i="2"/>
  <c r="K183" i="2" s="1"/>
  <c r="G183" i="2"/>
  <c r="M182" i="2"/>
  <c r="J182" i="2"/>
  <c r="K182" i="2" s="1"/>
  <c r="I182" i="2"/>
  <c r="G182" i="2"/>
  <c r="M352" i="2"/>
  <c r="J352" i="2"/>
  <c r="K352" i="2" s="1"/>
  <c r="I352" i="2"/>
  <c r="G352" i="2"/>
  <c r="M351" i="2"/>
  <c r="J351" i="2"/>
  <c r="K351" i="2" s="1"/>
  <c r="I351" i="2"/>
  <c r="G351" i="2"/>
  <c r="M350" i="2"/>
  <c r="J350" i="2"/>
  <c r="K350" i="2" s="1"/>
  <c r="I350" i="2"/>
  <c r="G350" i="2"/>
  <c r="M349" i="2"/>
  <c r="J349" i="2"/>
  <c r="K349" i="2" s="1"/>
  <c r="I349" i="2"/>
  <c r="G349" i="2"/>
  <c r="M348" i="2"/>
  <c r="J348" i="2"/>
  <c r="K348" i="2" s="1"/>
  <c r="I348" i="2"/>
  <c r="G348" i="2"/>
  <c r="M347" i="2"/>
  <c r="J347" i="2"/>
  <c r="K347" i="2" s="1"/>
  <c r="I347" i="2"/>
  <c r="G347" i="2"/>
  <c r="M346" i="2"/>
  <c r="J346" i="2"/>
  <c r="K346" i="2" s="1"/>
  <c r="I346" i="2"/>
  <c r="G346" i="2"/>
  <c r="M345" i="2"/>
  <c r="J345" i="2"/>
  <c r="K345" i="2" s="1"/>
  <c r="I345" i="2"/>
  <c r="G345" i="2"/>
  <c r="M344" i="2"/>
  <c r="J344" i="2"/>
  <c r="K344" i="2" s="1"/>
  <c r="I344" i="2"/>
  <c r="G344" i="2"/>
  <c r="M343" i="2"/>
  <c r="J343" i="2"/>
  <c r="K343" i="2" s="1"/>
  <c r="I343" i="2"/>
  <c r="G343" i="2"/>
  <c r="M342" i="2"/>
  <c r="J342" i="2"/>
  <c r="K342" i="2" s="1"/>
  <c r="G342" i="2"/>
  <c r="I361" i="2" l="1"/>
  <c r="K227" i="2"/>
  <c r="K230" i="2" s="1"/>
  <c r="G361" i="2"/>
  <c r="G363" i="2" s="1"/>
  <c r="K361" i="2"/>
  <c r="K364" i="2" s="1"/>
  <c r="M227" i="2"/>
  <c r="M230" i="2" s="1"/>
  <c r="M361" i="2"/>
  <c r="I363" i="2"/>
  <c r="I364" i="2"/>
  <c r="I362" i="2"/>
  <c r="G227" i="2"/>
  <c r="P352" i="2"/>
  <c r="P198" i="2"/>
  <c r="P209" i="2"/>
  <c r="P217" i="2"/>
  <c r="P194" i="2"/>
  <c r="P205" i="2"/>
  <c r="P214" i="2"/>
  <c r="P348" i="2"/>
  <c r="P195" i="2"/>
  <c r="P212" i="2"/>
  <c r="P220" i="2"/>
  <c r="P187" i="2"/>
  <c r="P184" i="2"/>
  <c r="P221" i="2"/>
  <c r="P208" i="2"/>
  <c r="P213" i="2"/>
  <c r="P351" i="2"/>
  <c r="P189" i="2"/>
  <c r="P199" i="2"/>
  <c r="P210" i="2"/>
  <c r="P218" i="2"/>
  <c r="P349" i="2"/>
  <c r="P196" i="2"/>
  <c r="P211" i="2"/>
  <c r="P219" i="2"/>
  <c r="P346" i="2"/>
  <c r="P183" i="2"/>
  <c r="P186" i="2"/>
  <c r="P193" i="2"/>
  <c r="P182" i="2"/>
  <c r="P185" i="2"/>
  <c r="P191" i="2"/>
  <c r="P206" i="2"/>
  <c r="P215" i="2"/>
  <c r="P216" i="2"/>
  <c r="I189" i="2"/>
  <c r="I227" i="2" s="1"/>
  <c r="G364" i="2" l="1"/>
  <c r="K228" i="2"/>
  <c r="G362" i="2"/>
  <c r="G365" i="2" s="1"/>
  <c r="G366" i="2" s="1"/>
  <c r="K362" i="2"/>
  <c r="K229" i="2"/>
  <c r="M229" i="2"/>
  <c r="M228" i="2"/>
  <c r="K363" i="2"/>
  <c r="K365" i="2" s="1"/>
  <c r="K366" i="2" s="1"/>
  <c r="I365" i="2"/>
  <c r="I366" i="2" s="1"/>
  <c r="I229" i="2"/>
  <c r="I230" i="2"/>
  <c r="I228" i="2"/>
  <c r="G229" i="2"/>
  <c r="G230" i="2"/>
  <c r="G228" i="2"/>
  <c r="M363" i="2"/>
  <c r="M364" i="2"/>
  <c r="M362" i="2"/>
  <c r="O361" i="2"/>
  <c r="K231" i="2" l="1"/>
  <c r="K232" i="2" s="1"/>
  <c r="P227" i="2" s="1"/>
  <c r="M231" i="2"/>
  <c r="M232" i="2" s="1"/>
  <c r="M365" i="2"/>
  <c r="M366" i="2" s="1"/>
  <c r="I231" i="2"/>
  <c r="I232" i="2" s="1"/>
  <c r="G231" i="2"/>
  <c r="G232" i="2" s="1"/>
  <c r="O362" i="2"/>
  <c r="O364" i="2"/>
  <c r="O363" i="2"/>
  <c r="O365" i="2" l="1"/>
  <c r="O366" i="2" s="1"/>
  <c r="P361" i="2" s="1"/>
  <c r="P99" i="2" l="1"/>
  <c r="P47" i="2"/>
  <c r="P53" i="2"/>
  <c r="M279" i="2"/>
  <c r="J259" i="2" l="1"/>
  <c r="K259" i="2" s="1"/>
  <c r="I259" i="2"/>
  <c r="G259" i="2"/>
  <c r="J257" i="2"/>
  <c r="K257" i="2" s="1"/>
  <c r="I257" i="2"/>
  <c r="G257" i="2"/>
  <c r="J256" i="2"/>
  <c r="K256" i="2" s="1"/>
  <c r="I256" i="2"/>
  <c r="G256" i="2"/>
  <c r="J254" i="2"/>
  <c r="K254" i="2" s="1"/>
  <c r="I254" i="2"/>
  <c r="G254" i="2"/>
  <c r="J253" i="2"/>
  <c r="K253" i="2" s="1"/>
  <c r="I253" i="2"/>
  <c r="G253" i="2"/>
  <c r="J251" i="2"/>
  <c r="K251" i="2" s="1"/>
  <c r="I251" i="2"/>
  <c r="G251" i="2"/>
  <c r="J250" i="2"/>
  <c r="K250" i="2" s="1"/>
  <c r="I250" i="2"/>
  <c r="G250" i="2"/>
  <c r="J249" i="2"/>
  <c r="K249" i="2" s="1"/>
  <c r="I249" i="2"/>
  <c r="G249" i="2"/>
  <c r="J247" i="2"/>
  <c r="K247" i="2" s="1"/>
  <c r="I247" i="2"/>
  <c r="G247" i="2"/>
  <c r="J246" i="2"/>
  <c r="K246" i="2" s="1"/>
  <c r="I246" i="2"/>
  <c r="G246" i="2"/>
  <c r="J244" i="2"/>
  <c r="K244" i="2" s="1"/>
  <c r="I244" i="2"/>
  <c r="G244" i="2"/>
  <c r="J243" i="2"/>
  <c r="K243" i="2" s="1"/>
  <c r="I243" i="2"/>
  <c r="G243" i="2"/>
  <c r="J241" i="2"/>
  <c r="K241" i="2" s="1"/>
  <c r="I241" i="2"/>
  <c r="G241" i="2"/>
  <c r="J239" i="2"/>
  <c r="K239" i="2" s="1"/>
  <c r="I239" i="2"/>
  <c r="J238" i="2"/>
  <c r="K238" i="2" s="1"/>
  <c r="I238" i="2"/>
  <c r="G238" i="2"/>
  <c r="J237" i="2"/>
  <c r="K237" i="2" s="1"/>
  <c r="I237" i="2"/>
  <c r="G237" i="2"/>
  <c r="J236" i="2"/>
  <c r="K236" i="2" s="1"/>
  <c r="I236" i="2"/>
  <c r="G236" i="2"/>
  <c r="G261" i="2" l="1"/>
  <c r="G263" i="2" s="1"/>
  <c r="K261" i="2"/>
  <c r="K263" i="2" s="1"/>
  <c r="I261" i="2"/>
  <c r="I262" i="2" s="1"/>
  <c r="P243" i="2"/>
  <c r="P256" i="2"/>
  <c r="P250" i="2"/>
  <c r="P249" i="2"/>
  <c r="P241" i="2"/>
  <c r="P257" i="2"/>
  <c r="P247" i="2"/>
  <c r="P246" i="2"/>
  <c r="P236" i="2"/>
  <c r="K262" i="2" l="1"/>
  <c r="G262" i="2"/>
  <c r="G264" i="2"/>
  <c r="I264" i="2"/>
  <c r="K264" i="2"/>
  <c r="K265" i="2" s="1"/>
  <c r="K266" i="2" s="1"/>
  <c r="I263" i="2"/>
  <c r="I265" i="2" s="1"/>
  <c r="I266" i="2" s="1"/>
  <c r="G265" i="2"/>
  <c r="G266" i="2" s="1"/>
  <c r="P259" i="2"/>
  <c r="P244" i="2"/>
  <c r="O261" i="2"/>
  <c r="O264" i="2" l="1"/>
  <c r="O262" i="2"/>
  <c r="O263" i="2"/>
  <c r="O265" i="2" l="1"/>
  <c r="O266" i="2" s="1"/>
  <c r="P261" i="2" s="1"/>
  <c r="M325" i="2" l="1"/>
  <c r="J325" i="2"/>
  <c r="K325" i="2" s="1"/>
  <c r="I325" i="2"/>
  <c r="M324" i="2"/>
  <c r="J324" i="2"/>
  <c r="K324" i="2" s="1"/>
  <c r="I324" i="2"/>
  <c r="G324" i="2"/>
  <c r="M323" i="2"/>
  <c r="J323" i="2"/>
  <c r="P323" i="2" s="1"/>
  <c r="I323" i="2"/>
  <c r="G323" i="2"/>
  <c r="M322" i="2"/>
  <c r="J322" i="2"/>
  <c r="K322" i="2" s="1"/>
  <c r="I322" i="2"/>
  <c r="G322" i="2"/>
  <c r="M321" i="2"/>
  <c r="J321" i="2"/>
  <c r="K321" i="2" s="1"/>
  <c r="I321" i="2"/>
  <c r="G321" i="2"/>
  <c r="M320" i="2"/>
  <c r="J320" i="2"/>
  <c r="K320" i="2" s="1"/>
  <c r="I320" i="2"/>
  <c r="G320" i="2"/>
  <c r="M319" i="2"/>
  <c r="J319" i="2"/>
  <c r="K319" i="2" s="1"/>
  <c r="I319" i="2"/>
  <c r="G319" i="2"/>
  <c r="M318" i="2"/>
  <c r="J318" i="2"/>
  <c r="K318" i="2" s="1"/>
  <c r="I318" i="2"/>
  <c r="G318" i="2"/>
  <c r="M317" i="2"/>
  <c r="J317" i="2"/>
  <c r="K317" i="2" s="1"/>
  <c r="I317" i="2"/>
  <c r="G317" i="2"/>
  <c r="M316" i="2"/>
  <c r="J316" i="2"/>
  <c r="K316" i="2" s="1"/>
  <c r="I316" i="2"/>
  <c r="G316" i="2"/>
  <c r="M315" i="2"/>
  <c r="J315" i="2"/>
  <c r="K315" i="2" s="1"/>
  <c r="I315" i="2"/>
  <c r="G315" i="2"/>
  <c r="M314" i="2"/>
  <c r="J314" i="2"/>
  <c r="K314" i="2" s="1"/>
  <c r="I314" i="2"/>
  <c r="G314" i="2"/>
  <c r="M312" i="2"/>
  <c r="J312" i="2"/>
  <c r="K312" i="2" s="1"/>
  <c r="I312" i="2"/>
  <c r="G312" i="2"/>
  <c r="M311" i="2"/>
  <c r="J311" i="2"/>
  <c r="K311" i="2" s="1"/>
  <c r="I311" i="2"/>
  <c r="G311" i="2"/>
  <c r="M310" i="2"/>
  <c r="J310" i="2"/>
  <c r="K310" i="2" s="1"/>
  <c r="I310" i="2"/>
  <c r="G310" i="2"/>
  <c r="M308" i="2"/>
  <c r="J308" i="2"/>
  <c r="K308" i="2" s="1"/>
  <c r="I308" i="2"/>
  <c r="G308" i="2"/>
  <c r="M307" i="2"/>
  <c r="J307" i="2"/>
  <c r="K307" i="2" s="1"/>
  <c r="I307" i="2"/>
  <c r="G307" i="2"/>
  <c r="M306" i="2"/>
  <c r="J306" i="2"/>
  <c r="K306" i="2" s="1"/>
  <c r="I306" i="2"/>
  <c r="G306" i="2"/>
  <c r="M305" i="2"/>
  <c r="J305" i="2"/>
  <c r="K305" i="2" s="1"/>
  <c r="I305" i="2"/>
  <c r="G305" i="2"/>
  <c r="M304" i="2"/>
  <c r="J304" i="2"/>
  <c r="K304" i="2" s="1"/>
  <c r="I304" i="2"/>
  <c r="G304" i="2"/>
  <c r="M303" i="2"/>
  <c r="K303" i="2"/>
  <c r="I303" i="2"/>
  <c r="G303" i="2"/>
  <c r="M301" i="2"/>
  <c r="J301" i="2"/>
  <c r="K301" i="2" s="1"/>
  <c r="I301" i="2"/>
  <c r="G301" i="2"/>
  <c r="M300" i="2"/>
  <c r="J300" i="2"/>
  <c r="K300" i="2" s="1"/>
  <c r="I300" i="2"/>
  <c r="G300" i="2"/>
  <c r="M298" i="2"/>
  <c r="J298" i="2"/>
  <c r="K298" i="2" s="1"/>
  <c r="I298" i="2"/>
  <c r="G298" i="2"/>
  <c r="M297" i="2"/>
  <c r="J297" i="2"/>
  <c r="K297" i="2" s="1"/>
  <c r="I297" i="2"/>
  <c r="G297" i="2"/>
  <c r="M296" i="2"/>
  <c r="J296" i="2"/>
  <c r="K296" i="2" s="1"/>
  <c r="I296" i="2"/>
  <c r="G296" i="2"/>
  <c r="M295" i="2"/>
  <c r="J295" i="2"/>
  <c r="K295" i="2" s="1"/>
  <c r="I295" i="2"/>
  <c r="G295" i="2"/>
  <c r="M294" i="2"/>
  <c r="J294" i="2"/>
  <c r="K294" i="2" s="1"/>
  <c r="I294" i="2"/>
  <c r="G294" i="2"/>
  <c r="M293" i="2"/>
  <c r="J293" i="2"/>
  <c r="K293" i="2" s="1"/>
  <c r="I293" i="2"/>
  <c r="G293" i="2"/>
  <c r="M291" i="2"/>
  <c r="J291" i="2"/>
  <c r="K291" i="2" s="1"/>
  <c r="I291" i="2"/>
  <c r="G291" i="2"/>
  <c r="M290" i="2"/>
  <c r="J290" i="2"/>
  <c r="K290" i="2" s="1"/>
  <c r="I290" i="2"/>
  <c r="G290" i="2"/>
  <c r="M289" i="2"/>
  <c r="J289" i="2"/>
  <c r="K289" i="2" s="1"/>
  <c r="I289" i="2"/>
  <c r="G289" i="2"/>
  <c r="M288" i="2"/>
  <c r="J288" i="2"/>
  <c r="K288" i="2" s="1"/>
  <c r="I288" i="2"/>
  <c r="G288" i="2"/>
  <c r="M287" i="2"/>
  <c r="J287" i="2"/>
  <c r="K287" i="2" s="1"/>
  <c r="I287" i="2"/>
  <c r="G287" i="2"/>
  <c r="M285" i="2"/>
  <c r="J285" i="2"/>
  <c r="K285" i="2" s="1"/>
  <c r="I285" i="2"/>
  <c r="G285" i="2"/>
  <c r="M284" i="2"/>
  <c r="J284" i="2"/>
  <c r="K284" i="2" s="1"/>
  <c r="I284" i="2"/>
  <c r="G284" i="2"/>
  <c r="M283" i="2"/>
  <c r="J283" i="2"/>
  <c r="K283" i="2" s="1"/>
  <c r="I283" i="2"/>
  <c r="G283" i="2"/>
  <c r="M282" i="2"/>
  <c r="J282" i="2"/>
  <c r="K282" i="2" s="1"/>
  <c r="I282" i="2"/>
  <c r="G282" i="2"/>
  <c r="M281" i="2"/>
  <c r="J281" i="2"/>
  <c r="K281" i="2" s="1"/>
  <c r="I281" i="2"/>
  <c r="G281" i="2"/>
  <c r="J279" i="2"/>
  <c r="K279" i="2" s="1"/>
  <c r="I279" i="2"/>
  <c r="G279" i="2"/>
  <c r="M278" i="2"/>
  <c r="J278" i="2"/>
  <c r="K278" i="2" s="1"/>
  <c r="I278" i="2"/>
  <c r="G278" i="2"/>
  <c r="M277" i="2"/>
  <c r="J277" i="2"/>
  <c r="K277" i="2" s="1"/>
  <c r="I277" i="2"/>
  <c r="G277" i="2"/>
  <c r="M276" i="2"/>
  <c r="J276" i="2"/>
  <c r="K276" i="2" s="1"/>
  <c r="I276" i="2"/>
  <c r="G276" i="2"/>
  <c r="M275" i="2"/>
  <c r="J275" i="2"/>
  <c r="K275" i="2" s="1"/>
  <c r="I275" i="2"/>
  <c r="G275" i="2"/>
  <c r="M274" i="2"/>
  <c r="J274" i="2"/>
  <c r="K274" i="2" s="1"/>
  <c r="I274" i="2"/>
  <c r="G274" i="2"/>
  <c r="M273" i="2"/>
  <c r="J273" i="2"/>
  <c r="K273" i="2" s="1"/>
  <c r="I273" i="2"/>
  <c r="G273" i="2"/>
  <c r="M271" i="2"/>
  <c r="I271" i="2"/>
  <c r="G271" i="2"/>
  <c r="M270" i="2"/>
  <c r="J270" i="2"/>
  <c r="K270" i="2" s="1"/>
  <c r="I270" i="2"/>
  <c r="G270" i="2"/>
  <c r="P285" i="2" l="1"/>
  <c r="P295" i="2"/>
  <c r="P311" i="2"/>
  <c r="P277" i="2"/>
  <c r="P306" i="2"/>
  <c r="P281" i="2"/>
  <c r="P282" i="2"/>
  <c r="P291" i="2"/>
  <c r="G334" i="2"/>
  <c r="G336" i="2" s="1"/>
  <c r="P278" i="2"/>
  <c r="P288" i="2"/>
  <c r="P304" i="2"/>
  <c r="P294" i="2"/>
  <c r="P310" i="2"/>
  <c r="P287" i="2"/>
  <c r="P293" i="2"/>
  <c r="P308" i="2"/>
  <c r="I334" i="2"/>
  <c r="M334" i="2"/>
  <c r="P305" i="2"/>
  <c r="P275" i="2"/>
  <c r="P297" i="2"/>
  <c r="P312" i="2"/>
  <c r="P319" i="2"/>
  <c r="P316" i="2"/>
  <c r="P317" i="2"/>
  <c r="P270" i="2"/>
  <c r="P290" i="2"/>
  <c r="P314" i="2"/>
  <c r="J271" i="2"/>
  <c r="K271" i="2" s="1"/>
  <c r="P300" i="2"/>
  <c r="P320" i="2"/>
  <c r="P298" i="2"/>
  <c r="P303" i="2"/>
  <c r="P315" i="2"/>
  <c r="P279" i="2"/>
  <c r="P284" i="2"/>
  <c r="P322" i="2"/>
  <c r="P325" i="2"/>
  <c r="P321" i="2"/>
  <c r="P274" i="2"/>
  <c r="P318" i="2"/>
  <c r="P273" i="2"/>
  <c r="P324" i="2"/>
  <c r="K323" i="2"/>
  <c r="K334" i="2" l="1"/>
  <c r="K337" i="2" s="1"/>
  <c r="G335" i="2"/>
  <c r="G337" i="2"/>
  <c r="I335" i="2"/>
  <c r="I337" i="2"/>
  <c r="I336" i="2"/>
  <c r="M336" i="2"/>
  <c r="M337" i="2"/>
  <c r="M335" i="2"/>
  <c r="O334" i="2"/>
  <c r="O336" i="2" s="1"/>
  <c r="P271" i="2"/>
  <c r="K336" i="2" l="1"/>
  <c r="K335" i="2"/>
  <c r="G338" i="2"/>
  <c r="G339" i="2" s="1"/>
  <c r="M338" i="2"/>
  <c r="M339" i="2" s="1"/>
  <c r="O337" i="2"/>
  <c r="O335" i="2"/>
  <c r="I338" i="2"/>
  <c r="I339" i="2" s="1"/>
  <c r="M166" i="2"/>
  <c r="J166" i="2"/>
  <c r="I166" i="2"/>
  <c r="M165" i="2"/>
  <c r="J165" i="2"/>
  <c r="P165" i="2" s="1"/>
  <c r="I165" i="2"/>
  <c r="M164" i="2"/>
  <c r="J164" i="2"/>
  <c r="K164" i="2" s="1"/>
  <c r="I164" i="2"/>
  <c r="M163" i="2"/>
  <c r="K163" i="2"/>
  <c r="I163" i="2"/>
  <c r="M162" i="2"/>
  <c r="J162" i="2"/>
  <c r="K162" i="2" s="1"/>
  <c r="I162" i="2"/>
  <c r="M160" i="2"/>
  <c r="J160" i="2"/>
  <c r="K160" i="2" s="1"/>
  <c r="I160" i="2"/>
  <c r="G160" i="2"/>
  <c r="M159" i="2"/>
  <c r="J159" i="2"/>
  <c r="K159" i="2" s="1"/>
  <c r="I159" i="2"/>
  <c r="G159" i="2"/>
  <c r="M157" i="2"/>
  <c r="J157" i="2"/>
  <c r="K157" i="2" s="1"/>
  <c r="I157" i="2"/>
  <c r="G157" i="2"/>
  <c r="M156" i="2"/>
  <c r="J156" i="2"/>
  <c r="K156" i="2" s="1"/>
  <c r="I156" i="2"/>
  <c r="G156" i="2"/>
  <c r="M155" i="2"/>
  <c r="J155" i="2"/>
  <c r="K155" i="2" s="1"/>
  <c r="I155" i="2"/>
  <c r="G155" i="2"/>
  <c r="M154" i="2"/>
  <c r="J154" i="2"/>
  <c r="K154" i="2" s="1"/>
  <c r="I154" i="2"/>
  <c r="G154" i="2"/>
  <c r="M152" i="2"/>
  <c r="J152" i="2"/>
  <c r="K152" i="2" s="1"/>
  <c r="I152" i="2"/>
  <c r="G152" i="2"/>
  <c r="M151" i="2"/>
  <c r="J151" i="2"/>
  <c r="K151" i="2" s="1"/>
  <c r="I151" i="2"/>
  <c r="G151" i="2"/>
  <c r="M149" i="2"/>
  <c r="J149" i="2"/>
  <c r="K149" i="2" s="1"/>
  <c r="I149" i="2"/>
  <c r="G149" i="2"/>
  <c r="M148" i="2"/>
  <c r="J148" i="2"/>
  <c r="K148" i="2" s="1"/>
  <c r="G148" i="2"/>
  <c r="M147" i="2"/>
  <c r="J147" i="2"/>
  <c r="K147" i="2" s="1"/>
  <c r="I147" i="2"/>
  <c r="G147" i="2"/>
  <c r="M146" i="2"/>
  <c r="J146" i="2"/>
  <c r="K146" i="2" s="1"/>
  <c r="I146" i="2"/>
  <c r="G146" i="2"/>
  <c r="M145" i="2"/>
  <c r="J145" i="2"/>
  <c r="K145" i="2" s="1"/>
  <c r="I145" i="2"/>
  <c r="G145" i="2"/>
  <c r="M143" i="2"/>
  <c r="J143" i="2"/>
  <c r="P143" i="2" s="1"/>
  <c r="I143" i="2"/>
  <c r="G143" i="2"/>
  <c r="M141" i="2"/>
  <c r="J141" i="2"/>
  <c r="K141" i="2" s="1"/>
  <c r="I141" i="2"/>
  <c r="G141" i="2"/>
  <c r="M140" i="2"/>
  <c r="J140" i="2"/>
  <c r="I140" i="2"/>
  <c r="G140" i="2"/>
  <c r="M139" i="2"/>
  <c r="J139" i="2"/>
  <c r="K139" i="2" s="1"/>
  <c r="I139" i="2"/>
  <c r="G139" i="2"/>
  <c r="M137" i="2"/>
  <c r="J137" i="2"/>
  <c r="K137" i="2" s="1"/>
  <c r="I137" i="2"/>
  <c r="G137" i="2"/>
  <c r="M136" i="2"/>
  <c r="J136" i="2"/>
  <c r="K136" i="2" s="1"/>
  <c r="I136" i="2"/>
  <c r="G136" i="2"/>
  <c r="M135" i="2"/>
  <c r="J135" i="2"/>
  <c r="K135" i="2" s="1"/>
  <c r="I135" i="2"/>
  <c r="G135" i="2"/>
  <c r="M133" i="2"/>
  <c r="J133" i="2"/>
  <c r="I133" i="2"/>
  <c r="G133" i="2"/>
  <c r="M132" i="2"/>
  <c r="K132" i="2"/>
  <c r="I132" i="2"/>
  <c r="G132" i="2"/>
  <c r="K338" i="2" l="1"/>
  <c r="K339" i="2" s="1"/>
  <c r="O338" i="2"/>
  <c r="O339" i="2" s="1"/>
  <c r="P334" i="2" s="1"/>
  <c r="G173" i="2"/>
  <c r="G176" i="2" s="1"/>
  <c r="K133" i="2"/>
  <c r="P133" i="2"/>
  <c r="I173" i="2"/>
  <c r="K140" i="2"/>
  <c r="P140" i="2"/>
  <c r="M173" i="2"/>
  <c r="K166" i="2"/>
  <c r="P166" i="2"/>
  <c r="K143" i="2"/>
  <c r="K165" i="2"/>
  <c r="P162" i="2"/>
  <c r="P132" i="2"/>
  <c r="P154" i="2"/>
  <c r="P164" i="2"/>
  <c r="P151" i="2"/>
  <c r="P160" i="2"/>
  <c r="P159" i="2"/>
  <c r="P155" i="2"/>
  <c r="P149" i="2"/>
  <c r="P148" i="2"/>
  <c r="P157" i="2"/>
  <c r="P163" i="2"/>
  <c r="G174" i="2" l="1"/>
  <c r="G175" i="2"/>
  <c r="K173" i="2"/>
  <c r="K175" i="2" s="1"/>
  <c r="I175" i="2"/>
  <c r="I174" i="2"/>
  <c r="I176" i="2"/>
  <c r="M175" i="2"/>
  <c r="M176" i="2"/>
  <c r="M174" i="2"/>
  <c r="O173" i="2"/>
  <c r="M121" i="2"/>
  <c r="J121" i="2"/>
  <c r="I121" i="2"/>
  <c r="G121" i="2"/>
  <c r="M120" i="2"/>
  <c r="J120" i="2"/>
  <c r="I120" i="2"/>
  <c r="G120" i="2"/>
  <c r="M119" i="2"/>
  <c r="J119" i="2"/>
  <c r="I119" i="2"/>
  <c r="G119" i="2"/>
  <c r="M118" i="2"/>
  <c r="J118" i="2"/>
  <c r="I118" i="2"/>
  <c r="G118" i="2"/>
  <c r="M117" i="2"/>
  <c r="J117" i="2"/>
  <c r="I117" i="2"/>
  <c r="G117" i="2"/>
  <c r="M116" i="2"/>
  <c r="J116" i="2"/>
  <c r="I116" i="2"/>
  <c r="G116" i="2"/>
  <c r="M115" i="2"/>
  <c r="J115" i="2"/>
  <c r="I115" i="2"/>
  <c r="G115" i="2"/>
  <c r="M114" i="2"/>
  <c r="J114" i="2"/>
  <c r="I114" i="2"/>
  <c r="G114" i="2"/>
  <c r="M113" i="2"/>
  <c r="J113" i="2"/>
  <c r="I113" i="2"/>
  <c r="G113" i="2"/>
  <c r="M112" i="2"/>
  <c r="J112" i="2"/>
  <c r="I112" i="2"/>
  <c r="G112" i="2"/>
  <c r="M111" i="2"/>
  <c r="J111" i="2"/>
  <c r="I111" i="2"/>
  <c r="G111" i="2"/>
  <c r="M110" i="2"/>
  <c r="J110" i="2"/>
  <c r="I110" i="2"/>
  <c r="G110" i="2"/>
  <c r="M108" i="2"/>
  <c r="J108" i="2"/>
  <c r="I108" i="2"/>
  <c r="G108" i="2"/>
  <c r="M106" i="2"/>
  <c r="J106" i="2"/>
  <c r="K106" i="2" s="1"/>
  <c r="I106" i="2"/>
  <c r="G106" i="2"/>
  <c r="M105" i="2"/>
  <c r="J105" i="2"/>
  <c r="I105" i="2"/>
  <c r="G105" i="2"/>
  <c r="M104" i="2"/>
  <c r="J104" i="2"/>
  <c r="I104" i="2"/>
  <c r="G104" i="2"/>
  <c r="M102" i="2"/>
  <c r="J102" i="2"/>
  <c r="I102" i="2"/>
  <c r="G102" i="2"/>
  <c r="M100" i="2"/>
  <c r="J100" i="2"/>
  <c r="I100" i="2"/>
  <c r="G100" i="2"/>
  <c r="M99" i="2"/>
  <c r="I99" i="2"/>
  <c r="G99" i="2"/>
  <c r="M97" i="2"/>
  <c r="J97" i="2"/>
  <c r="I97" i="2"/>
  <c r="G97" i="2"/>
  <c r="M96" i="2"/>
  <c r="J96" i="2"/>
  <c r="I96" i="2"/>
  <c r="G96" i="2"/>
  <c r="M94" i="2"/>
  <c r="J94" i="2"/>
  <c r="I94" i="2"/>
  <c r="G94" i="2"/>
  <c r="M93" i="2"/>
  <c r="J93" i="2"/>
  <c r="I93" i="2"/>
  <c r="G93" i="2"/>
  <c r="M92" i="2"/>
  <c r="J92" i="2"/>
  <c r="I92" i="2"/>
  <c r="G92" i="2"/>
  <c r="M90" i="2"/>
  <c r="J90" i="2"/>
  <c r="I90" i="2"/>
  <c r="G90" i="2"/>
  <c r="M89" i="2"/>
  <c r="J89" i="2"/>
  <c r="I89" i="2"/>
  <c r="G89" i="2"/>
  <c r="M88" i="2"/>
  <c r="J88" i="2"/>
  <c r="I88" i="2"/>
  <c r="G88" i="2"/>
  <c r="M86" i="2"/>
  <c r="J86" i="2"/>
  <c r="I86" i="2"/>
  <c r="G86" i="2"/>
  <c r="M85" i="2"/>
  <c r="J85" i="2"/>
  <c r="I85" i="2"/>
  <c r="G85" i="2"/>
  <c r="M84" i="2"/>
  <c r="J84" i="2"/>
  <c r="I84" i="2"/>
  <c r="G84" i="2"/>
  <c r="M83" i="2"/>
  <c r="J83" i="2"/>
  <c r="K83" i="2" s="1"/>
  <c r="I83" i="2"/>
  <c r="G83" i="2"/>
  <c r="M82" i="2"/>
  <c r="J82" i="2"/>
  <c r="I82" i="2"/>
  <c r="G82" i="2"/>
  <c r="M81" i="2"/>
  <c r="J81" i="2"/>
  <c r="I81" i="2"/>
  <c r="G81" i="2"/>
  <c r="M79" i="2"/>
  <c r="J79" i="2"/>
  <c r="I79" i="2"/>
  <c r="G79" i="2"/>
  <c r="M78" i="2"/>
  <c r="J78" i="2"/>
  <c r="P78" i="2" s="1"/>
  <c r="I78" i="2"/>
  <c r="G78" i="2"/>
  <c r="M77" i="2"/>
  <c r="J77" i="2"/>
  <c r="I77" i="2"/>
  <c r="G77" i="2"/>
  <c r="M76" i="2"/>
  <c r="J76" i="2"/>
  <c r="I76" i="2"/>
  <c r="G76" i="2"/>
  <c r="M75" i="2"/>
  <c r="J75" i="2"/>
  <c r="I75" i="2"/>
  <c r="G75" i="2"/>
  <c r="M74" i="2"/>
  <c r="J74" i="2"/>
  <c r="I74" i="2"/>
  <c r="G74" i="2"/>
  <c r="M73" i="2"/>
  <c r="J73" i="2"/>
  <c r="I73" i="2"/>
  <c r="G73" i="2"/>
  <c r="M72" i="2"/>
  <c r="J72" i="2"/>
  <c r="I72" i="2"/>
  <c r="G72" i="2"/>
  <c r="M71" i="2"/>
  <c r="J71" i="2"/>
  <c r="K71" i="2" s="1"/>
  <c r="I71" i="2"/>
  <c r="G71" i="2"/>
  <c r="G177" i="2" l="1"/>
  <c r="G178" i="2" s="1"/>
  <c r="I124" i="2"/>
  <c r="M124" i="2"/>
  <c r="G124" i="2"/>
  <c r="G125" i="2" s="1"/>
  <c r="K174" i="2"/>
  <c r="M177" i="2"/>
  <c r="M178" i="2" s="1"/>
  <c r="K176" i="2"/>
  <c r="K177" i="2" s="1"/>
  <c r="K178" i="2" s="1"/>
  <c r="I177" i="2"/>
  <c r="I178" i="2" s="1"/>
  <c r="K102" i="2"/>
  <c r="P102" i="2"/>
  <c r="K105" i="2"/>
  <c r="P105" i="2"/>
  <c r="K108" i="2"/>
  <c r="P108" i="2"/>
  <c r="K111" i="2"/>
  <c r="P111" i="2"/>
  <c r="K113" i="2"/>
  <c r="P113" i="2"/>
  <c r="K115" i="2"/>
  <c r="P115" i="2"/>
  <c r="K117" i="2"/>
  <c r="P117" i="2"/>
  <c r="K119" i="2"/>
  <c r="P119" i="2"/>
  <c r="K120" i="2"/>
  <c r="P120" i="2"/>
  <c r="K121" i="2"/>
  <c r="P121" i="2"/>
  <c r="K76" i="2"/>
  <c r="P76" i="2"/>
  <c r="K81" i="2"/>
  <c r="P81" i="2"/>
  <c r="K85" i="2"/>
  <c r="P85" i="2"/>
  <c r="K88" i="2"/>
  <c r="P88" i="2"/>
  <c r="K90" i="2"/>
  <c r="P90" i="2"/>
  <c r="K93" i="2"/>
  <c r="P93" i="2"/>
  <c r="K96" i="2"/>
  <c r="P96" i="2"/>
  <c r="K72" i="2"/>
  <c r="P72" i="2"/>
  <c r="O174" i="2"/>
  <c r="O176" i="2"/>
  <c r="O175" i="2"/>
  <c r="K100" i="2"/>
  <c r="P100" i="2"/>
  <c r="K104" i="2"/>
  <c r="P104" i="2"/>
  <c r="K110" i="2"/>
  <c r="P110" i="2"/>
  <c r="K112" i="2"/>
  <c r="P112" i="2"/>
  <c r="K114" i="2"/>
  <c r="P114" i="2"/>
  <c r="K116" i="2"/>
  <c r="P116" i="2"/>
  <c r="K118" i="2"/>
  <c r="P118" i="2"/>
  <c r="G126" i="2"/>
  <c r="K73" i="2"/>
  <c r="P73" i="2"/>
  <c r="K75" i="2"/>
  <c r="P75" i="2"/>
  <c r="K77" i="2"/>
  <c r="P77" i="2"/>
  <c r="K79" i="2"/>
  <c r="P79" i="2"/>
  <c r="K82" i="2"/>
  <c r="P82" i="2"/>
  <c r="K84" i="2"/>
  <c r="P84" i="2"/>
  <c r="K86" i="2"/>
  <c r="P86" i="2"/>
  <c r="K89" i="2"/>
  <c r="P89" i="2"/>
  <c r="K92" i="2"/>
  <c r="P92" i="2"/>
  <c r="K94" i="2"/>
  <c r="P94" i="2"/>
  <c r="K97" i="2"/>
  <c r="P97" i="2"/>
  <c r="K74" i="2"/>
  <c r="P74" i="2"/>
  <c r="P71" i="2"/>
  <c r="K78" i="2"/>
  <c r="K99" i="2"/>
  <c r="K124" i="2" l="1"/>
  <c r="K127" i="2" s="1"/>
  <c r="G127" i="2"/>
  <c r="G128" i="2" s="1"/>
  <c r="G129" i="2" s="1"/>
  <c r="O177" i="2"/>
  <c r="O178" i="2" s="1"/>
  <c r="P173" i="2" s="1"/>
  <c r="I126" i="2"/>
  <c r="I127" i="2"/>
  <c r="I125" i="2"/>
  <c r="M126" i="2"/>
  <c r="M127" i="2"/>
  <c r="M125" i="2"/>
  <c r="K125" i="2" l="1"/>
  <c r="K126" i="2"/>
  <c r="M128" i="2"/>
  <c r="M129" i="2" s="1"/>
  <c r="I128" i="2"/>
  <c r="I129" i="2" s="1"/>
  <c r="O126" i="2"/>
  <c r="O125" i="2"/>
  <c r="O127" i="2"/>
  <c r="K128" i="2" l="1"/>
  <c r="K129" i="2" s="1"/>
  <c r="O128" i="2"/>
  <c r="O129" i="2" s="1"/>
  <c r="P124" i="2" l="1"/>
  <c r="J58" i="2"/>
  <c r="P39" i="2" l="1"/>
  <c r="P58" i="2"/>
  <c r="G23" i="2" l="1"/>
  <c r="M21" i="2" l="1"/>
  <c r="M23" i="2"/>
  <c r="M24" i="2"/>
  <c r="M25" i="2"/>
  <c r="M30" i="2"/>
  <c r="M32" i="2"/>
  <c r="M34" i="2"/>
  <c r="M39" i="2"/>
  <c r="M40" i="2"/>
  <c r="M41" i="2"/>
  <c r="M42" i="2"/>
  <c r="M43" i="2"/>
  <c r="M45" i="2"/>
  <c r="M46" i="2"/>
  <c r="M47" i="2"/>
  <c r="M48" i="2"/>
  <c r="M50" i="2"/>
  <c r="M51" i="2"/>
  <c r="M52" i="2"/>
  <c r="M53" i="2"/>
  <c r="M54" i="2"/>
  <c r="M56" i="2"/>
  <c r="M58" i="2"/>
  <c r="M59" i="2"/>
  <c r="M60" i="2"/>
  <c r="P60" i="2" l="1"/>
  <c r="J59" i="2"/>
  <c r="P59" i="2" s="1"/>
  <c r="I41" i="2"/>
  <c r="I37" i="2"/>
  <c r="J25" i="2"/>
  <c r="P25" i="2" s="1"/>
  <c r="J24" i="2"/>
  <c r="L38" i="2" l="1"/>
  <c r="N38" i="2" s="1"/>
  <c r="O38" i="2" s="1"/>
  <c r="L37" i="2"/>
  <c r="N37" i="2" s="1"/>
  <c r="O37" i="2" s="1"/>
  <c r="L35" i="2"/>
  <c r="N35" i="2" s="1"/>
  <c r="O35" i="2" s="1"/>
  <c r="L29" i="2"/>
  <c r="N29" i="2" s="1"/>
  <c r="O29" i="2" s="1"/>
  <c r="L28" i="2"/>
  <c r="N28" i="2" s="1"/>
  <c r="O28" i="2" s="1"/>
  <c r="L27" i="2"/>
  <c r="N27" i="2" s="1"/>
  <c r="O27" i="2" s="1"/>
  <c r="L22" i="2"/>
  <c r="N22" i="2" s="1"/>
  <c r="O22" i="2" s="1"/>
  <c r="M27" i="2" l="1"/>
  <c r="M29" i="2"/>
  <c r="M37" i="2"/>
  <c r="M22" i="2"/>
  <c r="M28" i="2"/>
  <c r="M35" i="2"/>
  <c r="M38" i="2"/>
  <c r="L31" i="2"/>
  <c r="N31" i="2" s="1"/>
  <c r="O31" i="2" s="1"/>
  <c r="M31" i="2" l="1"/>
  <c r="M62" i="2" l="1"/>
  <c r="J31" i="2"/>
  <c r="P31" i="2" s="1"/>
  <c r="M65" i="2" l="1"/>
  <c r="M63" i="2"/>
  <c r="M64" i="2"/>
  <c r="M368" i="2"/>
  <c r="I60" i="2"/>
  <c r="I59" i="2"/>
  <c r="I58" i="2"/>
  <c r="I56" i="2"/>
  <c r="I52" i="2"/>
  <c r="I53" i="2"/>
  <c r="I54" i="2"/>
  <c r="I51" i="2"/>
  <c r="I50" i="2"/>
  <c r="I47" i="2"/>
  <c r="I48" i="2"/>
  <c r="I45" i="2"/>
  <c r="I38" i="2"/>
  <c r="I39" i="2"/>
  <c r="I40" i="2"/>
  <c r="I42" i="2"/>
  <c r="I43" i="2"/>
  <c r="I35" i="2"/>
  <c r="I34" i="2"/>
  <c r="I28" i="2"/>
  <c r="I29" i="2"/>
  <c r="I30" i="2"/>
  <c r="I31" i="2"/>
  <c r="I32" i="2"/>
  <c r="I27" i="2"/>
  <c r="I22" i="2"/>
  <c r="I23" i="2"/>
  <c r="I24" i="2"/>
  <c r="I25" i="2"/>
  <c r="I21" i="2"/>
  <c r="G56" i="2"/>
  <c r="G53" i="2"/>
  <c r="G54" i="2"/>
  <c r="G51" i="2"/>
  <c r="G52" i="2"/>
  <c r="G50" i="2"/>
  <c r="G46" i="2"/>
  <c r="G47" i="2"/>
  <c r="G48" i="2"/>
  <c r="G45" i="2"/>
  <c r="G38" i="2"/>
  <c r="G39" i="2"/>
  <c r="G40" i="2"/>
  <c r="G41" i="2"/>
  <c r="G42" i="2"/>
  <c r="G43" i="2"/>
  <c r="G37" i="2"/>
  <c r="G35" i="2"/>
  <c r="G34" i="2"/>
  <c r="G28" i="2"/>
  <c r="G29" i="2"/>
  <c r="G30" i="2"/>
  <c r="G31" i="2"/>
  <c r="G32" i="2"/>
  <c r="G27" i="2"/>
  <c r="G22" i="2"/>
  <c r="G24" i="2"/>
  <c r="G25" i="2"/>
  <c r="G21" i="2"/>
  <c r="G62" i="2" l="1"/>
  <c r="M66" i="2"/>
  <c r="M67" i="2" s="1"/>
  <c r="M372" i="2"/>
  <c r="M373" i="2" s="1"/>
  <c r="M383" i="2" s="1"/>
  <c r="K60" i="2"/>
  <c r="K58" i="2"/>
  <c r="K59" i="2"/>
  <c r="G65" i="2" l="1"/>
  <c r="G63" i="2"/>
  <c r="G64" i="2"/>
  <c r="G368" i="2"/>
  <c r="G370" i="2" s="1"/>
  <c r="M371" i="2"/>
  <c r="M369" i="2"/>
  <c r="M370" i="2"/>
  <c r="J56" i="2"/>
  <c r="P56" i="2" s="1"/>
  <c r="J51" i="2"/>
  <c r="P51" i="2" s="1"/>
  <c r="J52" i="2"/>
  <c r="P52" i="2" s="1"/>
  <c r="J54" i="2"/>
  <c r="P54" i="2" s="1"/>
  <c r="J50" i="2"/>
  <c r="P50" i="2" s="1"/>
  <c r="J48" i="2"/>
  <c r="P48" i="2" s="1"/>
  <c r="J38" i="2"/>
  <c r="P38" i="2" s="1"/>
  <c r="K39" i="2"/>
  <c r="K40" i="2"/>
  <c r="J41" i="2"/>
  <c r="P41" i="2" s="1"/>
  <c r="J42" i="2"/>
  <c r="P42" i="2" s="1"/>
  <c r="J43" i="2"/>
  <c r="P43" i="2" s="1"/>
  <c r="J37" i="2"/>
  <c r="P37" i="2" s="1"/>
  <c r="J35" i="2"/>
  <c r="P35" i="2" s="1"/>
  <c r="J34" i="2"/>
  <c r="P34" i="2" s="1"/>
  <c r="J28" i="2"/>
  <c r="P28" i="2" s="1"/>
  <c r="J29" i="2"/>
  <c r="P29" i="2" s="1"/>
  <c r="J30" i="2"/>
  <c r="P30" i="2" s="1"/>
  <c r="K31" i="2"/>
  <c r="J32" i="2"/>
  <c r="P32" i="2" s="1"/>
  <c r="J27" i="2"/>
  <c r="P27" i="2" s="1"/>
  <c r="J22" i="2"/>
  <c r="P22" i="2" s="1"/>
  <c r="J23" i="2"/>
  <c r="P23" i="2" s="1"/>
  <c r="K24" i="2"/>
  <c r="K25" i="2"/>
  <c r="J21" i="2"/>
  <c r="P21" i="2" s="1"/>
  <c r="G371" i="2" l="1"/>
  <c r="G369" i="2"/>
  <c r="G66" i="2"/>
  <c r="G67" i="2" s="1"/>
  <c r="K56" i="2"/>
  <c r="K52" i="2"/>
  <c r="K54" i="2"/>
  <c r="K53" i="2"/>
  <c r="K51" i="2"/>
  <c r="K21" i="2"/>
  <c r="K22" i="2"/>
  <c r="K32" i="2"/>
  <c r="K43" i="2"/>
  <c r="K41" i="2"/>
  <c r="K47" i="2"/>
  <c r="K50" i="2"/>
  <c r="K23" i="2"/>
  <c r="K27" i="2"/>
  <c r="K34" i="2"/>
  <c r="K42" i="2"/>
  <c r="K48" i="2"/>
  <c r="K30" i="2"/>
  <c r="K28" i="2"/>
  <c r="K35" i="2"/>
  <c r="K29" i="2"/>
  <c r="K37" i="2"/>
  <c r="K38" i="2"/>
  <c r="G372" i="2" l="1"/>
  <c r="G373" i="2" s="1"/>
  <c r="F376" i="2" s="1"/>
  <c r="O62" i="2"/>
  <c r="O368" i="2" s="1"/>
  <c r="O63" i="2" l="1"/>
  <c r="O64" i="2"/>
  <c r="O65" i="2"/>
  <c r="O66" i="2" l="1"/>
  <c r="O67" i="2" s="1"/>
  <c r="O371" i="2"/>
  <c r="O370" i="2"/>
  <c r="O369" i="2"/>
  <c r="I46" i="2"/>
  <c r="I62" i="2" s="1"/>
  <c r="I63" i="2" l="1"/>
  <c r="I65" i="2"/>
  <c r="I64" i="2"/>
  <c r="I368" i="2"/>
  <c r="K46" i="2"/>
  <c r="K62" i="2" s="1"/>
  <c r="O372" i="2"/>
  <c r="O373" i="2" s="1"/>
  <c r="D379" i="2" s="1"/>
  <c r="K64" i="2" l="1"/>
  <c r="K65" i="2"/>
  <c r="K63" i="2"/>
  <c r="K368" i="2"/>
  <c r="K370" i="2" s="1"/>
  <c r="I66" i="2"/>
  <c r="I67" i="2" s="1"/>
  <c r="I369" i="2"/>
  <c r="I371" i="2"/>
  <c r="I370" i="2"/>
  <c r="K66" i="2" l="1"/>
  <c r="K67" i="2" s="1"/>
  <c r="P62" i="2" s="1"/>
  <c r="K369" i="2"/>
  <c r="K371" i="2"/>
  <c r="I372" i="2"/>
  <c r="I373" i="2" s="1"/>
  <c r="M384" i="2" l="1"/>
  <c r="F377" i="2"/>
  <c r="K372" i="2"/>
  <c r="K373" i="2" s="1"/>
  <c r="G385" i="2"/>
  <c r="P368" i="2" l="1"/>
  <c r="D380" i="2"/>
  <c r="D381" i="2" s="1"/>
  <c r="F378" i="2"/>
  <c r="F381" i="2" s="1"/>
</calcChain>
</file>

<file path=xl/comments1.xml><?xml version="1.0" encoding="utf-8"?>
<comments xmlns="http://schemas.openxmlformats.org/spreadsheetml/2006/main">
  <authors>
    <author>Pc</author>
    <author>fabian felipe montoya urrego</author>
  </authors>
  <commentList>
    <comment ref="C22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movimiento de escombro de DAFE- a sitio donde se  ubica la volqueta. 
</t>
        </r>
      </text>
    </comment>
    <comment ref="G239" authorId="1" shapeId="0">
      <text>
        <r>
          <rPr>
            <b/>
            <sz val="9"/>
            <color indexed="81"/>
            <rFont val="Tahoma"/>
            <family val="2"/>
          </rPr>
          <t>fabian felipe montoya urrego:</t>
        </r>
        <r>
          <rPr>
            <sz val="9"/>
            <color indexed="81"/>
            <rFont val="Tahoma"/>
            <family val="2"/>
          </rPr>
          <t xml:space="preserve">
No se estaba sumando</t>
        </r>
      </text>
    </comment>
  </commentList>
</comments>
</file>

<file path=xl/sharedStrings.xml><?xml version="1.0" encoding="utf-8"?>
<sst xmlns="http://schemas.openxmlformats.org/spreadsheetml/2006/main" count="794" uniqueCount="447">
  <si>
    <t>CONDICIONES ORIGINALES</t>
  </si>
  <si>
    <t>MODIFICACIONES</t>
  </si>
  <si>
    <t>PRESENTE ACTA</t>
  </si>
  <si>
    <t>ACUMULADO</t>
  </si>
  <si>
    <t>ITEM</t>
  </si>
  <si>
    <t>DESCRIPCION DE LA OBRA</t>
  </si>
  <si>
    <t>UND.</t>
  </si>
  <si>
    <t>CANT.</t>
  </si>
  <si>
    <t>COSTO DIRECTO</t>
  </si>
  <si>
    <t>ALCALDÍA DE POPAYÁN</t>
  </si>
  <si>
    <t>TERMINACION:</t>
  </si>
  <si>
    <t>ACTA DE INICIO:</t>
  </si>
  <si>
    <t>REINICIO Nº1:</t>
  </si>
  <si>
    <t>SUSPENSION Nº 1:</t>
  </si>
  <si>
    <t>CRONOLOGIA DEL CONTRATO</t>
  </si>
  <si>
    <t>OBRA EJECUTADA ACUMULADA</t>
  </si>
  <si>
    <t>Página 1 de 1</t>
  </si>
  <si>
    <t>OFICINA ASESORA JURIDICA</t>
  </si>
  <si>
    <t>Versión: 02</t>
  </si>
  <si>
    <t>F-GC-CT-12</t>
  </si>
  <si>
    <t>SECRETARIA DE INFRAESTRUCUTRA</t>
  </si>
  <si>
    <t>m2</t>
  </si>
  <si>
    <t>Und</t>
  </si>
  <si>
    <t>CONDICIONES ACTUALIZADAS</t>
  </si>
  <si>
    <t>VALOR CONTRATO ADICIONAL: $ 0</t>
  </si>
  <si>
    <t>11 DE DICIEMBRE DE 2020</t>
  </si>
  <si>
    <t>MODIFICATORIO No.1</t>
  </si>
  <si>
    <t>VALOR 
UNT.</t>
  </si>
  <si>
    <t>VALOR 
TOTAL</t>
  </si>
  <si>
    <t xml:space="preserve">VALOR 
TOTAL </t>
  </si>
  <si>
    <t xml:space="preserve">VALOR
 TOTAL </t>
  </si>
  <si>
    <t xml:space="preserve">CONTRATO DE OBRA PUBLICA Nº 2020-180-002069-7 </t>
  </si>
  <si>
    <t>30 DE NOVIEMBRE 2020</t>
  </si>
  <si>
    <r>
      <t xml:space="preserve">SUPERVISOR: </t>
    </r>
    <r>
      <rPr>
        <sz val="11"/>
        <rFont val="Calibri  "/>
      </rPr>
      <t>ING. PABLO EMIDIO AGUILAR</t>
    </r>
  </si>
  <si>
    <r>
      <t xml:space="preserve">OBJETO: </t>
    </r>
    <r>
      <rPr>
        <sz val="11"/>
        <rFont val="Calibri  "/>
      </rPr>
      <t>REALIZAR REPARACIONES LOCATIVAS DE INMUEBLES DE PROPIEDAD DEL MUNICIPIO DE POPAYÁN</t>
    </r>
  </si>
  <si>
    <t>VALOR CONTRATO PRINCIPAL:  $ 425.090.227</t>
  </si>
  <si>
    <r>
      <rPr>
        <b/>
        <sz val="11"/>
        <rFont val="Calibri  "/>
      </rPr>
      <t>DISP. PRESUPUESTAL No.:</t>
    </r>
    <r>
      <rPr>
        <sz val="11"/>
        <rFont val="Calibri  "/>
      </rPr>
      <t xml:space="preserve">  2020.CEN.01.2588 DEL 24-07-2020 Y 2020.CEN.01.3745 DEL 06-10-2020
</t>
    </r>
    <r>
      <rPr>
        <b/>
        <sz val="11"/>
        <rFont val="Calibri  "/>
      </rPr>
      <t/>
    </r>
  </si>
  <si>
    <r>
      <rPr>
        <b/>
        <sz val="11"/>
        <rFont val="Calibri  "/>
      </rPr>
      <t>REGISTRO PRESUPUESTAL No.:</t>
    </r>
    <r>
      <rPr>
        <sz val="11"/>
        <rFont val="Calibri  "/>
      </rPr>
      <t xml:space="preserve">  2020.CEN.01.4838 Y 2020.CEN.01.4837 DEL 07-12-2020
</t>
    </r>
    <r>
      <rPr>
        <b/>
        <sz val="11"/>
        <rFont val="Calibri  "/>
      </rPr>
      <t/>
    </r>
  </si>
  <si>
    <t>28 DE DICIEMBRE DE 2020</t>
  </si>
  <si>
    <t>2 MESES ADICIONALES</t>
  </si>
  <si>
    <t>PLAZO INICIAL</t>
  </si>
  <si>
    <t xml:space="preserve">CAM </t>
  </si>
  <si>
    <t>PRELIMINARES</t>
  </si>
  <si>
    <t>Desmonte de sanitarios (primer piso)</t>
  </si>
  <si>
    <t>Un</t>
  </si>
  <si>
    <t>Demolición de repello de muros</t>
  </si>
  <si>
    <t>M2</t>
  </si>
  <si>
    <t>Desmonte y retiro de bajantes metálicos en mal estado</t>
  </si>
  <si>
    <t>Ml</t>
  </si>
  <si>
    <t>Desmonte y retiro de canales en lámina en mal estado</t>
  </si>
  <si>
    <t>Desmonte de cielo falso en panel yeso.</t>
  </si>
  <si>
    <t>REVESTIMIENTOS Y ACABADOS</t>
  </si>
  <si>
    <t>Repello de muros en mortero 1:3</t>
  </si>
  <si>
    <t>Pintura en vinilo tipo I para interiores, dos manos, incluye rasqueteada y lijada</t>
  </si>
  <si>
    <t>Pintura en vinilo tipo I para exteriores, 2 manos, incluye rasqueteada, lijada y resanes</t>
  </si>
  <si>
    <t>Pintura de carteras en vinilo tipo I, 2 manos, incluye rasqueteada, lijada y resanes</t>
  </si>
  <si>
    <t>Pintura en vinilo tipo I para interiores, dos manos, incluye rasqueteada, lijada y resanes para muros</t>
  </si>
  <si>
    <t xml:space="preserve">Enchape para muro de cocina </t>
  </si>
  <si>
    <t>CIELOS FALSOS</t>
  </si>
  <si>
    <t>Pintura para cielo falso</t>
  </si>
  <si>
    <t>CARPINTERIA</t>
  </si>
  <si>
    <t>Mantenimiento general de canales en lámina metálica (Incluye limpieza, reparación y pintura)</t>
  </si>
  <si>
    <t>Limpieza, reparacion, mantenimiento general de bajantes en PVC (Incluye pintura)</t>
  </si>
  <si>
    <t>Suministro e instalación de Bajante de Aguas lluvias PVC 4", (incluye pintura)</t>
  </si>
  <si>
    <t>Suministro e instalacion de canal en lamina galvanizada calibre 24. (Incluye pintura)</t>
  </si>
  <si>
    <t>Mantenimiento de puertas de meson de la cocina</t>
  </si>
  <si>
    <t>Enchape de meson de cocina y piragua</t>
  </si>
  <si>
    <t>ML</t>
  </si>
  <si>
    <t>EQUIPAMENTO</t>
  </si>
  <si>
    <t>Suministro e instalacion de fluxometros antivandalicos GRIVAL para baños (incluye desmonte de los existentes y accesorios necesarios para el correcto y normal funcionamiento)</t>
  </si>
  <si>
    <t>Suministro e instalación de sanitarios tipo ahorrador color blanco</t>
  </si>
  <si>
    <t>Suministro e instalación de vidrios 4 mm de 0,5 m x 0,4 m</t>
  </si>
  <si>
    <t>Suministro e instalacion de lamparas LED</t>
  </si>
  <si>
    <t>UND</t>
  </si>
  <si>
    <t>REPARACION DE FUENTES DE AGUA</t>
  </si>
  <si>
    <t>Mantenimiento a todo costo de fuente Patio 1: retiro de piezas en piedra de cantera, limpieza y pega, restauración de piedras de cantera de 30x30 y pega, restauración de piedra de cantera de 40x40 y pega ( incluso suministro e Instalación de bomba marca PEDROLLO DE 0.5 HP)</t>
  </si>
  <si>
    <t>Mantenimiento a todo costo de fuente Patio 2: perforación y desarmado, armado e instalación de la ufente, saneamiento y sellado de uegas de agua existentes ( incluso suministro e Instalación de bomba marca PEDROLLO DE 0.5 HP)</t>
  </si>
  <si>
    <t>Mantenimiento a todo costo de fuente Patio 3: Arreglo de plato grande en piedra de cantera, perforación y pega de piedra de 40x40 y reparación de fugas de agua ( incluso suministro e Instalación de bomba marca PEDROLLO DE 0.5 HP)</t>
  </si>
  <si>
    <t>Mantenimiento a todo costo de fuente Patio 4: arreglo de fugas de agua y adición de piedras de cantera de 30x30 ( incluso suministro e Instalación de bomba marca PEDROLLO DE 0.5 HP)</t>
  </si>
  <si>
    <t>Mantenimiento a todo costo de fuente Patio 5: retiro de piezas en piedra de cantera e instalación de piedras de cantera de 30x30 ( incluso suministro e Instalación de bomba marca PEDROLLO DE 0.5 HP)</t>
  </si>
  <si>
    <t>Otros</t>
  </si>
  <si>
    <t>Aseo General</t>
  </si>
  <si>
    <t>(+,-)</t>
  </si>
  <si>
    <t>NO PREVSTOS</t>
  </si>
  <si>
    <t>N.P. 1</t>
  </si>
  <si>
    <t>N.P. 2</t>
  </si>
  <si>
    <t>Recorrido de cubierta en teja de barro, ajuste, sellamiento y suministro de secciones que falten para su normal funcionamiento</t>
  </si>
  <si>
    <t>N.P. 3</t>
  </si>
  <si>
    <t>Construcción de cajas de inspección dentro de las fuentes del patio 1 y 2 de 0.35x0.35x0.40 m para garantizar el correcto funcionamiento de las fuentes</t>
  </si>
  <si>
    <t>HASTA EL 31 DE DICIEMBRE DE 2020</t>
  </si>
  <si>
    <t>4 DE FEBRERO DE 2021</t>
  </si>
  <si>
    <t>4 DE ABRIL DE 2021</t>
  </si>
  <si>
    <t>Suministro e instalacion de ventanas para cielofalso de la cocina concejo</t>
  </si>
  <si>
    <t xml:space="preserve">Instalación de llave de paso incrustada en el piso para el correcto funcionamiento de la fuente del patio 5 </t>
  </si>
  <si>
    <t>OBRA EN ACTA 1</t>
  </si>
  <si>
    <t xml:space="preserve"> </t>
  </si>
  <si>
    <t>%</t>
  </si>
  <si>
    <t>2.1</t>
  </si>
  <si>
    <t>2.3</t>
  </si>
  <si>
    <t>3.2</t>
  </si>
  <si>
    <t>2.5</t>
  </si>
  <si>
    <t>ADMINISTRACION</t>
  </si>
  <si>
    <t>IMPREVISTOS</t>
  </si>
  <si>
    <t>UTILIDAD</t>
  </si>
  <si>
    <t>COSTO INDIRECTO A U I  32%</t>
  </si>
  <si>
    <t xml:space="preserve">COSTO TOTAL </t>
  </si>
  <si>
    <t>SOTANO DE EMTEL</t>
  </si>
  <si>
    <t>I</t>
  </si>
  <si>
    <t>Trasteo mobiliario y aseo general</t>
  </si>
  <si>
    <t>Global</t>
  </si>
  <si>
    <t>Desmonte cubierta asbesto cemento</t>
  </si>
  <si>
    <t>Desmonte canal de aguas lluvias</t>
  </si>
  <si>
    <t>Desmonte bajante de aguas lluvias</t>
  </si>
  <si>
    <t>Desmonte estructura de Cubierta</t>
  </si>
  <si>
    <t xml:space="preserve">Demolicion repello </t>
  </si>
  <si>
    <t>Demolicion piso en ceramica</t>
  </si>
  <si>
    <t>Revision caja de inspeccion y limpieza ductos de alcantarillado aguas lluvias</t>
  </si>
  <si>
    <t>Acarreo y transporte de escombros</t>
  </si>
  <si>
    <t>M3</t>
  </si>
  <si>
    <t>ESTRUCTURA DE CUBIERTA</t>
  </si>
  <si>
    <t>Suministro e instalacion de estructura de techos con base a perlines metalicos  cuadrados 9,0 cm x 9,0 cm calibre 16</t>
  </si>
  <si>
    <t xml:space="preserve">Suministro y montaje teja de asbesto cemento numero 6 </t>
  </si>
  <si>
    <t xml:space="preserve">Montaje teja de asbesto cemento numero 6 </t>
  </si>
  <si>
    <t xml:space="preserve">Suministro y montaje claraboya numero 6 </t>
  </si>
  <si>
    <t>Unidad</t>
  </si>
  <si>
    <t>Suministro e instalacion  templetes de acero 1/4"</t>
  </si>
  <si>
    <t>Suministro e instalacion  canal aguas lluvias lamina colled roled calibre 22</t>
  </si>
  <si>
    <t>REPELLOS 1:3</t>
  </si>
  <si>
    <t>Repello mortero 1:3</t>
  </si>
  <si>
    <t>Impermeablizacion paredes producto SIKA 1</t>
  </si>
  <si>
    <t>CARPINTERIA METALICA</t>
  </si>
  <si>
    <t>Suministro e instalacion  ventana metalica</t>
  </si>
  <si>
    <t xml:space="preserve">Suministro e instalacion vidrio 4,0 mm </t>
  </si>
  <si>
    <t>PISOS</t>
  </si>
  <si>
    <t>Suministro e instalacion  ceramica 0,3 m x 0,30 m trafico pesado</t>
  </si>
  <si>
    <t xml:space="preserve">Limpieza y aseo pisos </t>
  </si>
  <si>
    <t xml:space="preserve">PINTURA </t>
  </si>
  <si>
    <t>Estuco paredes</t>
  </si>
  <si>
    <t xml:space="preserve">Pintura muros tipo 1 tres manos </t>
  </si>
  <si>
    <t>SISTEMA ELECTRICO</t>
  </si>
  <si>
    <t>LIMPIEZA Y ASEO GENERAL</t>
  </si>
  <si>
    <t>Aseo general</t>
  </si>
  <si>
    <t>Trasteo mobiliario existente</t>
  </si>
  <si>
    <t>Limpieza total</t>
  </si>
  <si>
    <t xml:space="preserve">Global </t>
  </si>
  <si>
    <t>OTROS</t>
  </si>
  <si>
    <t>global</t>
  </si>
  <si>
    <t>NO PREVISTOS</t>
  </si>
  <si>
    <t>Glb</t>
  </si>
  <si>
    <t>Reposición e instalación de luminaria en mal estado y que no funcionan por luminarias con tubo Led T8 120 cm - 18W, Luz Blanca para Iluminación Interior, incluye cascara, tubos y socket</t>
  </si>
  <si>
    <t>Reposición de salida interruptor en mal estado. longitud promedio 3 m</t>
  </si>
  <si>
    <t>N.P. 4</t>
  </si>
  <si>
    <t>Reposición de salida toma doble en mal estado con polo a tierra longitud promedio 3 m.</t>
  </si>
  <si>
    <t>N.P. 5</t>
  </si>
  <si>
    <t xml:space="preserve">Reparación de muro en placa de fibrocemento de e=8 mm o similar, una cara incluye pintura. </t>
  </si>
  <si>
    <t>N.P. 6</t>
  </si>
  <si>
    <t>Adecuación de buitrones en placa de fibro cemento e=8 mm o similar, una cara incluye pintura, para tapar tuberías instaladas sobre cielo falso.</t>
  </si>
  <si>
    <t>N.P. 7</t>
  </si>
  <si>
    <t>Acondicionamiento de Piso en Tablón de gres colonial de 30x30cm, incluye alistado en mortero 1:3 e=3cm</t>
  </si>
  <si>
    <t>N.P. 8</t>
  </si>
  <si>
    <t>Aplicación de Pañete impermeabilizado para muros y cielo raso con mortero 1:3. espesor 1.5 cm.</t>
  </si>
  <si>
    <t>N.P. 9</t>
  </si>
  <si>
    <t>Aplicación de estuco Plástico en muros y cielo raso</t>
  </si>
  <si>
    <t>N.P. 10</t>
  </si>
  <si>
    <t>Aplicación de pintura en Vinilo T1 a 2 manos sobre estuco, en muros de zonas interior y exterior y cielo raso</t>
  </si>
  <si>
    <t>N.P. 11</t>
  </si>
  <si>
    <t>N.P. 12</t>
  </si>
  <si>
    <t>Recuperación de ventana en madera</t>
  </si>
  <si>
    <t>Aseo y limpieza</t>
  </si>
  <si>
    <t>Recuperacion alfagias proteccion techo. (se refiere a solapas de techo)</t>
  </si>
  <si>
    <t xml:space="preserve">Suministro e instalacion de cielo falso en panel yeso de 4 mm incluye estructura metalica, estuco y pintura. Cocina Concejo y asecensor </t>
  </si>
  <si>
    <t>CASA DE LA JUSTICIA</t>
  </si>
  <si>
    <t>Desmonte lavamanos</t>
  </si>
  <si>
    <t>Desmonte de cielorraso existente, incluye estructura</t>
  </si>
  <si>
    <t>ESTRUCTURAS</t>
  </si>
  <si>
    <t>Viga de cimentación concreto 21MPa. Incluye formaleta.</t>
  </si>
  <si>
    <t>m3</t>
  </si>
  <si>
    <t>Acero de refuerzo 420Mpa (60000PSI). Incluye figurado, amarre e instalación</t>
  </si>
  <si>
    <t>Kg</t>
  </si>
  <si>
    <t>Columnetas y vigas de amarre de 0,12*0,15 en concreto clase D (21 Mpa)</t>
  </si>
  <si>
    <t>ml</t>
  </si>
  <si>
    <t>MAMPOSTERIA</t>
  </si>
  <si>
    <t>Muro en ladrillo común en soga</t>
  </si>
  <si>
    <t>Repello sobre muro espesor 2,5 cm. Mortero 1:3</t>
  </si>
  <si>
    <t>Suministro e instalación de mesón en piedra</t>
  </si>
  <si>
    <t>APARATO SANITARIOS</t>
  </si>
  <si>
    <t>Lavamanos de empotrar incluye grifería y accesorios</t>
  </si>
  <si>
    <t>un</t>
  </si>
  <si>
    <t>PISO Y ACABADOS</t>
  </si>
  <si>
    <t>Piso primario e= 10cms. Concreto de 17,5 Mpa. Incluye refuerzo con malla electrosoldada</t>
  </si>
  <si>
    <t>Piso tableta similar al existente, incluye mortero de nivelación. Incluye alistado de piso en ortero 1:3 e=3cm</t>
  </si>
  <si>
    <t>Pintura en vinilo tipo I para interiores, 2 manos, incluye rasqueteada, lijada y resanes</t>
  </si>
  <si>
    <t>Pintura de ventanas y puertas metálicas</t>
  </si>
  <si>
    <t>CARPINTERIA METALICA Y DE MADERAS</t>
  </si>
  <si>
    <t>Instalacion de cieloraso en eterboard, con estructura en aluminio, incluye pintura</t>
  </si>
  <si>
    <t>CUBIERTA (INCLUYE INSTALACION)</t>
  </si>
  <si>
    <t>Suministro e instalacion de teja #6, incluye amarras</t>
  </si>
  <si>
    <t>Caballete fijo en fibra cemento</t>
  </si>
  <si>
    <t>Suministro e instalacion de estructura de cubierta en perlines (perfil en C 220X80X2.5mm x 6m) Gr50 Negro</t>
  </si>
  <si>
    <t>Fijación de cubierta existente con gancho y amarra</t>
  </si>
  <si>
    <t xml:space="preserve">OTROS </t>
  </si>
  <si>
    <t>Suministro e instalaciones de vidrios espesor 4 mm</t>
  </si>
  <si>
    <t>Retiro de enchape fachada exterior</t>
  </si>
  <si>
    <t xml:space="preserve">Suministro e instalación de tableta nueva para fachada perimetral </t>
  </si>
  <si>
    <t>Demolición de repellos en muros</t>
  </si>
  <si>
    <t>Movimiento de mobiliario. Se hace por oficina</t>
  </si>
  <si>
    <t>Aplicación de pintura en aceite para fachada exterior. Incluye resanes.</t>
  </si>
  <si>
    <t>CENTRO COMERCIAL EL EMPEDRADO</t>
  </si>
  <si>
    <t>CUBIERTA</t>
  </si>
  <si>
    <t>1.1</t>
  </si>
  <si>
    <t>Mantenimiento correctivo de cubierta sobre rastreles de madera. (Fijación de tejas que no lo esten, corregir tejas corridas o movidas sobre rastreles de madera, coger goteras.)</t>
  </si>
  <si>
    <t>m²</t>
  </si>
  <si>
    <t>1.2</t>
  </si>
  <si>
    <t>2</t>
  </si>
  <si>
    <t>OFICINA DE FAMILIAS EN ACCIÓN</t>
  </si>
  <si>
    <t>2.2</t>
  </si>
  <si>
    <t>2.4</t>
  </si>
  <si>
    <t>Cielo raso registrable suspendido de panel yeso 1/2", decorativo, situado a una altura menor de 4 m, constituido por: ESTRUCTURA: perfilería vista, de acero galvanizado, con suela de 48 mm de anchura, comprendiendo perfiles primarios y secundarios, suspendidos de la losa o elemento soporte con varillas y cuelgues; PLACAS: placas de yeso 1/2", acabado con vinilo blanco, de superficie lisa. Incluso perfiles angulares, fijaciones para el anclaje de los perfiles y accesorios de montaje.</t>
  </si>
  <si>
    <t>Guardaescoba cerámico, de 9 cm, recibido con mortero de cemento y rejuntado con mortero de juntas cementoso, color blanco, para juntas de 3 mm.</t>
  </si>
  <si>
    <t>2.6</t>
  </si>
  <si>
    <t>Aplicación manual de dos manos de esmalte sintético de secado rápido, a base de resinas alquídicas, color a elegir, acabado brillante, (rendimiento: 0,083 l/m² cada mano); previa aplicación de una mano de imprimación sintética antioxidante de secado rápido, a base de resinas alquídicas, color gris, acabado mate (rendimiento: 0,142 l/m²), sobre ventanas y rejas de acero.</t>
  </si>
  <si>
    <t>2.7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</si>
  <si>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puertas y marcos de madera.</t>
  </si>
  <si>
    <t>3</t>
  </si>
  <si>
    <t>OFICINA INSPECCIÓN PRIMERA</t>
  </si>
  <si>
    <t>3.1</t>
  </si>
  <si>
    <t>Estucado de pasta de cal y arena de mármol blanco.</t>
  </si>
  <si>
    <t>Aplicación manual de dos manos de pintura plástica color blanco, acabado mate, textura lisa, la primera mano diluida con un 20% de agua y la siguiente sin diluir, (rendimiento: 0,1 l/m² cada mano); previa aplicación de una mano de imprimación a base de copolímeros acrílicos en suspensión acuosa, sobre paramento interior vertical, de hasta 3 m de altura.</t>
  </si>
  <si>
    <t>3.3</t>
  </si>
  <si>
    <t>3.4</t>
  </si>
  <si>
    <t>3.5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</si>
  <si>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y puertas y marcos de madera.</t>
  </si>
  <si>
    <t>4</t>
  </si>
  <si>
    <t>OFICINA INSPECCIÓN TERCERA</t>
  </si>
  <si>
    <t>4.1</t>
  </si>
  <si>
    <t>4.2</t>
  </si>
  <si>
    <t>4.3</t>
  </si>
  <si>
    <t>4.4</t>
  </si>
  <si>
    <t>4.5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</si>
  <si>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</t>
  </si>
  <si>
    <t>5</t>
  </si>
  <si>
    <t>OFICINA VACÍA</t>
  </si>
  <si>
    <t>5.1</t>
  </si>
  <si>
    <t>Repello con mortero 1:5, maestreado, aplicado sobre un paramento vertical interior, hasta 3 m de altura, acabado superficial fratasado.</t>
  </si>
  <si>
    <t>5.2</t>
  </si>
  <si>
    <t>5.3</t>
  </si>
  <si>
    <t>5.4</t>
  </si>
  <si>
    <t>5.5</t>
  </si>
  <si>
    <t>5.6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</si>
  <si>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puertas y marcos de madera.</t>
  </si>
  <si>
    <t>6</t>
  </si>
  <si>
    <t>BAÑOS INDEPENDIENTES</t>
  </si>
  <si>
    <t>6.1</t>
  </si>
  <si>
    <t>6.2</t>
  </si>
  <si>
    <t>7</t>
  </si>
  <si>
    <t>PASILLO, SALA DE ESPERA Y ESCALERAS</t>
  </si>
  <si>
    <t>7.1</t>
  </si>
  <si>
    <t>7.2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</si>
  <si>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pasamanos de escaleras.</t>
  </si>
  <si>
    <t>7.3</t>
  </si>
  <si>
    <t>Aplicación manual de dos manos de esmalte sintético de secado rápido, a base de resinas alquídicas, color a elegir, acabado brillante, (rendimiento: 0,083 l/m² cada mano); previa aplicación de una mano de imprimación sintética antioxidante de secado rápido, a base de resinas alquídicas, color gris, acabado mate (rendimiento: 0,142 l/m²), sobre ventanas, puertas y rejas de acero.</t>
  </si>
  <si>
    <t>7.4</t>
  </si>
  <si>
    <t>7.5</t>
  </si>
  <si>
    <t>7.6</t>
  </si>
  <si>
    <t>Piso de baldosas cerámicas de gres esmaltado, de 34x34 cm, capacidad de absorción de agua E&lt;3%, resistencia al deslizamiento alta, recibidas con adhesivo cementoso de uso exclusivo para interiores, color gris y rejuntadas con mortero de juntas cementoso, color blanco, para juntas de 2 a 15 mm.</t>
  </si>
  <si>
    <t>8</t>
  </si>
  <si>
    <t>8.1</t>
  </si>
  <si>
    <t>matera de barro 30cm de diametro</t>
  </si>
  <si>
    <t>Ud</t>
  </si>
  <si>
    <t>8.2</t>
  </si>
  <si>
    <t>Cerradura con llave para puerta interior metálica. Incluso Accesorios</t>
  </si>
  <si>
    <t>8.3</t>
  </si>
  <si>
    <t xml:space="preserve"> Limpieza final de obra en edificio de otros usos, con una superficie construida media de 300 m², incluyendo los trabajos de eliminación de la suciedad y el polvo acumulado en paramentos y carpinterías, limpieza y desinfección de baños y aseos, limpieza de cristales y carpinterías exteriores, eliminación de manchas y restos de yeso y mortero adheridos en suelos y otros elementos, recogida y retirada de plásticos y cartones, todo ello junto con los demás restos de fin de obra depositados en el contenedor de residuos para su transporte a vertedero autorizado.</t>
  </si>
  <si>
    <t>N.P.1</t>
  </si>
  <si>
    <t>Reforzamiento estructural de uniones en cerchas de madera de estructura de cubierta.</t>
  </si>
  <si>
    <t>Pto</t>
  </si>
  <si>
    <t>N.P.2</t>
  </si>
  <si>
    <t>N.P.3</t>
  </si>
  <si>
    <t>Suministro e instalación de accesorios para la correcta instalación bajantes existentes en canal de fachada calle 8 y canal interna parte izquierda.</t>
  </si>
  <si>
    <t>N.P.4</t>
  </si>
  <si>
    <t xml:space="preserve">Reposición e instalación de canal en lámina galvanizada Cal. 22. Incluye pintura. </t>
  </si>
  <si>
    <t>N.P.5</t>
  </si>
  <si>
    <t>Reposición e instalación de luminarias tipo panel LED 60x60cm - 50W</t>
  </si>
  <si>
    <t>N.P.6</t>
  </si>
  <si>
    <t>Suministro e instalación de tomacorrientes dobles con polo a tierra y recuperación de tomacorrientes existentes.</t>
  </si>
  <si>
    <t>N.P.7</t>
  </si>
  <si>
    <t>Demolición de cerámica y pre repello pasillo</t>
  </si>
  <si>
    <t>N.P.8</t>
  </si>
  <si>
    <t>Retiro de cielo raso existente en icopor y desmonte de estructura</t>
  </si>
  <si>
    <t>N.P.9</t>
  </si>
  <si>
    <t>Suministro e instalación de cielo raso en PVC importado, incluye estructura de soporte</t>
  </si>
  <si>
    <t>N.P.10</t>
  </si>
  <si>
    <t xml:space="preserve">Ajuste de tornillería del entramado de cubierta en madera </t>
  </si>
  <si>
    <t>N.P.11</t>
  </si>
  <si>
    <t>Nivelación de teleras de cubierta en madera</t>
  </si>
  <si>
    <t xml:space="preserve">ml </t>
  </si>
  <si>
    <t>N.P.12</t>
  </si>
  <si>
    <t>Destape y/o reposición de tubería sanitaria de 2" en cocineta oficina vacía. Incluye la apertura de piso y posterios reparación. Se debe garantizar el funcionamiento del punto sanitario, sin filtraciones de agua, ni humedades.</t>
  </si>
  <si>
    <t>m</t>
  </si>
  <si>
    <t>N.P.13</t>
  </si>
  <si>
    <t>Reparación de tubería hidráulica de 1/2". Incluye accesorios de instalación. Subestación y baño encima de subestación</t>
  </si>
  <si>
    <t>Mantenimiento correctivo de canal en lámina. (Formación de pendientes, reparación de filtraciones, revisión de acoples en bajantes) canales interiores</t>
  </si>
  <si>
    <t>Repello con mortero 1:5, maestreado, aplicado sobre un paramento vertical interior, hasta 3 m de altura, acabado superficial fratasado. (SE CONTEMPLA PARA LA SUBESTACIÓN)</t>
  </si>
  <si>
    <t>Estucado de pasta de cal y arena de mármol blanco. (SE CONTEMPLA PARA LA SUBESTACIÓN)</t>
  </si>
  <si>
    <t>Aplicación manual de dos manos de pintura plástica color blanco, acabado mate, textura lisa, la primera mano diluida con un 20% de agua y la siguiente sin diluir, (rendimiento: 0,1 l/m² cada mano); previa aplicación de una mano de imprimación a base de copolímeros acrílicos en suspensión acuosa, sobre paramento interior vertical, de hasta 3 m de altura. (SE CONTEMPLA PARA LA SUBESTACIÓN)</t>
  </si>
  <si>
    <t>MUSEO NEGRET</t>
  </si>
  <si>
    <t>Desmonte de Cielo falso en panel yeso</t>
  </si>
  <si>
    <t>Desmonte de aparatos sanitarios</t>
  </si>
  <si>
    <t>Desmonte de tejas en A.C #6</t>
  </si>
  <si>
    <t>Recorrido de cubierta (Incluye retiro de tejas en mal estado, recuperación de tejas en buen estado, ajuste de tejas corridas o movidas, suministro e instalación de tejas en AC )</t>
  </si>
  <si>
    <t>Repello de muros en mortero 1:3. e=1.5cm</t>
  </si>
  <si>
    <t>Repello en mortero 1:3, e= 1cm, para cielo falso</t>
  </si>
  <si>
    <t>Suministro e instalación de cielo falso en panel yeso de 4mm incluye estructura metálica, estuco y pintura</t>
  </si>
  <si>
    <t>Suministro de sanitario de tanque bajo tipo ahorrador, incluso accesorios de instalacion  color blanco</t>
  </si>
  <si>
    <t>Limpieza, poda, suministro e instalación de plantas de jardines y prado (Incluye retiro y bote de residuos)</t>
  </si>
  <si>
    <t>Gb</t>
  </si>
  <si>
    <t>Reparación y pintura en aceite de guardaescobas</t>
  </si>
  <si>
    <t>Desmonte y retiro de canales en lámina en mal estado. PATIO CHORRO</t>
  </si>
  <si>
    <t>Pintura en vinilo tipo I, 2 manos, incluye rasqueteada, lijada y resanes (muros y cielos falsos)</t>
  </si>
  <si>
    <t>Mantenimiento general de canales en lámina metálica (Incluye limpieza, reparación y pintura) DOS PATIOS</t>
  </si>
  <si>
    <t>Limpieza, reparacion, mantenimiento general de bajantes. (Incluye pintura) DOS PATIOS</t>
  </si>
  <si>
    <t>Suministro e instalacion de canal en lamina galvanizada calibre 24. (Incluye pintura) PATIO CHORRO</t>
  </si>
  <si>
    <t>CENTRO REGIONAL DE ATENCIÓN A VICTIMAS (CRAV)</t>
  </si>
  <si>
    <t>Recorrido de cubierta en teja termo acústica, incluye  acomodación de tejas, limpieza y reparación</t>
  </si>
  <si>
    <t>Suministro e instalación de cinta impermeabilizante tapa goteras</t>
  </si>
  <si>
    <t>Recorrido de canales, incluye reacomodación de la canal,
reacomodación de soportes, limpieza, sellado de juntas y sondeo de bajantes.</t>
  </si>
  <si>
    <t xml:space="preserve">Pintura en vinilo tipo I para interiores, 2 manos, incluye rasqueteada, lijada y resane de muros </t>
  </si>
  <si>
    <t>Cielo falso en panel yeso de 12.7mm de espesor, incluye estuco y pintura con vinilo tipo 1,3 manos blanca</t>
  </si>
  <si>
    <t xml:space="preserve">m2 </t>
  </si>
  <si>
    <t>Punto sanitario PVC de 2" L prom=3m</t>
  </si>
  <si>
    <t>pto.</t>
  </si>
  <si>
    <t>Retiro de emblemas de la institución existentes en puertas de vidrio templado e instalación de vinilo esmerilado opalizado.</t>
  </si>
  <si>
    <t>Suministro e instalación Película de control solar uv99 ir90%. Incluye solución jabonosa, para la limpieza de la superficie del vidrio y la colocación de láminas adhesivas</t>
  </si>
  <si>
    <t>Suministro e instalación de vidrios 4mm</t>
  </si>
  <si>
    <t>PUEBLITO PATOJO</t>
  </si>
  <si>
    <t>Desmonte de teja A.C  #6 DAFE</t>
  </si>
  <si>
    <t>Demolicion de viga corona existente</t>
  </si>
  <si>
    <t>Pintura en vinilo tipo I, 2 manos, incluye rasqueteada, lijada y resanes</t>
  </si>
  <si>
    <t>Estuco plástico para exteriores</t>
  </si>
  <si>
    <t>Suministro e instalación de Bajante de Aguas lluvias PVC 3", (incluye pintura)</t>
  </si>
  <si>
    <t>Gbl</t>
  </si>
  <si>
    <t>Adecuación a todo costo de membrana atirantada de escenario</t>
  </si>
  <si>
    <t>Suministro e instalación de canal tipo bola - colonial en lámina galvanizada Cal. 20, de dimensiones 0.24m de diámetro y semicircunferencia de 0.34m con doblés circulares de 1cm. Para bloques de locales y Secretaría DAFE.</t>
  </si>
  <si>
    <t>Suministro e instalación de bajantes en cadena galvanizada 3/16 in en bloques de locales y Secretaría DAFE</t>
  </si>
  <si>
    <t>Construcción de canal de derivación de aguas lluvias en concreto de 2Mpa de 0.50mx0.25mx0.08m. Incluye acero de refuerzo.</t>
  </si>
  <si>
    <t>Suministro e instalación de tubería Novafort 8". Incluye excavación</t>
  </si>
  <si>
    <t xml:space="preserve">Reposición e instalación de luminarias antivandálicas tipo tortuga parte posterior de Secretaría DAFE. </t>
  </si>
  <si>
    <t xml:space="preserve">Inspección de cajas de registro existentes. Incluye limpieza, mantenimiento y reparaciones. </t>
  </si>
  <si>
    <t>Reposición de cielo falso en madera que esta por caerse en cocina de Sec. DAFE.</t>
  </si>
  <si>
    <t>Pulido de piso en tableta de cerámica. Secretaría DAFE.</t>
  </si>
  <si>
    <t>Ajuste de puertas existentes de baños 2do piso de Sec. DAFE. Incluye el suministro e instalación de chapa tipo pomo de aluminio.</t>
  </si>
  <si>
    <t>Suministro e instalación de listones de 3"x3" para arriostramiento de telera en madera 2do piso Sec. DAFE. Incluye pintura tipo esmalte.</t>
  </si>
  <si>
    <t>Reposición e instalación de ventana abatible hacia afuera en madera con recuperación de vidrios. Dimensiones de ventana 1mx1.7m. Oficina Secretario DAFE.</t>
  </si>
  <si>
    <t>Demolición de tabletas cerámicas y mortero de pega. Bodega 1er piso y pasillo de baños 1er piso Sec. DAFE.</t>
  </si>
  <si>
    <t>Suministro e instalación de cerámica de piso, tráfico 4. Bodega 1er pisp y pasillo de baños Sec. DAFE</t>
  </si>
  <si>
    <t>N.P.14</t>
  </si>
  <si>
    <t xml:space="preserve">Puesta en funcionamiento de fuente en piedra del pueblito patojo. Incluye el suministro e instalación de bomba de agua adecuada para la fuente, obra civil y accesorios para un correcto funcionamiento. Se debe garantizar que no se presenten fugas de agua </t>
  </si>
  <si>
    <t>Demolicion de cielo falso en esterilla incluye estructura CASETAS E IGLESIA</t>
  </si>
  <si>
    <t>Desmonte cubierta en teja de barro con recuperación de material CASETAS+TORRE+IGLESIA</t>
  </si>
  <si>
    <t>Suministro e instalación de Tejas # 6 en F.C. CASETAS+TORRE+IGLESIA</t>
  </si>
  <si>
    <t>Suministro e instalacion de estructura de cubierta en perlines (perfil en C 220X80X2.5mm x 6m) Gr50 Negro (CON APARIENCIA A MADERA)</t>
  </si>
  <si>
    <t>Suministro e instalación de Tejas de barro CASETAS+TORRE+IGLESIA</t>
  </si>
  <si>
    <t>Repello de muros en mortero 1:3 EN ZONAS DE LOCALES Y DAFE QUE ESTAN EN MAL ESTADO</t>
  </si>
  <si>
    <t>Repello en mortero 1:3, e= 1cm, para cielo falso DAFE</t>
  </si>
  <si>
    <t>Suministro e instalación de cielo falso en panel yeso de 4mm incluye estructura metálica, estuco y pintura
CASETAS E IGLESIA (SOLO ALEROS)</t>
  </si>
  <si>
    <t>Pintura en esmalte sintetico sobre lamina de los  perlines exteriores c.j</t>
  </si>
  <si>
    <t xml:space="preserve">Pintura de carteras en esmalte sintetico,  incluye rasqueteada, lijada y resanes c.j  </t>
  </si>
  <si>
    <t xml:space="preserve">Limpieza, reparacion, mantenimiento general de bajantes en pvc (incluye pintura) c.j </t>
  </si>
  <si>
    <t>N.P.15</t>
  </si>
  <si>
    <t>Realce de cubierta para correcta isntalacion de canal c.c.e</t>
  </si>
  <si>
    <t>bala panel led 12w incrustar</t>
  </si>
  <si>
    <t>N.P. 16</t>
  </si>
  <si>
    <r>
      <rPr>
        <sz val="7"/>
        <rFont val="Calibri"/>
        <family val="2"/>
      </rPr>
      <t>    D</t>
    </r>
    <r>
      <rPr>
        <sz val="11"/>
        <rFont val="Calibri"/>
        <family val="2"/>
      </rPr>
      <t xml:space="preserve">esmonte y monte de cubierta traslucida incluye silicona y andamios. cc empedrado </t>
    </r>
  </si>
  <si>
    <t>N.P. 17</t>
  </si>
  <si>
    <t>Mantenimiento correctivo de filtraciones de agua en ventanas incluye andamios. crav</t>
  </si>
  <si>
    <t>N.P. 18</t>
  </si>
  <si>
    <t>ajuste de precio de canal en U de 0.20x0.20x0.20.</t>
  </si>
  <si>
    <t>N.P. 19</t>
  </si>
  <si>
    <t>N.P. 20</t>
  </si>
  <si>
    <t xml:space="preserve">suministro de solapa para canal </t>
  </si>
  <si>
    <t>desmonte y monte de cubierta en  eternit para instalacion de  canal .</t>
  </si>
  <si>
    <t xml:space="preserve">NO PREVISTOS </t>
  </si>
  <si>
    <t xml:space="preserve">Revision y mantenimiento del sistema electrico( zona A) </t>
  </si>
  <si>
    <t>Realización de diagnostico y mantenimiento del sistema eléctrico (zona B)</t>
  </si>
  <si>
    <t xml:space="preserve">N.P. 16 </t>
  </si>
  <si>
    <t>Acarreo de escombro manual en sitio.</t>
  </si>
  <si>
    <t>etiro de escombro manual-volqueta &lt;=10km+ botadero.</t>
  </si>
  <si>
    <t>Suministro e instalación de vidrio templado 8mm</t>
  </si>
  <si>
    <t>Suministro e instalación de bajante de tuberia 4" incluye  accesorios+pintura</t>
  </si>
  <si>
    <t>Desmonte e instalacion de Luminarais</t>
  </si>
  <si>
    <t>pto</t>
  </si>
  <si>
    <t>Recuperacion Puerta Metalica( PUERTA ENTRAR ALMACEN)</t>
  </si>
  <si>
    <t>Mantenimiento, cambio, pintura de puertas y suministro de vídrios 4mm (PUERTA ENTRADA PRINCIPAL, PUERTA DE MEDIO Y PUERTA DE DOS NAVES)</t>
  </si>
  <si>
    <t>Suministro e instalacion de estructura de cubierta en perlines C (perfil ag 120X60X1,5.mm )  (CON APARIENCIA A MADERA)</t>
  </si>
  <si>
    <t>ACTA DE BALANCE No. 1</t>
  </si>
  <si>
    <r>
      <t xml:space="preserve">CONTRATISTA: </t>
    </r>
    <r>
      <rPr>
        <sz val="11"/>
        <rFont val="Calibri  "/>
      </rPr>
      <t>ING. VICTOR HUGO BRAVO MARTINEZ
NIT: No. 10.535.393</t>
    </r>
  </si>
  <si>
    <t>MODIFICATORIO No.2</t>
  </si>
  <si>
    <t>45 DÍAS ADICIONALES</t>
  </si>
  <si>
    <t>OTROSÍ ACLARATORIO
No. 1</t>
  </si>
  <si>
    <t>ACLARACIÓN IVA DEL CONTRATO</t>
  </si>
  <si>
    <t>SUSPENSIÓN No. 2</t>
  </si>
  <si>
    <t>19 DE MAYO 2021</t>
  </si>
  <si>
    <t>REINICIO No. 2</t>
  </si>
  <si>
    <t>MODIFICATORIO No. 3</t>
  </si>
  <si>
    <t>OBRA 
EJECUTADA</t>
  </si>
  <si>
    <t>COSTO DIRECTO TOTAL</t>
  </si>
  <si>
    <t>BALANCE  A LA FECHA</t>
  </si>
  <si>
    <t>BALANCE DEL ANTICIPO:</t>
  </si>
  <si>
    <t>BALANCE RETEGARANTIA</t>
  </si>
  <si>
    <t xml:space="preserve">VALOR CONTRATO PPAL                                       </t>
  </si>
  <si>
    <t>VALOR ANTICIPO</t>
  </si>
  <si>
    <t>VALOR RETEGARANTIA 10%</t>
  </si>
  <si>
    <t xml:space="preserve">VALOR CONTRATO ADICIONAL                           </t>
  </si>
  <si>
    <t>AMORTIZACION  ACTAS ANTERIORES</t>
  </si>
  <si>
    <t>ACUMULADO RETEGARANTIAS ACTAS ANTERIORES</t>
  </si>
  <si>
    <t>VALOR TOTAL CONTRATADO</t>
  </si>
  <si>
    <t>AMORTIZACIÒN PRESENTE 
ACTA</t>
  </si>
  <si>
    <t>RETEGARANTIA PRESENTE 
ACTA</t>
  </si>
  <si>
    <t xml:space="preserve">VALOR EJECUTADO ACUMULADO                                                   </t>
  </si>
  <si>
    <t>SALDO POR AMORTIZAR</t>
  </si>
  <si>
    <t>SALDO RETEGARANTIA</t>
  </si>
  <si>
    <t xml:space="preserve">SALDO POR EJECUTAR                                                   </t>
  </si>
  <si>
    <t xml:space="preserve">SUMAS IGUALES                  $                        </t>
  </si>
  <si>
    <t>SUMAS IGUALES  $</t>
  </si>
  <si>
    <t>SUMAS IGUALES</t>
  </si>
  <si>
    <t>VALOR A ADICIONAR</t>
  </si>
  <si>
    <t>VALOR EJECUTADO HASTA LA PRESENTE ACTA</t>
  </si>
  <si>
    <t>Secretaria General</t>
  </si>
  <si>
    <t>Secretario de Infraestructura</t>
  </si>
  <si>
    <t>Dra. SAMAIDA GOMEZ RUIZ</t>
  </si>
  <si>
    <t>Ing. CARLOS ALBERTO CÓRDOBA MUÑOZ</t>
  </si>
  <si>
    <t>Ing. PABLO AGUILAR</t>
  </si>
  <si>
    <t>Supervisor del contrato</t>
  </si>
  <si>
    <t>Ing. VICTOR HUGO BRAVO MARTINEZ</t>
  </si>
  <si>
    <t>Contratista</t>
  </si>
  <si>
    <t>FECHA: DÍA ______________ MES ______________ AÑO ________</t>
  </si>
  <si>
    <t>*$0</t>
  </si>
  <si>
    <t>TOTAL</t>
  </si>
  <si>
    <t>GENERAL</t>
  </si>
  <si>
    <t>GOBIERNO</t>
  </si>
  <si>
    <t>CDP 2020.CEN.01.3745 $30.000.000</t>
  </si>
  <si>
    <t>CDP 2020.CEN.01.2588 $ 413.423.620</t>
  </si>
  <si>
    <t>ORIGINAL</t>
  </si>
  <si>
    <t>ADICIONAL</t>
  </si>
  <si>
    <t>N.P. 13</t>
  </si>
  <si>
    <t xml:space="preserve">manteniemiento general de canal en lamina metalica </t>
  </si>
  <si>
    <t>Mantenimiento de cerramiento en malla eslabonanda H = 2.0m incluido muro de 0.5m, incluye alambre de puas.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</si>
</sst>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\ _P_t_s_-;\-* #,##0.0\ _P_t_s_-;_-* &quot;-&quot;??\ _P_t_s_-;_-@_-"/>
    <numFmt numFmtId="166" formatCode="_-* #,##0\ _P_t_s_-;\-* #,##0\ _P_t_s_-;_-* &quot;-&quot;??\ _P_t_s_-;_-@_-"/>
    <numFmt numFmtId="167" formatCode="_-* #,##0.00\ _P_t_s_-;\-* #,##0.00\ _P_t_s_-;_-* &quot;-&quot;??\ _P_t_s_-;_-@_-"/>
    <numFmt numFmtId="168" formatCode="[$$-240A]\ #,##0"/>
    <numFmt numFmtId="169" formatCode="[$$-240A]\ #,##0.00"/>
    <numFmt numFmtId="170" formatCode="_-* #,##0\ _P_t_s_-;\-* #,##0\ _P_t_s_-;_-* &quot;-&quot;\ _P_t_s_-;_-@_-"/>
    <numFmt numFmtId="171" formatCode="_-* #,##0.00\ _P_t_s_-;\-* #,##0.00\ _P_t_s_-;_-* &quot;-&quot;\ _P_t_s_-;_-@_-"/>
    <numFmt numFmtId="172" formatCode="_(&quot;$&quot;\ * #,##0_);_(&quot;$&quot;\ * \(#,##0\);_(&quot;$&quot;\ * &quot;-&quot;??_);_(@_)"/>
    <numFmt numFmtId="173" formatCode="0.0"/>
    <numFmt numFmtId="174" formatCode="#,##0.00_ ;\-#,##0.00\ "/>
    <numFmt numFmtId="175" formatCode="_-* #.##0.00_-;\-* #.##0.00_-;_-* &quot;-&quot;??_-;_-@_-"/>
    <numFmt numFmtId="176" formatCode="_-[$$-240A]\ * #,##0.00_-;\-[$$-240A]\ * #,##0.00_-;_-[$$-240A]\ * &quot;-&quot;??_-;_-@_-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  "/>
    </font>
    <font>
      <b/>
      <sz val="11"/>
      <name val="Calibri  "/>
    </font>
    <font>
      <sz val="11"/>
      <color rgb="FFFF0000"/>
      <name val="Calibri  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7"/>
      <name val="Calibri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10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167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/>
    <xf numFmtId="42" fontId="10" fillId="0" borderId="0" applyFont="0" applyFill="0" applyBorder="0" applyAlignment="0" applyProtection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5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5" fontId="1" fillId="0" borderId="0" applyFont="0" applyFill="0" applyBorder="0" applyAlignment="0" applyProtection="0"/>
  </cellStyleXfs>
  <cellXfs count="795">
    <xf numFmtId="0" fontId="0" fillId="0" borderId="0" xfId="0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7" fillId="0" borderId="0" xfId="0" applyFont="1"/>
    <xf numFmtId="0" fontId="7" fillId="2" borderId="6" xfId="0" applyFont="1" applyFill="1" applyBorder="1"/>
    <xf numFmtId="0" fontId="7" fillId="0" borderId="0" xfId="0" applyFont="1" applyAlignment="1">
      <alignment horizontal="center"/>
    </xf>
    <xf numFmtId="0" fontId="7" fillId="0" borderId="0" xfId="0" applyFont="1" applyFill="1"/>
    <xf numFmtId="0" fontId="7" fillId="2" borderId="0" xfId="0" applyFont="1" applyFill="1" applyBorder="1" applyAlignment="1">
      <alignment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4" fontId="7" fillId="0" borderId="17" xfId="0" applyNumberFormat="1" applyFont="1" applyFill="1" applyBorder="1" applyAlignment="1">
      <alignment horizontal="center" vertical="center"/>
    </xf>
    <xf numFmtId="4" fontId="7" fillId="0" borderId="19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8" fillId="3" borderId="3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2" fontId="7" fillId="0" borderId="17" xfId="0" applyNumberFormat="1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/>
    </xf>
    <xf numFmtId="165" fontId="7" fillId="2" borderId="0" xfId="0" applyNumberFormat="1" applyFont="1" applyFill="1" applyAlignment="1">
      <alignment horizontal="center"/>
    </xf>
    <xf numFmtId="165" fontId="7" fillId="0" borderId="0" xfId="0" applyNumberFormat="1" applyFont="1" applyAlignment="1">
      <alignment horizontal="center"/>
    </xf>
    <xf numFmtId="0" fontId="8" fillId="3" borderId="39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 wrapText="1"/>
    </xf>
    <xf numFmtId="173" fontId="7" fillId="0" borderId="19" xfId="5" applyNumberFormat="1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164" fontId="7" fillId="0" borderId="20" xfId="3" applyFont="1" applyFill="1" applyBorder="1" applyAlignment="1">
      <alignment horizontal="left" vertical="center"/>
    </xf>
    <xf numFmtId="164" fontId="7" fillId="0" borderId="23" xfId="3" applyFont="1" applyFill="1" applyBorder="1" applyAlignment="1">
      <alignment horizontal="left" vertical="center"/>
    </xf>
    <xf numFmtId="2" fontId="11" fillId="0" borderId="17" xfId="0" applyNumberFormat="1" applyFont="1" applyFill="1" applyBorder="1" applyAlignment="1">
      <alignment horizontal="center" vertical="center" wrapText="1"/>
    </xf>
    <xf numFmtId="2" fontId="11" fillId="0" borderId="17" xfId="1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7" fillId="2" borderId="0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164" fontId="7" fillId="0" borderId="2" xfId="3" applyFont="1" applyFill="1" applyBorder="1" applyAlignment="1">
      <alignment horizontal="left" vertical="center"/>
    </xf>
    <xf numFmtId="164" fontId="7" fillId="2" borderId="0" xfId="3" applyFont="1" applyFill="1" applyAlignment="1">
      <alignment horizontal="left"/>
    </xf>
    <xf numFmtId="9" fontId="7" fillId="2" borderId="0" xfId="4" applyFont="1" applyFill="1" applyAlignment="1">
      <alignment horizontal="left"/>
    </xf>
    <xf numFmtId="166" fontId="7" fillId="2" borderId="0" xfId="0" applyNumberFormat="1" applyFont="1" applyFill="1" applyBorder="1" applyAlignment="1">
      <alignment horizontal="left"/>
    </xf>
    <xf numFmtId="166" fontId="7" fillId="2" borderId="0" xfId="0" applyNumberFormat="1" applyFont="1" applyFill="1" applyAlignment="1">
      <alignment horizontal="left"/>
    </xf>
    <xf numFmtId="166" fontId="7" fillId="0" borderId="0" xfId="0" applyNumberFormat="1" applyFont="1" applyAlignment="1">
      <alignment horizontal="left"/>
    </xf>
    <xf numFmtId="9" fontId="8" fillId="3" borderId="43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justify" wrapText="1"/>
    </xf>
    <xf numFmtId="0" fontId="7" fillId="2" borderId="0" xfId="0" applyFont="1" applyFill="1" applyBorder="1" applyAlignment="1">
      <alignment vertical="justify" wrapText="1"/>
    </xf>
    <xf numFmtId="4" fontId="7" fillId="0" borderId="4" xfId="0" applyNumberFormat="1" applyFont="1" applyFill="1" applyBorder="1" applyAlignment="1">
      <alignment horizontal="center" vertical="center"/>
    </xf>
    <xf numFmtId="164" fontId="7" fillId="0" borderId="18" xfId="3" applyFont="1" applyFill="1" applyBorder="1" applyAlignment="1">
      <alignment horizontal="left" vertical="center"/>
    </xf>
    <xf numFmtId="164" fontId="7" fillId="0" borderId="21" xfId="3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164" fontId="7" fillId="0" borderId="46" xfId="3" applyFont="1" applyFill="1" applyBorder="1" applyAlignment="1">
      <alignment horizontal="left" vertical="center"/>
    </xf>
    <xf numFmtId="9" fontId="7" fillId="0" borderId="49" xfId="4" applyFont="1" applyFill="1" applyBorder="1" applyAlignment="1">
      <alignment horizontal="center" vertical="center"/>
    </xf>
    <xf numFmtId="9" fontId="7" fillId="0" borderId="51" xfId="4" applyFont="1" applyFill="1" applyBorder="1" applyAlignment="1">
      <alignment horizontal="center" vertical="center"/>
    </xf>
    <xf numFmtId="4" fontId="7" fillId="0" borderId="72" xfId="0" applyNumberFormat="1" applyFont="1" applyFill="1" applyBorder="1" applyAlignment="1">
      <alignment horizontal="center" vertical="center"/>
    </xf>
    <xf numFmtId="164" fontId="7" fillId="0" borderId="59" xfId="3" applyFont="1" applyFill="1" applyBorder="1" applyAlignment="1">
      <alignment horizontal="left" vertical="center"/>
    </xf>
    <xf numFmtId="2" fontId="11" fillId="0" borderId="72" xfId="0" applyNumberFormat="1" applyFont="1" applyFill="1" applyBorder="1" applyAlignment="1">
      <alignment horizontal="center" vertical="center" wrapText="1"/>
    </xf>
    <xf numFmtId="164" fontId="7" fillId="0" borderId="28" xfId="3" applyFont="1" applyFill="1" applyBorder="1" applyAlignment="1">
      <alignment horizontal="left" vertical="center"/>
    </xf>
    <xf numFmtId="4" fontId="7" fillId="0" borderId="45" xfId="0" applyNumberFormat="1" applyFont="1" applyFill="1" applyBorder="1" applyAlignment="1">
      <alignment horizontal="center" vertical="center"/>
    </xf>
    <xf numFmtId="164" fontId="7" fillId="0" borderId="56" xfId="3" applyFont="1" applyFill="1" applyBorder="1" applyAlignment="1">
      <alignment horizontal="left" vertical="center"/>
    </xf>
    <xf numFmtId="2" fontId="11" fillId="0" borderId="45" xfId="0" applyNumberFormat="1" applyFont="1" applyFill="1" applyBorder="1" applyAlignment="1">
      <alignment horizontal="center" vertical="center" wrapText="1"/>
    </xf>
    <xf numFmtId="164" fontId="7" fillId="0" borderId="0" xfId="3" applyFont="1" applyFill="1" applyBorder="1" applyAlignment="1">
      <alignment horizontal="left" vertical="center"/>
    </xf>
    <xf numFmtId="4" fontId="7" fillId="0" borderId="0" xfId="0" applyNumberFormat="1" applyFont="1" applyFill="1" applyBorder="1" applyAlignment="1">
      <alignment horizontal="center" vertical="center"/>
    </xf>
    <xf numFmtId="9" fontId="7" fillId="0" borderId="0" xfId="4" applyFont="1" applyFill="1" applyBorder="1" applyAlignment="1">
      <alignment horizontal="center" vertical="center"/>
    </xf>
    <xf numFmtId="164" fontId="7" fillId="0" borderId="18" xfId="3" applyFont="1" applyBorder="1" applyAlignment="1">
      <alignment horizontal="left" vertical="center"/>
    </xf>
    <xf numFmtId="164" fontId="7" fillId="3" borderId="18" xfId="3" applyFont="1" applyFill="1" applyBorder="1" applyAlignment="1">
      <alignment horizontal="left" vertical="center"/>
    </xf>
    <xf numFmtId="164" fontId="7" fillId="0" borderId="21" xfId="3" applyFont="1" applyBorder="1" applyAlignment="1">
      <alignment horizontal="left" vertical="center"/>
    </xf>
    <xf numFmtId="0" fontId="7" fillId="0" borderId="17" xfId="5" applyFont="1" applyBorder="1" applyAlignment="1">
      <alignment horizontal="center" vertical="center"/>
    </xf>
    <xf numFmtId="0" fontId="7" fillId="0" borderId="5" xfId="5" applyFont="1" applyBorder="1" applyAlignment="1">
      <alignment horizontal="left" vertical="center" wrapText="1"/>
    </xf>
    <xf numFmtId="0" fontId="7" fillId="0" borderId="5" xfId="5" applyFont="1" applyBorder="1" applyAlignment="1">
      <alignment horizontal="center" vertical="center"/>
    </xf>
    <xf numFmtId="164" fontId="7" fillId="0" borderId="5" xfId="3" applyFont="1" applyBorder="1" applyAlignment="1">
      <alignment horizontal="left" vertical="center"/>
    </xf>
    <xf numFmtId="4" fontId="7" fillId="0" borderId="17" xfId="0" applyNumberFormat="1" applyFont="1" applyBorder="1" applyAlignment="1">
      <alignment horizontal="center" vertical="center"/>
    </xf>
    <xf numFmtId="164" fontId="7" fillId="0" borderId="2" xfId="3" applyFont="1" applyBorder="1" applyAlignment="1">
      <alignment horizontal="left" vertical="center"/>
    </xf>
    <xf numFmtId="4" fontId="7" fillId="0" borderId="4" xfId="0" applyNumberFormat="1" applyFont="1" applyBorder="1" applyAlignment="1">
      <alignment horizontal="center" vertical="center"/>
    </xf>
    <xf numFmtId="0" fontId="7" fillId="2" borderId="17" xfId="5" applyFont="1" applyFill="1" applyBorder="1" applyAlignment="1">
      <alignment horizontal="center" vertical="center"/>
    </xf>
    <xf numFmtId="173" fontId="7" fillId="0" borderId="17" xfId="5" applyNumberFormat="1" applyFont="1" applyBorder="1" applyAlignment="1">
      <alignment horizontal="center" vertical="center"/>
    </xf>
    <xf numFmtId="0" fontId="8" fillId="0" borderId="17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7" fillId="0" borderId="5" xfId="30" applyFont="1" applyBorder="1" applyAlignment="1">
      <alignment horizontal="left" vertical="center" wrapText="1"/>
    </xf>
    <xf numFmtId="42" fontId="7" fillId="0" borderId="5" xfId="30" applyNumberFormat="1" applyFont="1" applyBorder="1" applyAlignment="1">
      <alignment horizontal="center" vertical="center"/>
    </xf>
    <xf numFmtId="0" fontId="7" fillId="0" borderId="5" xfId="30" applyFont="1" applyBorder="1" applyAlignment="1">
      <alignment vertical="center" wrapText="1"/>
    </xf>
    <xf numFmtId="0" fontId="7" fillId="0" borderId="5" xfId="30" applyFont="1" applyBorder="1" applyAlignment="1">
      <alignment horizontal="center" vertical="center"/>
    </xf>
    <xf numFmtId="42" fontId="7" fillId="2" borderId="5" xfId="30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center" vertical="center"/>
    </xf>
    <xf numFmtId="164" fontId="7" fillId="0" borderId="5" xfId="3" applyFont="1" applyFill="1" applyBorder="1" applyAlignment="1">
      <alignment horizontal="left" vertical="center"/>
    </xf>
    <xf numFmtId="2" fontId="11" fillId="0" borderId="4" xfId="0" applyNumberFormat="1" applyFont="1" applyFill="1" applyBorder="1" applyAlignment="1">
      <alignment horizontal="center" vertical="center" wrapText="1"/>
    </xf>
    <xf numFmtId="0" fontId="7" fillId="3" borderId="5" xfId="5" applyFont="1" applyFill="1" applyBorder="1" applyAlignment="1">
      <alignment horizontal="center" vertical="center" wrapText="1"/>
    </xf>
    <xf numFmtId="4" fontId="7" fillId="3" borderId="17" xfId="0" applyNumberFormat="1" applyFont="1" applyFill="1" applyBorder="1" applyAlignment="1">
      <alignment horizontal="center" vertical="center"/>
    </xf>
    <xf numFmtId="164" fontId="7" fillId="3" borderId="2" xfId="3" applyFont="1" applyFill="1" applyBorder="1" applyAlignment="1">
      <alignment horizontal="left" vertical="center"/>
    </xf>
    <xf numFmtId="4" fontId="7" fillId="3" borderId="4" xfId="0" applyNumberFormat="1" applyFont="1" applyFill="1" applyBorder="1" applyAlignment="1">
      <alignment horizontal="center" vertical="center"/>
    </xf>
    <xf numFmtId="9" fontId="7" fillId="3" borderId="49" xfId="4" applyFont="1" applyFill="1" applyBorder="1" applyAlignment="1">
      <alignment horizontal="center" vertical="center"/>
    </xf>
    <xf numFmtId="3" fontId="7" fillId="3" borderId="17" xfId="0" applyNumberFormat="1" applyFont="1" applyFill="1" applyBorder="1" applyAlignment="1">
      <alignment horizontal="center" vertical="center"/>
    </xf>
    <xf numFmtId="0" fontId="7" fillId="3" borderId="17" xfId="5" applyFont="1" applyFill="1" applyBorder="1" applyAlignment="1">
      <alignment horizontal="center" vertical="center"/>
    </xf>
    <xf numFmtId="0" fontId="8" fillId="3" borderId="5" xfId="5" applyFont="1" applyFill="1" applyBorder="1" applyAlignment="1">
      <alignment horizontal="left" vertical="center" wrapText="1"/>
    </xf>
    <xf numFmtId="0" fontId="7" fillId="3" borderId="5" xfId="5" applyFont="1" applyFill="1" applyBorder="1" applyAlignment="1">
      <alignment horizontal="center" vertical="center"/>
    </xf>
    <xf numFmtId="164" fontId="7" fillId="3" borderId="5" xfId="3" applyFont="1" applyFill="1" applyBorder="1" applyAlignment="1">
      <alignment horizontal="left" vertical="center"/>
    </xf>
    <xf numFmtId="4" fontId="7" fillId="3" borderId="45" xfId="0" applyNumberFormat="1" applyFont="1" applyFill="1" applyBorder="1" applyAlignment="1">
      <alignment horizontal="center" vertical="center"/>
    </xf>
    <xf numFmtId="4" fontId="7" fillId="3" borderId="3" xfId="0" applyNumberFormat="1" applyFont="1" applyFill="1" applyBorder="1" applyAlignment="1">
      <alignment horizontal="center" vertical="center"/>
    </xf>
    <xf numFmtId="1" fontId="8" fillId="3" borderId="17" xfId="5" applyNumberFormat="1" applyFont="1" applyFill="1" applyBorder="1" applyAlignment="1">
      <alignment horizontal="center" vertical="center"/>
    </xf>
    <xf numFmtId="0" fontId="8" fillId="3" borderId="5" xfId="5" applyFont="1" applyFill="1" applyBorder="1" applyAlignment="1">
      <alignment vertical="center" wrapText="1"/>
    </xf>
    <xf numFmtId="0" fontId="8" fillId="3" borderId="17" xfId="5" applyFont="1" applyFill="1" applyBorder="1" applyAlignment="1">
      <alignment horizontal="center" vertical="center" wrapText="1"/>
    </xf>
    <xf numFmtId="0" fontId="8" fillId="3" borderId="5" xfId="5" applyFont="1" applyFill="1" applyBorder="1" applyAlignment="1">
      <alignment horizontal="center" vertical="center" wrapText="1"/>
    </xf>
    <xf numFmtId="0" fontId="8" fillId="3" borderId="17" xfId="5" applyFont="1" applyFill="1" applyBorder="1" applyAlignment="1">
      <alignment horizontal="center" vertical="center"/>
    </xf>
    <xf numFmtId="0" fontId="8" fillId="3" borderId="5" xfId="5" applyFont="1" applyFill="1" applyBorder="1" applyAlignment="1">
      <alignment horizontal="center" vertical="center"/>
    </xf>
    <xf numFmtId="164" fontId="8" fillId="3" borderId="5" xfId="3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 wrapText="1"/>
    </xf>
    <xf numFmtId="4" fontId="7" fillId="0" borderId="72" xfId="0" applyNumberFormat="1" applyFont="1" applyBorder="1" applyAlignment="1">
      <alignment horizontal="center" vertical="center"/>
    </xf>
    <xf numFmtId="164" fontId="7" fillId="0" borderId="28" xfId="3" applyFont="1" applyBorder="1" applyAlignment="1">
      <alignment horizontal="left" vertical="center"/>
    </xf>
    <xf numFmtId="164" fontId="7" fillId="0" borderId="66" xfId="3" applyFont="1" applyBorder="1" applyAlignment="1">
      <alignment horizontal="left" vertical="center"/>
    </xf>
    <xf numFmtId="4" fontId="7" fillId="0" borderId="45" xfId="0" applyNumberFormat="1" applyFont="1" applyBorder="1" applyAlignment="1">
      <alignment horizontal="center" vertical="center"/>
    </xf>
    <xf numFmtId="0" fontId="7" fillId="0" borderId="19" xfId="8" applyFont="1" applyBorder="1" applyAlignment="1">
      <alignment horizontal="center" vertical="center" wrapText="1"/>
    </xf>
    <xf numFmtId="0" fontId="7" fillId="0" borderId="20" xfId="8" applyFont="1" applyBorder="1" applyAlignment="1">
      <alignment horizontal="center" vertical="center" wrapText="1"/>
    </xf>
    <xf numFmtId="164" fontId="7" fillId="0" borderId="20" xfId="3" applyFont="1" applyBorder="1" applyAlignment="1">
      <alignment horizontal="left" vertical="center" shrinkToFit="1"/>
    </xf>
    <xf numFmtId="0" fontId="8" fillId="0" borderId="75" xfId="8" applyFont="1" applyFill="1" applyBorder="1" applyAlignment="1">
      <alignment horizontal="center" vertical="center" wrapText="1"/>
    </xf>
    <xf numFmtId="0" fontId="7" fillId="0" borderId="75" xfId="8" applyFont="1" applyFill="1" applyBorder="1" applyAlignment="1">
      <alignment horizontal="center" vertical="center" wrapText="1"/>
    </xf>
    <xf numFmtId="0" fontId="7" fillId="0" borderId="77" xfId="8" applyFont="1" applyFill="1" applyBorder="1" applyAlignment="1">
      <alignment horizontal="justify" vertical="center" wrapText="1"/>
    </xf>
    <xf numFmtId="0" fontId="7" fillId="0" borderId="77" xfId="8" applyFont="1" applyFill="1" applyBorder="1" applyAlignment="1">
      <alignment horizontal="center" vertical="center" wrapText="1"/>
    </xf>
    <xf numFmtId="164" fontId="7" fillId="0" borderId="18" xfId="0" applyNumberFormat="1" applyFont="1" applyFill="1" applyBorder="1" applyAlignment="1">
      <alignment horizontal="left" vertical="center"/>
    </xf>
    <xf numFmtId="0" fontId="8" fillId="0" borderId="78" xfId="8" applyFont="1" applyFill="1" applyBorder="1" applyAlignment="1">
      <alignment vertical="center" wrapText="1"/>
    </xf>
    <xf numFmtId="0" fontId="8" fillId="0" borderId="79" xfId="8" applyFont="1" applyFill="1" applyBorder="1" applyAlignment="1">
      <alignment vertical="center" wrapText="1"/>
    </xf>
    <xf numFmtId="164" fontId="8" fillId="0" borderId="80" xfId="3" applyFont="1" applyFill="1" applyBorder="1" applyAlignment="1">
      <alignment horizontal="left" vertical="center" wrapText="1"/>
    </xf>
    <xf numFmtId="0" fontId="7" fillId="0" borderId="77" xfId="8" applyFont="1" applyFill="1" applyBorder="1" applyAlignment="1">
      <alignment horizontal="left" vertical="center" wrapText="1"/>
    </xf>
    <xf numFmtId="0" fontId="7" fillId="0" borderId="81" xfId="8" applyFont="1" applyFill="1" applyBorder="1" applyAlignment="1">
      <alignment horizontal="center" vertical="center" wrapText="1"/>
    </xf>
    <xf numFmtId="0" fontId="7" fillId="0" borderId="82" xfId="8" applyFont="1" applyFill="1" applyBorder="1" applyAlignment="1">
      <alignment horizontal="justify" vertical="center" wrapText="1"/>
    </xf>
    <xf numFmtId="0" fontId="7" fillId="0" borderId="82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justify" vertical="center" wrapText="1"/>
    </xf>
    <xf numFmtId="164" fontId="7" fillId="0" borderId="5" xfId="3" applyFont="1" applyFill="1" applyBorder="1" applyAlignment="1">
      <alignment horizontal="left" vertical="center" shrinkToFit="1"/>
    </xf>
    <xf numFmtId="0" fontId="7" fillId="0" borderId="72" xfId="8" applyFont="1" applyFill="1" applyBorder="1" applyAlignment="1">
      <alignment horizontal="center" vertical="center" wrapText="1"/>
    </xf>
    <xf numFmtId="0" fontId="7" fillId="0" borderId="66" xfId="8" applyFont="1" applyFill="1" applyBorder="1" applyAlignment="1">
      <alignment horizontal="center" vertical="center" wrapText="1"/>
    </xf>
    <xf numFmtId="164" fontId="7" fillId="0" borderId="84" xfId="3" applyFont="1" applyFill="1" applyBorder="1" applyAlignment="1">
      <alignment horizontal="left" vertical="center" shrinkToFit="1"/>
    </xf>
    <xf numFmtId="0" fontId="7" fillId="0" borderId="66" xfId="8" applyFont="1" applyFill="1" applyBorder="1" applyAlignment="1">
      <alignment horizontal="justify" vertical="center" wrapText="1"/>
    </xf>
    <xf numFmtId="164" fontId="7" fillId="0" borderId="66" xfId="3" applyFont="1" applyFill="1" applyBorder="1" applyAlignment="1">
      <alignment horizontal="left" vertical="center" shrinkToFit="1"/>
    </xf>
    <xf numFmtId="0" fontId="7" fillId="0" borderId="20" xfId="8" applyFont="1" applyFill="1" applyBorder="1" applyAlignment="1">
      <alignment horizontal="justify" vertical="center" wrapText="1"/>
    </xf>
    <xf numFmtId="164" fontId="8" fillId="0" borderId="76" xfId="3" applyFont="1" applyFill="1" applyBorder="1" applyAlignment="1">
      <alignment horizontal="left" vertical="center" shrinkToFit="1"/>
    </xf>
    <xf numFmtId="164" fontId="7" fillId="0" borderId="77" xfId="3" applyFont="1" applyFill="1" applyBorder="1" applyAlignment="1">
      <alignment horizontal="left" vertical="center" shrinkToFit="1"/>
    </xf>
    <xf numFmtId="164" fontId="7" fillId="0" borderId="76" xfId="3" applyFont="1" applyFill="1" applyBorder="1" applyAlignment="1">
      <alignment horizontal="left" vertical="center" shrinkToFit="1"/>
    </xf>
    <xf numFmtId="164" fontId="7" fillId="0" borderId="82" xfId="3" applyFont="1" applyFill="1" applyBorder="1" applyAlignment="1">
      <alignment horizontal="left" vertical="center" shrinkToFit="1"/>
    </xf>
    <xf numFmtId="164" fontId="7" fillId="0" borderId="18" xfId="3" applyFont="1" applyFill="1" applyBorder="1" applyAlignment="1">
      <alignment horizontal="left" vertical="center" shrinkToFit="1"/>
    </xf>
    <xf numFmtId="164" fontId="7" fillId="0" borderId="83" xfId="3" applyFont="1" applyFill="1" applyBorder="1" applyAlignment="1">
      <alignment horizontal="left" vertical="center" shrinkToFit="1"/>
    </xf>
    <xf numFmtId="164" fontId="7" fillId="0" borderId="69" xfId="3" applyFont="1" applyFill="1" applyBorder="1" applyAlignment="1">
      <alignment horizontal="left" vertical="center" shrinkToFit="1"/>
    </xf>
    <xf numFmtId="4" fontId="7" fillId="5" borderId="14" xfId="0" applyNumberFormat="1" applyFont="1" applyFill="1" applyBorder="1" applyAlignment="1">
      <alignment horizontal="center"/>
    </xf>
    <xf numFmtId="168" fontId="7" fillId="5" borderId="16" xfId="0" applyNumberFormat="1" applyFont="1" applyFill="1" applyBorder="1" applyAlignment="1">
      <alignment horizontal="left" vertical="center"/>
    </xf>
    <xf numFmtId="0" fontId="8" fillId="3" borderId="75" xfId="8" applyFont="1" applyFill="1" applyBorder="1" applyAlignment="1">
      <alignment horizontal="center" vertical="center" wrapText="1"/>
    </xf>
    <xf numFmtId="0" fontId="8" fillId="3" borderId="78" xfId="8" applyFont="1" applyFill="1" applyBorder="1" applyAlignment="1">
      <alignment vertical="center" wrapText="1"/>
    </xf>
    <xf numFmtId="0" fontId="8" fillId="3" borderId="79" xfId="8" applyFont="1" applyFill="1" applyBorder="1" applyAlignment="1">
      <alignment vertical="center" wrapText="1"/>
    </xf>
    <xf numFmtId="164" fontId="8" fillId="3" borderId="80" xfId="3" applyFont="1" applyFill="1" applyBorder="1" applyAlignment="1">
      <alignment horizontal="left" vertical="center" wrapText="1"/>
    </xf>
    <xf numFmtId="164" fontId="8" fillId="3" borderId="76" xfId="3" applyFont="1" applyFill="1" applyBorder="1" applyAlignment="1">
      <alignment horizontal="left" vertical="center" shrinkToFit="1"/>
    </xf>
    <xf numFmtId="164" fontId="7" fillId="3" borderId="77" xfId="3" applyFont="1" applyFill="1" applyBorder="1" applyAlignment="1">
      <alignment horizontal="left" vertical="center" shrinkToFit="1"/>
    </xf>
    <xf numFmtId="0" fontId="7" fillId="3" borderId="17" xfId="8" applyFont="1" applyFill="1" applyBorder="1" applyAlignment="1">
      <alignment horizontal="center" vertical="center" wrapText="1"/>
    </xf>
    <xf numFmtId="0" fontId="8" fillId="3" borderId="5" xfId="8" applyFont="1" applyFill="1" applyBorder="1" applyAlignment="1">
      <alignment horizontal="justify" vertical="center" wrapText="1"/>
    </xf>
    <xf numFmtId="0" fontId="7" fillId="3" borderId="5" xfId="8" applyFont="1" applyFill="1" applyBorder="1" applyAlignment="1">
      <alignment horizontal="center" vertical="center" wrapText="1"/>
    </xf>
    <xf numFmtId="164" fontId="7" fillId="3" borderId="5" xfId="3" applyFont="1" applyFill="1" applyBorder="1" applyAlignment="1">
      <alignment horizontal="left" vertical="center" shrinkToFit="1"/>
    </xf>
    <xf numFmtId="164" fontId="7" fillId="3" borderId="18" xfId="3" applyFont="1" applyFill="1" applyBorder="1" applyAlignment="1">
      <alignment horizontal="left" vertical="center" shrinkToFit="1"/>
    </xf>
    <xf numFmtId="174" fontId="7" fillId="0" borderId="17" xfId="1" applyNumberFormat="1" applyFont="1" applyBorder="1" applyAlignment="1">
      <alignment horizontal="left" vertical="center"/>
    </xf>
    <xf numFmtId="174" fontId="7" fillId="0" borderId="19" xfId="1" applyNumberFormat="1" applyFont="1" applyBorder="1" applyAlignment="1">
      <alignment horizontal="left" vertical="center"/>
    </xf>
    <xf numFmtId="174" fontId="7" fillId="0" borderId="17" xfId="1" applyNumberFormat="1" applyFont="1" applyFill="1" applyBorder="1" applyAlignment="1">
      <alignment horizontal="left" vertical="center"/>
    </xf>
    <xf numFmtId="164" fontId="7" fillId="3" borderId="47" xfId="3" applyFont="1" applyFill="1" applyBorder="1" applyAlignment="1">
      <alignment horizontal="left" vertical="center"/>
    </xf>
    <xf numFmtId="164" fontId="8" fillId="0" borderId="22" xfId="3" applyFont="1" applyBorder="1" applyAlignment="1">
      <alignment horizontal="left" vertical="center"/>
    </xf>
    <xf numFmtId="164" fontId="7" fillId="0" borderId="56" xfId="3" applyFont="1" applyBorder="1" applyAlignment="1">
      <alignment horizontal="left" vertical="center"/>
    </xf>
    <xf numFmtId="164" fontId="7" fillId="2" borderId="2" xfId="3" applyFont="1" applyFill="1" applyBorder="1" applyAlignment="1">
      <alignment horizontal="left" vertical="center"/>
    </xf>
    <xf numFmtId="164" fontId="8" fillId="2" borderId="23" xfId="3" applyFont="1" applyFill="1" applyBorder="1" applyAlignment="1">
      <alignment horizontal="left" vertical="center" wrapText="1"/>
    </xf>
    <xf numFmtId="164" fontId="8" fillId="0" borderId="48" xfId="3" applyFont="1" applyBorder="1" applyAlignment="1">
      <alignment horizontal="left" vertical="center"/>
    </xf>
    <xf numFmtId="164" fontId="7" fillId="0" borderId="73" xfId="3" applyFont="1" applyBorder="1" applyAlignment="1">
      <alignment horizontal="left" vertical="center"/>
    </xf>
    <xf numFmtId="164" fontId="8" fillId="2" borderId="49" xfId="3" applyFont="1" applyFill="1" applyBorder="1" applyAlignment="1">
      <alignment horizontal="left" vertical="center"/>
    </xf>
    <xf numFmtId="164" fontId="8" fillId="2" borderId="51" xfId="3" applyFont="1" applyFill="1" applyBorder="1" applyAlignment="1">
      <alignment horizontal="left" vertical="center" wrapText="1"/>
    </xf>
    <xf numFmtId="164" fontId="8" fillId="0" borderId="35" xfId="3" applyFont="1" applyBorder="1" applyAlignment="1">
      <alignment horizontal="left" vertical="center"/>
    </xf>
    <xf numFmtId="167" fontId="7" fillId="0" borderId="57" xfId="1" applyFont="1" applyBorder="1" applyAlignment="1">
      <alignment horizontal="left" vertical="center"/>
    </xf>
    <xf numFmtId="164" fontId="8" fillId="0" borderId="47" xfId="3" applyFont="1" applyBorder="1" applyAlignment="1">
      <alignment horizontal="left" vertical="center"/>
    </xf>
    <xf numFmtId="164" fontId="8" fillId="0" borderId="29" xfId="3" applyFont="1" applyBorder="1" applyAlignment="1">
      <alignment horizontal="left" vertical="center"/>
    </xf>
    <xf numFmtId="172" fontId="8" fillId="0" borderId="35" xfId="1" applyNumberFormat="1" applyFont="1" applyBorder="1" applyAlignment="1">
      <alignment horizontal="center" vertical="center"/>
    </xf>
    <xf numFmtId="172" fontId="7" fillId="0" borderId="57" xfId="1" applyNumberFormat="1" applyFont="1" applyBorder="1" applyAlignment="1">
      <alignment horizontal="center" vertical="center"/>
    </xf>
    <xf numFmtId="172" fontId="8" fillId="0" borderId="47" xfId="1" applyNumberFormat="1" applyFont="1" applyBorder="1" applyAlignment="1">
      <alignment horizontal="center" vertical="center"/>
    </xf>
    <xf numFmtId="172" fontId="8" fillId="0" borderId="29" xfId="1" applyNumberFormat="1" applyFont="1" applyBorder="1" applyAlignment="1">
      <alignment horizontal="center" vertical="center"/>
    </xf>
    <xf numFmtId="0" fontId="7" fillId="0" borderId="75" xfId="8" applyFont="1" applyBorder="1" applyAlignment="1">
      <alignment horizontal="center" vertical="center" wrapText="1"/>
    </xf>
    <xf numFmtId="0" fontId="7" fillId="0" borderId="77" xfId="8" applyFont="1" applyBorder="1" applyAlignment="1">
      <alignment horizontal="center" vertical="center" wrapText="1"/>
    </xf>
    <xf numFmtId="0" fontId="7" fillId="0" borderId="86" xfId="8" applyFont="1" applyBorder="1" applyAlignment="1">
      <alignment horizontal="center" vertical="center" wrapText="1"/>
    </xf>
    <xf numFmtId="0" fontId="7" fillId="0" borderId="17" xfId="8" applyFont="1" applyBorder="1" applyAlignment="1">
      <alignment horizontal="center" vertical="center" wrapText="1"/>
    </xf>
    <xf numFmtId="0" fontId="7" fillId="0" borderId="5" xfId="8" applyFont="1" applyBorder="1" applyAlignment="1">
      <alignment horizontal="center" vertical="center" wrapText="1"/>
    </xf>
    <xf numFmtId="164" fontId="7" fillId="0" borderId="5" xfId="3" applyFont="1" applyBorder="1" applyAlignment="1">
      <alignment horizontal="left" vertical="center" shrinkToFit="1"/>
    </xf>
    <xf numFmtId="169" fontId="7" fillId="3" borderId="18" xfId="0" applyNumberFormat="1" applyFont="1" applyFill="1" applyBorder="1"/>
    <xf numFmtId="0" fontId="7" fillId="3" borderId="49" xfId="0" applyFont="1" applyFill="1" applyBorder="1"/>
    <xf numFmtId="4" fontId="7" fillId="3" borderId="4" xfId="0" applyNumberFormat="1" applyFont="1" applyFill="1" applyBorder="1" applyAlignment="1">
      <alignment horizontal="left" vertical="center"/>
    </xf>
    <xf numFmtId="0" fontId="7" fillId="0" borderId="20" xfId="5" applyFont="1" applyFill="1" applyBorder="1" applyAlignment="1">
      <alignment vertical="center" wrapText="1"/>
    </xf>
    <xf numFmtId="0" fontId="7" fillId="0" borderId="5" xfId="30" applyFont="1" applyFill="1" applyBorder="1" applyAlignment="1">
      <alignment horizontal="left" vertical="center" wrapText="1"/>
    </xf>
    <xf numFmtId="0" fontId="7" fillId="0" borderId="5" xfId="30" applyFont="1" applyFill="1" applyBorder="1" applyAlignment="1">
      <alignment vertical="center" wrapText="1"/>
    </xf>
    <xf numFmtId="0" fontId="7" fillId="0" borderId="84" xfId="8" applyFont="1" applyFill="1" applyBorder="1" applyAlignment="1">
      <alignment horizontal="justify" vertical="center" wrapText="1"/>
    </xf>
    <xf numFmtId="0" fontId="7" fillId="0" borderId="89" xfId="8" applyFont="1" applyBorder="1" applyAlignment="1">
      <alignment horizontal="center" vertical="center" wrapText="1"/>
    </xf>
    <xf numFmtId="0" fontId="7" fillId="0" borderId="90" xfId="8" applyFont="1" applyBorder="1" applyAlignment="1">
      <alignment horizontal="center" vertical="center" wrapText="1"/>
    </xf>
    <xf numFmtId="0" fontId="7" fillId="3" borderId="64" xfId="8" applyFont="1" applyFill="1" applyBorder="1" applyAlignment="1">
      <alignment horizontal="center" vertical="center" wrapText="1"/>
    </xf>
    <xf numFmtId="9" fontId="7" fillId="0" borderId="88" xfId="4" applyFont="1" applyFill="1" applyBorder="1" applyAlignment="1">
      <alignment horizontal="center" vertical="center"/>
    </xf>
    <xf numFmtId="0" fontId="7" fillId="0" borderId="66" xfId="30" applyFont="1" applyBorder="1" applyAlignment="1">
      <alignment horizontal="center" vertical="center"/>
    </xf>
    <xf numFmtId="0" fontId="7" fillId="0" borderId="72" xfId="8" applyFont="1" applyBorder="1" applyAlignment="1">
      <alignment horizontal="center" vertical="center" wrapText="1"/>
    </xf>
    <xf numFmtId="0" fontId="7" fillId="0" borderId="66" xfId="8" applyFont="1" applyBorder="1" applyAlignment="1">
      <alignment horizontal="center" vertical="center" wrapText="1"/>
    </xf>
    <xf numFmtId="0" fontId="7" fillId="0" borderId="20" xfId="30" applyFont="1" applyFill="1" applyBorder="1" applyAlignment="1">
      <alignment horizontal="center" vertical="center"/>
    </xf>
    <xf numFmtId="4" fontId="7" fillId="0" borderId="29" xfId="0" applyNumberFormat="1" applyFont="1" applyFill="1" applyBorder="1" applyAlignment="1">
      <alignment horizontal="center" vertical="center"/>
    </xf>
    <xf numFmtId="164" fontId="7" fillId="0" borderId="66" xfId="3" applyFont="1" applyFill="1" applyBorder="1" applyAlignment="1">
      <alignment horizontal="left" vertical="center"/>
    </xf>
    <xf numFmtId="0" fontId="7" fillId="0" borderId="92" xfId="8" applyFont="1" applyFill="1" applyBorder="1" applyAlignment="1">
      <alignment horizontal="center" vertical="center" wrapText="1"/>
    </xf>
    <xf numFmtId="9" fontId="7" fillId="0" borderId="73" xfId="4" applyFont="1" applyFill="1" applyBorder="1" applyAlignment="1">
      <alignment horizontal="center" vertical="center"/>
    </xf>
    <xf numFmtId="0" fontId="7" fillId="0" borderId="19" xfId="8" applyFont="1" applyFill="1" applyBorder="1" applyAlignment="1">
      <alignment horizontal="center" vertical="center" wrapText="1"/>
    </xf>
    <xf numFmtId="39" fontId="7" fillId="0" borderId="17" xfId="3" applyNumberFormat="1" applyFont="1" applyFill="1" applyBorder="1" applyAlignment="1">
      <alignment horizontal="center" vertical="center"/>
    </xf>
    <xf numFmtId="44" fontId="7" fillId="0" borderId="59" xfId="3" applyNumberFormat="1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 wrapText="1"/>
    </xf>
    <xf numFmtId="44" fontId="7" fillId="0" borderId="66" xfId="3" applyNumberFormat="1" applyFont="1" applyFill="1" applyBorder="1" applyAlignment="1">
      <alignment horizontal="left" vertical="center"/>
    </xf>
    <xf numFmtId="0" fontId="14" fillId="0" borderId="66" xfId="0" applyFont="1" applyFill="1" applyBorder="1" applyAlignment="1">
      <alignment horizontal="left" vertical="center" wrapText="1"/>
    </xf>
    <xf numFmtId="44" fontId="7" fillId="0" borderId="5" xfId="3" applyNumberFormat="1" applyFont="1" applyFill="1" applyBorder="1" applyAlignment="1">
      <alignment horizontal="left" vertical="center"/>
    </xf>
    <xf numFmtId="164" fontId="7" fillId="0" borderId="69" xfId="3" applyFont="1" applyFill="1" applyBorder="1" applyAlignment="1">
      <alignment horizontal="left" vertical="center"/>
    </xf>
    <xf numFmtId="0" fontId="14" fillId="0" borderId="20" xfId="0" applyFont="1" applyFill="1" applyBorder="1" applyAlignment="1">
      <alignment horizontal="left" vertical="center" wrapText="1"/>
    </xf>
    <xf numFmtId="0" fontId="7" fillId="0" borderId="5" xfId="5" applyFont="1" applyFill="1" applyBorder="1" applyAlignment="1">
      <alignment horizontal="justify" vertical="center" wrapText="1"/>
    </xf>
    <xf numFmtId="0" fontId="7" fillId="0" borderId="90" xfId="8" applyFont="1" applyFill="1" applyBorder="1" applyAlignment="1">
      <alignment horizontal="center" vertical="center" wrapText="1"/>
    </xf>
    <xf numFmtId="0" fontId="7" fillId="0" borderId="45" xfId="8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9" fontId="7" fillId="0" borderId="32" xfId="4" applyFont="1" applyFill="1" applyBorder="1" applyAlignment="1">
      <alignment horizontal="center" vertical="center"/>
    </xf>
    <xf numFmtId="9" fontId="7" fillId="0" borderId="34" xfId="4" applyFont="1" applyFill="1" applyBorder="1" applyAlignment="1">
      <alignment horizontal="center" vertical="center"/>
    </xf>
    <xf numFmtId="2" fontId="11" fillId="0" borderId="19" xfId="10" applyNumberFormat="1" applyFont="1" applyFill="1" applyBorder="1" applyAlignment="1">
      <alignment horizontal="center" vertical="center" wrapText="1"/>
    </xf>
    <xf numFmtId="176" fontId="7" fillId="0" borderId="48" xfId="0" applyNumberFormat="1" applyFont="1" applyBorder="1"/>
    <xf numFmtId="176" fontId="7" fillId="0" borderId="49" xfId="0" applyNumberFormat="1" applyFont="1" applyBorder="1"/>
    <xf numFmtId="176" fontId="8" fillId="2" borderId="49" xfId="3" applyNumberFormat="1" applyFont="1" applyFill="1" applyBorder="1" applyAlignment="1">
      <alignment horizontal="left" vertical="center"/>
    </xf>
    <xf numFmtId="176" fontId="8" fillId="2" borderId="51" xfId="3" applyNumberFormat="1" applyFont="1" applyFill="1" applyBorder="1" applyAlignment="1">
      <alignment horizontal="left" vertical="center" wrapText="1"/>
    </xf>
    <xf numFmtId="176" fontId="7" fillId="0" borderId="51" xfId="0" applyNumberFormat="1" applyFont="1" applyBorder="1"/>
    <xf numFmtId="171" fontId="7" fillId="0" borderId="5" xfId="2" applyNumberFormat="1" applyFont="1" applyFill="1" applyBorder="1" applyAlignment="1">
      <alignment vertical="center" wrapText="1"/>
    </xf>
    <xf numFmtId="171" fontId="7" fillId="0" borderId="66" xfId="2" applyNumberFormat="1" applyFont="1" applyFill="1" applyBorder="1" applyAlignment="1">
      <alignment vertical="center" wrapText="1"/>
    </xf>
    <xf numFmtId="171" fontId="7" fillId="0" borderId="64" xfId="2" applyNumberFormat="1" applyFont="1" applyFill="1" applyBorder="1" applyAlignment="1">
      <alignment vertical="center" wrapText="1"/>
    </xf>
    <xf numFmtId="171" fontId="7" fillId="3" borderId="5" xfId="2" applyNumberFormat="1" applyFont="1" applyFill="1" applyBorder="1" applyAlignment="1">
      <alignment vertical="center" wrapText="1"/>
    </xf>
    <xf numFmtId="171" fontId="7" fillId="0" borderId="20" xfId="2" applyNumberFormat="1" applyFont="1" applyFill="1" applyBorder="1" applyAlignment="1">
      <alignment vertical="center"/>
    </xf>
    <xf numFmtId="171" fontId="7" fillId="0" borderId="5" xfId="2" applyNumberFormat="1" applyFont="1" applyFill="1" applyBorder="1" applyAlignment="1">
      <alignment vertical="center"/>
    </xf>
    <xf numFmtId="171" fontId="7" fillId="0" borderId="5" xfId="2" applyNumberFormat="1" applyFont="1" applyBorder="1" applyAlignment="1">
      <alignment vertical="center"/>
    </xf>
    <xf numFmtId="171" fontId="7" fillId="3" borderId="5" xfId="2" applyNumberFormat="1" applyFont="1" applyFill="1" applyBorder="1" applyAlignment="1">
      <alignment vertical="center"/>
    </xf>
    <xf numFmtId="171" fontId="7" fillId="0" borderId="5" xfId="2" applyNumberFormat="1" applyFont="1" applyBorder="1" applyAlignment="1">
      <alignment vertical="center" wrapText="1"/>
    </xf>
    <xf numFmtId="171" fontId="8" fillId="3" borderId="5" xfId="2" applyNumberFormat="1" applyFont="1" applyFill="1" applyBorder="1" applyAlignment="1">
      <alignment vertical="center"/>
    </xf>
    <xf numFmtId="171" fontId="7" fillId="0" borderId="66" xfId="2" applyNumberFormat="1" applyFont="1" applyBorder="1" applyAlignment="1">
      <alignment vertical="center"/>
    </xf>
    <xf numFmtId="171" fontId="7" fillId="0" borderId="5" xfId="2" applyNumberFormat="1" applyFont="1" applyBorder="1" applyAlignment="1">
      <alignment vertical="center" shrinkToFit="1"/>
    </xf>
    <xf numFmtId="171" fontId="7" fillId="0" borderId="66" xfId="2" applyNumberFormat="1" applyFont="1" applyBorder="1" applyAlignment="1">
      <alignment vertical="center" shrinkToFit="1"/>
    </xf>
    <xf numFmtId="171" fontId="7" fillId="0" borderId="77" xfId="2" applyNumberFormat="1" applyFont="1" applyFill="1" applyBorder="1" applyAlignment="1">
      <alignment vertical="center" shrinkToFit="1"/>
    </xf>
    <xf numFmtId="171" fontId="8" fillId="3" borderId="79" xfId="2" applyNumberFormat="1" applyFont="1" applyFill="1" applyBorder="1" applyAlignment="1">
      <alignment vertical="center" wrapText="1"/>
    </xf>
    <xf numFmtId="171" fontId="8" fillId="0" borderId="79" xfId="2" applyNumberFormat="1" applyFont="1" applyFill="1" applyBorder="1" applyAlignment="1">
      <alignment vertical="center" wrapText="1"/>
    </xf>
    <xf numFmtId="171" fontId="7" fillId="0" borderId="82" xfId="2" applyNumberFormat="1" applyFont="1" applyFill="1" applyBorder="1" applyAlignment="1">
      <alignment vertical="center" shrinkToFit="1"/>
    </xf>
    <xf numFmtId="171" fontId="7" fillId="3" borderId="5" xfId="2" applyNumberFormat="1" applyFont="1" applyFill="1" applyBorder="1" applyAlignment="1">
      <alignment vertical="center" shrinkToFit="1"/>
    </xf>
    <xf numFmtId="171" fontId="7" fillId="0" borderId="5" xfId="2" applyNumberFormat="1" applyFont="1" applyFill="1" applyBorder="1" applyAlignment="1">
      <alignment vertical="center" shrinkToFit="1"/>
    </xf>
    <xf numFmtId="171" fontId="7" fillId="0" borderId="84" xfId="2" applyNumberFormat="1" applyFont="1" applyFill="1" applyBorder="1" applyAlignment="1">
      <alignment vertical="center" shrinkToFit="1"/>
    </xf>
    <xf numFmtId="171" fontId="7" fillId="0" borderId="66" xfId="2" applyNumberFormat="1" applyFont="1" applyFill="1" applyBorder="1" applyAlignment="1">
      <alignment vertical="center" shrinkToFit="1"/>
    </xf>
    <xf numFmtId="171" fontId="7" fillId="0" borderId="64" xfId="2" applyNumberFormat="1" applyFont="1" applyFill="1" applyBorder="1" applyAlignment="1">
      <alignment vertical="center"/>
    </xf>
    <xf numFmtId="171" fontId="7" fillId="0" borderId="87" xfId="2" applyNumberFormat="1" applyFont="1" applyBorder="1" applyAlignment="1">
      <alignment vertical="center" wrapText="1"/>
    </xf>
    <xf numFmtId="164" fontId="8" fillId="0" borderId="30" xfId="3" applyFont="1" applyBorder="1" applyAlignment="1">
      <alignment horizontal="right" vertical="center"/>
    </xf>
    <xf numFmtId="164" fontId="7" fillId="0" borderId="63" xfId="3" applyFont="1" applyBorder="1" applyAlignment="1">
      <alignment horizontal="right" vertical="center"/>
    </xf>
    <xf numFmtId="164" fontId="8" fillId="0" borderId="3" xfId="3" applyFont="1" applyBorder="1" applyAlignment="1">
      <alignment horizontal="right" vertical="center"/>
    </xf>
    <xf numFmtId="164" fontId="8" fillId="0" borderId="33" xfId="3" applyFont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2" borderId="17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/>
    </xf>
    <xf numFmtId="0" fontId="7" fillId="2" borderId="72" xfId="0" applyFont="1" applyFill="1" applyBorder="1" applyAlignment="1">
      <alignment horizontal="left" vertical="center" wrapText="1"/>
    </xf>
    <xf numFmtId="164" fontId="8" fillId="0" borderId="51" xfId="3" applyFont="1" applyFill="1" applyBorder="1" applyAlignment="1">
      <alignment horizontal="left" vertical="center" wrapText="1"/>
    </xf>
    <xf numFmtId="171" fontId="7" fillId="0" borderId="0" xfId="2" applyNumberFormat="1" applyFont="1" applyFill="1" applyBorder="1" applyAlignment="1">
      <alignment horizontal="right" vertical="center"/>
    </xf>
    <xf numFmtId="2" fontId="11" fillId="0" borderId="0" xfId="10" applyNumberFormat="1" applyFont="1" applyFill="1" applyBorder="1" applyAlignment="1">
      <alignment horizontal="center" vertical="center" wrapText="1"/>
    </xf>
    <xf numFmtId="176" fontId="7" fillId="0" borderId="0" xfId="2" applyNumberFormat="1" applyFont="1" applyFill="1" applyBorder="1" applyAlignment="1">
      <alignment vertical="center" wrapText="1"/>
    </xf>
    <xf numFmtId="0" fontId="7" fillId="0" borderId="94" xfId="8" applyFont="1" applyBorder="1" applyAlignment="1">
      <alignment horizontal="center" vertical="center" wrapText="1"/>
    </xf>
    <xf numFmtId="173" fontId="7" fillId="0" borderId="92" xfId="5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left" wrapText="1"/>
    </xf>
    <xf numFmtId="164" fontId="7" fillId="0" borderId="15" xfId="3" applyFont="1" applyFill="1" applyBorder="1" applyAlignment="1">
      <alignment horizontal="left" vertical="center"/>
    </xf>
    <xf numFmtId="164" fontId="8" fillId="0" borderId="22" xfId="3" applyFont="1" applyFill="1" applyBorder="1" applyAlignment="1">
      <alignment horizontal="left" vertical="center"/>
    </xf>
    <xf numFmtId="164" fontId="8" fillId="0" borderId="14" xfId="3" applyFont="1" applyFill="1" applyBorder="1" applyAlignment="1">
      <alignment horizontal="center" vertical="center"/>
    </xf>
    <xf numFmtId="164" fontId="8" fillId="0" borderId="16" xfId="3" applyFont="1" applyFill="1" applyBorder="1" applyAlignment="1">
      <alignment horizontal="left" vertical="center"/>
    </xf>
    <xf numFmtId="167" fontId="8" fillId="0" borderId="14" xfId="1" applyNumberFormat="1" applyFont="1" applyFill="1" applyBorder="1" applyAlignment="1">
      <alignment horizontal="left" vertical="center"/>
    </xf>
    <xf numFmtId="172" fontId="8" fillId="0" borderId="37" xfId="1" applyNumberFormat="1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left" wrapText="1"/>
    </xf>
    <xf numFmtId="0" fontId="7" fillId="0" borderId="64" xfId="0" applyFont="1" applyFill="1" applyBorder="1" applyAlignment="1">
      <alignment horizontal="center" vertical="center"/>
    </xf>
    <xf numFmtId="9" fontId="7" fillId="0" borderId="64" xfId="4" applyFont="1" applyFill="1" applyBorder="1" applyAlignment="1">
      <alignment horizontal="center" vertical="center"/>
    </xf>
    <xf numFmtId="164" fontId="7" fillId="0" borderId="64" xfId="3" applyFont="1" applyFill="1" applyBorder="1" applyAlignment="1">
      <alignment horizontal="left" vertical="center"/>
    </xf>
    <xf numFmtId="164" fontId="7" fillId="0" borderId="45" xfId="3" applyFont="1" applyFill="1" applyBorder="1" applyAlignment="1">
      <alignment horizontal="center" vertical="center"/>
    </xf>
    <xf numFmtId="167" fontId="7" fillId="0" borderId="45" xfId="1" applyNumberFormat="1" applyFont="1" applyFill="1" applyBorder="1" applyAlignment="1">
      <alignment horizontal="left" vertical="center"/>
    </xf>
    <xf numFmtId="172" fontId="7" fillId="0" borderId="58" xfId="1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wrapText="1"/>
    </xf>
    <xf numFmtId="164" fontId="7" fillId="2" borderId="5" xfId="3" applyFont="1" applyFill="1" applyBorder="1" applyAlignment="1">
      <alignment horizontal="left" vertical="center"/>
    </xf>
    <xf numFmtId="164" fontId="8" fillId="2" borderId="2" xfId="3" applyFont="1" applyFill="1" applyBorder="1" applyAlignment="1">
      <alignment horizontal="left" vertical="center"/>
    </xf>
    <xf numFmtId="164" fontId="8" fillId="0" borderId="17" xfId="3" applyFont="1" applyFill="1" applyBorder="1" applyAlignment="1">
      <alignment horizontal="center" vertical="center"/>
    </xf>
    <xf numFmtId="164" fontId="8" fillId="2" borderId="18" xfId="3" applyFont="1" applyFill="1" applyBorder="1" applyAlignment="1">
      <alignment horizontal="left" vertical="center"/>
    </xf>
    <xf numFmtId="167" fontId="8" fillId="0" borderId="17" xfId="1" applyNumberFormat="1" applyFont="1" applyFill="1" applyBorder="1" applyAlignment="1">
      <alignment horizontal="left" vertical="center"/>
    </xf>
    <xf numFmtId="172" fontId="8" fillId="0" borderId="4" xfId="1" applyNumberFormat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left" vertical="center" wrapText="1"/>
    </xf>
    <xf numFmtId="164" fontId="8" fillId="2" borderId="20" xfId="3" applyFont="1" applyFill="1" applyBorder="1" applyAlignment="1">
      <alignment horizontal="left" vertical="center" wrapText="1"/>
    </xf>
    <xf numFmtId="164" fontId="8" fillId="0" borderId="19" xfId="3" applyFont="1" applyFill="1" applyBorder="1" applyAlignment="1">
      <alignment horizontal="center" vertical="center"/>
    </xf>
    <xf numFmtId="164" fontId="8" fillId="2" borderId="21" xfId="3" applyFont="1" applyFill="1" applyBorder="1" applyAlignment="1">
      <alignment horizontal="left" vertical="center" wrapText="1"/>
    </xf>
    <xf numFmtId="167" fontId="8" fillId="0" borderId="19" xfId="1" applyNumberFormat="1" applyFont="1" applyFill="1" applyBorder="1" applyAlignment="1">
      <alignment horizontal="left" vertical="center"/>
    </xf>
    <xf numFmtId="172" fontId="8" fillId="0" borderId="24" xfId="1" applyNumberFormat="1" applyFont="1" applyFill="1" applyBorder="1" applyAlignment="1">
      <alignment horizontal="center" vertical="center"/>
    </xf>
    <xf numFmtId="173" fontId="7" fillId="0" borderId="6" xfId="5" applyNumberFormat="1" applyFont="1" applyFill="1" applyBorder="1" applyAlignment="1">
      <alignment vertical="center"/>
    </xf>
    <xf numFmtId="173" fontId="7" fillId="0" borderId="0" xfId="5" applyNumberFormat="1" applyFont="1" applyFill="1" applyBorder="1" applyAlignment="1">
      <alignment vertical="center"/>
    </xf>
    <xf numFmtId="164" fontId="7" fillId="0" borderId="16" xfId="3" applyFont="1" applyFill="1" applyBorder="1" applyAlignment="1">
      <alignment horizontal="left" vertical="center"/>
    </xf>
    <xf numFmtId="4" fontId="7" fillId="0" borderId="93" xfId="0" applyNumberFormat="1" applyFont="1" applyFill="1" applyBorder="1" applyAlignment="1">
      <alignment horizontal="center" vertical="center"/>
    </xf>
    <xf numFmtId="164" fontId="7" fillId="0" borderId="68" xfId="3" applyFont="1" applyFill="1" applyBorder="1" applyAlignment="1">
      <alignment horizontal="left" vertical="center"/>
    </xf>
    <xf numFmtId="4" fontId="7" fillId="0" borderId="14" xfId="0" applyNumberFormat="1" applyFont="1" applyFill="1" applyBorder="1" applyAlignment="1">
      <alignment horizontal="center" vertical="center"/>
    </xf>
    <xf numFmtId="168" fontId="7" fillId="5" borderId="31" xfId="0" applyNumberFormat="1" applyFont="1" applyFill="1" applyBorder="1" applyAlignment="1">
      <alignment horizontal="left" vertical="center"/>
    </xf>
    <xf numFmtId="164" fontId="7" fillId="0" borderId="32" xfId="3" applyFont="1" applyFill="1" applyBorder="1" applyAlignment="1">
      <alignment horizontal="left" vertical="center"/>
    </xf>
    <xf numFmtId="9" fontId="7" fillId="3" borderId="32" xfId="4" applyFont="1" applyFill="1" applyBorder="1" applyAlignment="1">
      <alignment horizontal="center" vertical="center"/>
    </xf>
    <xf numFmtId="9" fontId="7" fillId="3" borderId="70" xfId="4" applyFont="1" applyFill="1" applyBorder="1" applyAlignment="1">
      <alignment horizontal="center" vertical="center"/>
    </xf>
    <xf numFmtId="164" fontId="7" fillId="3" borderId="32" xfId="3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15" xfId="5" applyFont="1" applyFill="1" applyBorder="1" applyAlignment="1">
      <alignment horizontal="left" vertical="center" wrapText="1"/>
    </xf>
    <xf numFmtId="0" fontId="7" fillId="0" borderId="15" xfId="5" applyFont="1" applyFill="1" applyBorder="1" applyAlignment="1">
      <alignment vertical="center"/>
    </xf>
    <xf numFmtId="171" fontId="7" fillId="0" borderId="15" xfId="2" applyNumberFormat="1" applyFont="1" applyFill="1" applyBorder="1" applyAlignment="1">
      <alignment vertical="center"/>
    </xf>
    <xf numFmtId="4" fontId="7" fillId="6" borderId="39" xfId="0" applyNumberFormat="1" applyFont="1" applyFill="1" applyBorder="1" applyAlignment="1">
      <alignment horizontal="center"/>
    </xf>
    <xf numFmtId="168" fontId="7" fillId="6" borderId="55" xfId="0" applyNumberFormat="1" applyFont="1" applyFill="1" applyBorder="1" applyAlignment="1">
      <alignment horizontal="left" vertical="center"/>
    </xf>
    <xf numFmtId="164" fontId="7" fillId="0" borderId="16" xfId="3" applyFont="1" applyBorder="1" applyAlignment="1">
      <alignment horizontal="left" vertical="center"/>
    </xf>
    <xf numFmtId="4" fontId="7" fillId="4" borderId="39" xfId="0" applyNumberFormat="1" applyFont="1" applyFill="1" applyBorder="1" applyAlignment="1">
      <alignment horizontal="center"/>
    </xf>
    <xf numFmtId="168" fontId="7" fillId="4" borderId="55" xfId="0" applyNumberFormat="1" applyFont="1" applyFill="1" applyBorder="1" applyAlignment="1">
      <alignment horizontal="left" vertical="center"/>
    </xf>
    <xf numFmtId="4" fontId="7" fillId="0" borderId="14" xfId="0" applyNumberFormat="1" applyFont="1" applyBorder="1" applyAlignment="1">
      <alignment horizontal="center" vertical="center"/>
    </xf>
    <xf numFmtId="9" fontId="7" fillId="0" borderId="48" xfId="4" applyFont="1" applyFill="1" applyBorder="1" applyAlignment="1">
      <alignment horizontal="center" vertical="center"/>
    </xf>
    <xf numFmtId="4" fontId="7" fillId="4" borderId="52" xfId="0" applyNumberFormat="1" applyFont="1" applyFill="1" applyBorder="1" applyAlignment="1">
      <alignment horizontal="center" vertical="center"/>
    </xf>
    <xf numFmtId="168" fontId="7" fillId="4" borderId="54" xfId="0" applyNumberFormat="1" applyFont="1" applyFill="1" applyBorder="1" applyAlignment="1">
      <alignment horizontal="left" vertical="center"/>
    </xf>
    <xf numFmtId="0" fontId="7" fillId="7" borderId="43" xfId="0" applyFont="1" applyFill="1" applyBorder="1"/>
    <xf numFmtId="0" fontId="7" fillId="3" borderId="48" xfId="0" applyFont="1" applyFill="1" applyBorder="1"/>
    <xf numFmtId="4" fontId="7" fillId="7" borderId="39" xfId="0" applyNumberFormat="1" applyFont="1" applyFill="1" applyBorder="1" applyAlignment="1">
      <alignment horizontal="center"/>
    </xf>
    <xf numFmtId="168" fontId="7" fillId="7" borderId="41" xfId="0" applyNumberFormat="1" applyFont="1" applyFill="1" applyBorder="1" applyAlignment="1">
      <alignment horizontal="left" vertical="center"/>
    </xf>
    <xf numFmtId="4" fontId="7" fillId="3" borderId="14" xfId="0" applyNumberFormat="1" applyFont="1" applyFill="1" applyBorder="1" applyAlignment="1">
      <alignment horizontal="center" vertical="center"/>
    </xf>
    <xf numFmtId="164" fontId="7" fillId="3" borderId="16" xfId="3" applyFont="1" applyFill="1" applyBorder="1" applyAlignment="1">
      <alignment horizontal="left" vertical="center"/>
    </xf>
    <xf numFmtId="164" fontId="7" fillId="0" borderId="28" xfId="3" applyFont="1" applyBorder="1" applyAlignment="1">
      <alignment horizontal="left" vertical="center" shrinkToFit="1"/>
    </xf>
    <xf numFmtId="0" fontId="7" fillId="3" borderId="45" xfId="0" applyFont="1" applyFill="1" applyBorder="1"/>
    <xf numFmtId="169" fontId="7" fillId="3" borderId="46" xfId="0" applyNumberFormat="1" applyFont="1" applyFill="1" applyBorder="1"/>
    <xf numFmtId="0" fontId="7" fillId="7" borderId="52" xfId="0" applyFont="1" applyFill="1" applyBorder="1"/>
    <xf numFmtId="0" fontId="7" fillId="7" borderId="54" xfId="0" applyFont="1" applyFill="1" applyBorder="1"/>
    <xf numFmtId="168" fontId="7" fillId="6" borderId="54" xfId="0" applyNumberFormat="1" applyFont="1" applyFill="1" applyBorder="1" applyAlignment="1">
      <alignment horizontal="left" vertical="center"/>
    </xf>
    <xf numFmtId="4" fontId="7" fillId="6" borderId="52" xfId="0" applyNumberFormat="1" applyFont="1" applyFill="1" applyBorder="1" applyAlignment="1">
      <alignment horizontal="center" vertical="center"/>
    </xf>
    <xf numFmtId="9" fontId="7" fillId="6" borderId="50" xfId="4" applyFont="1" applyFill="1" applyBorder="1" applyAlignment="1">
      <alignment vertical="center"/>
    </xf>
    <xf numFmtId="0" fontId="7" fillId="0" borderId="6" xfId="8" applyFont="1" applyFill="1" applyBorder="1" applyAlignment="1">
      <alignment vertical="center" wrapText="1"/>
    </xf>
    <xf numFmtId="0" fontId="7" fillId="0" borderId="0" xfId="8" applyFont="1" applyFill="1" applyBorder="1" applyAlignment="1">
      <alignment vertical="center" wrapText="1"/>
    </xf>
    <xf numFmtId="0" fontId="7" fillId="0" borderId="92" xfId="8" applyFont="1" applyBorder="1" applyAlignment="1">
      <alignment horizontal="center" vertical="center" wrapText="1"/>
    </xf>
    <xf numFmtId="0" fontId="7" fillId="0" borderId="6" xfId="8" applyFont="1" applyBorder="1" applyAlignment="1">
      <alignment vertical="center" wrapText="1"/>
    </xf>
    <xf numFmtId="0" fontId="7" fillId="0" borderId="0" xfId="8" applyFont="1" applyBorder="1" applyAlignment="1">
      <alignment vertical="center" wrapText="1"/>
    </xf>
    <xf numFmtId="4" fontId="7" fillId="8" borderId="38" xfId="0" applyNumberFormat="1" applyFont="1" applyFill="1" applyBorder="1" applyAlignment="1">
      <alignment horizontal="center"/>
    </xf>
    <xf numFmtId="168" fontId="7" fillId="8" borderId="41" xfId="0" applyNumberFormat="1" applyFont="1" applyFill="1" applyBorder="1" applyAlignment="1">
      <alignment horizontal="left" vertical="center"/>
    </xf>
    <xf numFmtId="0" fontId="7" fillId="8" borderId="50" xfId="0" applyFont="1" applyFill="1" applyBorder="1"/>
    <xf numFmtId="164" fontId="7" fillId="0" borderId="46" xfId="3" applyFont="1" applyBorder="1" applyAlignment="1">
      <alignment horizontal="left" vertical="center"/>
    </xf>
    <xf numFmtId="164" fontId="7" fillId="0" borderId="45" xfId="3" applyFont="1" applyBorder="1" applyAlignment="1">
      <alignment horizontal="left" vertical="center"/>
    </xf>
    <xf numFmtId="0" fontId="8" fillId="7" borderId="39" xfId="0" applyFont="1" applyFill="1" applyBorder="1" applyAlignment="1">
      <alignment horizontal="center" vertical="center"/>
    </xf>
    <xf numFmtId="0" fontId="8" fillId="7" borderId="40" xfId="0" applyFont="1" applyFill="1" applyBorder="1" applyAlignment="1">
      <alignment horizontal="left" vertical="center" wrapText="1"/>
    </xf>
    <xf numFmtId="0" fontId="8" fillId="7" borderId="40" xfId="0" applyFont="1" applyFill="1" applyBorder="1" applyAlignment="1">
      <alignment vertical="center"/>
    </xf>
    <xf numFmtId="171" fontId="8" fillId="7" borderId="40" xfId="2" applyNumberFormat="1" applyFont="1" applyFill="1" applyBorder="1" applyAlignment="1">
      <alignment vertical="center"/>
    </xf>
    <xf numFmtId="164" fontId="8" fillId="7" borderId="40" xfId="3" applyFont="1" applyFill="1" applyBorder="1" applyAlignment="1">
      <alignment horizontal="left" vertical="center"/>
    </xf>
    <xf numFmtId="164" fontId="8" fillId="7" borderId="41" xfId="3" applyFont="1" applyFill="1" applyBorder="1" applyAlignment="1">
      <alignment horizontal="left" vertical="center"/>
    </xf>
    <xf numFmtId="0" fontId="8" fillId="0" borderId="96" xfId="8" applyFont="1" applyFill="1" applyBorder="1" applyAlignment="1">
      <alignment horizontal="center" vertical="center" wrapText="1"/>
    </xf>
    <xf numFmtId="0" fontId="8" fillId="0" borderId="97" xfId="8" applyFont="1" applyFill="1" applyBorder="1" applyAlignment="1">
      <alignment vertical="center" wrapText="1"/>
    </xf>
    <xf numFmtId="0" fontId="8" fillId="0" borderId="98" xfId="8" applyFont="1" applyFill="1" applyBorder="1" applyAlignment="1">
      <alignment vertical="center" wrapText="1"/>
    </xf>
    <xf numFmtId="171" fontId="8" fillId="0" borderId="98" xfId="2" applyNumberFormat="1" applyFont="1" applyFill="1" applyBorder="1" applyAlignment="1">
      <alignment vertical="center" wrapText="1"/>
    </xf>
    <xf numFmtId="164" fontId="8" fillId="0" borderId="99" xfId="3" applyFont="1" applyFill="1" applyBorder="1" applyAlignment="1">
      <alignment horizontal="left" vertical="center" wrapText="1"/>
    </xf>
    <xf numFmtId="164" fontId="8" fillId="0" borderId="100" xfId="3" applyFont="1" applyFill="1" applyBorder="1" applyAlignment="1">
      <alignment horizontal="left" vertical="center" shrinkToFit="1"/>
    </xf>
    <xf numFmtId="0" fontId="7" fillId="0" borderId="93" xfId="8" applyFont="1" applyFill="1" applyBorder="1" applyAlignment="1">
      <alignment horizontal="center" vertical="center" wrapText="1"/>
    </xf>
    <xf numFmtId="0" fontId="7" fillId="0" borderId="67" xfId="5" applyFont="1" applyFill="1" applyBorder="1" applyAlignment="1">
      <alignment horizontal="center" vertical="center"/>
    </xf>
    <xf numFmtId="171" fontId="7" fillId="0" borderId="67" xfId="2" applyNumberFormat="1" applyFont="1" applyFill="1" applyBorder="1" applyAlignment="1">
      <alignment vertical="center"/>
    </xf>
    <xf numFmtId="44" fontId="7" fillId="0" borderId="60" xfId="3" applyNumberFormat="1" applyFont="1" applyFill="1" applyBorder="1" applyAlignment="1">
      <alignment horizontal="left" vertical="center"/>
    </xf>
    <xf numFmtId="164" fontId="7" fillId="0" borderId="21" xfId="3" applyFont="1" applyFill="1" applyBorder="1" applyAlignment="1">
      <alignment horizontal="left" vertical="center" shrinkToFit="1"/>
    </xf>
    <xf numFmtId="0" fontId="5" fillId="0" borderId="73" xfId="0" applyFont="1" applyFill="1" applyBorder="1"/>
    <xf numFmtId="164" fontId="7" fillId="7" borderId="54" xfId="3" applyFont="1" applyFill="1" applyBorder="1" applyAlignment="1">
      <alignment horizontal="left" vertical="center"/>
    </xf>
    <xf numFmtId="4" fontId="7" fillId="7" borderId="52" xfId="0" applyNumberFormat="1" applyFont="1" applyFill="1" applyBorder="1" applyAlignment="1">
      <alignment horizontal="center"/>
    </xf>
    <xf numFmtId="168" fontId="7" fillId="7" borderId="54" xfId="0" applyNumberFormat="1" applyFont="1" applyFill="1" applyBorder="1" applyAlignment="1">
      <alignment horizontal="left" vertical="center"/>
    </xf>
    <xf numFmtId="168" fontId="7" fillId="7" borderId="61" xfId="0" applyNumberFormat="1" applyFont="1" applyFill="1" applyBorder="1" applyAlignment="1">
      <alignment horizontal="left" vertical="center"/>
    </xf>
    <xf numFmtId="0" fontId="5" fillId="7" borderId="50" xfId="0" applyFont="1" applyFill="1" applyBorder="1"/>
    <xf numFmtId="0" fontId="7" fillId="0" borderId="101" xfId="8" applyFont="1" applyBorder="1" applyAlignment="1">
      <alignment horizontal="center" vertical="center" wrapText="1"/>
    </xf>
    <xf numFmtId="4" fontId="7" fillId="0" borderId="58" xfId="0" applyNumberFormat="1" applyFont="1" applyBorder="1" applyAlignment="1">
      <alignment horizontal="center" vertical="center"/>
    </xf>
    <xf numFmtId="4" fontId="7" fillId="9" borderId="52" xfId="0" applyNumberFormat="1" applyFont="1" applyFill="1" applyBorder="1" applyAlignment="1">
      <alignment horizontal="center"/>
    </xf>
    <xf numFmtId="168" fontId="7" fillId="9" borderId="61" xfId="0" applyNumberFormat="1" applyFont="1" applyFill="1" applyBorder="1" applyAlignment="1">
      <alignment horizontal="left" vertical="center"/>
    </xf>
    <xf numFmtId="0" fontId="7" fillId="9" borderId="52" xfId="0" applyFont="1" applyFill="1" applyBorder="1"/>
    <xf numFmtId="0" fontId="7" fillId="9" borderId="54" xfId="0" applyFont="1" applyFill="1" applyBorder="1"/>
    <xf numFmtId="0" fontId="7" fillId="9" borderId="50" xfId="0" applyFont="1" applyFill="1" applyBorder="1"/>
    <xf numFmtId="0" fontId="7" fillId="0" borderId="0" xfId="8" applyFont="1" applyBorder="1" applyAlignment="1">
      <alignment horizontal="center" vertical="center" wrapText="1"/>
    </xf>
    <xf numFmtId="0" fontId="7" fillId="0" borderId="20" xfId="0" applyFont="1" applyFill="1" applyBorder="1"/>
    <xf numFmtId="176" fontId="7" fillId="0" borderId="20" xfId="2" applyNumberFormat="1" applyFont="1" applyFill="1" applyBorder="1" applyAlignment="1">
      <alignment vertical="center" wrapText="1"/>
    </xf>
    <xf numFmtId="2" fontId="11" fillId="0" borderId="72" xfId="1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164" fontId="8" fillId="2" borderId="0" xfId="3" applyFont="1" applyFill="1" applyBorder="1" applyAlignment="1">
      <alignment horizontal="left" vertical="center" wrapText="1"/>
    </xf>
    <xf numFmtId="164" fontId="8" fillId="0" borderId="0" xfId="3" applyFont="1" applyFill="1" applyBorder="1" applyAlignment="1">
      <alignment horizontal="center" vertical="center"/>
    </xf>
    <xf numFmtId="167" fontId="8" fillId="0" borderId="0" xfId="1" applyNumberFormat="1" applyFont="1" applyFill="1" applyBorder="1" applyAlignment="1">
      <alignment horizontal="left" vertical="center"/>
    </xf>
    <xf numFmtId="172" fontId="8" fillId="0" borderId="0" xfId="1" applyNumberFormat="1" applyFont="1" applyFill="1" applyBorder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167" fontId="7" fillId="0" borderId="0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45" xfId="0" applyFont="1" applyFill="1" applyBorder="1" applyAlignment="1">
      <alignment vertical="center" wrapText="1"/>
    </xf>
    <xf numFmtId="164" fontId="7" fillId="2" borderId="56" xfId="3" applyFont="1" applyFill="1" applyBorder="1" applyAlignment="1">
      <alignment horizontal="center" vertical="center"/>
    </xf>
    <xf numFmtId="164" fontId="7" fillId="2" borderId="46" xfId="3" applyFont="1" applyFill="1" applyBorder="1" applyAlignment="1">
      <alignment horizontal="left" vertical="center"/>
    </xf>
    <xf numFmtId="0" fontId="7" fillId="2" borderId="17" xfId="0" applyFont="1" applyFill="1" applyBorder="1" applyAlignment="1">
      <alignment vertical="center" wrapText="1"/>
    </xf>
    <xf numFmtId="164" fontId="8" fillId="2" borderId="104" xfId="3" applyFont="1" applyFill="1" applyBorder="1" applyAlignment="1">
      <alignment horizontal="center" vertical="center"/>
    </xf>
    <xf numFmtId="171" fontId="7" fillId="2" borderId="63" xfId="2" applyNumberFormat="1" applyFont="1" applyFill="1" applyBorder="1" applyAlignment="1">
      <alignment horizontal="left" vertical="center"/>
    </xf>
    <xf numFmtId="168" fontId="7" fillId="2" borderId="58" xfId="2" applyNumberFormat="1" applyFont="1" applyFill="1" applyBorder="1" applyAlignment="1">
      <alignment horizontal="center" vertical="center"/>
    </xf>
    <xf numFmtId="164" fontId="8" fillId="2" borderId="60" xfId="3" applyFont="1" applyFill="1" applyBorder="1" applyAlignment="1">
      <alignment horizontal="center" vertical="center"/>
    </xf>
    <xf numFmtId="168" fontId="8" fillId="2" borderId="62" xfId="0" applyNumberFormat="1" applyFont="1" applyFill="1" applyBorder="1" applyAlignment="1">
      <alignment horizontal="left" vertical="center"/>
    </xf>
    <xf numFmtId="170" fontId="7" fillId="0" borderId="0" xfId="0" applyNumberFormat="1" applyFont="1" applyAlignment="1">
      <alignment vertical="center"/>
    </xf>
    <xf numFmtId="2" fontId="7" fillId="2" borderId="0" xfId="0" applyNumberFormat="1" applyFont="1" applyFill="1" applyAlignment="1">
      <alignment vertical="center"/>
    </xf>
    <xf numFmtId="2" fontId="7" fillId="2" borderId="0" xfId="0" applyNumberFormat="1" applyFont="1" applyFill="1" applyAlignment="1">
      <alignment vertical="center" wrapText="1"/>
    </xf>
    <xf numFmtId="2" fontId="7" fillId="2" borderId="0" xfId="0" applyNumberFormat="1" applyFont="1" applyFill="1" applyAlignment="1">
      <alignment horizontal="left" vertical="center"/>
    </xf>
    <xf numFmtId="2" fontId="7" fillId="0" borderId="0" xfId="0" applyNumberFormat="1" applyFont="1" applyAlignment="1">
      <alignment vertical="center"/>
    </xf>
    <xf numFmtId="0" fontId="8" fillId="2" borderId="0" xfId="0" applyFont="1" applyFill="1" applyAlignment="1">
      <alignment horizontal="left" wrapText="1"/>
    </xf>
    <xf numFmtId="169" fontId="8" fillId="2" borderId="10" xfId="0" applyNumberFormat="1" applyFont="1" applyFill="1" applyBorder="1" applyAlignment="1">
      <alignment horizontal="center" vertical="center"/>
    </xf>
    <xf numFmtId="168" fontId="8" fillId="2" borderId="10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wrapText="1"/>
    </xf>
    <xf numFmtId="168" fontId="7" fillId="2" borderId="35" xfId="0" applyNumberFormat="1" applyFont="1" applyFill="1" applyBorder="1" applyAlignment="1">
      <alignment vertical="center"/>
    </xf>
    <xf numFmtId="168" fontId="7" fillId="2" borderId="30" xfId="0" applyNumberFormat="1" applyFont="1" applyFill="1" applyBorder="1" applyAlignment="1">
      <alignment vertical="center"/>
    </xf>
    <xf numFmtId="168" fontId="8" fillId="2" borderId="8" xfId="0" applyNumberFormat="1" applyFont="1" applyFill="1" applyBorder="1" applyAlignment="1">
      <alignment horizontal="center" vertical="center"/>
    </xf>
    <xf numFmtId="164" fontId="7" fillId="2" borderId="18" xfId="3" applyFont="1" applyFill="1" applyBorder="1" applyAlignment="1">
      <alignment vertical="center"/>
    </xf>
    <xf numFmtId="164" fontId="7" fillId="2" borderId="32" xfId="3" applyFont="1" applyFill="1" applyBorder="1" applyAlignment="1">
      <alignment vertical="center"/>
    </xf>
    <xf numFmtId="168" fontId="7" fillId="2" borderId="46" xfId="2" applyNumberFormat="1" applyFont="1" applyFill="1" applyBorder="1" applyAlignment="1">
      <alignment vertical="center"/>
    </xf>
    <xf numFmtId="168" fontId="8" fillId="2" borderId="21" xfId="0" applyNumberFormat="1" applyFont="1" applyFill="1" applyBorder="1" applyAlignment="1">
      <alignment vertical="center"/>
    </xf>
    <xf numFmtId="164" fontId="7" fillId="2" borderId="105" xfId="3" applyFont="1" applyFill="1" applyBorder="1" applyAlignment="1">
      <alignment horizontal="right" vertical="center"/>
    </xf>
    <xf numFmtId="164" fontId="7" fillId="2" borderId="16" xfId="3" applyFont="1" applyFill="1" applyBorder="1" applyAlignment="1">
      <alignment vertical="center"/>
    </xf>
    <xf numFmtId="164" fontId="8" fillId="2" borderId="18" xfId="3" applyFont="1" applyFill="1" applyBorder="1" applyAlignment="1">
      <alignment vertical="center"/>
    </xf>
    <xf numFmtId="164" fontId="7" fillId="3" borderId="36" xfId="3" applyFont="1" applyFill="1" applyBorder="1" applyAlignment="1">
      <alignment horizontal="left" vertical="center"/>
    </xf>
    <xf numFmtId="164" fontId="7" fillId="3" borderId="28" xfId="3" applyFont="1" applyFill="1" applyBorder="1" applyAlignment="1">
      <alignment horizontal="left" vertical="center"/>
    </xf>
    <xf numFmtId="4" fontId="7" fillId="0" borderId="47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Border="1"/>
    <xf numFmtId="172" fontId="7" fillId="2" borderId="0" xfId="0" applyNumberFormat="1" applyFon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 vertical="center"/>
    </xf>
    <xf numFmtId="0" fontId="7" fillId="2" borderId="12" xfId="0" applyFont="1" applyFill="1" applyBorder="1"/>
    <xf numFmtId="0" fontId="7" fillId="2" borderId="9" xfId="0" applyFont="1" applyFill="1" applyBorder="1" applyAlignment="1">
      <alignment wrapText="1"/>
    </xf>
    <xf numFmtId="0" fontId="7" fillId="2" borderId="9" xfId="0" applyFont="1" applyFill="1" applyBorder="1" applyAlignment="1">
      <alignment horizontal="center"/>
    </xf>
    <xf numFmtId="165" fontId="7" fillId="2" borderId="9" xfId="0" applyNumberFormat="1" applyFont="1" applyFill="1" applyBorder="1" applyAlignment="1">
      <alignment horizontal="center"/>
    </xf>
    <xf numFmtId="0" fontId="7" fillId="2" borderId="9" xfId="0" applyFont="1" applyFill="1" applyBorder="1"/>
    <xf numFmtId="166" fontId="7" fillId="2" borderId="9" xfId="0" applyNumberFormat="1" applyFont="1" applyFill="1" applyBorder="1" applyAlignment="1">
      <alignment horizontal="left"/>
    </xf>
    <xf numFmtId="0" fontId="7" fillId="2" borderId="9" xfId="0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7" fillId="2" borderId="8" xfId="0" applyFont="1" applyFill="1" applyBorder="1" applyAlignment="1"/>
    <xf numFmtId="0" fontId="8" fillId="2" borderId="0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left" vertical="center"/>
    </xf>
    <xf numFmtId="0" fontId="7" fillId="0" borderId="0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8" fillId="2" borderId="0" xfId="0" applyFont="1" applyFill="1" applyBorder="1" applyAlignment="1">
      <alignment horizontal="center" vertical="center"/>
    </xf>
    <xf numFmtId="164" fontId="7" fillId="2" borderId="2" xfId="3" applyFont="1" applyFill="1" applyBorder="1" applyAlignment="1">
      <alignment horizontal="center" vertical="center"/>
    </xf>
    <xf numFmtId="164" fontId="8" fillId="2" borderId="2" xfId="3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left" vertical="center" wrapText="1"/>
    </xf>
    <xf numFmtId="0" fontId="7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left" vertical="center" wrapText="1"/>
    </xf>
    <xf numFmtId="0" fontId="8" fillId="5" borderId="15" xfId="0" applyFont="1" applyFill="1" applyBorder="1" applyAlignment="1">
      <alignment vertical="center"/>
    </xf>
    <xf numFmtId="171" fontId="8" fillId="5" borderId="15" xfId="2" applyNumberFormat="1" applyFont="1" applyFill="1" applyBorder="1" applyAlignment="1">
      <alignment vertical="center"/>
    </xf>
    <xf numFmtId="164" fontId="8" fillId="5" borderId="15" xfId="3" applyFont="1" applyFill="1" applyBorder="1" applyAlignment="1">
      <alignment vertical="center"/>
    </xf>
    <xf numFmtId="164" fontId="8" fillId="5" borderId="22" xfId="3" applyFont="1" applyFill="1" applyBorder="1" applyAlignment="1">
      <alignment horizontal="left" vertical="center"/>
    </xf>
    <xf numFmtId="0" fontId="7" fillId="5" borderId="14" xfId="0" applyFont="1" applyFill="1" applyBorder="1" applyAlignment="1">
      <alignment horizontal="right" vertical="center"/>
    </xf>
    <xf numFmtId="164" fontId="7" fillId="5" borderId="22" xfId="3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 wrapText="1"/>
    </xf>
    <xf numFmtId="0" fontId="8" fillId="0" borderId="5" xfId="5" applyFont="1" applyFill="1" applyBorder="1" applyAlignment="1">
      <alignment horizontal="left" vertical="center" wrapText="1"/>
    </xf>
    <xf numFmtId="0" fontId="7" fillId="0" borderId="5" xfId="5" applyFont="1" applyFill="1" applyBorder="1" applyAlignment="1">
      <alignment horizontal="center" vertical="center" wrapText="1"/>
    </xf>
    <xf numFmtId="164" fontId="7" fillId="0" borderId="5" xfId="3" applyFont="1" applyFill="1" applyBorder="1" applyAlignment="1">
      <alignment horizontal="center" vertical="center" wrapText="1"/>
    </xf>
    <xf numFmtId="164" fontId="7" fillId="0" borderId="2" xfId="3" applyFont="1" applyFill="1" applyBorder="1" applyAlignment="1">
      <alignment horizontal="left" vertical="center" wrapText="1"/>
    </xf>
    <xf numFmtId="0" fontId="7" fillId="0" borderId="17" xfId="5" applyFont="1" applyFill="1" applyBorder="1" applyAlignment="1">
      <alignment horizontal="center" vertical="center" wrapText="1"/>
    </xf>
    <xf numFmtId="164" fontId="7" fillId="0" borderId="5" xfId="3" applyFont="1" applyFill="1" applyBorder="1" applyAlignment="1">
      <alignment horizontal="left" vertical="center" wrapText="1"/>
    </xf>
    <xf numFmtId="0" fontId="7" fillId="0" borderId="72" xfId="5" applyFont="1" applyFill="1" applyBorder="1" applyAlignment="1">
      <alignment horizontal="center" vertical="center" wrapText="1"/>
    </xf>
    <xf numFmtId="0" fontId="7" fillId="0" borderId="66" xfId="5" applyFont="1" applyFill="1" applyBorder="1" applyAlignment="1">
      <alignment horizontal="left" vertical="center" wrapText="1"/>
    </xf>
    <xf numFmtId="0" fontId="7" fillId="0" borderId="66" xfId="5" applyFont="1" applyFill="1" applyBorder="1" applyAlignment="1">
      <alignment horizontal="center" vertical="center" wrapText="1"/>
    </xf>
    <xf numFmtId="164" fontId="7" fillId="0" borderId="66" xfId="3" applyFont="1" applyFill="1" applyBorder="1" applyAlignment="1">
      <alignment horizontal="left" vertical="center" wrapText="1"/>
    </xf>
    <xf numFmtId="164" fontId="7" fillId="0" borderId="59" xfId="3" applyFont="1" applyFill="1" applyBorder="1" applyAlignment="1">
      <alignment horizontal="left" vertical="center" wrapText="1"/>
    </xf>
    <xf numFmtId="164" fontId="7" fillId="0" borderId="18" xfId="3" applyFont="1" applyFill="1" applyBorder="1" applyAlignment="1">
      <alignment horizontal="left" vertical="center" wrapText="1"/>
    </xf>
    <xf numFmtId="0" fontId="7" fillId="0" borderId="45" xfId="5" applyFont="1" applyFill="1" applyBorder="1" applyAlignment="1">
      <alignment horizontal="center" vertical="center" wrapText="1"/>
    </xf>
    <xf numFmtId="0" fontId="7" fillId="0" borderId="64" xfId="5" applyFont="1" applyFill="1" applyBorder="1" applyAlignment="1">
      <alignment horizontal="left" vertical="center" wrapText="1"/>
    </xf>
    <xf numFmtId="0" fontId="7" fillId="0" borderId="64" xfId="5" applyFont="1" applyFill="1" applyBorder="1" applyAlignment="1">
      <alignment horizontal="center" vertical="center" wrapText="1"/>
    </xf>
    <xf numFmtId="164" fontId="7" fillId="0" borderId="64" xfId="3" applyFont="1" applyFill="1" applyBorder="1" applyAlignment="1">
      <alignment horizontal="left" vertical="center" wrapText="1"/>
    </xf>
    <xf numFmtId="164" fontId="7" fillId="0" borderId="56" xfId="3" applyFont="1" applyFill="1" applyBorder="1" applyAlignment="1">
      <alignment horizontal="left" vertical="center" wrapText="1"/>
    </xf>
    <xf numFmtId="164" fontId="7" fillId="3" borderId="5" xfId="3" applyFont="1" applyFill="1" applyBorder="1" applyAlignment="1">
      <alignment horizontal="left" vertical="center" wrapText="1"/>
    </xf>
    <xf numFmtId="164" fontId="7" fillId="3" borderId="2" xfId="3" applyFont="1" applyFill="1" applyBorder="1" applyAlignment="1">
      <alignment horizontal="left" vertical="center" wrapText="1"/>
    </xf>
    <xf numFmtId="173" fontId="7" fillId="0" borderId="17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vertical="center" wrapText="1"/>
    </xf>
    <xf numFmtId="0" fontId="8" fillId="6" borderId="39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left" vertical="center" wrapText="1"/>
    </xf>
    <xf numFmtId="0" fontId="8" fillId="6" borderId="40" xfId="0" applyFont="1" applyFill="1" applyBorder="1" applyAlignment="1">
      <alignment vertical="center"/>
    </xf>
    <xf numFmtId="171" fontId="8" fillId="6" borderId="40" xfId="2" applyNumberFormat="1" applyFont="1" applyFill="1" applyBorder="1" applyAlignment="1">
      <alignment vertical="center"/>
    </xf>
    <xf numFmtId="164" fontId="8" fillId="6" borderId="40" xfId="3" applyFont="1" applyFill="1" applyBorder="1" applyAlignment="1">
      <alignment horizontal="left" vertical="center"/>
    </xf>
    <xf numFmtId="164" fontId="8" fillId="6" borderId="41" xfId="3" applyFont="1" applyFill="1" applyBorder="1" applyAlignment="1">
      <alignment horizontal="left" vertical="center"/>
    </xf>
    <xf numFmtId="164" fontId="7" fillId="6" borderId="41" xfId="3" applyFont="1" applyFill="1" applyBorder="1" applyAlignment="1">
      <alignment horizontal="left" vertical="center"/>
    </xf>
    <xf numFmtId="0" fontId="7" fillId="0" borderId="17" xfId="30" applyFont="1" applyBorder="1" applyAlignment="1">
      <alignment horizontal="center" vertical="center"/>
    </xf>
    <xf numFmtId="0" fontId="7" fillId="2" borderId="5" xfId="30" applyFont="1" applyFill="1" applyBorder="1" applyAlignment="1">
      <alignment horizontal="center" vertical="center"/>
    </xf>
    <xf numFmtId="0" fontId="7" fillId="0" borderId="67" xfId="5" applyFont="1" applyFill="1" applyBorder="1" applyAlignment="1">
      <alignment horizontal="left" vertical="center" wrapText="1"/>
    </xf>
    <xf numFmtId="164" fontId="7" fillId="0" borderId="67" xfId="3" applyFont="1" applyFill="1" applyBorder="1" applyAlignment="1">
      <alignment horizontal="left" vertical="center" wrapText="1"/>
    </xf>
    <xf numFmtId="0" fontId="7" fillId="0" borderId="6" xfId="30" applyFont="1" applyFill="1" applyBorder="1" applyAlignment="1">
      <alignment vertical="center"/>
    </xf>
    <xf numFmtId="0" fontId="7" fillId="0" borderId="0" xfId="30" applyFont="1" applyFill="1" applyBorder="1" applyAlignment="1">
      <alignment vertical="center"/>
    </xf>
    <xf numFmtId="0" fontId="7" fillId="0" borderId="92" xfId="3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left" vertical="center" wrapText="1"/>
    </xf>
    <xf numFmtId="0" fontId="8" fillId="4" borderId="40" xfId="0" applyFont="1" applyFill="1" applyBorder="1" applyAlignment="1">
      <alignment vertical="center"/>
    </xf>
    <xf numFmtId="171" fontId="8" fillId="4" borderId="40" xfId="2" applyNumberFormat="1" applyFont="1" applyFill="1" applyBorder="1" applyAlignment="1">
      <alignment vertical="center"/>
    </xf>
    <xf numFmtId="164" fontId="8" fillId="4" borderId="40" xfId="3" applyFont="1" applyFill="1" applyBorder="1" applyAlignment="1">
      <alignment horizontal="left" vertical="center"/>
    </xf>
    <xf numFmtId="164" fontId="8" fillId="4" borderId="41" xfId="3" applyFont="1" applyFill="1" applyBorder="1" applyAlignment="1">
      <alignment horizontal="left" vertical="center"/>
    </xf>
    <xf numFmtId="164" fontId="7" fillId="4" borderId="41" xfId="3" applyFont="1" applyFill="1" applyBorder="1" applyAlignment="1">
      <alignment horizontal="left" vertical="center"/>
    </xf>
    <xf numFmtId="0" fontId="5" fillId="4" borderId="43" xfId="0" applyFont="1" applyFill="1" applyBorder="1"/>
    <xf numFmtId="173" fontId="7" fillId="0" borderId="14" xfId="5" applyNumberFormat="1" applyFont="1" applyBorder="1" applyAlignment="1">
      <alignment horizontal="center" vertical="center"/>
    </xf>
    <xf numFmtId="0" fontId="7" fillId="0" borderId="15" xfId="5" applyFont="1" applyFill="1" applyBorder="1" applyAlignment="1">
      <alignment vertical="center" wrapText="1"/>
    </xf>
    <xf numFmtId="0" fontId="7" fillId="0" borderId="15" xfId="5" applyFont="1" applyBorder="1" applyAlignment="1">
      <alignment horizontal="center" vertical="center"/>
    </xf>
    <xf numFmtId="171" fontId="7" fillId="0" borderId="15" xfId="2" applyNumberFormat="1" applyFont="1" applyBorder="1" applyAlignment="1">
      <alignment vertical="center"/>
    </xf>
    <xf numFmtId="164" fontId="7" fillId="0" borderId="15" xfId="3" applyFont="1" applyBorder="1" applyAlignment="1">
      <alignment horizontal="left" vertical="center"/>
    </xf>
    <xf numFmtId="173" fontId="7" fillId="0" borderId="72" xfId="5" applyNumberFormat="1" applyFont="1" applyBorder="1" applyAlignment="1">
      <alignment horizontal="center" vertical="center"/>
    </xf>
    <xf numFmtId="0" fontId="7" fillId="0" borderId="66" xfId="5" applyFont="1" applyBorder="1" applyAlignment="1">
      <alignment vertical="center" wrapText="1"/>
    </xf>
    <xf numFmtId="0" fontId="7" fillId="0" borderId="66" xfId="5" applyFont="1" applyBorder="1" applyAlignment="1">
      <alignment horizontal="center" vertical="center"/>
    </xf>
    <xf numFmtId="0" fontId="7" fillId="0" borderId="66" xfId="5" applyFont="1" applyFill="1" applyBorder="1" applyAlignment="1">
      <alignment vertical="center" wrapText="1"/>
    </xf>
    <xf numFmtId="164" fontId="7" fillId="0" borderId="5" xfId="3" applyFont="1" applyBorder="1" applyAlignment="1">
      <alignment horizontal="left" vertical="center" wrapText="1"/>
    </xf>
    <xf numFmtId="164" fontId="7" fillId="0" borderId="66" xfId="3" applyFont="1" applyBorder="1" applyAlignment="1">
      <alignment horizontal="left" vertical="center" wrapText="1"/>
    </xf>
    <xf numFmtId="173" fontId="7" fillId="0" borderId="45" xfId="5" applyNumberFormat="1" applyFont="1" applyFill="1" applyBorder="1" applyAlignment="1">
      <alignment horizontal="center" vertical="center"/>
    </xf>
    <xf numFmtId="173" fontId="7" fillId="0" borderId="72" xfId="5" applyNumberFormat="1" applyFont="1" applyFill="1" applyBorder="1" applyAlignment="1">
      <alignment horizontal="center" vertical="center"/>
    </xf>
    <xf numFmtId="0" fontId="7" fillId="0" borderId="66" xfId="5" applyFont="1" applyFill="1" applyBorder="1" applyAlignment="1">
      <alignment horizontal="center" vertical="center"/>
    </xf>
    <xf numFmtId="171" fontId="7" fillId="0" borderId="66" xfId="2" applyNumberFormat="1" applyFont="1" applyFill="1" applyBorder="1" applyAlignment="1">
      <alignment vertical="center"/>
    </xf>
    <xf numFmtId="164" fontId="7" fillId="0" borderId="20" xfId="3" applyFont="1" applyFill="1" applyBorder="1" applyAlignment="1">
      <alignment horizontal="left" vertical="center" wrapText="1"/>
    </xf>
    <xf numFmtId="164" fontId="8" fillId="7" borderId="55" xfId="3" applyFont="1" applyFill="1" applyBorder="1" applyAlignment="1">
      <alignment horizontal="left" vertical="center"/>
    </xf>
    <xf numFmtId="164" fontId="7" fillId="7" borderId="55" xfId="3" applyFont="1" applyFill="1" applyBorder="1" applyAlignment="1">
      <alignment horizontal="left" vertical="center"/>
    </xf>
    <xf numFmtId="164" fontId="7" fillId="7" borderId="41" xfId="3" applyFont="1" applyFill="1" applyBorder="1" applyAlignment="1">
      <alignment horizontal="left" vertical="center"/>
    </xf>
    <xf numFmtId="0" fontId="8" fillId="3" borderId="14" xfId="5" applyFont="1" applyFill="1" applyBorder="1" applyAlignment="1">
      <alignment horizontal="center" vertical="center"/>
    </xf>
    <xf numFmtId="0" fontId="8" fillId="3" borderId="15" xfId="5" applyFont="1" applyFill="1" applyBorder="1" applyAlignment="1">
      <alignment horizontal="left" vertical="center" wrapText="1"/>
    </xf>
    <xf numFmtId="0" fontId="7" fillId="3" borderId="15" xfId="5" applyFont="1" applyFill="1" applyBorder="1" applyAlignment="1">
      <alignment horizontal="center" vertical="center"/>
    </xf>
    <xf numFmtId="171" fontId="7" fillId="3" borderId="15" xfId="2" applyNumberFormat="1" applyFont="1" applyFill="1" applyBorder="1" applyAlignment="1">
      <alignment vertical="center"/>
    </xf>
    <xf numFmtId="164" fontId="7" fillId="3" borderId="15" xfId="3" applyFont="1" applyFill="1" applyBorder="1" applyAlignment="1">
      <alignment horizontal="left" vertical="center"/>
    </xf>
    <xf numFmtId="0" fontId="7" fillId="0" borderId="64" xfId="5" applyFont="1" applyFill="1" applyBorder="1" applyAlignment="1">
      <alignment horizontal="center" vertical="center"/>
    </xf>
    <xf numFmtId="0" fontId="8" fillId="8" borderId="52" xfId="0" applyFont="1" applyFill="1" applyBorder="1" applyAlignment="1">
      <alignment horizontal="center" vertical="center"/>
    </xf>
    <xf numFmtId="0" fontId="8" fillId="8" borderId="53" xfId="0" applyFont="1" applyFill="1" applyBorder="1" applyAlignment="1">
      <alignment horizontal="left" vertical="center" wrapText="1"/>
    </xf>
    <xf numFmtId="0" fontId="8" fillId="8" borderId="53" xfId="0" applyFont="1" applyFill="1" applyBorder="1" applyAlignment="1">
      <alignment vertical="center"/>
    </xf>
    <xf numFmtId="171" fontId="8" fillId="8" borderId="53" xfId="2" applyNumberFormat="1" applyFont="1" applyFill="1" applyBorder="1" applyAlignment="1">
      <alignment vertical="center"/>
    </xf>
    <xf numFmtId="164" fontId="8" fillId="8" borderId="53" xfId="3" applyFont="1" applyFill="1" applyBorder="1" applyAlignment="1">
      <alignment horizontal="left" vertical="center"/>
    </xf>
    <xf numFmtId="164" fontId="8" fillId="8" borderId="54" xfId="3" applyFont="1" applyFill="1" applyBorder="1" applyAlignment="1">
      <alignment horizontal="left" vertical="center"/>
    </xf>
    <xf numFmtId="164" fontId="7" fillId="8" borderId="54" xfId="3" applyFont="1" applyFill="1" applyBorder="1" applyAlignment="1">
      <alignment horizontal="left" vertical="center"/>
    </xf>
    <xf numFmtId="4" fontId="7" fillId="8" borderId="52" xfId="0" applyNumberFormat="1" applyFont="1" applyFill="1" applyBorder="1" applyAlignment="1">
      <alignment horizontal="center"/>
    </xf>
    <xf numFmtId="164" fontId="7" fillId="8" borderId="52" xfId="3" applyFont="1" applyFill="1" applyBorder="1" applyAlignment="1">
      <alignment horizontal="left" vertical="center"/>
    </xf>
    <xf numFmtId="0" fontId="8" fillId="0" borderId="45" xfId="5" applyFont="1" applyBorder="1" applyAlignment="1">
      <alignment horizontal="center" vertical="center"/>
    </xf>
    <xf numFmtId="0" fontId="8" fillId="0" borderId="64" xfId="5" applyFont="1" applyBorder="1" applyAlignment="1">
      <alignment horizontal="left" vertical="center" wrapText="1"/>
    </xf>
    <xf numFmtId="0" fontId="7" fillId="0" borderId="64" xfId="5" applyFont="1" applyBorder="1" applyAlignment="1">
      <alignment horizontal="center" vertical="center"/>
    </xf>
    <xf numFmtId="171" fontId="7" fillId="0" borderId="64" xfId="2" applyNumberFormat="1" applyFont="1" applyBorder="1" applyAlignment="1">
      <alignment vertical="center"/>
    </xf>
    <xf numFmtId="164" fontId="7" fillId="0" borderId="64" xfId="3" applyFont="1" applyBorder="1" applyAlignment="1">
      <alignment horizontal="left" vertical="center"/>
    </xf>
    <xf numFmtId="164" fontId="7" fillId="3" borderId="2" xfId="3" applyFont="1" applyFill="1" applyBorder="1" applyAlignment="1">
      <alignment horizontal="left" vertical="center" shrinkToFit="1"/>
    </xf>
    <xf numFmtId="171" fontId="7" fillId="0" borderId="20" xfId="2" applyNumberFormat="1" applyFont="1" applyBorder="1" applyAlignment="1">
      <alignment vertical="center" shrinkToFit="1"/>
    </xf>
    <xf numFmtId="164" fontId="7" fillId="0" borderId="23" xfId="3" applyFont="1" applyBorder="1" applyAlignment="1">
      <alignment horizontal="left" vertical="center"/>
    </xf>
    <xf numFmtId="0" fontId="8" fillId="9" borderId="52" xfId="0" applyFont="1" applyFill="1" applyBorder="1" applyAlignment="1">
      <alignment horizontal="center" vertical="center"/>
    </xf>
    <xf numFmtId="0" fontId="8" fillId="9" borderId="53" xfId="0" applyFont="1" applyFill="1" applyBorder="1" applyAlignment="1">
      <alignment horizontal="left" vertical="center" wrapText="1"/>
    </xf>
    <xf numFmtId="0" fontId="8" fillId="9" borderId="53" xfId="0" applyFont="1" applyFill="1" applyBorder="1" applyAlignment="1">
      <alignment vertical="center"/>
    </xf>
    <xf numFmtId="171" fontId="8" fillId="9" borderId="53" xfId="2" applyNumberFormat="1" applyFont="1" applyFill="1" applyBorder="1" applyAlignment="1">
      <alignment vertical="center"/>
    </xf>
    <xf numFmtId="164" fontId="8" fillId="9" borderId="53" xfId="3" applyFont="1" applyFill="1" applyBorder="1" applyAlignment="1">
      <alignment horizontal="left" vertical="center"/>
    </xf>
    <xf numFmtId="164" fontId="8" fillId="9" borderId="61" xfId="3" applyFont="1" applyFill="1" applyBorder="1" applyAlignment="1">
      <alignment horizontal="left" vertical="center"/>
    </xf>
    <xf numFmtId="164" fontId="7" fillId="9" borderId="61" xfId="3" applyFont="1" applyFill="1" applyBorder="1" applyAlignment="1">
      <alignment horizontal="left" vertical="center"/>
    </xf>
    <xf numFmtId="164" fontId="7" fillId="9" borderId="54" xfId="3" applyFont="1" applyFill="1" applyBorder="1" applyAlignment="1">
      <alignment horizontal="left" vertical="center"/>
    </xf>
    <xf numFmtId="0" fontId="7" fillId="0" borderId="102" xfId="5" applyFont="1" applyBorder="1" applyAlignment="1">
      <alignment horizontal="justify" wrapText="1"/>
    </xf>
    <xf numFmtId="171" fontId="7" fillId="0" borderId="94" xfId="2" applyNumberFormat="1" applyFont="1" applyBorder="1" applyAlignment="1">
      <alignment vertical="center" shrinkToFit="1"/>
    </xf>
    <xf numFmtId="164" fontId="7" fillId="0" borderId="94" xfId="3" applyFont="1" applyBorder="1" applyAlignment="1">
      <alignment horizontal="left" vertical="center" shrinkToFit="1"/>
    </xf>
    <xf numFmtId="164" fontId="7" fillId="0" borderId="103" xfId="3" applyFont="1" applyBorder="1" applyAlignment="1">
      <alignment horizontal="left" vertical="center" shrinkToFit="1"/>
    </xf>
    <xf numFmtId="0" fontId="7" fillId="0" borderId="85" xfId="5" applyFont="1" applyBorder="1" applyAlignment="1">
      <alignment horizontal="justify" vertical="center" wrapText="1"/>
    </xf>
    <xf numFmtId="171" fontId="7" fillId="0" borderId="77" xfId="2" applyNumberFormat="1" applyFont="1" applyBorder="1" applyAlignment="1">
      <alignment vertical="center" shrinkToFit="1"/>
    </xf>
    <xf numFmtId="164" fontId="7" fillId="0" borderId="77" xfId="3" applyFont="1" applyBorder="1" applyAlignment="1">
      <alignment horizontal="left" vertical="center" shrinkToFit="1"/>
    </xf>
    <xf numFmtId="164" fontId="7" fillId="0" borderId="78" xfId="3" applyFont="1" applyBorder="1" applyAlignment="1">
      <alignment horizontal="left" vertical="center" shrinkToFit="1"/>
    </xf>
    <xf numFmtId="0" fontId="7" fillId="0" borderId="85" xfId="5" applyFont="1" applyBorder="1" applyAlignment="1">
      <alignment horizontal="justify" vertical="top"/>
    </xf>
    <xf numFmtId="0" fontId="7" fillId="0" borderId="90" xfId="5" applyFont="1" applyBorder="1" applyAlignment="1">
      <alignment horizontal="justify" vertical="center" wrapText="1"/>
    </xf>
    <xf numFmtId="171" fontId="7" fillId="0" borderId="90" xfId="2" applyNumberFormat="1" applyFont="1" applyBorder="1" applyAlignment="1">
      <alignment vertical="center" shrinkToFit="1"/>
    </xf>
    <xf numFmtId="164" fontId="7" fillId="0" borderId="90" xfId="3" applyFont="1" applyBorder="1" applyAlignment="1">
      <alignment horizontal="left" vertical="center" shrinkToFit="1"/>
    </xf>
    <xf numFmtId="164" fontId="7" fillId="0" borderId="91" xfId="3" applyFont="1" applyBorder="1" applyAlignment="1">
      <alignment horizontal="left" vertical="center" shrinkToFit="1"/>
    </xf>
    <xf numFmtId="0" fontId="7" fillId="0" borderId="5" xfId="5" applyFont="1" applyBorder="1" applyAlignment="1">
      <alignment horizontal="justify" vertical="center" wrapText="1"/>
    </xf>
    <xf numFmtId="164" fontId="7" fillId="0" borderId="18" xfId="3" applyFont="1" applyBorder="1" applyAlignment="1">
      <alignment horizontal="left" vertical="center" shrinkToFit="1"/>
    </xf>
    <xf numFmtId="0" fontId="8" fillId="3" borderId="5" xfId="5" applyFont="1" applyFill="1" applyBorder="1" applyAlignment="1">
      <alignment horizontal="justify" vertical="center" wrapText="1"/>
    </xf>
    <xf numFmtId="0" fontId="7" fillId="0" borderId="66" xfId="5" applyFont="1" applyFill="1" applyBorder="1" applyAlignment="1">
      <alignment horizontal="justify" vertical="center" wrapText="1"/>
    </xf>
    <xf numFmtId="0" fontId="7" fillId="0" borderId="19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left" vertical="center" wrapText="1"/>
    </xf>
    <xf numFmtId="164" fontId="7" fillId="0" borderId="23" xfId="3" applyFont="1" applyFill="1" applyBorder="1" applyAlignment="1">
      <alignment horizontal="left"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left" vertical="center" wrapText="1"/>
    </xf>
    <xf numFmtId="164" fontId="7" fillId="0" borderId="0" xfId="3" applyFont="1" applyFill="1" applyBorder="1" applyAlignment="1">
      <alignment horizontal="left" vertical="center" wrapText="1"/>
    </xf>
    <xf numFmtId="164" fontId="7" fillId="0" borderId="0" xfId="0" applyNumberFormat="1" applyFont="1" applyAlignment="1">
      <alignment horizontal="left"/>
    </xf>
    <xf numFmtId="164" fontId="7" fillId="2" borderId="0" xfId="0" applyNumberFormat="1" applyFont="1" applyFill="1" applyAlignment="1">
      <alignment horizontal="left"/>
    </xf>
    <xf numFmtId="44" fontId="7" fillId="2" borderId="0" xfId="0" applyNumberFormat="1" applyFont="1" applyFill="1" applyAlignment="1">
      <alignment horizontal="left"/>
    </xf>
    <xf numFmtId="164" fontId="7" fillId="2" borderId="9" xfId="0" applyNumberFormat="1" applyFont="1" applyFill="1" applyBorder="1" applyAlignment="1">
      <alignment horizontal="left"/>
    </xf>
    <xf numFmtId="164" fontId="7" fillId="0" borderId="0" xfId="30" applyNumberFormat="1" applyFont="1" applyFill="1" applyBorder="1" applyAlignment="1">
      <alignment vertical="center"/>
    </xf>
    <xf numFmtId="44" fontId="7" fillId="0" borderId="0" xfId="30" applyNumberFormat="1" applyFont="1" applyFill="1" applyBorder="1" applyAlignment="1">
      <alignment vertical="center"/>
    </xf>
    <xf numFmtId="0" fontId="7" fillId="0" borderId="85" xfId="5" applyFont="1" applyFill="1" applyBorder="1" applyAlignment="1">
      <alignment horizontal="justify" vertical="center" wrapText="1"/>
    </xf>
    <xf numFmtId="164" fontId="7" fillId="0" borderId="78" xfId="3" applyFont="1" applyFill="1" applyBorder="1" applyAlignment="1">
      <alignment horizontal="left" vertical="center" shrinkToFit="1"/>
    </xf>
    <xf numFmtId="43" fontId="7" fillId="0" borderId="64" xfId="3" applyNumberFormat="1" applyFont="1" applyFill="1" applyBorder="1" applyAlignment="1">
      <alignment horizontal="left" vertical="center"/>
    </xf>
    <xf numFmtId="164" fontId="9" fillId="10" borderId="0" xfId="0" applyNumberFormat="1" applyFont="1" applyFill="1" applyAlignment="1">
      <alignment horizontal="right" vertical="center"/>
    </xf>
    <xf numFmtId="9" fontId="7" fillId="0" borderId="44" xfId="4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42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left" vertical="center"/>
    </xf>
    <xf numFmtId="4" fontId="7" fillId="0" borderId="37" xfId="0" applyNumberFormat="1" applyFont="1" applyFill="1" applyBorder="1" applyAlignment="1">
      <alignment horizontal="center" vertical="center"/>
    </xf>
    <xf numFmtId="164" fontId="7" fillId="0" borderId="22" xfId="3" applyFont="1" applyFill="1" applyBorder="1" applyAlignment="1">
      <alignment horizontal="left" vertical="center"/>
    </xf>
    <xf numFmtId="9" fontId="7" fillId="0" borderId="48" xfId="4" applyFont="1" applyFill="1" applyBorder="1" applyAlignment="1">
      <alignment vertical="center"/>
    </xf>
    <xf numFmtId="0" fontId="7" fillId="0" borderId="19" xfId="30" applyFont="1" applyBorder="1" applyAlignment="1">
      <alignment horizontal="center" vertical="center"/>
    </xf>
    <xf numFmtId="2" fontId="8" fillId="0" borderId="14" xfId="3" applyNumberFormat="1" applyFont="1" applyFill="1" applyBorder="1" applyAlignment="1">
      <alignment horizontal="center" vertical="center"/>
    </xf>
    <xf numFmtId="2" fontId="7" fillId="0" borderId="45" xfId="3" applyNumberFormat="1" applyFont="1" applyFill="1" applyBorder="1" applyAlignment="1">
      <alignment horizontal="center" vertical="center"/>
    </xf>
    <xf numFmtId="2" fontId="8" fillId="0" borderId="17" xfId="3" applyNumberFormat="1" applyFont="1" applyFill="1" applyBorder="1" applyAlignment="1">
      <alignment horizontal="center" vertical="center"/>
    </xf>
    <xf numFmtId="2" fontId="8" fillId="0" borderId="19" xfId="3" applyNumberFormat="1" applyFont="1" applyFill="1" applyBorder="1" applyAlignment="1">
      <alignment horizontal="center" vertical="center"/>
    </xf>
    <xf numFmtId="2" fontId="7" fillId="0" borderId="45" xfId="2" applyNumberFormat="1" applyFont="1" applyBorder="1" applyAlignment="1">
      <alignment horizontal="center" vertical="center"/>
    </xf>
    <xf numFmtId="2" fontId="7" fillId="0" borderId="17" xfId="2" applyNumberFormat="1" applyFont="1" applyBorder="1" applyAlignment="1">
      <alignment horizontal="center" vertical="center"/>
    </xf>
    <xf numFmtId="2" fontId="7" fillId="0" borderId="17" xfId="2" applyNumberFormat="1" applyFont="1" applyFill="1" applyBorder="1" applyAlignment="1">
      <alignment horizontal="center" vertical="center"/>
    </xf>
    <xf numFmtId="2" fontId="7" fillId="3" borderId="17" xfId="2" applyNumberFormat="1" applyFont="1" applyFill="1" applyBorder="1" applyAlignment="1">
      <alignment horizontal="center" vertical="center"/>
    </xf>
    <xf numFmtId="2" fontId="7" fillId="0" borderId="17" xfId="2" applyNumberFormat="1" applyFont="1" applyFill="1" applyBorder="1" applyAlignment="1">
      <alignment horizontal="center" vertical="center" wrapText="1"/>
    </xf>
    <xf numFmtId="2" fontId="7" fillId="0" borderId="72" xfId="2" applyNumberFormat="1" applyFont="1" applyFill="1" applyBorder="1" applyAlignment="1">
      <alignment horizontal="center" vertical="center"/>
    </xf>
    <xf numFmtId="2" fontId="7" fillId="0" borderId="19" xfId="2" applyNumberFormat="1" applyFont="1" applyFill="1" applyBorder="1" applyAlignment="1">
      <alignment horizontal="center" vertical="center"/>
    </xf>
    <xf numFmtId="2" fontId="7" fillId="0" borderId="4" xfId="2" applyNumberFormat="1" applyFont="1" applyFill="1" applyBorder="1" applyAlignment="1">
      <alignment horizontal="center" vertical="center"/>
    </xf>
    <xf numFmtId="2" fontId="7" fillId="0" borderId="45" xfId="2" applyNumberFormat="1" applyFont="1" applyFill="1" applyBorder="1" applyAlignment="1">
      <alignment horizontal="center" vertical="center"/>
    </xf>
    <xf numFmtId="2" fontId="7" fillId="0" borderId="0" xfId="5" applyNumberFormat="1" applyFont="1" applyFill="1" applyBorder="1" applyAlignment="1">
      <alignment horizontal="center" vertical="center"/>
    </xf>
    <xf numFmtId="2" fontId="7" fillId="6" borderId="39" xfId="2" applyNumberFormat="1" applyFont="1" applyFill="1" applyBorder="1" applyAlignment="1">
      <alignment horizontal="center" vertical="center"/>
    </xf>
    <xf numFmtId="2" fontId="7" fillId="0" borderId="14" xfId="2" applyNumberFormat="1" applyFont="1" applyFill="1" applyBorder="1" applyAlignment="1">
      <alignment horizontal="center" vertical="center"/>
    </xf>
    <xf numFmtId="2" fontId="7" fillId="2" borderId="17" xfId="2" applyNumberFormat="1" applyFont="1" applyFill="1" applyBorder="1" applyAlignment="1">
      <alignment horizontal="center" vertical="center"/>
    </xf>
    <xf numFmtId="2" fontId="7" fillId="0" borderId="72" xfId="2" applyNumberFormat="1" applyFont="1" applyBorder="1" applyAlignment="1">
      <alignment horizontal="center" vertical="center"/>
    </xf>
    <xf numFmtId="2" fontId="7" fillId="0" borderId="0" xfId="30" applyNumberFormat="1" applyFont="1" applyFill="1" applyBorder="1" applyAlignment="1">
      <alignment horizontal="center" vertical="center"/>
    </xf>
    <xf numFmtId="2" fontId="7" fillId="4" borderId="38" xfId="2" applyNumberFormat="1" applyFont="1" applyFill="1" applyBorder="1" applyAlignment="1">
      <alignment horizontal="center" vertical="center"/>
    </xf>
    <xf numFmtId="2" fontId="7" fillId="0" borderId="14" xfId="2" applyNumberFormat="1" applyFont="1" applyBorder="1" applyAlignment="1">
      <alignment horizontal="center" vertical="center"/>
    </xf>
    <xf numFmtId="2" fontId="7" fillId="7" borderId="39" xfId="2" applyNumberFormat="1" applyFont="1" applyFill="1" applyBorder="1" applyAlignment="1">
      <alignment horizontal="center" vertical="center"/>
    </xf>
    <xf numFmtId="2" fontId="7" fillId="3" borderId="14" xfId="2" applyNumberFormat="1" applyFont="1" applyFill="1" applyBorder="1" applyAlignment="1">
      <alignment horizontal="center" vertical="center"/>
    </xf>
    <xf numFmtId="2" fontId="7" fillId="0" borderId="17" xfId="2" applyNumberFormat="1" applyFont="1" applyBorder="1" applyAlignment="1">
      <alignment horizontal="center" vertical="center" shrinkToFit="1"/>
    </xf>
    <xf numFmtId="2" fontId="7" fillId="0" borderId="72" xfId="2" applyNumberFormat="1" applyFont="1" applyBorder="1" applyAlignment="1">
      <alignment horizontal="center" vertical="center" shrinkToFit="1"/>
    </xf>
    <xf numFmtId="2" fontId="7" fillId="0" borderId="93" xfId="2" applyNumberFormat="1" applyFont="1" applyFill="1" applyBorder="1" applyAlignment="1">
      <alignment horizontal="center" vertical="center"/>
    </xf>
    <xf numFmtId="2" fontId="7" fillId="0" borderId="0" xfId="8" applyNumberFormat="1" applyFont="1" applyFill="1" applyBorder="1" applyAlignment="1">
      <alignment horizontal="center" vertical="center" wrapText="1"/>
    </xf>
    <xf numFmtId="2" fontId="7" fillId="8" borderId="52" xfId="2" applyNumberFormat="1" applyFont="1" applyFill="1" applyBorder="1" applyAlignment="1">
      <alignment horizontal="center" vertical="center"/>
    </xf>
    <xf numFmtId="2" fontId="7" fillId="0" borderId="19" xfId="2" applyNumberFormat="1" applyFont="1" applyBorder="1" applyAlignment="1">
      <alignment horizontal="center" vertical="center" shrinkToFit="1"/>
    </xf>
    <xf numFmtId="2" fontId="7" fillId="0" borderId="0" xfId="8" applyNumberFormat="1" applyFont="1" applyBorder="1" applyAlignment="1">
      <alignment horizontal="center" vertical="center" wrapText="1"/>
    </xf>
    <xf numFmtId="2" fontId="7" fillId="7" borderId="52" xfId="2" applyNumberFormat="1" applyFont="1" applyFill="1" applyBorder="1" applyAlignment="1">
      <alignment horizontal="center" vertical="center"/>
    </xf>
    <xf numFmtId="2" fontId="7" fillId="0" borderId="17" xfId="2" applyNumberFormat="1" applyFont="1" applyFill="1" applyBorder="1" applyAlignment="1">
      <alignment horizontal="center" vertical="center" shrinkToFit="1"/>
    </xf>
    <xf numFmtId="2" fontId="7" fillId="0" borderId="77" xfId="2" applyNumberFormat="1" applyFont="1" applyFill="1" applyBorder="1" applyAlignment="1">
      <alignment horizontal="center" vertical="center" shrinkToFit="1"/>
    </xf>
    <xf numFmtId="2" fontId="7" fillId="0" borderId="0" xfId="2" applyNumberFormat="1" applyFont="1" applyFill="1" applyBorder="1" applyAlignment="1">
      <alignment horizontal="center" vertical="center" shrinkToFit="1"/>
    </xf>
    <xf numFmtId="2" fontId="7" fillId="0" borderId="72" xfId="2" applyNumberFormat="1" applyFont="1" applyFill="1" applyBorder="1" applyAlignment="1">
      <alignment horizontal="center" vertical="center" shrinkToFit="1"/>
    </xf>
    <xf numFmtId="2" fontId="7" fillId="0" borderId="92" xfId="2" applyNumberFormat="1" applyFont="1" applyFill="1" applyBorder="1" applyAlignment="1">
      <alignment horizontal="center" vertical="center"/>
    </xf>
    <xf numFmtId="2" fontId="7" fillId="9" borderId="52" xfId="2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Border="1"/>
    <xf numFmtId="0" fontId="5" fillId="0" borderId="0" xfId="0" applyFont="1" applyFill="1" applyBorder="1"/>
    <xf numFmtId="0" fontId="7" fillId="0" borderId="0" xfId="0" applyFont="1" applyBorder="1" applyAlignment="1">
      <alignment vertical="center"/>
    </xf>
    <xf numFmtId="2" fontId="7" fillId="0" borderId="0" xfId="0" applyNumberFormat="1" applyFont="1" applyBorder="1" applyAlignment="1">
      <alignment vertical="center"/>
    </xf>
    <xf numFmtId="173" fontId="7" fillId="0" borderId="10" xfId="5" applyNumberFormat="1" applyFont="1" applyFill="1" applyBorder="1" applyAlignment="1">
      <alignment vertical="center"/>
    </xf>
    <xf numFmtId="0" fontId="7" fillId="0" borderId="10" xfId="30" applyFont="1" applyFill="1" applyBorder="1" applyAlignment="1">
      <alignment vertical="center"/>
    </xf>
    <xf numFmtId="0" fontId="7" fillId="0" borderId="10" xfId="8" applyFont="1" applyFill="1" applyBorder="1" applyAlignment="1">
      <alignment vertical="center" wrapText="1"/>
    </xf>
    <xf numFmtId="0" fontId="7" fillId="0" borderId="10" xfId="8" applyFont="1" applyBorder="1" applyAlignment="1">
      <alignment vertical="center" wrapText="1"/>
    </xf>
    <xf numFmtId="0" fontId="7" fillId="0" borderId="6" xfId="8" applyFont="1" applyFill="1" applyBorder="1" applyAlignment="1">
      <alignment horizontal="center" vertical="center" wrapText="1"/>
    </xf>
    <xf numFmtId="44" fontId="7" fillId="2" borderId="0" xfId="0" applyNumberFormat="1" applyFont="1" applyFill="1" applyBorder="1" applyAlignment="1">
      <alignment vertical="justify" wrapText="1"/>
    </xf>
    <xf numFmtId="2" fontId="9" fillId="0" borderId="17" xfId="2" applyNumberFormat="1" applyFont="1" applyBorder="1" applyAlignment="1">
      <alignment horizontal="center" vertical="center"/>
    </xf>
    <xf numFmtId="0" fontId="7" fillId="2" borderId="13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left"/>
    </xf>
    <xf numFmtId="0" fontId="7" fillId="0" borderId="10" xfId="0" applyFont="1" applyBorder="1"/>
    <xf numFmtId="0" fontId="7" fillId="0" borderId="11" xfId="0" applyFont="1" applyBorder="1"/>
    <xf numFmtId="0" fontId="7" fillId="0" borderId="15" xfId="0" applyFont="1" applyFill="1" applyBorder="1" applyAlignment="1">
      <alignment horizontal="center" vertical="center"/>
    </xf>
    <xf numFmtId="9" fontId="7" fillId="0" borderId="43" xfId="4" applyFont="1" applyFill="1" applyBorder="1" applyAlignment="1">
      <alignment horizontal="center" vertical="center"/>
    </xf>
    <xf numFmtId="9" fontId="7" fillId="0" borderId="95" xfId="4" applyFont="1" applyFill="1" applyBorder="1" applyAlignment="1">
      <alignment horizontal="center" vertical="center"/>
    </xf>
    <xf numFmtId="9" fontId="7" fillId="0" borderId="44" xfId="4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/>
    </xf>
    <xf numFmtId="0" fontId="7" fillId="3" borderId="0" xfId="0" applyFont="1" applyFill="1" applyBorder="1"/>
    <xf numFmtId="0" fontId="8" fillId="3" borderId="6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left" vertical="center"/>
    </xf>
    <xf numFmtId="0" fontId="7" fillId="2" borderId="2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8" fillId="2" borderId="12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vertical="center"/>
    </xf>
    <xf numFmtId="0" fontId="7" fillId="2" borderId="22" xfId="0" applyFont="1" applyFill="1" applyBorder="1" applyAlignment="1">
      <alignment vertical="center"/>
    </xf>
    <xf numFmtId="0" fontId="7" fillId="2" borderId="36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42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63" xfId="0" applyFont="1" applyFill="1" applyBorder="1" applyAlignment="1">
      <alignment horizontal="left" vertical="center" wrapText="1"/>
    </xf>
    <xf numFmtId="0" fontId="7" fillId="2" borderId="57" xfId="0" applyFont="1" applyFill="1" applyBorder="1" applyAlignment="1">
      <alignment horizontal="left" vertical="center" wrapText="1"/>
    </xf>
    <xf numFmtId="0" fontId="7" fillId="2" borderId="70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164" fontId="7" fillId="2" borderId="22" xfId="3" applyFont="1" applyFill="1" applyBorder="1" applyAlignment="1">
      <alignment horizontal="center" vertical="center"/>
    </xf>
    <xf numFmtId="164" fontId="7" fillId="2" borderId="30" xfId="3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8" fillId="2" borderId="17" xfId="0" applyFont="1" applyFill="1" applyBorder="1" applyAlignment="1">
      <alignment horizontal="center" wrapText="1"/>
    </xf>
    <xf numFmtId="0" fontId="8" fillId="2" borderId="18" xfId="0" applyFont="1" applyFill="1" applyBorder="1" applyAlignment="1">
      <alignment horizont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9" fontId="7" fillId="0" borderId="3" xfId="4" applyFont="1" applyBorder="1" applyAlignment="1">
      <alignment horizontal="center" vertical="center"/>
    </xf>
    <xf numFmtId="9" fontId="7" fillId="0" borderId="4" xfId="4" applyFont="1" applyBorder="1" applyAlignment="1">
      <alignment horizontal="center" vertical="center"/>
    </xf>
    <xf numFmtId="10" fontId="7" fillId="0" borderId="48" xfId="0" applyNumberFormat="1" applyFont="1" applyBorder="1" applyAlignment="1">
      <alignment horizontal="center" vertical="center"/>
    </xf>
    <xf numFmtId="10" fontId="7" fillId="0" borderId="49" xfId="0" applyNumberFormat="1" applyFont="1" applyBorder="1" applyAlignment="1">
      <alignment horizontal="center" vertical="center"/>
    </xf>
    <xf numFmtId="10" fontId="7" fillId="0" borderId="51" xfId="0" applyNumberFormat="1" applyFont="1" applyBorder="1" applyAlignment="1">
      <alignment horizontal="center" vertical="center"/>
    </xf>
    <xf numFmtId="164" fontId="7" fillId="2" borderId="5" xfId="3" applyFont="1" applyFill="1" applyBorder="1" applyAlignment="1">
      <alignment horizontal="center" vertical="center"/>
    </xf>
    <xf numFmtId="166" fontId="7" fillId="2" borderId="47" xfId="0" applyNumberFormat="1" applyFont="1" applyFill="1" applyBorder="1" applyAlignment="1">
      <alignment horizontal="left" vertical="center"/>
    </xf>
    <xf numFmtId="166" fontId="7" fillId="2" borderId="4" xfId="0" applyNumberFormat="1" applyFont="1" applyFill="1" applyBorder="1" applyAlignment="1">
      <alignment horizontal="left" vertical="center"/>
    </xf>
    <xf numFmtId="0" fontId="7" fillId="2" borderId="47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164" fontId="7" fillId="2" borderId="106" xfId="3" applyFont="1" applyFill="1" applyBorder="1" applyAlignment="1">
      <alignment horizontal="center" vertical="center"/>
    </xf>
    <xf numFmtId="164" fontId="7" fillId="2" borderId="2" xfId="3" applyFont="1" applyFill="1" applyBorder="1" applyAlignment="1">
      <alignment horizontal="center" vertical="center"/>
    </xf>
    <xf numFmtId="164" fontId="7" fillId="2" borderId="3" xfId="3" applyFont="1" applyFill="1" applyBorder="1" applyAlignment="1">
      <alignment horizontal="center" vertical="center"/>
    </xf>
    <xf numFmtId="168" fontId="7" fillId="2" borderId="104" xfId="0" applyNumberFormat="1" applyFont="1" applyFill="1" applyBorder="1" applyAlignment="1">
      <alignment horizontal="center" vertical="center"/>
    </xf>
    <xf numFmtId="168" fontId="7" fillId="2" borderId="107" xfId="0" applyNumberFormat="1" applyFont="1" applyFill="1" applyBorder="1" applyAlignment="1">
      <alignment horizontal="center" vertical="center"/>
    </xf>
    <xf numFmtId="164" fontId="8" fillId="2" borderId="2" xfId="3" applyFont="1" applyFill="1" applyBorder="1" applyAlignment="1">
      <alignment horizontal="center" vertical="center"/>
    </xf>
    <xf numFmtId="164" fontId="8" fillId="2" borderId="4" xfId="3" applyFont="1" applyFill="1" applyBorder="1" applyAlignment="1">
      <alignment horizontal="center" vertical="center"/>
    </xf>
    <xf numFmtId="166" fontId="7" fillId="2" borderId="47" xfId="0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0" fontId="7" fillId="2" borderId="65" xfId="0" applyFont="1" applyFill="1" applyBorder="1" applyAlignment="1">
      <alignment horizontal="left" vertical="center" wrapText="1"/>
    </xf>
    <xf numFmtId="164" fontId="8" fillId="2" borderId="5" xfId="3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166" fontId="8" fillId="3" borderId="25" xfId="0" applyNumberFormat="1" applyFont="1" applyFill="1" applyBorder="1" applyAlignment="1">
      <alignment horizontal="center" vertical="center"/>
    </xf>
    <xf numFmtId="166" fontId="8" fillId="3" borderId="26" xfId="0" applyNumberFormat="1" applyFont="1" applyFill="1" applyBorder="1" applyAlignment="1">
      <alignment horizontal="center" vertical="center"/>
    </xf>
    <xf numFmtId="164" fontId="8" fillId="2" borderId="64" xfId="3" applyFont="1" applyFill="1" applyBorder="1" applyAlignment="1">
      <alignment horizontal="center" vertical="center"/>
    </xf>
    <xf numFmtId="166" fontId="7" fillId="2" borderId="35" xfId="0" applyNumberFormat="1" applyFont="1" applyFill="1" applyBorder="1" applyAlignment="1">
      <alignment horizontal="left" vertical="center"/>
    </xf>
    <xf numFmtId="166" fontId="7" fillId="2" borderId="37" xfId="0" applyNumberFormat="1" applyFont="1" applyFill="1" applyBorder="1" applyAlignment="1">
      <alignment horizontal="left" vertical="center"/>
    </xf>
    <xf numFmtId="171" fontId="8" fillId="2" borderId="0" xfId="2" applyNumberFormat="1" applyFont="1" applyFill="1" applyBorder="1" applyAlignment="1">
      <alignment horizontal="center"/>
    </xf>
    <xf numFmtId="171" fontId="7" fillId="2" borderId="8" xfId="2" applyNumberFormat="1" applyFont="1" applyFill="1" applyBorder="1" applyAlignment="1">
      <alignment horizontal="center"/>
    </xf>
    <xf numFmtId="171" fontId="8" fillId="2" borderId="8" xfId="2" applyNumberFormat="1" applyFont="1" applyFill="1" applyBorder="1" applyAlignment="1">
      <alignment horizontal="center"/>
    </xf>
    <xf numFmtId="168" fontId="7" fillId="2" borderId="0" xfId="2" applyNumberFormat="1" applyFont="1" applyFill="1" applyBorder="1" applyAlignment="1">
      <alignment horizontal="center"/>
    </xf>
    <xf numFmtId="171" fontId="8" fillId="2" borderId="47" xfId="2" applyNumberFormat="1" applyFont="1" applyFill="1" applyBorder="1" applyAlignment="1">
      <alignment horizontal="left" vertical="center"/>
    </xf>
    <xf numFmtId="171" fontId="8" fillId="2" borderId="3" xfId="2" applyNumberFormat="1" applyFont="1" applyFill="1" applyBorder="1" applyAlignment="1">
      <alignment horizontal="left" vertical="center"/>
    </xf>
    <xf numFmtId="171" fontId="8" fillId="2" borderId="4" xfId="2" applyNumberFormat="1" applyFont="1" applyFill="1" applyBorder="1" applyAlignment="1">
      <alignment horizontal="left" vertical="center"/>
    </xf>
    <xf numFmtId="169" fontId="7" fillId="2" borderId="0" xfId="0" applyNumberFormat="1" applyFont="1" applyFill="1" applyAlignment="1">
      <alignment horizontal="center" vertical="center"/>
    </xf>
    <xf numFmtId="171" fontId="8" fillId="2" borderId="29" xfId="2" applyNumberFormat="1" applyFont="1" applyFill="1" applyBorder="1" applyAlignment="1">
      <alignment horizontal="left" vertical="center" wrapText="1"/>
    </xf>
    <xf numFmtId="171" fontId="8" fillId="2" borderId="33" xfId="2" applyNumberFormat="1" applyFont="1" applyFill="1" applyBorder="1" applyAlignment="1">
      <alignment horizontal="left" vertical="center" wrapText="1"/>
    </xf>
    <xf numFmtId="171" fontId="8" fillId="2" borderId="34" xfId="2" applyNumberFormat="1" applyFont="1" applyFill="1" applyBorder="1" applyAlignment="1">
      <alignment horizontal="left" vertical="center" wrapText="1"/>
    </xf>
    <xf numFmtId="164" fontId="8" fillId="2" borderId="67" xfId="3" applyFont="1" applyFill="1" applyBorder="1" applyAlignment="1">
      <alignment horizontal="center" vertical="center"/>
    </xf>
    <xf numFmtId="166" fontId="8" fillId="2" borderId="29" xfId="0" applyNumberFormat="1" applyFont="1" applyFill="1" applyBorder="1" applyAlignment="1">
      <alignment vertical="center"/>
    </xf>
    <xf numFmtId="166" fontId="8" fillId="2" borderId="33" xfId="0" applyNumberFormat="1" applyFont="1" applyFill="1" applyBorder="1" applyAlignment="1">
      <alignment vertical="center"/>
    </xf>
    <xf numFmtId="169" fontId="8" fillId="2" borderId="74" xfId="2" applyNumberFormat="1" applyFont="1" applyFill="1" applyBorder="1" applyAlignment="1">
      <alignment horizontal="center"/>
    </xf>
    <xf numFmtId="169" fontId="8" fillId="2" borderId="71" xfId="2" applyNumberFormat="1" applyFont="1" applyFill="1" applyBorder="1" applyAlignment="1">
      <alignment horizontal="center"/>
    </xf>
    <xf numFmtId="171" fontId="7" fillId="2" borderId="35" xfId="2" applyNumberFormat="1" applyFont="1" applyFill="1" applyBorder="1" applyAlignment="1">
      <alignment horizontal="left"/>
    </xf>
    <xf numFmtId="171" fontId="7" fillId="2" borderId="30" xfId="2" applyNumberFormat="1" applyFont="1" applyFill="1" applyBorder="1" applyAlignment="1">
      <alignment horizontal="left"/>
    </xf>
    <xf numFmtId="171" fontId="7" fillId="2" borderId="37" xfId="2" applyNumberFormat="1" applyFont="1" applyFill="1" applyBorder="1" applyAlignment="1">
      <alignment horizontal="left"/>
    </xf>
  </cellXfs>
  <cellStyles count="43">
    <cellStyle name="Millares" xfId="1" builtinId="3"/>
    <cellStyle name="Millares [0]" xfId="2" builtinId="6"/>
    <cellStyle name="Millares [0] 2" xfId="14"/>
    <cellStyle name="Millares 10" xfId="36"/>
    <cellStyle name="Millares 11" xfId="40"/>
    <cellStyle name="Millares 2" xfId="12"/>
    <cellStyle name="Millares 2 4" xfId="42"/>
    <cellStyle name="Millares 3" xfId="17"/>
    <cellStyle name="Millares 4" xfId="19"/>
    <cellStyle name="Millares 5" xfId="22"/>
    <cellStyle name="Millares 6" xfId="23"/>
    <cellStyle name="Millares 7" xfId="24"/>
    <cellStyle name="Millares 8" xfId="26"/>
    <cellStyle name="Millares 9" xfId="29"/>
    <cellStyle name="Moneda" xfId="3" builtinId="4"/>
    <cellStyle name="Moneda [0] 2" xfId="9"/>
    <cellStyle name="Moneda [0] 3" xfId="10"/>
    <cellStyle name="Moneda [0] 4" xfId="13"/>
    <cellStyle name="Moneda [0] 5" xfId="31"/>
    <cellStyle name="Moneda 10" xfId="28"/>
    <cellStyle name="Moneda 11" xfId="37"/>
    <cellStyle name="Moneda 12" xfId="41"/>
    <cellStyle name="Moneda 2" xfId="11"/>
    <cellStyle name="Moneda 3" xfId="6"/>
    <cellStyle name="Moneda 4" xfId="16"/>
    <cellStyle name="Moneda 5" xfId="18"/>
    <cellStyle name="Moneda 6" xfId="20"/>
    <cellStyle name="Moneda 7" xfId="21"/>
    <cellStyle name="Moneda 8" xfId="25"/>
    <cellStyle name="Moneda 9" xfId="27"/>
    <cellStyle name="Normal" xfId="0" builtinId="0"/>
    <cellStyle name="Normal 2" xfId="8"/>
    <cellStyle name="Normal 2 10 2" xfId="34"/>
    <cellStyle name="Normal 26" xfId="33"/>
    <cellStyle name="Normal 3" xfId="15"/>
    <cellStyle name="Normal 4" xfId="5"/>
    <cellStyle name="Normal 4 2" xfId="39"/>
    <cellStyle name="Normal 5" xfId="30"/>
    <cellStyle name="Normal 6" xfId="35"/>
    <cellStyle name="Porcentaje" xfId="4" builtinId="5"/>
    <cellStyle name="Porcentaje 2" xfId="38"/>
    <cellStyle name="Porcentual 2" xfId="7"/>
    <cellStyle name="Porcentual 3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750972</xdr:colOff>
      <xdr:row>0</xdr:row>
      <xdr:rowOff>77107</xdr:rowOff>
    </xdr:from>
    <xdr:to>
      <xdr:col>2</xdr:col>
      <xdr:colOff>1400736</xdr:colOff>
      <xdr:row>2</xdr:row>
      <xdr:rowOff>137272</xdr:rowOff>
    </xdr:to>
    <xdr:pic>
      <xdr:nvPicPr>
        <xdr:cNvPr id="2" name="1 Imagen" descr="Logo Formato Papeleria-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119" y="77107"/>
          <a:ext cx="649764" cy="460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9.%20INFRAESTRUCTURA%202021/3.%20CONTRATO%20BIENES%20INMUEBLES-CTTO%202069-7/78.%20ACTA%20DE%20PAGO%20ALCALDIA%20DE%20POPAYAN.%202021%20-%20AJUSTAD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um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"/>
      <sheetName val="1,1"/>
      <sheetName val="1,2"/>
      <sheetName val="2,1"/>
      <sheetName val="2,2"/>
      <sheetName val="2,3"/>
      <sheetName val="2,4"/>
      <sheetName val="2,5"/>
      <sheetName val="3.2"/>
      <sheetName val="4,1"/>
      <sheetName val="4,2"/>
      <sheetName val="6,1"/>
      <sheetName val="6,2"/>
      <sheetName val="6,3"/>
      <sheetName val="6,4"/>
      <sheetName val="6,5"/>
      <sheetName val="7,1"/>
      <sheetName val="1.1"/>
      <sheetName val="1.2"/>
      <sheetName val="1,3"/>
      <sheetName val="1,4"/>
      <sheetName val="1,5"/>
      <sheetName val="1,6"/>
      <sheetName val="1,7"/>
      <sheetName val="1,8"/>
      <sheetName val="3;2"/>
      <sheetName val="8.1"/>
      <sheetName val="1;1"/>
      <sheetName val="7;1"/>
      <sheetName val="3,1"/>
      <sheetName val="3,2"/>
      <sheetName val="Hoja1"/>
    </sheetNames>
    <sheetDataSet>
      <sheetData sheetId="0" refreshError="1"/>
      <sheetData sheetId="1" refreshError="1"/>
      <sheetData sheetId="2" refreshError="1">
        <row r="47">
          <cell r="T47">
            <v>87.71390000000001</v>
          </cell>
        </row>
      </sheetData>
      <sheetData sheetId="3" refreshError="1">
        <row r="50">
          <cell r="T50">
            <v>87.71390000000001</v>
          </cell>
        </row>
      </sheetData>
      <sheetData sheetId="4" refreshError="1">
        <row r="49">
          <cell r="T49">
            <v>121.70440000000002</v>
          </cell>
        </row>
      </sheetData>
      <sheetData sheetId="5" refreshError="1">
        <row r="73">
          <cell r="T73">
            <v>1383.0841999999998</v>
          </cell>
        </row>
      </sheetData>
      <sheetData sheetId="6" refreshError="1"/>
      <sheetData sheetId="7" refreshError="1">
        <row r="189">
          <cell r="U189">
            <v>2559.1487600000005</v>
          </cell>
        </row>
      </sheetData>
      <sheetData sheetId="8" refreshError="1">
        <row r="79">
          <cell r="T79">
            <v>1427.4616999999998</v>
          </cell>
        </row>
      </sheetData>
      <sheetData sheetId="9" refreshError="1">
        <row r="48">
          <cell r="T48">
            <v>174.92</v>
          </cell>
        </row>
      </sheetData>
      <sheetData sheetId="10" refreshError="1">
        <row r="45">
          <cell r="T45">
            <v>62.760000000000005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letras"/>
    </sheetNames>
    <definedNames>
      <definedName name="NumLetras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566"/>
  <sheetViews>
    <sheetView showGridLines="0" tabSelected="1" view="pageBreakPreview" zoomScale="85" zoomScaleNormal="85" zoomScaleSheetLayoutView="85" zoomScalePageLayoutView="50" workbookViewId="0">
      <pane ySplit="18" topLeftCell="A109" activePane="bottomLeft" state="frozen"/>
      <selection activeCell="M23" sqref="M23:Q39"/>
      <selection pane="bottomLeft" activeCell="O399" sqref="O399"/>
    </sheetView>
  </sheetViews>
  <sheetFormatPr baseColWidth="10" defaultColWidth="11.42578125" defaultRowHeight="14.25"/>
  <cols>
    <col min="1" max="1" width="2.5703125" style="12" customWidth="1"/>
    <col min="2" max="2" width="9.85546875" style="3" customWidth="1"/>
    <col min="3" max="3" width="51" style="9" customWidth="1"/>
    <col min="4" max="4" width="8.42578125" style="5" customWidth="1"/>
    <col min="5" max="5" width="14" style="18" customWidth="1"/>
    <col min="6" max="6" width="19.7109375" style="3" customWidth="1"/>
    <col min="7" max="7" width="24.7109375" style="38" customWidth="1"/>
    <col min="8" max="8" width="14.28515625" style="247" customWidth="1"/>
    <col min="9" max="9" width="24" style="32" customWidth="1"/>
    <col min="10" max="10" width="10.5703125" style="5" customWidth="1"/>
    <col min="11" max="11" width="21.5703125" style="32" customWidth="1"/>
    <col min="12" max="12" width="9.85546875" style="29" customWidth="1"/>
    <col min="13" max="13" width="21.28515625" style="32" customWidth="1"/>
    <col min="14" max="14" width="10.5703125" style="5" customWidth="1"/>
    <col min="15" max="15" width="22.7109375" style="32" customWidth="1"/>
    <col min="16" max="16" width="13.7109375" style="32" bestFit="1" customWidth="1"/>
    <col min="17" max="17" width="3.42578125" style="12" customWidth="1"/>
    <col min="18" max="16384" width="11.42578125" style="12"/>
  </cols>
  <sheetData>
    <row r="1" spans="2:16" ht="15.75" thickBot="1">
      <c r="B1" s="720"/>
      <c r="C1" s="721"/>
      <c r="D1" s="724" t="s">
        <v>9</v>
      </c>
      <c r="E1" s="725"/>
      <c r="F1" s="725"/>
      <c r="G1" s="725"/>
      <c r="H1" s="725"/>
      <c r="I1" s="725"/>
      <c r="J1" s="725"/>
      <c r="K1" s="725"/>
      <c r="L1" s="725"/>
      <c r="M1" s="725"/>
      <c r="N1" s="702" t="s">
        <v>19</v>
      </c>
      <c r="O1" s="703"/>
      <c r="P1" s="704"/>
    </row>
    <row r="2" spans="2:16" ht="15.75" thickBot="1">
      <c r="B2" s="692"/>
      <c r="C2" s="693"/>
      <c r="D2" s="726" t="s">
        <v>17</v>
      </c>
      <c r="E2" s="727"/>
      <c r="F2" s="727"/>
      <c r="G2" s="727"/>
      <c r="H2" s="727"/>
      <c r="I2" s="727"/>
      <c r="J2" s="727"/>
      <c r="K2" s="727"/>
      <c r="L2" s="727"/>
      <c r="M2" s="727"/>
      <c r="N2" s="702" t="s">
        <v>18</v>
      </c>
      <c r="O2" s="703"/>
      <c r="P2" s="704"/>
    </row>
    <row r="3" spans="2:16" ht="15.75" thickBot="1">
      <c r="B3" s="722"/>
      <c r="C3" s="723"/>
      <c r="D3" s="728" t="s">
        <v>394</v>
      </c>
      <c r="E3" s="729"/>
      <c r="F3" s="729"/>
      <c r="G3" s="729"/>
      <c r="H3" s="729"/>
      <c r="I3" s="729"/>
      <c r="J3" s="729"/>
      <c r="K3" s="729"/>
      <c r="L3" s="729"/>
      <c r="M3" s="730"/>
      <c r="N3" s="702" t="s">
        <v>16</v>
      </c>
      <c r="O3" s="703"/>
      <c r="P3" s="704"/>
    </row>
    <row r="4" spans="2:16" ht="15.75" thickBot="1">
      <c r="B4" s="572"/>
      <c r="C4" s="573"/>
      <c r="D4" s="681" t="s">
        <v>34</v>
      </c>
      <c r="E4" s="682"/>
      <c r="F4" s="682"/>
      <c r="G4" s="682"/>
      <c r="H4" s="683"/>
      <c r="I4" s="641" t="s">
        <v>14</v>
      </c>
      <c r="J4" s="642"/>
      <c r="K4" s="642"/>
      <c r="L4" s="643"/>
      <c r="M4" s="661" t="s">
        <v>394</v>
      </c>
      <c r="N4" s="662"/>
      <c r="O4" s="662"/>
      <c r="P4" s="663"/>
    </row>
    <row r="5" spans="2:16" ht="15">
      <c r="B5" s="688" t="s">
        <v>20</v>
      </c>
      <c r="C5" s="689"/>
      <c r="D5" s="684"/>
      <c r="E5" s="685"/>
      <c r="F5" s="685"/>
      <c r="G5" s="685"/>
      <c r="H5" s="685"/>
      <c r="I5" s="568" t="s">
        <v>40</v>
      </c>
      <c r="J5" s="690" t="s">
        <v>89</v>
      </c>
      <c r="K5" s="690"/>
      <c r="L5" s="691"/>
      <c r="M5" s="664"/>
      <c r="N5" s="665"/>
      <c r="O5" s="665"/>
      <c r="P5" s="666"/>
    </row>
    <row r="6" spans="2:16" ht="15" thickBot="1">
      <c r="B6" s="692" t="s">
        <v>31</v>
      </c>
      <c r="C6" s="693"/>
      <c r="D6" s="686"/>
      <c r="E6" s="687"/>
      <c r="F6" s="687"/>
      <c r="G6" s="687"/>
      <c r="H6" s="687"/>
      <c r="I6" s="574" t="s">
        <v>11</v>
      </c>
      <c r="J6" s="694" t="s">
        <v>25</v>
      </c>
      <c r="K6" s="694"/>
      <c r="L6" s="695"/>
      <c r="M6" s="664"/>
      <c r="N6" s="665"/>
      <c r="O6" s="665"/>
      <c r="P6" s="666"/>
    </row>
    <row r="7" spans="2:16">
      <c r="B7" s="679" t="s">
        <v>32</v>
      </c>
      <c r="C7" s="680"/>
      <c r="D7" s="705" t="s">
        <v>35</v>
      </c>
      <c r="E7" s="706"/>
      <c r="F7" s="706"/>
      <c r="G7" s="706"/>
      <c r="H7" s="707"/>
      <c r="I7" s="574" t="s">
        <v>13</v>
      </c>
      <c r="J7" s="694" t="s">
        <v>38</v>
      </c>
      <c r="K7" s="694"/>
      <c r="L7" s="695"/>
      <c r="M7" s="664"/>
      <c r="N7" s="665"/>
      <c r="O7" s="665"/>
      <c r="P7" s="666"/>
    </row>
    <row r="8" spans="2:16" ht="15" thickBot="1">
      <c r="B8" s="679"/>
      <c r="C8" s="680"/>
      <c r="D8" s="696" t="s">
        <v>24</v>
      </c>
      <c r="E8" s="697"/>
      <c r="F8" s="697"/>
      <c r="G8" s="697"/>
      <c r="H8" s="698"/>
      <c r="I8" s="574" t="s">
        <v>12</v>
      </c>
      <c r="J8" s="694" t="s">
        <v>90</v>
      </c>
      <c r="K8" s="694"/>
      <c r="L8" s="695"/>
      <c r="M8" s="664"/>
      <c r="N8" s="665"/>
      <c r="O8" s="665"/>
      <c r="P8" s="666"/>
    </row>
    <row r="9" spans="2:16">
      <c r="B9" s="661" t="s">
        <v>395</v>
      </c>
      <c r="C9" s="663"/>
      <c r="D9" s="708" t="s">
        <v>36</v>
      </c>
      <c r="E9" s="709"/>
      <c r="F9" s="709"/>
      <c r="G9" s="709"/>
      <c r="H9" s="710"/>
      <c r="I9" s="248" t="s">
        <v>26</v>
      </c>
      <c r="J9" s="659" t="s">
        <v>39</v>
      </c>
      <c r="K9" s="659"/>
      <c r="L9" s="660"/>
      <c r="M9" s="664"/>
      <c r="N9" s="665"/>
      <c r="O9" s="665"/>
      <c r="P9" s="666"/>
    </row>
    <row r="10" spans="2:16" ht="15" thickBot="1">
      <c r="B10" s="664"/>
      <c r="C10" s="666"/>
      <c r="D10" s="711"/>
      <c r="E10" s="712"/>
      <c r="F10" s="712"/>
      <c r="G10" s="712"/>
      <c r="H10" s="713"/>
      <c r="I10" s="250" t="s">
        <v>396</v>
      </c>
      <c r="J10" s="699" t="s">
        <v>397</v>
      </c>
      <c r="K10" s="700"/>
      <c r="L10" s="701"/>
      <c r="M10" s="667"/>
      <c r="N10" s="668"/>
      <c r="O10" s="668"/>
      <c r="P10" s="669"/>
    </row>
    <row r="11" spans="2:16" ht="43.5" thickBot="1">
      <c r="B11" s="664"/>
      <c r="C11" s="666"/>
      <c r="D11" s="714"/>
      <c r="E11" s="715"/>
      <c r="F11" s="715"/>
      <c r="G11" s="715"/>
      <c r="H11" s="716"/>
      <c r="I11" s="250" t="s">
        <v>398</v>
      </c>
      <c r="J11" s="699" t="s">
        <v>399</v>
      </c>
      <c r="K11" s="700"/>
      <c r="L11" s="701"/>
      <c r="M11" s="670" t="s">
        <v>435</v>
      </c>
      <c r="N11" s="671"/>
      <c r="O11" s="671"/>
      <c r="P11" s="672"/>
    </row>
    <row r="12" spans="2:16">
      <c r="B12" s="661" t="s">
        <v>33</v>
      </c>
      <c r="C12" s="663"/>
      <c r="D12" s="708" t="s">
        <v>37</v>
      </c>
      <c r="E12" s="709"/>
      <c r="F12" s="709"/>
      <c r="G12" s="709"/>
      <c r="H12" s="710"/>
      <c r="I12" s="250" t="s">
        <v>400</v>
      </c>
      <c r="J12" s="699" t="s">
        <v>401</v>
      </c>
      <c r="K12" s="700"/>
      <c r="L12" s="701"/>
      <c r="M12" s="673"/>
      <c r="N12" s="674"/>
      <c r="O12" s="674"/>
      <c r="P12" s="675"/>
    </row>
    <row r="13" spans="2:16">
      <c r="B13" s="664"/>
      <c r="C13" s="666"/>
      <c r="D13" s="711"/>
      <c r="E13" s="712"/>
      <c r="F13" s="712"/>
      <c r="G13" s="712"/>
      <c r="H13" s="713"/>
      <c r="I13" s="250" t="s">
        <v>402</v>
      </c>
      <c r="J13" s="699"/>
      <c r="K13" s="700"/>
      <c r="L13" s="701"/>
      <c r="M13" s="673"/>
      <c r="N13" s="674"/>
      <c r="O13" s="674"/>
      <c r="P13" s="675"/>
    </row>
    <row r="14" spans="2:16">
      <c r="B14" s="664"/>
      <c r="C14" s="666"/>
      <c r="D14" s="711"/>
      <c r="E14" s="712"/>
      <c r="F14" s="712"/>
      <c r="G14" s="712"/>
      <c r="H14" s="713"/>
      <c r="I14" s="250" t="s">
        <v>403</v>
      </c>
      <c r="J14" s="431"/>
      <c r="K14" s="569"/>
      <c r="L14" s="570"/>
      <c r="M14" s="673"/>
      <c r="N14" s="674"/>
      <c r="O14" s="674"/>
      <c r="P14" s="675"/>
    </row>
    <row r="15" spans="2:16" ht="15" thickBot="1">
      <c r="B15" s="667"/>
      <c r="C15" s="669"/>
      <c r="D15" s="717"/>
      <c r="E15" s="718"/>
      <c r="F15" s="718"/>
      <c r="G15" s="718"/>
      <c r="H15" s="719"/>
      <c r="I15" s="249" t="s">
        <v>10</v>
      </c>
      <c r="J15" s="657" t="s">
        <v>91</v>
      </c>
      <c r="K15" s="657"/>
      <c r="L15" s="658"/>
      <c r="M15" s="676"/>
      <c r="N15" s="677"/>
      <c r="O15" s="677"/>
      <c r="P15" s="678"/>
    </row>
    <row r="16" spans="2:16" ht="18.600000000000001" customHeight="1">
      <c r="B16" s="641" t="s">
        <v>0</v>
      </c>
      <c r="C16" s="642"/>
      <c r="D16" s="642"/>
      <c r="E16" s="642"/>
      <c r="F16" s="642"/>
      <c r="G16" s="643"/>
      <c r="H16" s="647" t="s">
        <v>1</v>
      </c>
      <c r="I16" s="648"/>
      <c r="J16" s="649" t="s">
        <v>23</v>
      </c>
      <c r="K16" s="650"/>
      <c r="L16" s="649" t="s">
        <v>94</v>
      </c>
      <c r="M16" s="653"/>
      <c r="N16" s="654" t="s">
        <v>15</v>
      </c>
      <c r="O16" s="653"/>
      <c r="P16" s="639" t="s">
        <v>404</v>
      </c>
    </row>
    <row r="17" spans="2:16" ht="17.25" customHeight="1" thickBot="1">
      <c r="B17" s="644"/>
      <c r="C17" s="645"/>
      <c r="D17" s="645"/>
      <c r="E17" s="645"/>
      <c r="F17" s="645"/>
      <c r="G17" s="646"/>
      <c r="H17" s="655" t="s">
        <v>82</v>
      </c>
      <c r="I17" s="656"/>
      <c r="J17" s="651"/>
      <c r="K17" s="652"/>
      <c r="L17" s="651" t="s">
        <v>2</v>
      </c>
      <c r="M17" s="652"/>
      <c r="N17" s="651" t="s">
        <v>3</v>
      </c>
      <c r="O17" s="652"/>
      <c r="P17" s="640"/>
    </row>
    <row r="18" spans="2:16" s="617" customFormat="1" ht="30.75" thickBot="1">
      <c r="B18" s="19" t="s">
        <v>4</v>
      </c>
      <c r="C18" s="20" t="s">
        <v>5</v>
      </c>
      <c r="D18" s="21" t="s">
        <v>6</v>
      </c>
      <c r="E18" s="21" t="s">
        <v>7</v>
      </c>
      <c r="F18" s="20" t="s">
        <v>27</v>
      </c>
      <c r="G18" s="22" t="s">
        <v>28</v>
      </c>
      <c r="H18" s="13" t="s">
        <v>7</v>
      </c>
      <c r="I18" s="14" t="s">
        <v>29</v>
      </c>
      <c r="J18" s="19" t="s">
        <v>7</v>
      </c>
      <c r="K18" s="14" t="s">
        <v>30</v>
      </c>
      <c r="L18" s="19" t="s">
        <v>7</v>
      </c>
      <c r="M18" s="22" t="s">
        <v>28</v>
      </c>
      <c r="N18" s="13" t="s">
        <v>7</v>
      </c>
      <c r="O18" s="571" t="s">
        <v>28</v>
      </c>
      <c r="P18" s="39" t="s">
        <v>96</v>
      </c>
    </row>
    <row r="19" spans="2:16" ht="15">
      <c r="B19" s="432"/>
      <c r="C19" s="433" t="s">
        <v>41</v>
      </c>
      <c r="D19" s="434"/>
      <c r="E19" s="435"/>
      <c r="F19" s="436"/>
      <c r="G19" s="437"/>
      <c r="H19" s="438"/>
      <c r="I19" s="439"/>
      <c r="J19" s="139"/>
      <c r="K19" s="439"/>
      <c r="L19" s="139"/>
      <c r="M19" s="140"/>
      <c r="N19" s="139"/>
      <c r="O19" s="140"/>
      <c r="P19" s="290"/>
    </row>
    <row r="20" spans="2:16" ht="15">
      <c r="B20" s="440">
        <v>1</v>
      </c>
      <c r="C20" s="441" t="s">
        <v>42</v>
      </c>
      <c r="D20" s="442"/>
      <c r="E20" s="218"/>
      <c r="F20" s="443"/>
      <c r="G20" s="444"/>
      <c r="H20" s="585"/>
      <c r="I20" s="33"/>
      <c r="J20" s="10"/>
      <c r="K20" s="33"/>
      <c r="L20" s="10"/>
      <c r="M20" s="33"/>
      <c r="N20" s="10"/>
      <c r="O20" s="52"/>
      <c r="P20" s="291"/>
    </row>
    <row r="21" spans="2:16" ht="15">
      <c r="B21" s="445">
        <v>1.1000000000000001</v>
      </c>
      <c r="C21" s="102" t="s">
        <v>43</v>
      </c>
      <c r="D21" s="442" t="s">
        <v>44</v>
      </c>
      <c r="E21" s="218">
        <v>5</v>
      </c>
      <c r="F21" s="446">
        <v>15626</v>
      </c>
      <c r="G21" s="444">
        <f>+ROUND(F21*E21,0)</f>
        <v>78130</v>
      </c>
      <c r="H21" s="585">
        <v>-2</v>
      </c>
      <c r="I21" s="33">
        <f>+ROUND(H21*F21,0)</f>
        <v>-31252</v>
      </c>
      <c r="J21" s="10">
        <f>+H21+E21</f>
        <v>3</v>
      </c>
      <c r="K21" s="33">
        <f>+ROUND(J21*F21,0)</f>
        <v>46878</v>
      </c>
      <c r="L21" s="27">
        <v>1</v>
      </c>
      <c r="M21" s="33">
        <f>+ROUND(L21*F21,0)</f>
        <v>15626</v>
      </c>
      <c r="N21" s="405">
        <f>+L21</f>
        <v>1</v>
      </c>
      <c r="O21" s="43">
        <f>+ROUND(N21*F21,0)</f>
        <v>15626</v>
      </c>
      <c r="P21" s="210">
        <f>N21/J21</f>
        <v>0.33333333333333331</v>
      </c>
    </row>
    <row r="22" spans="2:16" ht="15">
      <c r="B22" s="445">
        <v>1.2</v>
      </c>
      <c r="C22" s="102" t="s">
        <v>45</v>
      </c>
      <c r="D22" s="442" t="s">
        <v>46</v>
      </c>
      <c r="E22" s="218">
        <v>1194.3</v>
      </c>
      <c r="F22" s="446">
        <v>7359</v>
      </c>
      <c r="G22" s="444">
        <f t="shared" ref="G22:G56" si="0">+ROUND(F22*E22,0)</f>
        <v>8788854</v>
      </c>
      <c r="H22" s="585">
        <v>-989.06</v>
      </c>
      <c r="I22" s="33">
        <f t="shared" ref="I22:I59" si="1">+ROUND(H22*F22,0)</f>
        <v>-7278493</v>
      </c>
      <c r="J22" s="10">
        <f>+H22+E22</f>
        <v>205.24</v>
      </c>
      <c r="K22" s="33">
        <f>+ROUND(J22*F22,0)</f>
        <v>1510361</v>
      </c>
      <c r="L22" s="27">
        <f>'[1]1,2'!T47</f>
        <v>87.71390000000001</v>
      </c>
      <c r="M22" s="33">
        <f>+ROUND(L22*F22,0)</f>
        <v>645487</v>
      </c>
      <c r="N22" s="405">
        <f t="shared" ref="N22:N25" si="2">+L22</f>
        <v>87.71390000000001</v>
      </c>
      <c r="O22" s="43">
        <f t="shared" ref="O22:O60" si="3">+ROUND(N22*F22,0)</f>
        <v>645487</v>
      </c>
      <c r="P22" s="210">
        <f>N22/J22</f>
        <v>0.42737234457220818</v>
      </c>
    </row>
    <row r="23" spans="2:16" ht="28.5">
      <c r="B23" s="447">
        <v>1.3</v>
      </c>
      <c r="C23" s="448" t="s">
        <v>47</v>
      </c>
      <c r="D23" s="449" t="s">
        <v>48</v>
      </c>
      <c r="E23" s="219">
        <v>94.52000000000001</v>
      </c>
      <c r="F23" s="450">
        <v>3561</v>
      </c>
      <c r="G23" s="451">
        <f>+ROUND(F23*E23,0)</f>
        <v>336586</v>
      </c>
      <c r="H23" s="588">
        <v>-81.319999999999993</v>
      </c>
      <c r="I23" s="50">
        <f t="shared" si="1"/>
        <v>-289581</v>
      </c>
      <c r="J23" s="49">
        <f>+H23+E23</f>
        <v>13.200000000000017</v>
      </c>
      <c r="K23" s="50">
        <f>+ROUND(J23*F23,0)</f>
        <v>47005</v>
      </c>
      <c r="L23" s="51">
        <v>0</v>
      </c>
      <c r="M23" s="50">
        <f>+ROUND(L23*F23,0)</f>
        <v>0</v>
      </c>
      <c r="N23" s="10">
        <f t="shared" si="2"/>
        <v>0</v>
      </c>
      <c r="O23" s="43">
        <f t="shared" si="3"/>
        <v>0</v>
      </c>
      <c r="P23" s="210">
        <f>N23/J23</f>
        <v>0</v>
      </c>
    </row>
    <row r="24" spans="2:16" ht="28.5">
      <c r="B24" s="445">
        <v>1.4</v>
      </c>
      <c r="C24" s="102" t="s">
        <v>49</v>
      </c>
      <c r="D24" s="442" t="s">
        <v>48</v>
      </c>
      <c r="E24" s="218">
        <v>66.31</v>
      </c>
      <c r="F24" s="446">
        <v>8249</v>
      </c>
      <c r="G24" s="452">
        <f t="shared" si="0"/>
        <v>546991</v>
      </c>
      <c r="H24" s="590">
        <v>-66.31</v>
      </c>
      <c r="I24" s="43">
        <f t="shared" si="1"/>
        <v>-546991</v>
      </c>
      <c r="J24" s="42">
        <f>+H24+E24</f>
        <v>0</v>
      </c>
      <c r="K24" s="43">
        <f>+ROUND(J24*F24,0)</f>
        <v>0</v>
      </c>
      <c r="L24" s="81">
        <v>0</v>
      </c>
      <c r="M24" s="43">
        <f>+ROUND(L24*F24,0)</f>
        <v>0</v>
      </c>
      <c r="N24" s="10">
        <f t="shared" si="2"/>
        <v>0</v>
      </c>
      <c r="O24" s="43">
        <f t="shared" si="3"/>
        <v>0</v>
      </c>
      <c r="P24" s="210">
        <v>0</v>
      </c>
    </row>
    <row r="25" spans="2:16" ht="15">
      <c r="B25" s="453">
        <v>1.5</v>
      </c>
      <c r="C25" s="454" t="s">
        <v>50</v>
      </c>
      <c r="D25" s="455" t="s">
        <v>46</v>
      </c>
      <c r="E25" s="220">
        <v>21.81</v>
      </c>
      <c r="F25" s="456">
        <v>4436</v>
      </c>
      <c r="G25" s="457">
        <f t="shared" si="0"/>
        <v>96749</v>
      </c>
      <c r="H25" s="591">
        <v>23.23</v>
      </c>
      <c r="I25" s="54">
        <f t="shared" si="1"/>
        <v>103048</v>
      </c>
      <c r="J25" s="53">
        <f>+H25+E25</f>
        <v>45.04</v>
      </c>
      <c r="K25" s="54">
        <f>+ROUND(J25*F25,0)</f>
        <v>199797</v>
      </c>
      <c r="L25" s="55">
        <v>0</v>
      </c>
      <c r="M25" s="54">
        <f>+ROUND(L25*F25,0)</f>
        <v>0</v>
      </c>
      <c r="N25" s="10">
        <f t="shared" si="2"/>
        <v>0</v>
      </c>
      <c r="O25" s="43">
        <f t="shared" si="3"/>
        <v>0</v>
      </c>
      <c r="P25" s="210">
        <f>N25/J25</f>
        <v>0</v>
      </c>
    </row>
    <row r="26" spans="2:16" ht="15">
      <c r="B26" s="96">
        <v>2</v>
      </c>
      <c r="C26" s="89" t="s">
        <v>51</v>
      </c>
      <c r="D26" s="82"/>
      <c r="E26" s="221"/>
      <c r="F26" s="458"/>
      <c r="G26" s="459"/>
      <c r="H26" s="586"/>
      <c r="I26" s="84" t="s">
        <v>95</v>
      </c>
      <c r="J26" s="83"/>
      <c r="K26" s="84"/>
      <c r="L26" s="83"/>
      <c r="M26" s="84"/>
      <c r="N26" s="83"/>
      <c r="O26" s="60"/>
      <c r="P26" s="292"/>
    </row>
    <row r="27" spans="2:16" ht="15">
      <c r="B27" s="445">
        <v>2.1</v>
      </c>
      <c r="C27" s="102" t="s">
        <v>52</v>
      </c>
      <c r="D27" s="442" t="s">
        <v>46</v>
      </c>
      <c r="E27" s="218">
        <v>1194.29</v>
      </c>
      <c r="F27" s="446">
        <v>17739</v>
      </c>
      <c r="G27" s="444">
        <f t="shared" si="0"/>
        <v>21185510</v>
      </c>
      <c r="H27" s="585">
        <v>-989.05</v>
      </c>
      <c r="I27" s="33">
        <f t="shared" si="1"/>
        <v>-17544758</v>
      </c>
      <c r="J27" s="10">
        <f t="shared" ref="J27:J32" si="4">+H27+E27</f>
        <v>205.24</v>
      </c>
      <c r="K27" s="33">
        <f t="shared" ref="K27:K32" si="5">+ROUND(J27*F27,0)</f>
        <v>3640752</v>
      </c>
      <c r="L27" s="28">
        <f>'[1]2,1'!T50</f>
        <v>87.71390000000001</v>
      </c>
      <c r="M27" s="33">
        <f t="shared" ref="M27:M32" si="6">+ROUND(L27*F27,0)</f>
        <v>1555957</v>
      </c>
      <c r="N27" s="10">
        <f t="shared" ref="N27" si="7">+L27</f>
        <v>87.71390000000001</v>
      </c>
      <c r="O27" s="43">
        <f t="shared" si="3"/>
        <v>1555957</v>
      </c>
      <c r="P27" s="210">
        <f t="shared" ref="P27:P32" si="8">N27/J27</f>
        <v>0.42737234457220818</v>
      </c>
    </row>
    <row r="28" spans="2:16" ht="28.5">
      <c r="B28" s="445">
        <v>2.2000000000000002</v>
      </c>
      <c r="C28" s="102" t="s">
        <v>53</v>
      </c>
      <c r="D28" s="442" t="s">
        <v>46</v>
      </c>
      <c r="E28" s="218">
        <v>2885.15</v>
      </c>
      <c r="F28" s="446">
        <v>6570</v>
      </c>
      <c r="G28" s="444">
        <f t="shared" si="0"/>
        <v>18955436</v>
      </c>
      <c r="H28" s="585">
        <v>-1941.02</v>
      </c>
      <c r="I28" s="33">
        <f t="shared" si="1"/>
        <v>-12752501</v>
      </c>
      <c r="J28" s="10">
        <f t="shared" si="4"/>
        <v>944.13000000000011</v>
      </c>
      <c r="K28" s="33">
        <f t="shared" si="5"/>
        <v>6202934</v>
      </c>
      <c r="L28" s="28">
        <f>'[1]2,2'!T49</f>
        <v>121.70440000000002</v>
      </c>
      <c r="M28" s="33">
        <f t="shared" si="6"/>
        <v>799598</v>
      </c>
      <c r="N28" s="10">
        <f t="shared" ref="N28:N32" si="9">+L28</f>
        <v>121.70440000000002</v>
      </c>
      <c r="O28" s="43">
        <f t="shared" si="3"/>
        <v>799598</v>
      </c>
      <c r="P28" s="210">
        <f t="shared" si="8"/>
        <v>0.12890640060161207</v>
      </c>
    </row>
    <row r="29" spans="2:16" ht="28.5">
      <c r="B29" s="445">
        <v>2.2999999999999998</v>
      </c>
      <c r="C29" s="102" t="s">
        <v>54</v>
      </c>
      <c r="D29" s="442" t="s">
        <v>46</v>
      </c>
      <c r="E29" s="218">
        <v>2307.0699999999997</v>
      </c>
      <c r="F29" s="446">
        <v>7207</v>
      </c>
      <c r="G29" s="444">
        <f t="shared" si="0"/>
        <v>16627053</v>
      </c>
      <c r="H29" s="585">
        <f>-356.58</f>
        <v>-356.58</v>
      </c>
      <c r="I29" s="33">
        <f t="shared" si="1"/>
        <v>-2569872</v>
      </c>
      <c r="J29" s="10">
        <f t="shared" si="4"/>
        <v>1950.4899999999998</v>
      </c>
      <c r="K29" s="33">
        <f t="shared" si="5"/>
        <v>14057181</v>
      </c>
      <c r="L29" s="28">
        <f>'[1]2,3'!T73</f>
        <v>1383.0841999999998</v>
      </c>
      <c r="M29" s="33">
        <f t="shared" si="6"/>
        <v>9967888</v>
      </c>
      <c r="N29" s="10">
        <f t="shared" si="9"/>
        <v>1383.0841999999998</v>
      </c>
      <c r="O29" s="43">
        <f t="shared" si="3"/>
        <v>9967888</v>
      </c>
      <c r="P29" s="210">
        <f t="shared" si="8"/>
        <v>0.70909576567939336</v>
      </c>
    </row>
    <row r="30" spans="2:16" ht="28.5">
      <c r="B30" s="445">
        <v>2.4</v>
      </c>
      <c r="C30" s="102" t="s">
        <v>55</v>
      </c>
      <c r="D30" s="442" t="s">
        <v>48</v>
      </c>
      <c r="E30" s="218">
        <v>278.39999999999998</v>
      </c>
      <c r="F30" s="446">
        <v>5476</v>
      </c>
      <c r="G30" s="444">
        <f t="shared" si="0"/>
        <v>1524518</v>
      </c>
      <c r="H30" s="585">
        <v>2302.39</v>
      </c>
      <c r="I30" s="33">
        <f t="shared" si="1"/>
        <v>12607888</v>
      </c>
      <c r="J30" s="10">
        <f t="shared" si="4"/>
        <v>2580.79</v>
      </c>
      <c r="K30" s="33">
        <f t="shared" si="5"/>
        <v>14132406</v>
      </c>
      <c r="L30" s="28">
        <v>1487.24</v>
      </c>
      <c r="M30" s="33">
        <f t="shared" si="6"/>
        <v>8144126</v>
      </c>
      <c r="N30" s="10">
        <f t="shared" si="9"/>
        <v>1487.24</v>
      </c>
      <c r="O30" s="43">
        <f t="shared" si="3"/>
        <v>8144126</v>
      </c>
      <c r="P30" s="210">
        <f t="shared" si="8"/>
        <v>0.57627315666908197</v>
      </c>
    </row>
    <row r="31" spans="2:16" ht="28.5">
      <c r="B31" s="445">
        <v>2.5</v>
      </c>
      <c r="C31" s="102" t="s">
        <v>56</v>
      </c>
      <c r="D31" s="442" t="s">
        <v>46</v>
      </c>
      <c r="E31" s="218">
        <v>165.74</v>
      </c>
      <c r="F31" s="446">
        <v>7207</v>
      </c>
      <c r="G31" s="444">
        <f t="shared" si="0"/>
        <v>1194488</v>
      </c>
      <c r="H31" s="585">
        <v>3684.53</v>
      </c>
      <c r="I31" s="33">
        <f t="shared" si="1"/>
        <v>26554408</v>
      </c>
      <c r="J31" s="10">
        <f t="shared" si="4"/>
        <v>3850.2700000000004</v>
      </c>
      <c r="K31" s="33">
        <f t="shared" si="5"/>
        <v>27748896</v>
      </c>
      <c r="L31" s="28">
        <f>'[1]2,5'!U189</f>
        <v>2559.1487600000005</v>
      </c>
      <c r="M31" s="33">
        <f t="shared" si="6"/>
        <v>18443785</v>
      </c>
      <c r="N31" s="10">
        <f t="shared" si="9"/>
        <v>2559.1487600000005</v>
      </c>
      <c r="O31" s="43">
        <f t="shared" si="3"/>
        <v>18443785</v>
      </c>
      <c r="P31" s="210">
        <f t="shared" si="8"/>
        <v>0.66466735060138649</v>
      </c>
    </row>
    <row r="32" spans="2:16" ht="15">
      <c r="B32" s="445">
        <v>2.6</v>
      </c>
      <c r="C32" s="102" t="s">
        <v>57</v>
      </c>
      <c r="D32" s="442" t="s">
        <v>46</v>
      </c>
      <c r="E32" s="218">
        <v>1.91</v>
      </c>
      <c r="F32" s="446">
        <v>42647</v>
      </c>
      <c r="G32" s="444">
        <f t="shared" si="0"/>
        <v>81456</v>
      </c>
      <c r="H32" s="585">
        <v>0.09</v>
      </c>
      <c r="I32" s="33">
        <f t="shared" si="1"/>
        <v>3838</v>
      </c>
      <c r="J32" s="10">
        <f t="shared" si="4"/>
        <v>2</v>
      </c>
      <c r="K32" s="33">
        <f t="shared" si="5"/>
        <v>85294</v>
      </c>
      <c r="L32" s="28">
        <v>0</v>
      </c>
      <c r="M32" s="33">
        <f t="shared" si="6"/>
        <v>0</v>
      </c>
      <c r="N32" s="10">
        <f t="shared" si="9"/>
        <v>0</v>
      </c>
      <c r="O32" s="43">
        <f t="shared" si="3"/>
        <v>0</v>
      </c>
      <c r="P32" s="210">
        <f t="shared" si="8"/>
        <v>0</v>
      </c>
    </row>
    <row r="33" spans="2:16" ht="15">
      <c r="B33" s="96">
        <v>3</v>
      </c>
      <c r="C33" s="89" t="s">
        <v>58</v>
      </c>
      <c r="D33" s="82"/>
      <c r="E33" s="221"/>
      <c r="F33" s="458"/>
      <c r="G33" s="459"/>
      <c r="H33" s="586"/>
      <c r="I33" s="84"/>
      <c r="J33" s="83"/>
      <c r="K33" s="84"/>
      <c r="L33" s="83"/>
      <c r="M33" s="84"/>
      <c r="N33" s="83"/>
      <c r="O33" s="60"/>
      <c r="P33" s="292"/>
    </row>
    <row r="34" spans="2:16" ht="42.75">
      <c r="B34" s="445">
        <v>3.1</v>
      </c>
      <c r="C34" s="102" t="s">
        <v>170</v>
      </c>
      <c r="D34" s="442" t="s">
        <v>46</v>
      </c>
      <c r="E34" s="218">
        <v>85.81</v>
      </c>
      <c r="F34" s="446">
        <v>37072</v>
      </c>
      <c r="G34" s="444">
        <f t="shared" si="0"/>
        <v>3181148</v>
      </c>
      <c r="H34" s="585">
        <v>-41.81</v>
      </c>
      <c r="I34" s="33">
        <f t="shared" si="1"/>
        <v>-1549980</v>
      </c>
      <c r="J34" s="10">
        <f>+H34+E34</f>
        <v>44</v>
      </c>
      <c r="K34" s="33">
        <f>+ROUND(J34*F34,0)</f>
        <v>1631168</v>
      </c>
      <c r="L34" s="28">
        <v>0</v>
      </c>
      <c r="M34" s="33">
        <f>+ROUND(L34*F34,0)</f>
        <v>0</v>
      </c>
      <c r="N34" s="10">
        <f t="shared" ref="N34" si="10">+L34</f>
        <v>0</v>
      </c>
      <c r="O34" s="43">
        <f t="shared" si="3"/>
        <v>0</v>
      </c>
      <c r="P34" s="210">
        <f>N34/J34</f>
        <v>0</v>
      </c>
    </row>
    <row r="35" spans="2:16" ht="15">
      <c r="B35" s="445">
        <v>3.2</v>
      </c>
      <c r="C35" s="102" t="s">
        <v>59</v>
      </c>
      <c r="D35" s="442" t="s">
        <v>46</v>
      </c>
      <c r="E35" s="218">
        <v>2726.5</v>
      </c>
      <c r="F35" s="446">
        <v>16286</v>
      </c>
      <c r="G35" s="444">
        <f t="shared" si="0"/>
        <v>44403779</v>
      </c>
      <c r="H35" s="585">
        <f>-190.02</f>
        <v>-190.02</v>
      </c>
      <c r="I35" s="33">
        <f t="shared" si="1"/>
        <v>-3094666</v>
      </c>
      <c r="J35" s="10">
        <f>+H35+E35</f>
        <v>2536.48</v>
      </c>
      <c r="K35" s="33">
        <f>+ROUND(J35*F35,0)</f>
        <v>41309113</v>
      </c>
      <c r="L35" s="28">
        <f>'[1]3.2'!T79</f>
        <v>1427.4616999999998</v>
      </c>
      <c r="M35" s="33">
        <f>+ROUND(L35*F35,0)</f>
        <v>23247641</v>
      </c>
      <c r="N35" s="10">
        <f t="shared" ref="N35" si="11">+L35</f>
        <v>1427.4616999999998</v>
      </c>
      <c r="O35" s="43">
        <f t="shared" si="3"/>
        <v>23247641</v>
      </c>
      <c r="P35" s="210">
        <f>N35/J35</f>
        <v>0.56277270075064645</v>
      </c>
    </row>
    <row r="36" spans="2:16" ht="15">
      <c r="B36" s="96">
        <v>4</v>
      </c>
      <c r="C36" s="89" t="s">
        <v>60</v>
      </c>
      <c r="D36" s="82"/>
      <c r="E36" s="221"/>
      <c r="F36" s="458"/>
      <c r="G36" s="459"/>
      <c r="H36" s="586"/>
      <c r="I36" s="84"/>
      <c r="J36" s="83"/>
      <c r="K36" s="84"/>
      <c r="L36" s="83"/>
      <c r="M36" s="84"/>
      <c r="N36" s="83"/>
      <c r="O36" s="60"/>
      <c r="P36" s="292"/>
    </row>
    <row r="37" spans="2:16" ht="28.5">
      <c r="B37" s="445">
        <v>4.0999999999999996</v>
      </c>
      <c r="C37" s="102" t="s">
        <v>61</v>
      </c>
      <c r="D37" s="442" t="s">
        <v>48</v>
      </c>
      <c r="E37" s="218">
        <v>327.70000000000005</v>
      </c>
      <c r="F37" s="446">
        <v>11738</v>
      </c>
      <c r="G37" s="444">
        <f t="shared" si="0"/>
        <v>3846543</v>
      </c>
      <c r="H37" s="585">
        <v>57.07</v>
      </c>
      <c r="I37" s="33">
        <f t="shared" si="1"/>
        <v>669888</v>
      </c>
      <c r="J37" s="10">
        <f t="shared" ref="J37:J43" si="12">+H37+E37</f>
        <v>384.77000000000004</v>
      </c>
      <c r="K37" s="33">
        <f t="shared" ref="K37:K43" si="13">+ROUND(J37*F37,0)</f>
        <v>4516430</v>
      </c>
      <c r="L37" s="28">
        <f>'[1]4,1'!T48</f>
        <v>174.92</v>
      </c>
      <c r="M37" s="33">
        <f t="shared" ref="M37:M43" si="14">+ROUND(L37*F37,0)</f>
        <v>2053211</v>
      </c>
      <c r="N37" s="10">
        <f t="shared" ref="N37" si="15">+L37</f>
        <v>174.92</v>
      </c>
      <c r="O37" s="43">
        <f t="shared" si="3"/>
        <v>2053211</v>
      </c>
      <c r="P37" s="210">
        <f>N37/J37</f>
        <v>0.4546092470826727</v>
      </c>
    </row>
    <row r="38" spans="2:16" ht="28.5">
      <c r="B38" s="445">
        <v>4.2</v>
      </c>
      <c r="C38" s="102" t="s">
        <v>62</v>
      </c>
      <c r="D38" s="442" t="s">
        <v>48</v>
      </c>
      <c r="E38" s="218">
        <v>341.4</v>
      </c>
      <c r="F38" s="446">
        <v>7050</v>
      </c>
      <c r="G38" s="444">
        <f t="shared" si="0"/>
        <v>2406870</v>
      </c>
      <c r="H38" s="585">
        <v>86.82</v>
      </c>
      <c r="I38" s="33">
        <f t="shared" si="1"/>
        <v>612081</v>
      </c>
      <c r="J38" s="10">
        <f t="shared" si="12"/>
        <v>428.21999999999997</v>
      </c>
      <c r="K38" s="33">
        <f t="shared" si="13"/>
        <v>3018951</v>
      </c>
      <c r="L38" s="28">
        <f>'[1]4,2'!T45</f>
        <v>62.760000000000005</v>
      </c>
      <c r="M38" s="33">
        <f t="shared" si="14"/>
        <v>442458</v>
      </c>
      <c r="N38" s="10">
        <f t="shared" ref="N38:N43" si="16">+L38</f>
        <v>62.760000000000005</v>
      </c>
      <c r="O38" s="43">
        <f t="shared" si="3"/>
        <v>442458</v>
      </c>
      <c r="P38" s="210">
        <f>N38/J38</f>
        <v>0.14656017934706461</v>
      </c>
    </row>
    <row r="39" spans="2:16" ht="28.5">
      <c r="B39" s="445">
        <v>4.3</v>
      </c>
      <c r="C39" s="102" t="s">
        <v>63</v>
      </c>
      <c r="D39" s="442" t="s">
        <v>48</v>
      </c>
      <c r="E39" s="218">
        <v>68.28</v>
      </c>
      <c r="F39" s="446">
        <v>34409</v>
      </c>
      <c r="G39" s="444">
        <f t="shared" si="0"/>
        <v>2349447</v>
      </c>
      <c r="H39" s="585">
        <f>-56.28</f>
        <v>-56.28</v>
      </c>
      <c r="I39" s="33">
        <f t="shared" si="1"/>
        <v>-1936539</v>
      </c>
      <c r="J39" s="10">
        <f t="shared" si="12"/>
        <v>12</v>
      </c>
      <c r="K39" s="33">
        <f t="shared" si="13"/>
        <v>412908</v>
      </c>
      <c r="L39" s="28">
        <v>0</v>
      </c>
      <c r="M39" s="33">
        <f t="shared" si="14"/>
        <v>0</v>
      </c>
      <c r="N39" s="10">
        <f t="shared" si="16"/>
        <v>0</v>
      </c>
      <c r="O39" s="43">
        <f t="shared" si="3"/>
        <v>0</v>
      </c>
      <c r="P39" s="210">
        <f>N39/J39</f>
        <v>0</v>
      </c>
    </row>
    <row r="40" spans="2:16" ht="28.5">
      <c r="B40" s="445">
        <v>4.4000000000000004</v>
      </c>
      <c r="C40" s="102" t="s">
        <v>64</v>
      </c>
      <c r="D40" s="442" t="s">
        <v>48</v>
      </c>
      <c r="E40" s="218">
        <v>65.539999999999992</v>
      </c>
      <c r="F40" s="446">
        <v>59772</v>
      </c>
      <c r="G40" s="444">
        <f t="shared" si="0"/>
        <v>3917457</v>
      </c>
      <c r="H40" s="585">
        <f>-E40</f>
        <v>-65.539999999999992</v>
      </c>
      <c r="I40" s="33">
        <f t="shared" si="1"/>
        <v>-3917457</v>
      </c>
      <c r="J40" s="10">
        <v>0</v>
      </c>
      <c r="K40" s="33">
        <f t="shared" si="13"/>
        <v>0</v>
      </c>
      <c r="L40" s="28">
        <v>0</v>
      </c>
      <c r="M40" s="33">
        <f t="shared" si="14"/>
        <v>0</v>
      </c>
      <c r="N40" s="10">
        <f t="shared" si="16"/>
        <v>0</v>
      </c>
      <c r="O40" s="43">
        <f t="shared" si="3"/>
        <v>0</v>
      </c>
      <c r="P40" s="210">
        <v>0</v>
      </c>
    </row>
    <row r="41" spans="2:16" ht="15">
      <c r="B41" s="445">
        <v>4.5</v>
      </c>
      <c r="C41" s="102" t="s">
        <v>65</v>
      </c>
      <c r="D41" s="442" t="s">
        <v>22</v>
      </c>
      <c r="E41" s="218">
        <v>1</v>
      </c>
      <c r="F41" s="446">
        <v>387545</v>
      </c>
      <c r="G41" s="444">
        <f t="shared" si="0"/>
        <v>387545</v>
      </c>
      <c r="H41" s="585">
        <v>3</v>
      </c>
      <c r="I41" s="33">
        <f t="shared" si="1"/>
        <v>1162635</v>
      </c>
      <c r="J41" s="10">
        <f t="shared" si="12"/>
        <v>4</v>
      </c>
      <c r="K41" s="33">
        <f t="shared" si="13"/>
        <v>1550180</v>
      </c>
      <c r="L41" s="28">
        <v>0</v>
      </c>
      <c r="M41" s="33">
        <f t="shared" si="14"/>
        <v>0</v>
      </c>
      <c r="N41" s="10">
        <f t="shared" si="16"/>
        <v>0</v>
      </c>
      <c r="O41" s="43">
        <f t="shared" si="3"/>
        <v>0</v>
      </c>
      <c r="P41" s="210">
        <f>N41/J41</f>
        <v>0</v>
      </c>
    </row>
    <row r="42" spans="2:16" ht="15">
      <c r="B42" s="445">
        <v>4.5999999999999996</v>
      </c>
      <c r="C42" s="102" t="s">
        <v>66</v>
      </c>
      <c r="D42" s="442" t="s">
        <v>67</v>
      </c>
      <c r="E42" s="218">
        <v>5.4</v>
      </c>
      <c r="F42" s="446">
        <v>28013</v>
      </c>
      <c r="G42" s="444">
        <f t="shared" si="0"/>
        <v>151270</v>
      </c>
      <c r="H42" s="585">
        <v>0</v>
      </c>
      <c r="I42" s="33">
        <f t="shared" si="1"/>
        <v>0</v>
      </c>
      <c r="J42" s="10">
        <f t="shared" si="12"/>
        <v>5.4</v>
      </c>
      <c r="K42" s="33">
        <f t="shared" si="13"/>
        <v>151270</v>
      </c>
      <c r="L42" s="28">
        <v>0</v>
      </c>
      <c r="M42" s="33">
        <f t="shared" si="14"/>
        <v>0</v>
      </c>
      <c r="N42" s="10">
        <f t="shared" si="16"/>
        <v>0</v>
      </c>
      <c r="O42" s="43">
        <f t="shared" si="3"/>
        <v>0</v>
      </c>
      <c r="P42" s="210">
        <f>N42/J42</f>
        <v>0</v>
      </c>
    </row>
    <row r="43" spans="2:16" ht="28.5">
      <c r="B43" s="445">
        <v>4.7</v>
      </c>
      <c r="C43" s="102" t="s">
        <v>92</v>
      </c>
      <c r="D43" s="442" t="s">
        <v>46</v>
      </c>
      <c r="E43" s="218">
        <v>1.9800000000000002</v>
      </c>
      <c r="F43" s="446">
        <v>226532</v>
      </c>
      <c r="G43" s="444">
        <f t="shared" si="0"/>
        <v>448533</v>
      </c>
      <c r="H43" s="585">
        <v>0</v>
      </c>
      <c r="I43" s="33">
        <f t="shared" si="1"/>
        <v>0</v>
      </c>
      <c r="J43" s="10">
        <f t="shared" si="12"/>
        <v>1.9800000000000002</v>
      </c>
      <c r="K43" s="33">
        <f t="shared" si="13"/>
        <v>448533</v>
      </c>
      <c r="L43" s="28">
        <v>0</v>
      </c>
      <c r="M43" s="33">
        <f t="shared" si="14"/>
        <v>0</v>
      </c>
      <c r="N43" s="10">
        <f t="shared" si="16"/>
        <v>0</v>
      </c>
      <c r="O43" s="43">
        <f t="shared" si="3"/>
        <v>0</v>
      </c>
      <c r="P43" s="210">
        <f>N43/J43</f>
        <v>0</v>
      </c>
    </row>
    <row r="44" spans="2:16" ht="15">
      <c r="B44" s="96">
        <v>5</v>
      </c>
      <c r="C44" s="89" t="s">
        <v>68</v>
      </c>
      <c r="D44" s="82"/>
      <c r="E44" s="221"/>
      <c r="F44" s="458"/>
      <c r="G44" s="459"/>
      <c r="H44" s="586"/>
      <c r="I44" s="84"/>
      <c r="J44" s="83"/>
      <c r="K44" s="84"/>
      <c r="L44" s="83"/>
      <c r="M44" s="84"/>
      <c r="N44" s="83"/>
      <c r="O44" s="60"/>
      <c r="P44" s="292"/>
    </row>
    <row r="45" spans="2:16" ht="57">
      <c r="B45" s="445">
        <v>5.0999999999999996</v>
      </c>
      <c r="C45" s="102" t="s">
        <v>69</v>
      </c>
      <c r="D45" s="442" t="s">
        <v>44</v>
      </c>
      <c r="E45" s="218">
        <v>5</v>
      </c>
      <c r="F45" s="446">
        <v>359431</v>
      </c>
      <c r="G45" s="444">
        <f t="shared" si="0"/>
        <v>1797155</v>
      </c>
      <c r="H45" s="585">
        <v>-5</v>
      </c>
      <c r="I45" s="33">
        <f t="shared" si="1"/>
        <v>-1797155</v>
      </c>
      <c r="J45" s="10">
        <f>+H45+E45</f>
        <v>0</v>
      </c>
      <c r="K45" s="33">
        <f>+ROUND(J45*F45,0)</f>
        <v>0</v>
      </c>
      <c r="L45" s="28">
        <v>0</v>
      </c>
      <c r="M45" s="33">
        <f>+ROUND(L45*F45,0)</f>
        <v>0</v>
      </c>
      <c r="N45" s="10">
        <f t="shared" ref="N45" si="17">+L45</f>
        <v>0</v>
      </c>
      <c r="O45" s="43">
        <f t="shared" si="3"/>
        <v>0</v>
      </c>
      <c r="P45" s="210">
        <v>0</v>
      </c>
    </row>
    <row r="46" spans="2:16" ht="28.5">
      <c r="B46" s="445">
        <v>5.2</v>
      </c>
      <c r="C46" s="102" t="s">
        <v>70</v>
      </c>
      <c r="D46" s="442" t="s">
        <v>44</v>
      </c>
      <c r="E46" s="218">
        <v>5</v>
      </c>
      <c r="F46" s="446">
        <v>280473</v>
      </c>
      <c r="G46" s="444">
        <f t="shared" si="0"/>
        <v>1402365</v>
      </c>
      <c r="H46" s="585">
        <f>-5</f>
        <v>-5</v>
      </c>
      <c r="I46" s="33">
        <f t="shared" si="1"/>
        <v>-1402365</v>
      </c>
      <c r="J46" s="10">
        <f>+H46+E46</f>
        <v>0</v>
      </c>
      <c r="K46" s="33">
        <f>+ROUND(J46*F46,0)</f>
        <v>0</v>
      </c>
      <c r="L46" s="28">
        <v>0</v>
      </c>
      <c r="M46" s="33">
        <f>+ROUND(L46*F46,0)</f>
        <v>0</v>
      </c>
      <c r="N46" s="10">
        <f t="shared" ref="N46:N48" si="18">+L46</f>
        <v>0</v>
      </c>
      <c r="O46" s="43">
        <f t="shared" si="3"/>
        <v>0</v>
      </c>
      <c r="P46" s="210">
        <v>0</v>
      </c>
    </row>
    <row r="47" spans="2:16" ht="28.5">
      <c r="B47" s="445">
        <v>5.3</v>
      </c>
      <c r="C47" s="102" t="s">
        <v>71</v>
      </c>
      <c r="D47" s="442" t="s">
        <v>44</v>
      </c>
      <c r="E47" s="218">
        <v>14</v>
      </c>
      <c r="F47" s="446">
        <v>26178</v>
      </c>
      <c r="G47" s="444">
        <f t="shared" si="0"/>
        <v>366492</v>
      </c>
      <c r="H47" s="585">
        <v>0</v>
      </c>
      <c r="I47" s="33">
        <f t="shared" si="1"/>
        <v>0</v>
      </c>
      <c r="J47" s="10">
        <f>+H47+E47</f>
        <v>14</v>
      </c>
      <c r="K47" s="33">
        <f>+ROUND(J47*F47,0)</f>
        <v>366492</v>
      </c>
      <c r="L47" s="28">
        <v>0</v>
      </c>
      <c r="M47" s="33">
        <f>+ROUND(L47*F47,0)</f>
        <v>0</v>
      </c>
      <c r="N47" s="10">
        <f t="shared" si="18"/>
        <v>0</v>
      </c>
      <c r="O47" s="43">
        <f t="shared" si="3"/>
        <v>0</v>
      </c>
      <c r="P47" s="210">
        <f>N47/J47</f>
        <v>0</v>
      </c>
    </row>
    <row r="48" spans="2:16" ht="15">
      <c r="B48" s="445">
        <v>5.4</v>
      </c>
      <c r="C48" s="102" t="s">
        <v>72</v>
      </c>
      <c r="D48" s="442" t="s">
        <v>73</v>
      </c>
      <c r="E48" s="218">
        <v>6</v>
      </c>
      <c r="F48" s="446">
        <v>75579</v>
      </c>
      <c r="G48" s="444">
        <f t="shared" si="0"/>
        <v>453474</v>
      </c>
      <c r="H48" s="585">
        <v>0</v>
      </c>
      <c r="I48" s="33">
        <f t="shared" si="1"/>
        <v>0</v>
      </c>
      <c r="J48" s="10">
        <f>+H48+E48</f>
        <v>6</v>
      </c>
      <c r="K48" s="33">
        <f>+ROUND(J48*F48,0)</f>
        <v>453474</v>
      </c>
      <c r="L48" s="28">
        <v>0</v>
      </c>
      <c r="M48" s="33">
        <f>+ROUND(L48*F48,0)</f>
        <v>0</v>
      </c>
      <c r="N48" s="10">
        <f t="shared" si="18"/>
        <v>0</v>
      </c>
      <c r="O48" s="43">
        <f t="shared" si="3"/>
        <v>0</v>
      </c>
      <c r="P48" s="210">
        <f>N48/J48</f>
        <v>0</v>
      </c>
    </row>
    <row r="49" spans="2:16" ht="15">
      <c r="B49" s="96">
        <v>6</v>
      </c>
      <c r="C49" s="89" t="s">
        <v>74</v>
      </c>
      <c r="D49" s="82"/>
      <c r="E49" s="221"/>
      <c r="F49" s="458"/>
      <c r="G49" s="459"/>
      <c r="H49" s="586"/>
      <c r="I49" s="84"/>
      <c r="J49" s="83"/>
      <c r="K49" s="84"/>
      <c r="L49" s="83"/>
      <c r="M49" s="84"/>
      <c r="N49" s="83"/>
      <c r="O49" s="60"/>
      <c r="P49" s="293"/>
    </row>
    <row r="50" spans="2:16" ht="85.5">
      <c r="B50" s="445">
        <v>6.1</v>
      </c>
      <c r="C50" s="102" t="s">
        <v>75</v>
      </c>
      <c r="D50" s="442" t="s">
        <v>44</v>
      </c>
      <c r="E50" s="218">
        <v>1</v>
      </c>
      <c r="F50" s="446">
        <v>3043940</v>
      </c>
      <c r="G50" s="444">
        <f t="shared" si="0"/>
        <v>3043940</v>
      </c>
      <c r="H50" s="585">
        <v>0</v>
      </c>
      <c r="I50" s="33">
        <f t="shared" si="1"/>
        <v>0</v>
      </c>
      <c r="J50" s="10">
        <f>+H50+E50</f>
        <v>1</v>
      </c>
      <c r="K50" s="33">
        <f>+ROUND(J50*F50,0)</f>
        <v>3043940</v>
      </c>
      <c r="L50" s="10">
        <v>1</v>
      </c>
      <c r="M50" s="33">
        <f>+ROUND(L50*F50,0)</f>
        <v>3043940</v>
      </c>
      <c r="N50" s="10">
        <f t="shared" ref="N50" si="19">+L50</f>
        <v>1</v>
      </c>
      <c r="O50" s="43">
        <f t="shared" si="3"/>
        <v>3043940</v>
      </c>
      <c r="P50" s="210">
        <f>N50/J50</f>
        <v>1</v>
      </c>
    </row>
    <row r="51" spans="2:16" ht="71.25">
      <c r="B51" s="445">
        <v>6.2</v>
      </c>
      <c r="C51" s="102" t="s">
        <v>76</v>
      </c>
      <c r="D51" s="442" t="s">
        <v>44</v>
      </c>
      <c r="E51" s="218">
        <v>1</v>
      </c>
      <c r="F51" s="446">
        <v>4385840</v>
      </c>
      <c r="G51" s="444">
        <f t="shared" si="0"/>
        <v>4385840</v>
      </c>
      <c r="H51" s="585">
        <v>0</v>
      </c>
      <c r="I51" s="33">
        <f t="shared" si="1"/>
        <v>0</v>
      </c>
      <c r="J51" s="10">
        <f>+H51+E51</f>
        <v>1</v>
      </c>
      <c r="K51" s="33">
        <f>+ROUND(J51*F51,0)</f>
        <v>4385840</v>
      </c>
      <c r="L51" s="10">
        <v>0</v>
      </c>
      <c r="M51" s="33">
        <f>+ROUND(L51*F51,0)</f>
        <v>0</v>
      </c>
      <c r="N51" s="10">
        <f t="shared" ref="N51:N54" si="20">+L51</f>
        <v>0</v>
      </c>
      <c r="O51" s="43">
        <f t="shared" si="3"/>
        <v>0</v>
      </c>
      <c r="P51" s="210">
        <f>N51/J51</f>
        <v>0</v>
      </c>
    </row>
    <row r="52" spans="2:16" ht="71.25">
      <c r="B52" s="445">
        <v>6.3</v>
      </c>
      <c r="C52" s="102" t="s">
        <v>77</v>
      </c>
      <c r="D52" s="442" t="s">
        <v>44</v>
      </c>
      <c r="E52" s="218">
        <v>1</v>
      </c>
      <c r="F52" s="446">
        <v>4289990</v>
      </c>
      <c r="G52" s="444">
        <f t="shared" si="0"/>
        <v>4289990</v>
      </c>
      <c r="H52" s="585">
        <v>0</v>
      </c>
      <c r="I52" s="33">
        <f t="shared" si="1"/>
        <v>0</v>
      </c>
      <c r="J52" s="10">
        <f>+H52+E52</f>
        <v>1</v>
      </c>
      <c r="K52" s="33">
        <f>+ROUND(J52*F52,0)</f>
        <v>4289990</v>
      </c>
      <c r="L52" s="15">
        <v>0</v>
      </c>
      <c r="M52" s="33">
        <f>+ROUND(L52*F52,0)</f>
        <v>0</v>
      </c>
      <c r="N52" s="10">
        <f t="shared" si="20"/>
        <v>0</v>
      </c>
      <c r="O52" s="43">
        <f t="shared" si="3"/>
        <v>0</v>
      </c>
      <c r="P52" s="210">
        <f>N52/J52</f>
        <v>0</v>
      </c>
    </row>
    <row r="53" spans="2:16" ht="57">
      <c r="B53" s="445">
        <v>6.4</v>
      </c>
      <c r="C53" s="102" t="s">
        <v>78</v>
      </c>
      <c r="D53" s="442" t="s">
        <v>44</v>
      </c>
      <c r="E53" s="218">
        <v>1</v>
      </c>
      <c r="F53" s="446">
        <v>3043940</v>
      </c>
      <c r="G53" s="444">
        <f t="shared" si="0"/>
        <v>3043940</v>
      </c>
      <c r="H53" s="585">
        <v>0</v>
      </c>
      <c r="I53" s="33">
        <f t="shared" si="1"/>
        <v>0</v>
      </c>
      <c r="J53" s="10">
        <v>1</v>
      </c>
      <c r="K53" s="33">
        <f>+ROUND(J53*F53,0)</f>
        <v>3043940</v>
      </c>
      <c r="L53" s="15">
        <v>1</v>
      </c>
      <c r="M53" s="33">
        <f>+ROUND(L53*F53,0)</f>
        <v>3043940</v>
      </c>
      <c r="N53" s="10">
        <f t="shared" si="20"/>
        <v>1</v>
      </c>
      <c r="O53" s="43">
        <f t="shared" si="3"/>
        <v>3043940</v>
      </c>
      <c r="P53" s="210">
        <f>N53/J53</f>
        <v>1</v>
      </c>
    </row>
    <row r="54" spans="2:16" ht="71.25">
      <c r="B54" s="445">
        <v>6.5</v>
      </c>
      <c r="C54" s="102" t="s">
        <v>79</v>
      </c>
      <c r="D54" s="442" t="s">
        <v>44</v>
      </c>
      <c r="E54" s="218">
        <v>1</v>
      </c>
      <c r="F54" s="446">
        <v>3043940</v>
      </c>
      <c r="G54" s="444">
        <f t="shared" si="0"/>
        <v>3043940</v>
      </c>
      <c r="H54" s="585">
        <v>0</v>
      </c>
      <c r="I54" s="33">
        <f t="shared" si="1"/>
        <v>0</v>
      </c>
      <c r="J54" s="10">
        <f>+H54+E54</f>
        <v>1</v>
      </c>
      <c r="K54" s="33">
        <f>+ROUND(J54*F54,0)</f>
        <v>3043940</v>
      </c>
      <c r="L54" s="10">
        <v>1</v>
      </c>
      <c r="M54" s="33">
        <f>+ROUND(L54*F54,0)</f>
        <v>3043940</v>
      </c>
      <c r="N54" s="10">
        <f t="shared" si="20"/>
        <v>1</v>
      </c>
      <c r="O54" s="43">
        <f t="shared" si="3"/>
        <v>3043940</v>
      </c>
      <c r="P54" s="210">
        <f>N54/J54</f>
        <v>1</v>
      </c>
    </row>
    <row r="55" spans="2:16" ht="15">
      <c r="B55" s="96">
        <v>7</v>
      </c>
      <c r="C55" s="89" t="s">
        <v>80</v>
      </c>
      <c r="D55" s="82"/>
      <c r="E55" s="221"/>
      <c r="F55" s="458"/>
      <c r="G55" s="459"/>
      <c r="H55" s="586"/>
      <c r="I55" s="84"/>
      <c r="J55" s="83"/>
      <c r="K55" s="84"/>
      <c r="L55" s="87"/>
      <c r="M55" s="84"/>
      <c r="N55" s="83"/>
      <c r="O55" s="60"/>
      <c r="P55" s="294"/>
    </row>
    <row r="56" spans="2:16">
      <c r="B56" s="445">
        <v>7.1</v>
      </c>
      <c r="C56" s="102" t="s">
        <v>81</v>
      </c>
      <c r="D56" s="442" t="s">
        <v>22</v>
      </c>
      <c r="E56" s="218">
        <v>1</v>
      </c>
      <c r="F56" s="446">
        <v>144007</v>
      </c>
      <c r="G56" s="444">
        <f t="shared" si="0"/>
        <v>144007</v>
      </c>
      <c r="H56" s="585">
        <v>0</v>
      </c>
      <c r="I56" s="33">
        <f t="shared" si="1"/>
        <v>0</v>
      </c>
      <c r="J56" s="10">
        <f>+H56+E56</f>
        <v>1</v>
      </c>
      <c r="K56" s="33">
        <f>+ROUND(J56*F56,0)</f>
        <v>144007</v>
      </c>
      <c r="L56" s="10">
        <v>0</v>
      </c>
      <c r="M56" s="33">
        <f>+ROUND(L56*F56,0)</f>
        <v>0</v>
      </c>
      <c r="N56" s="10">
        <f t="shared" ref="N56" si="21">+L56</f>
        <v>0</v>
      </c>
      <c r="O56" s="43">
        <f t="shared" si="3"/>
        <v>0</v>
      </c>
      <c r="P56" s="210">
        <f>N56/J56</f>
        <v>0</v>
      </c>
    </row>
    <row r="57" spans="2:16" ht="15">
      <c r="B57" s="94"/>
      <c r="C57" s="95" t="s">
        <v>83</v>
      </c>
      <c r="D57" s="90"/>
      <c r="E57" s="225"/>
      <c r="F57" s="91"/>
      <c r="G57" s="84"/>
      <c r="H57" s="586"/>
      <c r="I57" s="84"/>
      <c r="J57" s="83"/>
      <c r="K57" s="84"/>
      <c r="L57" s="83"/>
      <c r="M57" s="84"/>
      <c r="N57" s="83"/>
      <c r="O57" s="60"/>
      <c r="P57" s="294"/>
    </row>
    <row r="58" spans="2:16" ht="42.75">
      <c r="B58" s="460" t="s">
        <v>84</v>
      </c>
      <c r="C58" s="461" t="s">
        <v>86</v>
      </c>
      <c r="D58" s="79" t="s">
        <v>21</v>
      </c>
      <c r="E58" s="223"/>
      <c r="F58" s="80">
        <v>6068</v>
      </c>
      <c r="G58" s="444"/>
      <c r="H58" s="585">
        <v>355</v>
      </c>
      <c r="I58" s="33">
        <f t="shared" si="1"/>
        <v>2154140</v>
      </c>
      <c r="J58" s="10">
        <f>+H58+E58</f>
        <v>355</v>
      </c>
      <c r="K58" s="33">
        <f>+ROUND(J58*F58,0)</f>
        <v>2154140</v>
      </c>
      <c r="L58" s="10">
        <v>0</v>
      </c>
      <c r="M58" s="33">
        <f>+ROUND(L58*F58,0)</f>
        <v>0</v>
      </c>
      <c r="N58" s="10">
        <f t="shared" ref="N58" si="22">+L58</f>
        <v>0</v>
      </c>
      <c r="O58" s="43">
        <f t="shared" si="3"/>
        <v>0</v>
      </c>
      <c r="P58" s="210">
        <f>N58/J58</f>
        <v>0</v>
      </c>
    </row>
    <row r="59" spans="2:16" ht="42.75">
      <c r="B59" s="460" t="s">
        <v>85</v>
      </c>
      <c r="C59" s="461" t="s">
        <v>93</v>
      </c>
      <c r="D59" s="79" t="s">
        <v>22</v>
      </c>
      <c r="E59" s="223"/>
      <c r="F59" s="80">
        <v>67307</v>
      </c>
      <c r="G59" s="444"/>
      <c r="H59" s="585">
        <v>1</v>
      </c>
      <c r="I59" s="33">
        <f t="shared" si="1"/>
        <v>67307</v>
      </c>
      <c r="J59" s="10">
        <f>+H59+E59</f>
        <v>1</v>
      </c>
      <c r="K59" s="33">
        <f>+ROUND(J59*F59,0)</f>
        <v>67307</v>
      </c>
      <c r="L59" s="10">
        <v>0</v>
      </c>
      <c r="M59" s="33">
        <f>+ROUND(L59*F59,0)</f>
        <v>0</v>
      </c>
      <c r="N59" s="49">
        <f t="shared" ref="N59:N60" si="23">+L59</f>
        <v>0</v>
      </c>
      <c r="O59" s="52">
        <f t="shared" si="3"/>
        <v>0</v>
      </c>
      <c r="P59" s="210">
        <f>N59/J59</f>
        <v>0</v>
      </c>
    </row>
    <row r="60" spans="2:16" ht="43.5" thickBot="1">
      <c r="B60" s="23" t="s">
        <v>87</v>
      </c>
      <c r="C60" s="181" t="s">
        <v>88</v>
      </c>
      <c r="D60" s="24" t="s">
        <v>22</v>
      </c>
      <c r="E60" s="222"/>
      <c r="F60" s="25">
        <v>176544</v>
      </c>
      <c r="G60" s="26"/>
      <c r="H60" s="589">
        <v>2</v>
      </c>
      <c r="I60" s="26">
        <f>+ROUND(H60*F60,0)</f>
        <v>353088</v>
      </c>
      <c r="J60" s="11">
        <f>2</f>
        <v>2</v>
      </c>
      <c r="K60" s="26">
        <f>+ROUND(J60*F60,0)</f>
        <v>353088</v>
      </c>
      <c r="L60" s="11">
        <v>0</v>
      </c>
      <c r="M60" s="26">
        <f>+ROUND(L60*F60,0)</f>
        <v>0</v>
      </c>
      <c r="N60" s="193">
        <f t="shared" si="23"/>
        <v>0</v>
      </c>
      <c r="O60" s="44">
        <f t="shared" si="3"/>
        <v>0</v>
      </c>
      <c r="P60" s="211">
        <f>N60/J60</f>
        <v>0</v>
      </c>
    </row>
    <row r="61" spans="2:16" s="285" customFormat="1" ht="15" thickBot="1">
      <c r="B61" s="284"/>
      <c r="H61" s="592"/>
      <c r="P61" s="622"/>
    </row>
    <row r="62" spans="2:16" ht="15">
      <c r="B62" s="256"/>
      <c r="C62" s="257" t="s">
        <v>8</v>
      </c>
      <c r="D62" s="633"/>
      <c r="E62" s="633"/>
      <c r="F62" s="258"/>
      <c r="G62" s="259">
        <f>+ROUND(SUM(G21:G60),0)</f>
        <v>152479506</v>
      </c>
      <c r="H62" s="579"/>
      <c r="I62" s="261">
        <f>+ROUND(SUM(I21:I60),0)</f>
        <v>-10423289</v>
      </c>
      <c r="J62" s="262"/>
      <c r="K62" s="261">
        <f>+ROUND(SUM(K21:K60),0)</f>
        <v>142056215</v>
      </c>
      <c r="L62" s="263"/>
      <c r="M62" s="261">
        <f>+ROUND(SUM(M21:M60),0)</f>
        <v>74447597</v>
      </c>
      <c r="N62" s="289"/>
      <c r="O62" s="261">
        <f>+ROUND(SUM(O21:O60),0)</f>
        <v>74447597</v>
      </c>
      <c r="P62" s="634">
        <f>+O67/K67</f>
        <v>0.52407138181382784</v>
      </c>
    </row>
    <row r="63" spans="2:16">
      <c r="B63" s="256"/>
      <c r="C63" s="264" t="s">
        <v>101</v>
      </c>
      <c r="D63" s="265"/>
      <c r="E63" s="266">
        <v>0.25</v>
      </c>
      <c r="F63" s="267"/>
      <c r="G63" s="54">
        <f>+$G$62*E63</f>
        <v>38119876.5</v>
      </c>
      <c r="H63" s="580"/>
      <c r="I63" s="46">
        <f>+$I$62*E63</f>
        <v>-2605822.25</v>
      </c>
      <c r="J63" s="269"/>
      <c r="K63" s="46">
        <f>+$K$62*E63</f>
        <v>35514053.75</v>
      </c>
      <c r="L63" s="270"/>
      <c r="M63" s="46">
        <f>+$M$62*E63</f>
        <v>18611899.25</v>
      </c>
      <c r="N63" s="10"/>
      <c r="O63" s="46">
        <f>+$O$62*E63</f>
        <v>18611899.25</v>
      </c>
      <c r="P63" s="635"/>
    </row>
    <row r="64" spans="2:16">
      <c r="B64" s="256"/>
      <c r="C64" s="264" t="s">
        <v>102</v>
      </c>
      <c r="D64" s="265"/>
      <c r="E64" s="266">
        <v>0.02</v>
      </c>
      <c r="F64" s="267"/>
      <c r="G64" s="54">
        <f t="shared" ref="G64:G65" si="24">+$G$62*E64</f>
        <v>3049590.12</v>
      </c>
      <c r="H64" s="580"/>
      <c r="I64" s="46">
        <f t="shared" ref="I64:I65" si="25">+$I$62*E64</f>
        <v>-208465.78</v>
      </c>
      <c r="J64" s="269"/>
      <c r="K64" s="46">
        <f t="shared" ref="K64:K65" si="26">+$K$62*E64</f>
        <v>2841124.3000000003</v>
      </c>
      <c r="L64" s="270"/>
      <c r="M64" s="46">
        <f t="shared" ref="M64:M65" si="27">+$M$62*E64</f>
        <v>1488951.94</v>
      </c>
      <c r="N64" s="10"/>
      <c r="O64" s="46">
        <f>+$O$62*E64</f>
        <v>1488951.94</v>
      </c>
      <c r="P64" s="635"/>
    </row>
    <row r="65" spans="2:16">
      <c r="B65" s="256"/>
      <c r="C65" s="264" t="s">
        <v>103</v>
      </c>
      <c r="D65" s="265"/>
      <c r="E65" s="266">
        <v>0.05</v>
      </c>
      <c r="F65" s="267"/>
      <c r="G65" s="54">
        <f t="shared" si="24"/>
        <v>7623975.3000000007</v>
      </c>
      <c r="H65" s="580"/>
      <c r="I65" s="46">
        <f t="shared" si="25"/>
        <v>-521164.45</v>
      </c>
      <c r="J65" s="269"/>
      <c r="K65" s="46">
        <f t="shared" si="26"/>
        <v>7102810.75</v>
      </c>
      <c r="L65" s="270"/>
      <c r="M65" s="46">
        <f t="shared" si="27"/>
        <v>3722379.85</v>
      </c>
      <c r="N65" s="10"/>
      <c r="O65" s="46">
        <f>+$O$62*E65</f>
        <v>3722379.85</v>
      </c>
      <c r="P65" s="635"/>
    </row>
    <row r="66" spans="2:16" ht="15">
      <c r="B66" s="256"/>
      <c r="C66" s="271" t="s">
        <v>104</v>
      </c>
      <c r="D66" s="637"/>
      <c r="E66" s="637"/>
      <c r="F66" s="272"/>
      <c r="G66" s="273">
        <f>ROUND(SUM(G63:G65),0)</f>
        <v>48793442</v>
      </c>
      <c r="H66" s="581"/>
      <c r="I66" s="275">
        <f>ROUND(SUM(I63:I65),0)</f>
        <v>-3335452</v>
      </c>
      <c r="J66" s="276"/>
      <c r="K66" s="275">
        <f>ROUND(SUM(K63:K65),0)</f>
        <v>45457989</v>
      </c>
      <c r="L66" s="277"/>
      <c r="M66" s="275">
        <f>ROUND(SUM(M63:M65),0)</f>
        <v>23823231</v>
      </c>
      <c r="N66" s="10"/>
      <c r="O66" s="275">
        <f>ROUND(SUM(O63:O65),0)</f>
        <v>23823231</v>
      </c>
      <c r="P66" s="635"/>
    </row>
    <row r="67" spans="2:16" ht="15.75" thickBot="1">
      <c r="B67" s="256"/>
      <c r="C67" s="278" t="s">
        <v>105</v>
      </c>
      <c r="D67" s="638"/>
      <c r="E67" s="638"/>
      <c r="F67" s="279"/>
      <c r="G67" s="159">
        <f>+ROUND(G66+G62,0)</f>
        <v>201272948</v>
      </c>
      <c r="H67" s="582"/>
      <c r="I67" s="281">
        <f>+ROUND(I66+I62,0)</f>
        <v>-13758741</v>
      </c>
      <c r="J67" s="282"/>
      <c r="K67" s="281">
        <f>+ROUND(K66+K62,0)</f>
        <v>187514204</v>
      </c>
      <c r="L67" s="283"/>
      <c r="M67" s="281">
        <f>+ROUND(M66+M62,0)</f>
        <v>98270828</v>
      </c>
      <c r="N67" s="11"/>
      <c r="O67" s="281">
        <f>+ROUND(O66+O62,0)</f>
        <v>98270828</v>
      </c>
      <c r="P67" s="636"/>
    </row>
    <row r="68" spans="2:16" s="285" customFormat="1" ht="15" thickBot="1">
      <c r="B68" s="284"/>
      <c r="H68" s="592"/>
      <c r="P68" s="622"/>
    </row>
    <row r="69" spans="2:16" s="618" customFormat="1" ht="15.75" thickBot="1">
      <c r="B69" s="462"/>
      <c r="C69" s="463" t="s">
        <v>106</v>
      </c>
      <c r="D69" s="464"/>
      <c r="E69" s="465"/>
      <c r="F69" s="466"/>
      <c r="G69" s="467"/>
      <c r="H69" s="593"/>
      <c r="I69" s="468"/>
      <c r="J69" s="299"/>
      <c r="K69" s="468"/>
      <c r="L69" s="299"/>
      <c r="M69" s="300"/>
      <c r="N69" s="320"/>
      <c r="O69" s="319"/>
      <c r="P69" s="321"/>
    </row>
    <row r="70" spans="2:16" s="618" customFormat="1" ht="15">
      <c r="B70" s="295" t="s">
        <v>107</v>
      </c>
      <c r="C70" s="296" t="s">
        <v>42</v>
      </c>
      <c r="D70" s="297"/>
      <c r="E70" s="298"/>
      <c r="F70" s="258"/>
      <c r="G70" s="286"/>
      <c r="H70" s="594"/>
      <c r="I70" s="286"/>
      <c r="J70" s="289"/>
      <c r="K70" s="286"/>
      <c r="L70" s="289"/>
      <c r="M70" s="286"/>
      <c r="N70" s="575"/>
      <c r="O70" s="576"/>
      <c r="P70" s="577"/>
    </row>
    <row r="71" spans="2:16" s="618" customFormat="1">
      <c r="B71" s="62">
        <v>1.1000000000000001</v>
      </c>
      <c r="C71" s="102" t="s">
        <v>108</v>
      </c>
      <c r="D71" s="64" t="s">
        <v>109</v>
      </c>
      <c r="E71" s="224">
        <v>1</v>
      </c>
      <c r="F71" s="65">
        <v>82896</v>
      </c>
      <c r="G71" s="59">
        <f>+ROUND(F71*E71,0)</f>
        <v>82896</v>
      </c>
      <c r="H71" s="584">
        <v>0</v>
      </c>
      <c r="I71" s="59">
        <f>+ROUND(H71*F71,0)</f>
        <v>0</v>
      </c>
      <c r="J71" s="10">
        <f>+H71+E71</f>
        <v>1</v>
      </c>
      <c r="K71" s="59">
        <f t="shared" ref="K71:K108" si="28">+ROUND(J71*F71,0)</f>
        <v>82896</v>
      </c>
      <c r="L71" s="66">
        <v>1</v>
      </c>
      <c r="M71" s="59">
        <f>+ROUND(L71*F71,0)</f>
        <v>82896</v>
      </c>
      <c r="N71" s="49">
        <f t="shared" ref="N71" si="29">+L71</f>
        <v>1</v>
      </c>
      <c r="O71" s="52">
        <f t="shared" ref="O71" si="30">+N71*F71</f>
        <v>82896</v>
      </c>
      <c r="P71" s="47">
        <f t="shared" ref="P71:P79" si="31">N71/J71</f>
        <v>1</v>
      </c>
    </row>
    <row r="72" spans="2:16" s="618" customFormat="1">
      <c r="B72" s="69">
        <v>1.2</v>
      </c>
      <c r="C72" s="102" t="s">
        <v>110</v>
      </c>
      <c r="D72" s="64" t="s">
        <v>46</v>
      </c>
      <c r="E72" s="224">
        <v>19</v>
      </c>
      <c r="F72" s="65">
        <v>6165</v>
      </c>
      <c r="G72" s="59">
        <f t="shared" ref="G72:G120" si="32">+ROUND(F72*E72,0)</f>
        <v>117135</v>
      </c>
      <c r="H72" s="584">
        <v>16</v>
      </c>
      <c r="I72" s="59">
        <f t="shared" ref="I72:I120" si="33">+ROUND(H72*F72,0)</f>
        <v>98640</v>
      </c>
      <c r="J72" s="10">
        <f t="shared" ref="J72:J108" si="34">+H72+E72</f>
        <v>35</v>
      </c>
      <c r="K72" s="59">
        <f t="shared" si="28"/>
        <v>215775</v>
      </c>
      <c r="L72" s="66">
        <v>35</v>
      </c>
      <c r="M72" s="59">
        <f t="shared" ref="M72:M120" si="35">+ROUND(L72*F72,0)</f>
        <v>215775</v>
      </c>
      <c r="N72" s="49">
        <f t="shared" ref="N72:N79" si="36">+L72</f>
        <v>35</v>
      </c>
      <c r="O72" s="52">
        <f t="shared" ref="O72:O79" si="37">+N72*F72</f>
        <v>215775</v>
      </c>
      <c r="P72" s="47">
        <f t="shared" si="31"/>
        <v>1</v>
      </c>
    </row>
    <row r="73" spans="2:16" s="618" customFormat="1">
      <c r="B73" s="69">
        <v>1.3</v>
      </c>
      <c r="C73" s="102" t="s">
        <v>111</v>
      </c>
      <c r="D73" s="64" t="s">
        <v>67</v>
      </c>
      <c r="E73" s="224">
        <v>4.5</v>
      </c>
      <c r="F73" s="65">
        <v>4303</v>
      </c>
      <c r="G73" s="59">
        <f t="shared" si="32"/>
        <v>19364</v>
      </c>
      <c r="H73" s="584">
        <v>1</v>
      </c>
      <c r="I73" s="59">
        <f t="shared" si="33"/>
        <v>4303</v>
      </c>
      <c r="J73" s="10">
        <f t="shared" si="34"/>
        <v>5.5</v>
      </c>
      <c r="K73" s="59">
        <f t="shared" si="28"/>
        <v>23667</v>
      </c>
      <c r="L73" s="66">
        <v>5.5</v>
      </c>
      <c r="M73" s="59">
        <f t="shared" si="35"/>
        <v>23667</v>
      </c>
      <c r="N73" s="49">
        <f t="shared" si="36"/>
        <v>5.5</v>
      </c>
      <c r="O73" s="52">
        <f t="shared" si="37"/>
        <v>23666.5</v>
      </c>
      <c r="P73" s="47">
        <f t="shared" si="31"/>
        <v>1</v>
      </c>
    </row>
    <row r="74" spans="2:16" s="618" customFormat="1">
      <c r="B74" s="69">
        <v>1.4</v>
      </c>
      <c r="C74" s="102" t="s">
        <v>112</v>
      </c>
      <c r="D74" s="64" t="s">
        <v>67</v>
      </c>
      <c r="E74" s="224">
        <v>4</v>
      </c>
      <c r="F74" s="65">
        <v>5319</v>
      </c>
      <c r="G74" s="59">
        <f t="shared" si="32"/>
        <v>21276</v>
      </c>
      <c r="H74" s="584">
        <v>0</v>
      </c>
      <c r="I74" s="59">
        <f t="shared" si="33"/>
        <v>0</v>
      </c>
      <c r="J74" s="10">
        <f t="shared" si="34"/>
        <v>4</v>
      </c>
      <c r="K74" s="59">
        <f t="shared" si="28"/>
        <v>21276</v>
      </c>
      <c r="L74" s="66">
        <v>4</v>
      </c>
      <c r="M74" s="59">
        <f t="shared" si="35"/>
        <v>21276</v>
      </c>
      <c r="N74" s="49">
        <f t="shared" si="36"/>
        <v>4</v>
      </c>
      <c r="O74" s="52">
        <f t="shared" si="37"/>
        <v>21276</v>
      </c>
      <c r="P74" s="47">
        <f t="shared" si="31"/>
        <v>1</v>
      </c>
    </row>
    <row r="75" spans="2:16" s="618" customFormat="1">
      <c r="B75" s="69">
        <v>1.5</v>
      </c>
      <c r="C75" s="102" t="s">
        <v>113</v>
      </c>
      <c r="D75" s="64" t="s">
        <v>46</v>
      </c>
      <c r="E75" s="224">
        <v>19</v>
      </c>
      <c r="F75" s="65">
        <v>23916</v>
      </c>
      <c r="G75" s="59">
        <f t="shared" si="32"/>
        <v>454404</v>
      </c>
      <c r="H75" s="584">
        <v>11</v>
      </c>
      <c r="I75" s="59">
        <f t="shared" si="33"/>
        <v>263076</v>
      </c>
      <c r="J75" s="10">
        <f t="shared" si="34"/>
        <v>30</v>
      </c>
      <c r="K75" s="59">
        <f t="shared" si="28"/>
        <v>717480</v>
      </c>
      <c r="L75" s="66">
        <v>30</v>
      </c>
      <c r="M75" s="59">
        <f t="shared" si="35"/>
        <v>717480</v>
      </c>
      <c r="N75" s="49">
        <f t="shared" si="36"/>
        <v>30</v>
      </c>
      <c r="O75" s="52">
        <f t="shared" si="37"/>
        <v>717480</v>
      </c>
      <c r="P75" s="47">
        <f t="shared" si="31"/>
        <v>1</v>
      </c>
    </row>
    <row r="76" spans="2:16" s="618" customFormat="1">
      <c r="B76" s="69">
        <v>1.6</v>
      </c>
      <c r="C76" s="102" t="s">
        <v>114</v>
      </c>
      <c r="D76" s="79" t="s">
        <v>46</v>
      </c>
      <c r="E76" s="223">
        <v>45</v>
      </c>
      <c r="F76" s="80">
        <v>8121</v>
      </c>
      <c r="G76" s="43">
        <f t="shared" si="32"/>
        <v>365445</v>
      </c>
      <c r="H76" s="585">
        <f>-25.11</f>
        <v>-25.11</v>
      </c>
      <c r="I76" s="43">
        <f t="shared" si="33"/>
        <v>-203918</v>
      </c>
      <c r="J76" s="10">
        <f t="shared" si="34"/>
        <v>19.89</v>
      </c>
      <c r="K76" s="43">
        <f t="shared" si="28"/>
        <v>161527</v>
      </c>
      <c r="L76" s="10">
        <v>19.885999999999999</v>
      </c>
      <c r="M76" s="43">
        <f t="shared" si="35"/>
        <v>161494</v>
      </c>
      <c r="N76" s="49">
        <f t="shared" si="36"/>
        <v>19.885999999999999</v>
      </c>
      <c r="O76" s="52">
        <f t="shared" si="37"/>
        <v>161494.20600000001</v>
      </c>
      <c r="P76" s="47">
        <f t="shared" si="31"/>
        <v>0.99979889391654087</v>
      </c>
    </row>
    <row r="77" spans="2:16" s="618" customFormat="1">
      <c r="B77" s="69">
        <v>1.7</v>
      </c>
      <c r="C77" s="102" t="s">
        <v>115</v>
      </c>
      <c r="D77" s="64" t="s">
        <v>46</v>
      </c>
      <c r="E77" s="224">
        <v>5</v>
      </c>
      <c r="F77" s="65">
        <v>2670</v>
      </c>
      <c r="G77" s="59">
        <f t="shared" si="32"/>
        <v>13350</v>
      </c>
      <c r="H77" s="628">
        <v>-3.59</v>
      </c>
      <c r="I77" s="59">
        <f t="shared" si="33"/>
        <v>-9585</v>
      </c>
      <c r="J77" s="10">
        <f t="shared" si="34"/>
        <v>1.4100000000000001</v>
      </c>
      <c r="K77" s="59">
        <f t="shared" si="28"/>
        <v>3765</v>
      </c>
      <c r="L77" s="66">
        <v>1</v>
      </c>
      <c r="M77" s="59">
        <f t="shared" si="35"/>
        <v>2670</v>
      </c>
      <c r="N77" s="49">
        <f t="shared" si="36"/>
        <v>1</v>
      </c>
      <c r="O77" s="52">
        <f t="shared" si="37"/>
        <v>2670</v>
      </c>
      <c r="P77" s="47">
        <f t="shared" si="31"/>
        <v>0.70921985815602828</v>
      </c>
    </row>
    <row r="78" spans="2:16" s="618" customFormat="1" ht="28.5">
      <c r="B78" s="62">
        <v>1.8</v>
      </c>
      <c r="C78" s="102" t="s">
        <v>116</v>
      </c>
      <c r="D78" s="64" t="s">
        <v>109</v>
      </c>
      <c r="E78" s="224">
        <v>1</v>
      </c>
      <c r="F78" s="65">
        <v>387104</v>
      </c>
      <c r="G78" s="59">
        <f t="shared" si="32"/>
        <v>387104</v>
      </c>
      <c r="H78" s="584">
        <v>0</v>
      </c>
      <c r="I78" s="59">
        <f t="shared" si="33"/>
        <v>0</v>
      </c>
      <c r="J78" s="10">
        <f t="shared" si="34"/>
        <v>1</v>
      </c>
      <c r="K78" s="59">
        <f t="shared" si="28"/>
        <v>387104</v>
      </c>
      <c r="L78" s="66">
        <v>1</v>
      </c>
      <c r="M78" s="59">
        <f t="shared" si="35"/>
        <v>387104</v>
      </c>
      <c r="N78" s="49">
        <f t="shared" si="36"/>
        <v>1</v>
      </c>
      <c r="O78" s="52">
        <f t="shared" si="37"/>
        <v>387104</v>
      </c>
      <c r="P78" s="47">
        <f t="shared" si="31"/>
        <v>1</v>
      </c>
    </row>
    <row r="79" spans="2:16" s="618" customFormat="1">
      <c r="B79" s="62">
        <v>1.9</v>
      </c>
      <c r="C79" s="102" t="s">
        <v>117</v>
      </c>
      <c r="D79" s="64" t="s">
        <v>118</v>
      </c>
      <c r="E79" s="224">
        <v>15</v>
      </c>
      <c r="F79" s="65">
        <v>22879</v>
      </c>
      <c r="G79" s="59">
        <f t="shared" si="32"/>
        <v>343185</v>
      </c>
      <c r="H79" s="584">
        <v>5</v>
      </c>
      <c r="I79" s="59">
        <f t="shared" si="33"/>
        <v>114395</v>
      </c>
      <c r="J79" s="10">
        <f t="shared" si="34"/>
        <v>20</v>
      </c>
      <c r="K79" s="59">
        <f t="shared" si="28"/>
        <v>457580</v>
      </c>
      <c r="L79" s="66">
        <v>0</v>
      </c>
      <c r="M79" s="59">
        <f t="shared" si="35"/>
        <v>0</v>
      </c>
      <c r="N79" s="49">
        <f t="shared" si="36"/>
        <v>0</v>
      </c>
      <c r="O79" s="52">
        <f t="shared" si="37"/>
        <v>0</v>
      </c>
      <c r="P79" s="47">
        <f t="shared" si="31"/>
        <v>0</v>
      </c>
    </row>
    <row r="80" spans="2:16" s="618" customFormat="1" ht="15">
      <c r="B80" s="88">
        <v>2</v>
      </c>
      <c r="C80" s="89" t="s">
        <v>119</v>
      </c>
      <c r="D80" s="90"/>
      <c r="E80" s="225"/>
      <c r="F80" s="91"/>
      <c r="G80" s="60"/>
      <c r="H80" s="586"/>
      <c r="I80" s="60"/>
      <c r="J80" s="83"/>
      <c r="K80" s="60"/>
      <c r="L80" s="92"/>
      <c r="M80" s="60"/>
      <c r="N80" s="85"/>
      <c r="O80" s="93"/>
      <c r="P80" s="86"/>
    </row>
    <row r="81" spans="2:16" s="618" customFormat="1" ht="42.75">
      <c r="B81" s="70">
        <v>2.1</v>
      </c>
      <c r="C81" s="102" t="s">
        <v>120</v>
      </c>
      <c r="D81" s="64" t="s">
        <v>67</v>
      </c>
      <c r="E81" s="224">
        <v>19</v>
      </c>
      <c r="F81" s="65">
        <v>58253</v>
      </c>
      <c r="G81" s="59">
        <f t="shared" si="32"/>
        <v>1106807</v>
      </c>
      <c r="H81" s="584">
        <v>11</v>
      </c>
      <c r="I81" s="59">
        <f t="shared" si="33"/>
        <v>640783</v>
      </c>
      <c r="J81" s="10">
        <f t="shared" si="34"/>
        <v>30</v>
      </c>
      <c r="K81" s="59">
        <f t="shared" si="28"/>
        <v>1747590</v>
      </c>
      <c r="L81" s="66">
        <v>0</v>
      </c>
      <c r="M81" s="59">
        <f t="shared" si="35"/>
        <v>0</v>
      </c>
      <c r="N81" s="49">
        <f t="shared" ref="N81" si="38">+L81</f>
        <v>0</v>
      </c>
      <c r="O81" s="52">
        <f t="shared" ref="O81" si="39">+N81*F81</f>
        <v>0</v>
      </c>
      <c r="P81" s="47">
        <f>N81/J81</f>
        <v>0</v>
      </c>
    </row>
    <row r="82" spans="2:16" s="618" customFormat="1" ht="28.5">
      <c r="B82" s="62">
        <v>2.2000000000000002</v>
      </c>
      <c r="C82" s="102" t="s">
        <v>121</v>
      </c>
      <c r="D82" s="64" t="s">
        <v>46</v>
      </c>
      <c r="E82" s="224">
        <v>19</v>
      </c>
      <c r="F82" s="65">
        <v>31803</v>
      </c>
      <c r="G82" s="59">
        <f t="shared" si="32"/>
        <v>604257</v>
      </c>
      <c r="H82" s="584">
        <v>16</v>
      </c>
      <c r="I82" s="59">
        <f t="shared" si="33"/>
        <v>508848</v>
      </c>
      <c r="J82" s="10">
        <f t="shared" si="34"/>
        <v>35</v>
      </c>
      <c r="K82" s="59">
        <f t="shared" si="28"/>
        <v>1113105</v>
      </c>
      <c r="L82" s="66">
        <v>0</v>
      </c>
      <c r="M82" s="59">
        <f t="shared" si="35"/>
        <v>0</v>
      </c>
      <c r="N82" s="49">
        <f t="shared" ref="N82:N86" si="40">+L82</f>
        <v>0</v>
      </c>
      <c r="O82" s="52">
        <f t="shared" ref="O82:O86" si="41">+N82*F82</f>
        <v>0</v>
      </c>
      <c r="P82" s="47">
        <f>N82/J82</f>
        <v>0</v>
      </c>
    </row>
    <row r="83" spans="2:16" s="618" customFormat="1">
      <c r="B83" s="101">
        <v>2.2999999999999998</v>
      </c>
      <c r="C83" s="102" t="s">
        <v>122</v>
      </c>
      <c r="D83" s="79" t="s">
        <v>46</v>
      </c>
      <c r="E83" s="223">
        <v>4.51</v>
      </c>
      <c r="F83" s="80">
        <v>12748</v>
      </c>
      <c r="G83" s="43">
        <f t="shared" si="32"/>
        <v>57493</v>
      </c>
      <c r="H83" s="585">
        <f>-E83</f>
        <v>-4.51</v>
      </c>
      <c r="I83" s="43">
        <f t="shared" si="33"/>
        <v>-57493</v>
      </c>
      <c r="J83" s="10">
        <f t="shared" si="34"/>
        <v>0</v>
      </c>
      <c r="K83" s="43">
        <f t="shared" si="28"/>
        <v>0</v>
      </c>
      <c r="L83" s="10">
        <v>0</v>
      </c>
      <c r="M83" s="43">
        <f t="shared" si="35"/>
        <v>0</v>
      </c>
      <c r="N83" s="49">
        <f t="shared" si="40"/>
        <v>0</v>
      </c>
      <c r="O83" s="52">
        <f t="shared" si="41"/>
        <v>0</v>
      </c>
      <c r="P83" s="47">
        <v>0</v>
      </c>
    </row>
    <row r="84" spans="2:16" s="618" customFormat="1">
      <c r="B84" s="69">
        <v>2.4</v>
      </c>
      <c r="C84" s="102" t="s">
        <v>123</v>
      </c>
      <c r="D84" s="64" t="s">
        <v>124</v>
      </c>
      <c r="E84" s="224">
        <v>1</v>
      </c>
      <c r="F84" s="65">
        <v>84343</v>
      </c>
      <c r="G84" s="59">
        <f t="shared" si="32"/>
        <v>84343</v>
      </c>
      <c r="H84" s="584">
        <v>1</v>
      </c>
      <c r="I84" s="59">
        <f t="shared" si="33"/>
        <v>84343</v>
      </c>
      <c r="J84" s="10">
        <f t="shared" si="34"/>
        <v>2</v>
      </c>
      <c r="K84" s="59">
        <f t="shared" si="28"/>
        <v>168686</v>
      </c>
      <c r="L84" s="66">
        <v>0</v>
      </c>
      <c r="M84" s="59">
        <f t="shared" si="35"/>
        <v>0</v>
      </c>
      <c r="N84" s="49">
        <f t="shared" si="40"/>
        <v>0</v>
      </c>
      <c r="O84" s="52">
        <f t="shared" si="41"/>
        <v>0</v>
      </c>
      <c r="P84" s="47">
        <f>N84/J84</f>
        <v>0</v>
      </c>
    </row>
    <row r="85" spans="2:16" s="618" customFormat="1" ht="15">
      <c r="B85" s="71">
        <v>2.5</v>
      </c>
      <c r="C85" s="102" t="s">
        <v>125</v>
      </c>
      <c r="D85" s="64" t="s">
        <v>67</v>
      </c>
      <c r="E85" s="224">
        <v>30</v>
      </c>
      <c r="F85" s="65">
        <v>17089</v>
      </c>
      <c r="G85" s="59">
        <f t="shared" si="32"/>
        <v>512670</v>
      </c>
      <c r="H85" s="584">
        <v>-16</v>
      </c>
      <c r="I85" s="59">
        <f t="shared" si="33"/>
        <v>-273424</v>
      </c>
      <c r="J85" s="10">
        <f t="shared" si="34"/>
        <v>14</v>
      </c>
      <c r="K85" s="59">
        <f t="shared" si="28"/>
        <v>239246</v>
      </c>
      <c r="L85" s="66">
        <v>0</v>
      </c>
      <c r="M85" s="59">
        <f t="shared" si="35"/>
        <v>0</v>
      </c>
      <c r="N85" s="49">
        <f t="shared" si="40"/>
        <v>0</v>
      </c>
      <c r="O85" s="52">
        <f t="shared" si="41"/>
        <v>0</v>
      </c>
      <c r="P85" s="47">
        <f>N85/J85</f>
        <v>0</v>
      </c>
    </row>
    <row r="86" spans="2:16" s="618" customFormat="1" ht="28.5">
      <c r="B86" s="71">
        <v>2.6</v>
      </c>
      <c r="C86" s="102" t="s">
        <v>126</v>
      </c>
      <c r="D86" s="64" t="s">
        <v>67</v>
      </c>
      <c r="E86" s="224">
        <v>4.5</v>
      </c>
      <c r="F86" s="65">
        <v>63393</v>
      </c>
      <c r="G86" s="59">
        <f t="shared" si="32"/>
        <v>285269</v>
      </c>
      <c r="H86" s="584">
        <v>1</v>
      </c>
      <c r="I86" s="59">
        <f t="shared" si="33"/>
        <v>63393</v>
      </c>
      <c r="J86" s="10">
        <f t="shared" si="34"/>
        <v>5.5</v>
      </c>
      <c r="K86" s="59">
        <f t="shared" si="28"/>
        <v>348662</v>
      </c>
      <c r="L86" s="66">
        <v>0</v>
      </c>
      <c r="M86" s="59">
        <f t="shared" si="35"/>
        <v>0</v>
      </c>
      <c r="N86" s="49">
        <f t="shared" si="40"/>
        <v>0</v>
      </c>
      <c r="O86" s="52">
        <f t="shared" si="41"/>
        <v>0</v>
      </c>
      <c r="P86" s="47">
        <f>N86/J86</f>
        <v>0</v>
      </c>
    </row>
    <row r="87" spans="2:16" s="618" customFormat="1" ht="15">
      <c r="B87" s="94">
        <v>3</v>
      </c>
      <c r="C87" s="95" t="s">
        <v>127</v>
      </c>
      <c r="D87" s="90"/>
      <c r="E87" s="225"/>
      <c r="F87" s="91"/>
      <c r="G87" s="60"/>
      <c r="H87" s="586"/>
      <c r="I87" s="60"/>
      <c r="J87" s="83"/>
      <c r="K87" s="60"/>
      <c r="L87" s="83"/>
      <c r="M87" s="60"/>
      <c r="N87" s="85"/>
      <c r="O87" s="93"/>
      <c r="P87" s="86"/>
    </row>
    <row r="88" spans="2:16" s="618" customFormat="1" ht="28.5">
      <c r="B88" s="62">
        <v>3.1</v>
      </c>
      <c r="C88" s="102" t="s">
        <v>169</v>
      </c>
      <c r="D88" s="64" t="s">
        <v>67</v>
      </c>
      <c r="E88" s="224">
        <v>5</v>
      </c>
      <c r="F88" s="65">
        <v>58253</v>
      </c>
      <c r="G88" s="59">
        <f t="shared" si="32"/>
        <v>291265</v>
      </c>
      <c r="H88" s="584">
        <v>22</v>
      </c>
      <c r="I88" s="59">
        <f t="shared" si="33"/>
        <v>1281566</v>
      </c>
      <c r="J88" s="10">
        <f t="shared" si="34"/>
        <v>27</v>
      </c>
      <c r="K88" s="59">
        <f t="shared" si="28"/>
        <v>1572831</v>
      </c>
      <c r="L88" s="66">
        <v>0</v>
      </c>
      <c r="M88" s="59">
        <f t="shared" si="35"/>
        <v>0</v>
      </c>
      <c r="N88" s="49">
        <f t="shared" ref="N88" si="42">+L88</f>
        <v>0</v>
      </c>
      <c r="O88" s="52">
        <f>+ROUND(N88*F88,0)</f>
        <v>0</v>
      </c>
      <c r="P88" s="47">
        <f>N88/J88</f>
        <v>0</v>
      </c>
    </row>
    <row r="89" spans="2:16" s="618" customFormat="1">
      <c r="B89" s="69">
        <v>3.2</v>
      </c>
      <c r="C89" s="102" t="s">
        <v>128</v>
      </c>
      <c r="D89" s="64" t="s">
        <v>46</v>
      </c>
      <c r="E89" s="224">
        <v>45</v>
      </c>
      <c r="F89" s="65">
        <v>20162</v>
      </c>
      <c r="G89" s="59">
        <f t="shared" si="32"/>
        <v>907290</v>
      </c>
      <c r="H89" s="584">
        <f>-25.11</f>
        <v>-25.11</v>
      </c>
      <c r="I89" s="59">
        <f t="shared" si="33"/>
        <v>-506268</v>
      </c>
      <c r="J89" s="10">
        <f t="shared" si="34"/>
        <v>19.89</v>
      </c>
      <c r="K89" s="59">
        <f t="shared" si="28"/>
        <v>401022</v>
      </c>
      <c r="L89" s="66">
        <v>19.885999999999999</v>
      </c>
      <c r="M89" s="59">
        <f t="shared" si="35"/>
        <v>400942</v>
      </c>
      <c r="N89" s="49">
        <f t="shared" ref="N89:N94" si="43">+L89</f>
        <v>19.885999999999999</v>
      </c>
      <c r="O89" s="52">
        <f>+ROUND(N89*F89,0)</f>
        <v>400942</v>
      </c>
      <c r="P89" s="47">
        <f>N89/J89</f>
        <v>0.99979889391654087</v>
      </c>
    </row>
    <row r="90" spans="2:16" s="618" customFormat="1">
      <c r="B90" s="62">
        <v>3.3</v>
      </c>
      <c r="C90" s="102" t="s">
        <v>129</v>
      </c>
      <c r="D90" s="64" t="s">
        <v>46</v>
      </c>
      <c r="E90" s="224">
        <v>45</v>
      </c>
      <c r="F90" s="65">
        <v>32106</v>
      </c>
      <c r="G90" s="59">
        <f t="shared" si="32"/>
        <v>1444770</v>
      </c>
      <c r="H90" s="584">
        <f>34.57</f>
        <v>34.57</v>
      </c>
      <c r="I90" s="59">
        <f t="shared" si="33"/>
        <v>1109904</v>
      </c>
      <c r="J90" s="10">
        <f t="shared" si="34"/>
        <v>79.569999999999993</v>
      </c>
      <c r="K90" s="59">
        <f t="shared" si="28"/>
        <v>2554674</v>
      </c>
      <c r="L90" s="66">
        <v>0</v>
      </c>
      <c r="M90" s="59">
        <f t="shared" si="35"/>
        <v>0</v>
      </c>
      <c r="N90" s="49">
        <f t="shared" si="43"/>
        <v>0</v>
      </c>
      <c r="O90" s="52">
        <f t="shared" ref="O90:O94" si="44">+N90*F90</f>
        <v>0</v>
      </c>
      <c r="P90" s="47">
        <f>N90/J90</f>
        <v>0</v>
      </c>
    </row>
    <row r="91" spans="2:16" s="618" customFormat="1" ht="15">
      <c r="B91" s="96">
        <v>4</v>
      </c>
      <c r="C91" s="89" t="s">
        <v>130</v>
      </c>
      <c r="D91" s="97"/>
      <c r="E91" s="221"/>
      <c r="F91" s="91"/>
      <c r="G91" s="60"/>
      <c r="H91" s="586"/>
      <c r="I91" s="60"/>
      <c r="J91" s="83"/>
      <c r="K91" s="60"/>
      <c r="L91" s="83"/>
      <c r="M91" s="60"/>
      <c r="N91" s="85"/>
      <c r="O91" s="93"/>
      <c r="P91" s="86"/>
    </row>
    <row r="92" spans="2:16" s="618" customFormat="1">
      <c r="B92" s="62">
        <v>4.0999999999999996</v>
      </c>
      <c r="C92" s="63" t="s">
        <v>131</v>
      </c>
      <c r="D92" s="72" t="s">
        <v>46</v>
      </c>
      <c r="E92" s="226">
        <v>2.5</v>
      </c>
      <c r="F92" s="65">
        <v>357798</v>
      </c>
      <c r="G92" s="59">
        <f t="shared" si="32"/>
        <v>894495</v>
      </c>
      <c r="H92" s="584">
        <f>-0.57</f>
        <v>-0.56999999999999995</v>
      </c>
      <c r="I92" s="59">
        <f t="shared" si="33"/>
        <v>-203945</v>
      </c>
      <c r="J92" s="10">
        <f t="shared" si="34"/>
        <v>1.9300000000000002</v>
      </c>
      <c r="K92" s="59">
        <f t="shared" si="28"/>
        <v>690550</v>
      </c>
      <c r="L92" s="66">
        <v>0</v>
      </c>
      <c r="M92" s="59">
        <f t="shared" si="35"/>
        <v>0</v>
      </c>
      <c r="N92" s="49">
        <f t="shared" si="43"/>
        <v>0</v>
      </c>
      <c r="O92" s="52">
        <f t="shared" si="44"/>
        <v>0</v>
      </c>
      <c r="P92" s="47">
        <f>N92/J92</f>
        <v>0</v>
      </c>
    </row>
    <row r="93" spans="2:16" s="618" customFormat="1">
      <c r="B93" s="69">
        <v>4.2</v>
      </c>
      <c r="C93" s="63" t="s">
        <v>132</v>
      </c>
      <c r="D93" s="72" t="s">
        <v>46</v>
      </c>
      <c r="E93" s="226">
        <v>2.5</v>
      </c>
      <c r="F93" s="65">
        <v>186656</v>
      </c>
      <c r="G93" s="59">
        <f t="shared" si="32"/>
        <v>466640</v>
      </c>
      <c r="H93" s="584">
        <f>-0.39</f>
        <v>-0.39</v>
      </c>
      <c r="I93" s="59">
        <f t="shared" si="33"/>
        <v>-72796</v>
      </c>
      <c r="J93" s="10">
        <f t="shared" si="34"/>
        <v>2.11</v>
      </c>
      <c r="K93" s="59">
        <f t="shared" si="28"/>
        <v>393844</v>
      </c>
      <c r="L93" s="66">
        <v>0</v>
      </c>
      <c r="M93" s="59">
        <f t="shared" si="35"/>
        <v>0</v>
      </c>
      <c r="N93" s="49">
        <f t="shared" si="43"/>
        <v>0</v>
      </c>
      <c r="O93" s="52">
        <f t="shared" si="44"/>
        <v>0</v>
      </c>
      <c r="P93" s="47">
        <f>N93/J93</f>
        <v>0</v>
      </c>
    </row>
    <row r="94" spans="2:16" s="618" customFormat="1" ht="28.5">
      <c r="B94" s="62">
        <v>4.3</v>
      </c>
      <c r="C94" s="73" t="s">
        <v>391</v>
      </c>
      <c r="D94" s="72" t="s">
        <v>124</v>
      </c>
      <c r="E94" s="226">
        <v>1</v>
      </c>
      <c r="F94" s="65">
        <v>173078</v>
      </c>
      <c r="G94" s="59">
        <f t="shared" si="32"/>
        <v>173078</v>
      </c>
      <c r="H94" s="584">
        <v>1</v>
      </c>
      <c r="I94" s="59">
        <f t="shared" si="33"/>
        <v>173078</v>
      </c>
      <c r="J94" s="10">
        <f t="shared" si="34"/>
        <v>2</v>
      </c>
      <c r="K94" s="59">
        <f t="shared" si="28"/>
        <v>346156</v>
      </c>
      <c r="L94" s="66">
        <v>0</v>
      </c>
      <c r="M94" s="59">
        <f t="shared" si="35"/>
        <v>0</v>
      </c>
      <c r="N94" s="49">
        <f t="shared" si="43"/>
        <v>0</v>
      </c>
      <c r="O94" s="52">
        <f t="shared" si="44"/>
        <v>0</v>
      </c>
      <c r="P94" s="47">
        <f>N94/J94</f>
        <v>0</v>
      </c>
    </row>
    <row r="95" spans="2:16" s="618" customFormat="1" ht="15">
      <c r="B95" s="96">
        <v>5</v>
      </c>
      <c r="C95" s="89" t="s">
        <v>133</v>
      </c>
      <c r="D95" s="82"/>
      <c r="E95" s="221"/>
      <c r="F95" s="91"/>
      <c r="G95" s="60"/>
      <c r="H95" s="586"/>
      <c r="I95" s="60"/>
      <c r="J95" s="83"/>
      <c r="K95" s="60"/>
      <c r="L95" s="92"/>
      <c r="M95" s="60"/>
      <c r="N95" s="85"/>
      <c r="O95" s="93"/>
      <c r="P95" s="86"/>
    </row>
    <row r="96" spans="2:16" s="618" customFormat="1" ht="28.5">
      <c r="B96" s="69">
        <v>5.0999999999999996</v>
      </c>
      <c r="C96" s="63" t="s">
        <v>134</v>
      </c>
      <c r="D96" s="72" t="s">
        <v>46</v>
      </c>
      <c r="E96" s="226">
        <v>5</v>
      </c>
      <c r="F96" s="65">
        <v>52758</v>
      </c>
      <c r="G96" s="59">
        <f t="shared" si="32"/>
        <v>263790</v>
      </c>
      <c r="H96" s="584">
        <f>-4</f>
        <v>-4</v>
      </c>
      <c r="I96" s="59">
        <f t="shared" si="33"/>
        <v>-211032</v>
      </c>
      <c r="J96" s="10">
        <f t="shared" si="34"/>
        <v>1</v>
      </c>
      <c r="K96" s="59">
        <f t="shared" si="28"/>
        <v>52758</v>
      </c>
      <c r="L96" s="66">
        <v>0</v>
      </c>
      <c r="M96" s="59">
        <f t="shared" si="35"/>
        <v>0</v>
      </c>
      <c r="N96" s="49">
        <f t="shared" ref="N96:N97" si="45">+L96</f>
        <v>0</v>
      </c>
      <c r="O96" s="52">
        <f t="shared" ref="O96:O97" si="46">+N96*F96</f>
        <v>0</v>
      </c>
      <c r="P96" s="47">
        <f>N96/J96</f>
        <v>0</v>
      </c>
    </row>
    <row r="97" spans="2:16" s="618" customFormat="1">
      <c r="B97" s="69">
        <v>5.2</v>
      </c>
      <c r="C97" s="63" t="s">
        <v>135</v>
      </c>
      <c r="D97" s="64" t="s">
        <v>46</v>
      </c>
      <c r="E97" s="226">
        <v>19</v>
      </c>
      <c r="F97" s="65">
        <v>28744</v>
      </c>
      <c r="G97" s="59">
        <f t="shared" si="32"/>
        <v>546136</v>
      </c>
      <c r="H97" s="584"/>
      <c r="I97" s="59">
        <f t="shared" si="33"/>
        <v>0</v>
      </c>
      <c r="J97" s="10">
        <f t="shared" si="34"/>
        <v>19</v>
      </c>
      <c r="K97" s="59">
        <f t="shared" si="28"/>
        <v>546136</v>
      </c>
      <c r="L97" s="66">
        <v>0</v>
      </c>
      <c r="M97" s="59">
        <f t="shared" si="35"/>
        <v>0</v>
      </c>
      <c r="N97" s="49">
        <f t="shared" si="45"/>
        <v>0</v>
      </c>
      <c r="O97" s="52">
        <f t="shared" si="46"/>
        <v>0</v>
      </c>
      <c r="P97" s="47">
        <f>N97/J97</f>
        <v>0</v>
      </c>
    </row>
    <row r="98" spans="2:16" s="618" customFormat="1" ht="15">
      <c r="B98" s="96">
        <v>6</v>
      </c>
      <c r="C98" s="89" t="s">
        <v>136</v>
      </c>
      <c r="D98" s="82"/>
      <c r="E98" s="221"/>
      <c r="F98" s="91"/>
      <c r="G98" s="60"/>
      <c r="H98" s="586"/>
      <c r="I98" s="60"/>
      <c r="J98" s="83"/>
      <c r="K98" s="60"/>
      <c r="L98" s="92"/>
      <c r="M98" s="60"/>
      <c r="N98" s="85"/>
      <c r="O98" s="93"/>
      <c r="P98" s="86"/>
    </row>
    <row r="99" spans="2:16" s="618" customFormat="1">
      <c r="B99" s="69">
        <v>6.1</v>
      </c>
      <c r="C99" s="102" t="s">
        <v>137</v>
      </c>
      <c r="D99" s="64" t="s">
        <v>46</v>
      </c>
      <c r="E99" s="224">
        <v>45</v>
      </c>
      <c r="F99" s="65">
        <v>7617</v>
      </c>
      <c r="G99" s="59">
        <f t="shared" si="32"/>
        <v>342765</v>
      </c>
      <c r="H99" s="584">
        <f>34.57</f>
        <v>34.57</v>
      </c>
      <c r="I99" s="59">
        <f t="shared" si="33"/>
        <v>263320</v>
      </c>
      <c r="J99" s="10">
        <f>+H99+E99</f>
        <v>79.569999999999993</v>
      </c>
      <c r="K99" s="59">
        <f t="shared" si="28"/>
        <v>606085</v>
      </c>
      <c r="L99" s="66">
        <v>0</v>
      </c>
      <c r="M99" s="59">
        <f t="shared" si="35"/>
        <v>0</v>
      </c>
      <c r="N99" s="49">
        <f t="shared" ref="N99:N100" si="47">+L99</f>
        <v>0</v>
      </c>
      <c r="O99" s="52">
        <f t="shared" ref="O99:O100" si="48">+N99*F99</f>
        <v>0</v>
      </c>
      <c r="P99" s="47">
        <f>N99/J99</f>
        <v>0</v>
      </c>
    </row>
    <row r="100" spans="2:16" s="618" customFormat="1">
      <c r="B100" s="62">
        <v>6.2</v>
      </c>
      <c r="C100" s="102" t="s">
        <v>138</v>
      </c>
      <c r="D100" s="64" t="s">
        <v>46</v>
      </c>
      <c r="E100" s="224">
        <v>45</v>
      </c>
      <c r="F100" s="65">
        <v>7644</v>
      </c>
      <c r="G100" s="59">
        <f t="shared" si="32"/>
        <v>343980</v>
      </c>
      <c r="H100" s="584">
        <f>24.83</f>
        <v>24.83</v>
      </c>
      <c r="I100" s="59">
        <f t="shared" si="33"/>
        <v>189801</v>
      </c>
      <c r="J100" s="10">
        <f t="shared" si="34"/>
        <v>69.83</v>
      </c>
      <c r="K100" s="59">
        <f t="shared" si="28"/>
        <v>533781</v>
      </c>
      <c r="L100" s="66">
        <v>0</v>
      </c>
      <c r="M100" s="59">
        <f t="shared" si="35"/>
        <v>0</v>
      </c>
      <c r="N100" s="49">
        <f t="shared" si="47"/>
        <v>0</v>
      </c>
      <c r="O100" s="52">
        <f t="shared" si="48"/>
        <v>0</v>
      </c>
      <c r="P100" s="47">
        <f>N100/J100</f>
        <v>0</v>
      </c>
    </row>
    <row r="101" spans="2:16" s="618" customFormat="1" ht="15">
      <c r="B101" s="98">
        <v>7</v>
      </c>
      <c r="C101" s="89" t="s">
        <v>139</v>
      </c>
      <c r="D101" s="99"/>
      <c r="E101" s="227"/>
      <c r="F101" s="100"/>
      <c r="G101" s="60"/>
      <c r="H101" s="586"/>
      <c r="I101" s="60"/>
      <c r="J101" s="83"/>
      <c r="K101" s="60"/>
      <c r="L101" s="83"/>
      <c r="M101" s="60"/>
      <c r="N101" s="85"/>
      <c r="O101" s="93"/>
      <c r="P101" s="86"/>
    </row>
    <row r="102" spans="2:16" s="618" customFormat="1" ht="28.5">
      <c r="B102" s="69">
        <v>7.1</v>
      </c>
      <c r="C102" s="102" t="s">
        <v>382</v>
      </c>
      <c r="D102" s="64" t="s">
        <v>109</v>
      </c>
      <c r="E102" s="224">
        <v>1</v>
      </c>
      <c r="F102" s="65">
        <v>996963</v>
      </c>
      <c r="G102" s="59">
        <f t="shared" si="32"/>
        <v>996963</v>
      </c>
      <c r="H102" s="584">
        <v>0</v>
      </c>
      <c r="I102" s="59">
        <f t="shared" si="33"/>
        <v>0</v>
      </c>
      <c r="J102" s="10">
        <f t="shared" si="34"/>
        <v>1</v>
      </c>
      <c r="K102" s="59">
        <f t="shared" si="28"/>
        <v>996963</v>
      </c>
      <c r="L102" s="66">
        <v>0</v>
      </c>
      <c r="M102" s="59">
        <f t="shared" si="35"/>
        <v>0</v>
      </c>
      <c r="N102" s="49">
        <f t="shared" ref="N102" si="49">+L102</f>
        <v>0</v>
      </c>
      <c r="O102" s="52">
        <f t="shared" ref="O102" si="50">+N102*F102</f>
        <v>0</v>
      </c>
      <c r="P102" s="47">
        <f>N102/J102</f>
        <v>0</v>
      </c>
    </row>
    <row r="103" spans="2:16" s="618" customFormat="1" ht="15">
      <c r="B103" s="98">
        <v>8</v>
      </c>
      <c r="C103" s="89" t="s">
        <v>140</v>
      </c>
      <c r="D103" s="90"/>
      <c r="E103" s="225"/>
      <c r="F103" s="91"/>
      <c r="G103" s="60"/>
      <c r="H103" s="586"/>
      <c r="I103" s="60"/>
      <c r="J103" s="83"/>
      <c r="K103" s="60"/>
      <c r="L103" s="83"/>
      <c r="M103" s="60"/>
      <c r="N103" s="85"/>
      <c r="O103" s="93"/>
      <c r="P103" s="86"/>
    </row>
    <row r="104" spans="2:16" s="618" customFormat="1">
      <c r="B104" s="69">
        <v>8.1</v>
      </c>
      <c r="C104" s="63" t="s">
        <v>141</v>
      </c>
      <c r="D104" s="64" t="s">
        <v>46</v>
      </c>
      <c r="E104" s="224">
        <v>19</v>
      </c>
      <c r="F104" s="65">
        <v>12444</v>
      </c>
      <c r="G104" s="59">
        <f t="shared" si="32"/>
        <v>236436</v>
      </c>
      <c r="H104" s="584">
        <v>16</v>
      </c>
      <c r="I104" s="59">
        <f t="shared" si="33"/>
        <v>199104</v>
      </c>
      <c r="J104" s="10">
        <f t="shared" si="34"/>
        <v>35</v>
      </c>
      <c r="K104" s="59">
        <f t="shared" si="28"/>
        <v>435540</v>
      </c>
      <c r="L104" s="66">
        <v>0</v>
      </c>
      <c r="M104" s="59">
        <f t="shared" si="35"/>
        <v>0</v>
      </c>
      <c r="N104" s="49">
        <f t="shared" ref="N104" si="51">+L104</f>
        <v>0</v>
      </c>
      <c r="O104" s="52">
        <f t="shared" ref="O104" si="52">+N104*F104</f>
        <v>0</v>
      </c>
      <c r="P104" s="47">
        <f>N104/J104</f>
        <v>0</v>
      </c>
    </row>
    <row r="105" spans="2:16" s="618" customFormat="1">
      <c r="B105" s="62">
        <v>8.1999999999999993</v>
      </c>
      <c r="C105" s="102" t="s">
        <v>142</v>
      </c>
      <c r="D105" s="64" t="s">
        <v>109</v>
      </c>
      <c r="E105" s="224">
        <v>1</v>
      </c>
      <c r="F105" s="65">
        <v>82896</v>
      </c>
      <c r="G105" s="59">
        <f t="shared" si="32"/>
        <v>82896</v>
      </c>
      <c r="H105" s="584">
        <v>0</v>
      </c>
      <c r="I105" s="59">
        <f t="shared" si="33"/>
        <v>0</v>
      </c>
      <c r="J105" s="10">
        <f t="shared" si="34"/>
        <v>1</v>
      </c>
      <c r="K105" s="59">
        <f t="shared" si="28"/>
        <v>82896</v>
      </c>
      <c r="L105" s="66">
        <v>0</v>
      </c>
      <c r="M105" s="59">
        <f t="shared" si="35"/>
        <v>0</v>
      </c>
      <c r="N105" s="49">
        <f t="shared" ref="N105" si="53">+L105</f>
        <v>0</v>
      </c>
      <c r="O105" s="52">
        <f t="shared" ref="O105" si="54">+N105*F105</f>
        <v>0</v>
      </c>
      <c r="P105" s="47">
        <f>N105/J105</f>
        <v>0</v>
      </c>
    </row>
    <row r="106" spans="2:16" s="618" customFormat="1">
      <c r="B106" s="62">
        <v>8.3000000000000007</v>
      </c>
      <c r="C106" s="63" t="s">
        <v>143</v>
      </c>
      <c r="D106" s="64" t="s">
        <v>144</v>
      </c>
      <c r="E106" s="224">
        <v>1</v>
      </c>
      <c r="F106" s="65">
        <v>227731</v>
      </c>
      <c r="G106" s="59">
        <f t="shared" si="32"/>
        <v>227731</v>
      </c>
      <c r="H106" s="584">
        <v>-1</v>
      </c>
      <c r="I106" s="59">
        <f t="shared" si="33"/>
        <v>-227731</v>
      </c>
      <c r="J106" s="10">
        <f t="shared" si="34"/>
        <v>0</v>
      </c>
      <c r="K106" s="59">
        <f t="shared" si="28"/>
        <v>0</v>
      </c>
      <c r="L106" s="66">
        <v>0</v>
      </c>
      <c r="M106" s="59">
        <f t="shared" si="35"/>
        <v>0</v>
      </c>
      <c r="N106" s="49">
        <f t="shared" ref="N106" si="55">+L106</f>
        <v>0</v>
      </c>
      <c r="O106" s="52">
        <f t="shared" ref="O106" si="56">+N106*F106</f>
        <v>0</v>
      </c>
      <c r="P106" s="47">
        <v>0</v>
      </c>
    </row>
    <row r="107" spans="2:16" s="618" customFormat="1" ht="15">
      <c r="B107" s="98">
        <v>9</v>
      </c>
      <c r="C107" s="89" t="s">
        <v>145</v>
      </c>
      <c r="D107" s="90"/>
      <c r="E107" s="225"/>
      <c r="F107" s="91"/>
      <c r="G107" s="60"/>
      <c r="H107" s="586"/>
      <c r="I107" s="60"/>
      <c r="J107" s="83"/>
      <c r="K107" s="60"/>
      <c r="L107" s="83"/>
      <c r="M107" s="60"/>
      <c r="N107" s="85"/>
      <c r="O107" s="93"/>
      <c r="P107" s="86"/>
    </row>
    <row r="108" spans="2:16" s="618" customFormat="1" ht="57">
      <c r="B108" s="69">
        <v>9.1</v>
      </c>
      <c r="C108" s="63" t="s">
        <v>392</v>
      </c>
      <c r="D108" s="64" t="s">
        <v>146</v>
      </c>
      <c r="E108" s="224">
        <v>1</v>
      </c>
      <c r="F108" s="65">
        <v>3555018</v>
      </c>
      <c r="G108" s="59">
        <f t="shared" si="32"/>
        <v>3555018</v>
      </c>
      <c r="H108" s="584">
        <v>0</v>
      </c>
      <c r="I108" s="59">
        <f t="shared" si="33"/>
        <v>0</v>
      </c>
      <c r="J108" s="10">
        <f t="shared" si="34"/>
        <v>1</v>
      </c>
      <c r="K108" s="59">
        <f t="shared" si="28"/>
        <v>3555018</v>
      </c>
      <c r="L108" s="66">
        <v>0</v>
      </c>
      <c r="M108" s="59">
        <f t="shared" si="35"/>
        <v>0</v>
      </c>
      <c r="N108" s="49">
        <f t="shared" ref="N108" si="57">+L108</f>
        <v>0</v>
      </c>
      <c r="O108" s="52">
        <f t="shared" ref="O108" si="58">+N108*F108</f>
        <v>0</v>
      </c>
      <c r="P108" s="47">
        <f>N108/J108</f>
        <v>0</v>
      </c>
    </row>
    <row r="109" spans="2:16" s="618" customFormat="1" ht="15">
      <c r="B109" s="98"/>
      <c r="C109" s="89" t="s">
        <v>147</v>
      </c>
      <c r="D109" s="90"/>
      <c r="E109" s="225"/>
      <c r="F109" s="91"/>
      <c r="G109" s="60"/>
      <c r="H109" s="586"/>
      <c r="I109" s="60"/>
      <c r="J109" s="83"/>
      <c r="K109" s="60"/>
      <c r="L109" s="92"/>
      <c r="M109" s="60"/>
      <c r="N109" s="85"/>
      <c r="O109" s="93"/>
      <c r="P109" s="86"/>
    </row>
    <row r="110" spans="2:16" s="618" customFormat="1" ht="28.5">
      <c r="B110" s="469" t="s">
        <v>84</v>
      </c>
      <c r="C110" s="182" t="s">
        <v>383</v>
      </c>
      <c r="D110" s="77" t="s">
        <v>148</v>
      </c>
      <c r="E110" s="224"/>
      <c r="F110" s="75">
        <v>1067884</v>
      </c>
      <c r="G110" s="59">
        <f t="shared" si="32"/>
        <v>0</v>
      </c>
      <c r="H110" s="584">
        <v>1</v>
      </c>
      <c r="I110" s="59">
        <f t="shared" si="33"/>
        <v>1067884</v>
      </c>
      <c r="J110" s="10">
        <f t="shared" ref="J110:J122" si="59">+H110+E110</f>
        <v>1</v>
      </c>
      <c r="K110" s="59">
        <f t="shared" ref="K110:K122" si="60">+ROUND(J110*F110,0)</f>
        <v>1067884</v>
      </c>
      <c r="L110" s="66">
        <v>0</v>
      </c>
      <c r="M110" s="59">
        <f t="shared" si="35"/>
        <v>0</v>
      </c>
      <c r="N110" s="49">
        <f t="shared" ref="N110" si="61">+L110</f>
        <v>0</v>
      </c>
      <c r="O110" s="52">
        <f t="shared" ref="O110" si="62">+N110*F110</f>
        <v>0</v>
      </c>
      <c r="P110" s="47">
        <f t="shared" ref="P110:P122" si="63">N110/J110</f>
        <v>0</v>
      </c>
    </row>
    <row r="111" spans="2:16" s="618" customFormat="1" ht="57">
      <c r="B111" s="469" t="s">
        <v>85</v>
      </c>
      <c r="C111" s="182" t="s">
        <v>149</v>
      </c>
      <c r="D111" s="77" t="s">
        <v>22</v>
      </c>
      <c r="E111" s="224"/>
      <c r="F111" s="75">
        <v>77686</v>
      </c>
      <c r="G111" s="59">
        <f t="shared" si="32"/>
        <v>0</v>
      </c>
      <c r="H111" s="584">
        <v>7</v>
      </c>
      <c r="I111" s="59">
        <f t="shared" si="33"/>
        <v>543802</v>
      </c>
      <c r="J111" s="10">
        <f t="shared" si="59"/>
        <v>7</v>
      </c>
      <c r="K111" s="59">
        <f t="shared" si="60"/>
        <v>543802</v>
      </c>
      <c r="L111" s="66">
        <v>0</v>
      </c>
      <c r="M111" s="59">
        <f t="shared" si="35"/>
        <v>0</v>
      </c>
      <c r="N111" s="49">
        <f t="shared" ref="N111:N122" si="64">+L111</f>
        <v>0</v>
      </c>
      <c r="O111" s="52">
        <f t="shared" ref="O111:O122" si="65">+N111*F111</f>
        <v>0</v>
      </c>
      <c r="P111" s="47">
        <f t="shared" si="63"/>
        <v>0</v>
      </c>
    </row>
    <row r="112" spans="2:16" s="618" customFormat="1" ht="28.5">
      <c r="B112" s="469" t="s">
        <v>87</v>
      </c>
      <c r="C112" s="76" t="s">
        <v>150</v>
      </c>
      <c r="D112" s="77" t="s">
        <v>22</v>
      </c>
      <c r="E112" s="224"/>
      <c r="F112" s="75">
        <v>47764</v>
      </c>
      <c r="G112" s="59">
        <f t="shared" si="32"/>
        <v>0</v>
      </c>
      <c r="H112" s="584">
        <v>4</v>
      </c>
      <c r="I112" s="59">
        <f t="shared" si="33"/>
        <v>191056</v>
      </c>
      <c r="J112" s="10">
        <f t="shared" si="59"/>
        <v>4</v>
      </c>
      <c r="K112" s="59">
        <f t="shared" si="60"/>
        <v>191056</v>
      </c>
      <c r="L112" s="66">
        <v>0</v>
      </c>
      <c r="M112" s="59">
        <f t="shared" si="35"/>
        <v>0</v>
      </c>
      <c r="N112" s="49">
        <f t="shared" si="64"/>
        <v>0</v>
      </c>
      <c r="O112" s="52">
        <f t="shared" si="65"/>
        <v>0</v>
      </c>
      <c r="P112" s="47">
        <f t="shared" si="63"/>
        <v>0</v>
      </c>
    </row>
    <row r="113" spans="2:16" s="618" customFormat="1" ht="28.5">
      <c r="B113" s="469" t="s">
        <v>151</v>
      </c>
      <c r="C113" s="76" t="s">
        <v>152</v>
      </c>
      <c r="D113" s="77" t="s">
        <v>22</v>
      </c>
      <c r="E113" s="224"/>
      <c r="F113" s="75">
        <v>51107</v>
      </c>
      <c r="G113" s="59">
        <f t="shared" si="32"/>
        <v>0</v>
      </c>
      <c r="H113" s="584">
        <v>7</v>
      </c>
      <c r="I113" s="59">
        <f t="shared" si="33"/>
        <v>357749</v>
      </c>
      <c r="J113" s="10">
        <f t="shared" si="59"/>
        <v>7</v>
      </c>
      <c r="K113" s="59">
        <f t="shared" si="60"/>
        <v>357749</v>
      </c>
      <c r="L113" s="66">
        <v>0</v>
      </c>
      <c r="M113" s="59">
        <f t="shared" si="35"/>
        <v>0</v>
      </c>
      <c r="N113" s="49">
        <f t="shared" si="64"/>
        <v>0</v>
      </c>
      <c r="O113" s="52">
        <f t="shared" si="65"/>
        <v>0</v>
      </c>
      <c r="P113" s="47">
        <f t="shared" si="63"/>
        <v>0</v>
      </c>
    </row>
    <row r="114" spans="2:16" s="618" customFormat="1" ht="28.5">
      <c r="B114" s="469" t="s">
        <v>153</v>
      </c>
      <c r="C114" s="74" t="s">
        <v>154</v>
      </c>
      <c r="D114" s="77" t="s">
        <v>21</v>
      </c>
      <c r="E114" s="224"/>
      <c r="F114" s="75">
        <v>57342</v>
      </c>
      <c r="G114" s="59">
        <f t="shared" si="32"/>
        <v>0</v>
      </c>
      <c r="H114" s="584">
        <v>2.2999999999999998</v>
      </c>
      <c r="I114" s="59">
        <f t="shared" si="33"/>
        <v>131887</v>
      </c>
      <c r="J114" s="10">
        <f t="shared" si="59"/>
        <v>2.2999999999999998</v>
      </c>
      <c r="K114" s="59">
        <f>+ROUND(J114*F114,0)</f>
        <v>131887</v>
      </c>
      <c r="L114" s="66">
        <v>0</v>
      </c>
      <c r="M114" s="59">
        <f t="shared" si="35"/>
        <v>0</v>
      </c>
      <c r="N114" s="49">
        <f t="shared" si="64"/>
        <v>0</v>
      </c>
      <c r="O114" s="52">
        <f t="shared" si="65"/>
        <v>0</v>
      </c>
      <c r="P114" s="47">
        <f t="shared" si="63"/>
        <v>0</v>
      </c>
    </row>
    <row r="115" spans="2:16" s="618" customFormat="1" ht="42.75">
      <c r="B115" s="469" t="s">
        <v>155</v>
      </c>
      <c r="C115" s="74" t="s">
        <v>156</v>
      </c>
      <c r="D115" s="77" t="s">
        <v>21</v>
      </c>
      <c r="E115" s="224"/>
      <c r="F115" s="75">
        <v>57342</v>
      </c>
      <c r="G115" s="59">
        <f t="shared" si="32"/>
        <v>0</v>
      </c>
      <c r="H115" s="584">
        <v>11.43</v>
      </c>
      <c r="I115" s="59">
        <f t="shared" si="33"/>
        <v>655419</v>
      </c>
      <c r="J115" s="10">
        <f t="shared" si="59"/>
        <v>11.43</v>
      </c>
      <c r="K115" s="59">
        <f t="shared" si="60"/>
        <v>655419</v>
      </c>
      <c r="L115" s="66">
        <v>0</v>
      </c>
      <c r="M115" s="59">
        <f t="shared" si="35"/>
        <v>0</v>
      </c>
      <c r="N115" s="49">
        <f t="shared" si="64"/>
        <v>0</v>
      </c>
      <c r="O115" s="52">
        <f t="shared" si="65"/>
        <v>0</v>
      </c>
      <c r="P115" s="47">
        <f t="shared" si="63"/>
        <v>0</v>
      </c>
    </row>
    <row r="116" spans="2:16" s="618" customFormat="1" ht="42.75">
      <c r="B116" s="469" t="s">
        <v>157</v>
      </c>
      <c r="C116" s="76" t="s">
        <v>158</v>
      </c>
      <c r="D116" s="77" t="s">
        <v>21</v>
      </c>
      <c r="E116" s="224"/>
      <c r="F116" s="75">
        <v>59853</v>
      </c>
      <c r="G116" s="59">
        <f t="shared" si="32"/>
        <v>0</v>
      </c>
      <c r="H116" s="584">
        <v>61.51</v>
      </c>
      <c r="I116" s="59">
        <f t="shared" si="33"/>
        <v>3681558</v>
      </c>
      <c r="J116" s="10">
        <f t="shared" si="59"/>
        <v>61.51</v>
      </c>
      <c r="K116" s="43">
        <f t="shared" si="60"/>
        <v>3681558</v>
      </c>
      <c r="L116" s="66">
        <v>0</v>
      </c>
      <c r="M116" s="59">
        <f t="shared" si="35"/>
        <v>0</v>
      </c>
      <c r="N116" s="49">
        <f t="shared" si="64"/>
        <v>0</v>
      </c>
      <c r="O116" s="52">
        <f t="shared" si="65"/>
        <v>0</v>
      </c>
      <c r="P116" s="47">
        <f t="shared" si="63"/>
        <v>0</v>
      </c>
    </row>
    <row r="117" spans="2:16" s="618" customFormat="1" ht="28.5">
      <c r="B117" s="469" t="s">
        <v>159</v>
      </c>
      <c r="C117" s="76" t="s">
        <v>160</v>
      </c>
      <c r="D117" s="470" t="s">
        <v>21</v>
      </c>
      <c r="E117" s="224"/>
      <c r="F117" s="78">
        <v>18557</v>
      </c>
      <c r="G117" s="59">
        <f t="shared" si="32"/>
        <v>0</v>
      </c>
      <c r="H117" s="595">
        <v>19.579999999999998</v>
      </c>
      <c r="I117" s="59">
        <f t="shared" si="33"/>
        <v>363346</v>
      </c>
      <c r="J117" s="10">
        <f t="shared" si="59"/>
        <v>19.579999999999998</v>
      </c>
      <c r="K117" s="59">
        <f t="shared" si="60"/>
        <v>363346</v>
      </c>
      <c r="L117" s="66">
        <v>0</v>
      </c>
      <c r="M117" s="59">
        <f t="shared" si="35"/>
        <v>0</v>
      </c>
      <c r="N117" s="49">
        <f t="shared" si="64"/>
        <v>0</v>
      </c>
      <c r="O117" s="52">
        <f t="shared" si="65"/>
        <v>0</v>
      </c>
      <c r="P117" s="47">
        <f t="shared" si="63"/>
        <v>0</v>
      </c>
    </row>
    <row r="118" spans="2:16" s="618" customFormat="1">
      <c r="B118" s="469" t="s">
        <v>161</v>
      </c>
      <c r="C118" s="183" t="s">
        <v>162</v>
      </c>
      <c r="D118" s="77" t="s">
        <v>21</v>
      </c>
      <c r="E118" s="224"/>
      <c r="F118" s="75">
        <v>6186</v>
      </c>
      <c r="G118" s="59">
        <f t="shared" si="32"/>
        <v>0</v>
      </c>
      <c r="H118" s="584">
        <v>152.59</v>
      </c>
      <c r="I118" s="59">
        <f t="shared" si="33"/>
        <v>943922</v>
      </c>
      <c r="J118" s="10">
        <f t="shared" si="59"/>
        <v>152.59</v>
      </c>
      <c r="K118" s="59">
        <f t="shared" si="60"/>
        <v>943922</v>
      </c>
      <c r="L118" s="66">
        <v>0</v>
      </c>
      <c r="M118" s="59">
        <f t="shared" si="35"/>
        <v>0</v>
      </c>
      <c r="N118" s="49">
        <f t="shared" si="64"/>
        <v>0</v>
      </c>
      <c r="O118" s="52">
        <f t="shared" si="65"/>
        <v>0</v>
      </c>
      <c r="P118" s="47">
        <f t="shared" si="63"/>
        <v>0</v>
      </c>
    </row>
    <row r="119" spans="2:16" s="618" customFormat="1" ht="42.75">
      <c r="B119" s="469" t="s">
        <v>163</v>
      </c>
      <c r="C119" s="183" t="s">
        <v>164</v>
      </c>
      <c r="D119" s="77" t="s">
        <v>21</v>
      </c>
      <c r="E119" s="224"/>
      <c r="F119" s="75">
        <v>6639</v>
      </c>
      <c r="G119" s="59">
        <f t="shared" si="32"/>
        <v>0</v>
      </c>
      <c r="H119" s="584">
        <v>152.59</v>
      </c>
      <c r="I119" s="59">
        <f t="shared" si="33"/>
        <v>1013045</v>
      </c>
      <c r="J119" s="10">
        <f t="shared" si="59"/>
        <v>152.59</v>
      </c>
      <c r="K119" s="59">
        <f t="shared" si="60"/>
        <v>1013045</v>
      </c>
      <c r="L119" s="66">
        <v>0</v>
      </c>
      <c r="M119" s="59">
        <f t="shared" si="35"/>
        <v>0</v>
      </c>
      <c r="N119" s="49">
        <f t="shared" si="64"/>
        <v>0</v>
      </c>
      <c r="O119" s="52">
        <f t="shared" si="65"/>
        <v>0</v>
      </c>
      <c r="P119" s="47">
        <f t="shared" si="63"/>
        <v>0</v>
      </c>
    </row>
    <row r="120" spans="2:16" s="618" customFormat="1">
      <c r="B120" s="469" t="s">
        <v>165</v>
      </c>
      <c r="C120" s="74" t="s">
        <v>167</v>
      </c>
      <c r="D120" s="77" t="s">
        <v>21</v>
      </c>
      <c r="E120" s="224"/>
      <c r="F120" s="75">
        <v>54960</v>
      </c>
      <c r="G120" s="59">
        <f t="shared" si="32"/>
        <v>0</v>
      </c>
      <c r="H120" s="584">
        <v>1.38</v>
      </c>
      <c r="I120" s="59">
        <f t="shared" si="33"/>
        <v>75845</v>
      </c>
      <c r="J120" s="10">
        <f t="shared" si="59"/>
        <v>1.38</v>
      </c>
      <c r="K120" s="59">
        <f t="shared" si="60"/>
        <v>75845</v>
      </c>
      <c r="L120" s="66">
        <v>0</v>
      </c>
      <c r="M120" s="59">
        <f t="shared" si="35"/>
        <v>0</v>
      </c>
      <c r="N120" s="49">
        <f t="shared" si="64"/>
        <v>0</v>
      </c>
      <c r="O120" s="52">
        <f t="shared" si="65"/>
        <v>0</v>
      </c>
      <c r="P120" s="47">
        <f t="shared" si="63"/>
        <v>0</v>
      </c>
    </row>
    <row r="121" spans="2:16" s="618" customFormat="1">
      <c r="B121" s="469" t="s">
        <v>166</v>
      </c>
      <c r="C121" s="74" t="s">
        <v>168</v>
      </c>
      <c r="D121" s="189" t="s">
        <v>21</v>
      </c>
      <c r="E121" s="228"/>
      <c r="F121" s="75">
        <v>3166</v>
      </c>
      <c r="G121" s="104">
        <f>+ROUND(F121*E121,0)</f>
        <v>0</v>
      </c>
      <c r="H121" s="596">
        <v>79.06</v>
      </c>
      <c r="I121" s="59">
        <f>+ROUND(H121*F121,0)</f>
        <v>250304</v>
      </c>
      <c r="J121" s="49">
        <f t="shared" si="59"/>
        <v>79.06</v>
      </c>
      <c r="K121" s="104">
        <f t="shared" si="60"/>
        <v>250304</v>
      </c>
      <c r="L121" s="103">
        <v>0</v>
      </c>
      <c r="M121" s="104">
        <f t="shared" ref="M121:M122" si="66">+ROUND(L121*F121,0)</f>
        <v>0</v>
      </c>
      <c r="N121" s="49">
        <f t="shared" si="64"/>
        <v>0</v>
      </c>
      <c r="O121" s="52">
        <f t="shared" si="65"/>
        <v>0</v>
      </c>
      <c r="P121" s="47">
        <f t="shared" si="63"/>
        <v>0</v>
      </c>
    </row>
    <row r="122" spans="2:16" s="618" customFormat="1" ht="29.25" thickBot="1">
      <c r="B122" s="578" t="s">
        <v>444</v>
      </c>
      <c r="C122" s="471" t="s">
        <v>55</v>
      </c>
      <c r="D122" s="192" t="s">
        <v>180</v>
      </c>
      <c r="E122" s="222"/>
      <c r="F122" s="472">
        <v>5476</v>
      </c>
      <c r="G122" s="44"/>
      <c r="H122" s="589">
        <v>56.34</v>
      </c>
      <c r="I122" s="288">
        <f>+ROUND(H122*F122,0)</f>
        <v>308518</v>
      </c>
      <c r="J122" s="11">
        <f t="shared" si="59"/>
        <v>56.34</v>
      </c>
      <c r="K122" s="44">
        <f t="shared" si="60"/>
        <v>308518</v>
      </c>
      <c r="L122" s="11">
        <v>0</v>
      </c>
      <c r="M122" s="44">
        <f t="shared" si="66"/>
        <v>0</v>
      </c>
      <c r="N122" s="11">
        <f t="shared" si="64"/>
        <v>0</v>
      </c>
      <c r="O122" s="44">
        <f t="shared" si="65"/>
        <v>0</v>
      </c>
      <c r="P122" s="48">
        <f t="shared" si="63"/>
        <v>0</v>
      </c>
    </row>
    <row r="123" spans="2:16" s="474" customFormat="1" ht="15" thickBot="1">
      <c r="B123" s="473"/>
      <c r="H123" s="597"/>
      <c r="P123" s="623"/>
    </row>
    <row r="124" spans="2:16" s="618" customFormat="1" ht="15">
      <c r="B124" s="475"/>
      <c r="C124" s="257" t="s">
        <v>8</v>
      </c>
      <c r="D124" s="633"/>
      <c r="E124" s="633"/>
      <c r="F124" s="258"/>
      <c r="G124" s="259">
        <f>+ROUND(SUM(G71:G122),0)</f>
        <v>15228251</v>
      </c>
      <c r="H124" s="579"/>
      <c r="I124" s="259">
        <f>+ROUND(SUM(I71:I122),0)</f>
        <v>12812697</v>
      </c>
      <c r="J124" s="262"/>
      <c r="K124" s="259">
        <f>+ROUND(SUM(K71:K122),0)</f>
        <v>28040948</v>
      </c>
      <c r="L124" s="263"/>
      <c r="M124" s="259">
        <f>+ROUND(SUM(M71:M122),0)</f>
        <v>2013304</v>
      </c>
      <c r="N124" s="289"/>
      <c r="O124" s="259">
        <f>+ROUND(SUM(O71:O122),0)</f>
        <v>2013304</v>
      </c>
      <c r="P124" s="634">
        <f>+O129/K129</f>
        <v>7.179870692889033E-2</v>
      </c>
    </row>
    <row r="125" spans="2:16" s="618" customFormat="1">
      <c r="B125" s="475"/>
      <c r="C125" s="264" t="s">
        <v>101</v>
      </c>
      <c r="D125" s="265"/>
      <c r="E125" s="266">
        <v>0.25</v>
      </c>
      <c r="F125" s="267"/>
      <c r="G125" s="54">
        <f>+$G$124*E125</f>
        <v>3807062.75</v>
      </c>
      <c r="H125" s="580"/>
      <c r="I125" s="46">
        <f>+$I$124*E125</f>
        <v>3203174.25</v>
      </c>
      <c r="J125" s="269"/>
      <c r="K125" s="46">
        <f>+$K$124*E125</f>
        <v>7010237</v>
      </c>
      <c r="L125" s="270"/>
      <c r="M125" s="46">
        <f>+$M$124*E125</f>
        <v>503326</v>
      </c>
      <c r="N125" s="10"/>
      <c r="O125" s="46">
        <f>+$O$124*E125</f>
        <v>503326</v>
      </c>
      <c r="P125" s="635"/>
    </row>
    <row r="126" spans="2:16" s="618" customFormat="1">
      <c r="B126" s="475"/>
      <c r="C126" s="264" t="s">
        <v>102</v>
      </c>
      <c r="D126" s="265"/>
      <c r="E126" s="266">
        <v>0.02</v>
      </c>
      <c r="F126" s="267"/>
      <c r="G126" s="54">
        <f>+$G$124*E126</f>
        <v>304565.02</v>
      </c>
      <c r="H126" s="580"/>
      <c r="I126" s="46">
        <f t="shared" ref="I126:I127" si="67">+$I$124*E126</f>
        <v>256253.94</v>
      </c>
      <c r="J126" s="269"/>
      <c r="K126" s="46">
        <f t="shared" ref="K126:K127" si="68">+$K$124*E126</f>
        <v>560818.96</v>
      </c>
      <c r="L126" s="270"/>
      <c r="M126" s="46">
        <f t="shared" ref="M126:M127" si="69">+$M$124*E126</f>
        <v>40266.080000000002</v>
      </c>
      <c r="N126" s="10"/>
      <c r="O126" s="46">
        <f>+$O$124*E126</f>
        <v>40266.080000000002</v>
      </c>
      <c r="P126" s="635"/>
    </row>
    <row r="127" spans="2:16" s="618" customFormat="1">
      <c r="B127" s="475"/>
      <c r="C127" s="264" t="s">
        <v>103</v>
      </c>
      <c r="D127" s="265"/>
      <c r="E127" s="266">
        <v>0.05</v>
      </c>
      <c r="F127" s="267"/>
      <c r="G127" s="54">
        <f>+$G$124*E127</f>
        <v>761412.55</v>
      </c>
      <c r="H127" s="580"/>
      <c r="I127" s="46">
        <f t="shared" si="67"/>
        <v>640634.85000000009</v>
      </c>
      <c r="J127" s="269"/>
      <c r="K127" s="46">
        <f t="shared" si="68"/>
        <v>1402047.4000000001</v>
      </c>
      <c r="L127" s="270"/>
      <c r="M127" s="46">
        <f t="shared" si="69"/>
        <v>100665.20000000001</v>
      </c>
      <c r="N127" s="10"/>
      <c r="O127" s="46">
        <f>+$O$124*E127</f>
        <v>100665.20000000001</v>
      </c>
      <c r="P127" s="635"/>
    </row>
    <row r="128" spans="2:16" s="618" customFormat="1" ht="15">
      <c r="B128" s="475"/>
      <c r="C128" s="271" t="s">
        <v>104</v>
      </c>
      <c r="D128" s="637"/>
      <c r="E128" s="637"/>
      <c r="F128" s="272"/>
      <c r="G128" s="273">
        <f>ROUND(SUM(G125:G127),0)</f>
        <v>4873040</v>
      </c>
      <c r="H128" s="581"/>
      <c r="I128" s="275">
        <f>ROUND(SUM(I125:I127),0)</f>
        <v>4100063</v>
      </c>
      <c r="J128" s="276"/>
      <c r="K128" s="275">
        <f>ROUND(SUM(K125:K127),0)</f>
        <v>8973103</v>
      </c>
      <c r="L128" s="277"/>
      <c r="M128" s="275">
        <f>ROUND(SUM(M125:M127),0)</f>
        <v>644257</v>
      </c>
      <c r="N128" s="10"/>
      <c r="O128" s="275">
        <f>ROUND(SUM(O125:O127),0)</f>
        <v>644257</v>
      </c>
      <c r="P128" s="635"/>
    </row>
    <row r="129" spans="2:16" s="618" customFormat="1" ht="15.75" thickBot="1">
      <c r="B129" s="475"/>
      <c r="C129" s="278" t="s">
        <v>105</v>
      </c>
      <c r="D129" s="638"/>
      <c r="E129" s="638"/>
      <c r="F129" s="279"/>
      <c r="G129" s="159">
        <f>+ROUND(G128+G124,0)</f>
        <v>20101291</v>
      </c>
      <c r="H129" s="582"/>
      <c r="I129" s="281">
        <f>+ROUND(I128+I124,0)</f>
        <v>16912760</v>
      </c>
      <c r="J129" s="282"/>
      <c r="K129" s="281">
        <f>+ROUND(K128+K124,0)</f>
        <v>37014051</v>
      </c>
      <c r="L129" s="283"/>
      <c r="M129" s="281">
        <f>+ROUND(M128+M124,0)</f>
        <v>2657561</v>
      </c>
      <c r="N129" s="11"/>
      <c r="O129" s="281">
        <f>+ROUND(O128+O124,0)</f>
        <v>2657561</v>
      </c>
      <c r="P129" s="636"/>
    </row>
    <row r="130" spans="2:16" s="474" customFormat="1" ht="15" thickBot="1">
      <c r="B130" s="473"/>
      <c r="H130" s="597"/>
      <c r="I130" s="561"/>
      <c r="K130" s="562"/>
      <c r="M130" s="562"/>
      <c r="P130" s="623"/>
    </row>
    <row r="131" spans="2:16" s="618" customFormat="1" ht="15.75" thickBot="1">
      <c r="B131" s="476"/>
      <c r="C131" s="477" t="s">
        <v>171</v>
      </c>
      <c r="D131" s="478"/>
      <c r="E131" s="479"/>
      <c r="F131" s="480"/>
      <c r="G131" s="481"/>
      <c r="H131" s="598"/>
      <c r="I131" s="482"/>
      <c r="J131" s="302"/>
      <c r="K131" s="482"/>
      <c r="L131" s="302"/>
      <c r="M131" s="303"/>
      <c r="N131" s="306"/>
      <c r="O131" s="307"/>
      <c r="P131" s="483"/>
    </row>
    <row r="132" spans="2:16" s="618" customFormat="1">
      <c r="B132" s="484">
        <v>1.1000000000000001</v>
      </c>
      <c r="C132" s="485" t="s">
        <v>172</v>
      </c>
      <c r="D132" s="486" t="s">
        <v>44</v>
      </c>
      <c r="E132" s="487">
        <v>1</v>
      </c>
      <c r="F132" s="488">
        <v>14064</v>
      </c>
      <c r="G132" s="301">
        <f>+ROUND(F132*E132,2)</f>
        <v>14064</v>
      </c>
      <c r="H132" s="599">
        <v>0</v>
      </c>
      <c r="I132" s="301">
        <f>+ROUND(H132*F132,0)</f>
        <v>0</v>
      </c>
      <c r="J132" s="289">
        <f>+H132+E132</f>
        <v>1</v>
      </c>
      <c r="K132" s="301">
        <f>+ROUND(J132*F132,0)</f>
        <v>14064</v>
      </c>
      <c r="L132" s="304">
        <v>0</v>
      </c>
      <c r="M132" s="301">
        <f t="shared" ref="M132:M165" si="70">+ROUND(L132*F132,0)</f>
        <v>0</v>
      </c>
      <c r="N132" s="49">
        <f t="shared" ref="N132:N133" si="71">+L132</f>
        <v>0</v>
      </c>
      <c r="O132" s="52">
        <f t="shared" ref="O132:O133" si="72">+N132*F132</f>
        <v>0</v>
      </c>
      <c r="P132" s="305">
        <f>N132/J132</f>
        <v>0</v>
      </c>
    </row>
    <row r="133" spans="2:16" s="619" customFormat="1">
      <c r="B133" s="460">
        <v>1.2</v>
      </c>
      <c r="C133" s="461" t="s">
        <v>173</v>
      </c>
      <c r="D133" s="79" t="s">
        <v>21</v>
      </c>
      <c r="E133" s="223">
        <v>87.1</v>
      </c>
      <c r="F133" s="80">
        <v>4437</v>
      </c>
      <c r="G133" s="43">
        <f>+ROUND(F133*E133,2)</f>
        <v>386462.7</v>
      </c>
      <c r="H133" s="585">
        <v>-18.309999999999999</v>
      </c>
      <c r="I133" s="43">
        <f>+ROUND(H133*F133,0)</f>
        <v>-81241</v>
      </c>
      <c r="J133" s="10">
        <f>+H133+E133</f>
        <v>68.789999999999992</v>
      </c>
      <c r="K133" s="43">
        <f>+ROUND(J133*F133,0)</f>
        <v>305221</v>
      </c>
      <c r="L133" s="10">
        <v>0</v>
      </c>
      <c r="M133" s="43">
        <f t="shared" si="70"/>
        <v>0</v>
      </c>
      <c r="N133" s="49">
        <f t="shared" si="71"/>
        <v>0</v>
      </c>
      <c r="O133" s="52">
        <f t="shared" si="72"/>
        <v>0</v>
      </c>
      <c r="P133" s="47">
        <f>N133/J133</f>
        <v>0</v>
      </c>
    </row>
    <row r="134" spans="2:16" s="618" customFormat="1" ht="15">
      <c r="B134" s="94">
        <v>2</v>
      </c>
      <c r="C134" s="95" t="s">
        <v>174</v>
      </c>
      <c r="D134" s="90"/>
      <c r="E134" s="225"/>
      <c r="F134" s="91"/>
      <c r="G134" s="60"/>
      <c r="H134" s="586"/>
      <c r="I134" s="60"/>
      <c r="J134" s="83"/>
      <c r="K134" s="60"/>
      <c r="L134" s="83"/>
      <c r="M134" s="60"/>
      <c r="N134" s="83"/>
      <c r="O134" s="84"/>
      <c r="P134" s="86"/>
    </row>
    <row r="135" spans="2:16" s="618" customFormat="1" ht="28.5">
      <c r="B135" s="70">
        <v>2.1</v>
      </c>
      <c r="C135" s="461" t="s">
        <v>175</v>
      </c>
      <c r="D135" s="64" t="s">
        <v>176</v>
      </c>
      <c r="E135" s="224">
        <v>2.29</v>
      </c>
      <c r="F135" s="65">
        <v>609906</v>
      </c>
      <c r="G135" s="59">
        <f>+ROUND(F135*E135,2)</f>
        <v>1396684.74</v>
      </c>
      <c r="H135" s="584">
        <v>-2.29</v>
      </c>
      <c r="I135" s="59">
        <f>+ROUND(H135*F135,0)</f>
        <v>-1396685</v>
      </c>
      <c r="J135" s="10">
        <f>+H135+E135</f>
        <v>0</v>
      </c>
      <c r="K135" s="59">
        <f>+ROUND(J135*F135,0)</f>
        <v>0</v>
      </c>
      <c r="L135" s="66">
        <v>0</v>
      </c>
      <c r="M135" s="59">
        <f t="shared" si="70"/>
        <v>0</v>
      </c>
      <c r="N135" s="49">
        <f t="shared" ref="N135:N137" si="73">+L135</f>
        <v>0</v>
      </c>
      <c r="O135" s="52">
        <f t="shared" ref="O135:O137" si="74">+N135*F135</f>
        <v>0</v>
      </c>
      <c r="P135" s="47">
        <v>0</v>
      </c>
    </row>
    <row r="136" spans="2:16" s="618" customFormat="1" ht="28.5">
      <c r="B136" s="70">
        <v>2.2000000000000002</v>
      </c>
      <c r="C136" s="461" t="s">
        <v>177</v>
      </c>
      <c r="D136" s="64" t="s">
        <v>178</v>
      </c>
      <c r="E136" s="224">
        <v>150</v>
      </c>
      <c r="F136" s="65">
        <v>4303</v>
      </c>
      <c r="G136" s="59">
        <f t="shared" ref="G136:G160" si="75">+ROUND(F136*E136,2)</f>
        <v>645450</v>
      </c>
      <c r="H136" s="584">
        <v>-150</v>
      </c>
      <c r="I136" s="59">
        <f t="shared" ref="I136:I162" si="76">+ROUND(H136*F136,0)</f>
        <v>-645450</v>
      </c>
      <c r="J136" s="10">
        <f t="shared" ref="J136:J137" si="77">+H136+E136</f>
        <v>0</v>
      </c>
      <c r="K136" s="59">
        <f t="shared" ref="K136:K160" si="78">+ROUND(J136*F136,0)</f>
        <v>0</v>
      </c>
      <c r="L136" s="66">
        <v>0</v>
      </c>
      <c r="M136" s="59">
        <f t="shared" si="70"/>
        <v>0</v>
      </c>
      <c r="N136" s="49">
        <f t="shared" si="73"/>
        <v>0</v>
      </c>
      <c r="O136" s="52">
        <f t="shared" si="74"/>
        <v>0</v>
      </c>
      <c r="P136" s="47">
        <v>0</v>
      </c>
    </row>
    <row r="137" spans="2:16" s="618" customFormat="1" ht="28.5">
      <c r="B137" s="70">
        <v>2.2999999999999998</v>
      </c>
      <c r="C137" s="461" t="s">
        <v>179</v>
      </c>
      <c r="D137" s="64" t="s">
        <v>180</v>
      </c>
      <c r="E137" s="224">
        <v>72.599999999999994</v>
      </c>
      <c r="F137" s="65">
        <v>46349</v>
      </c>
      <c r="G137" s="59">
        <f t="shared" si="75"/>
        <v>3364937.4</v>
      </c>
      <c r="H137" s="584">
        <v>-72.599999999999994</v>
      </c>
      <c r="I137" s="59">
        <f t="shared" si="76"/>
        <v>-3364937</v>
      </c>
      <c r="J137" s="10">
        <f t="shared" si="77"/>
        <v>0</v>
      </c>
      <c r="K137" s="59">
        <f t="shared" si="78"/>
        <v>0</v>
      </c>
      <c r="L137" s="66">
        <v>0</v>
      </c>
      <c r="M137" s="59">
        <f t="shared" si="70"/>
        <v>0</v>
      </c>
      <c r="N137" s="49">
        <f t="shared" si="73"/>
        <v>0</v>
      </c>
      <c r="O137" s="52">
        <f t="shared" si="74"/>
        <v>0</v>
      </c>
      <c r="P137" s="47">
        <v>0</v>
      </c>
    </row>
    <row r="138" spans="2:16" s="618" customFormat="1" ht="15">
      <c r="B138" s="94">
        <v>3</v>
      </c>
      <c r="C138" s="95" t="s">
        <v>181</v>
      </c>
      <c r="D138" s="90"/>
      <c r="E138" s="225"/>
      <c r="F138" s="91"/>
      <c r="G138" s="60"/>
      <c r="H138" s="586"/>
      <c r="I138" s="60"/>
      <c r="J138" s="83"/>
      <c r="K138" s="60"/>
      <c r="L138" s="83"/>
      <c r="M138" s="60"/>
      <c r="N138" s="83"/>
      <c r="O138" s="84"/>
      <c r="P138" s="86"/>
    </row>
    <row r="139" spans="2:16" s="618" customFormat="1">
      <c r="B139" s="70">
        <v>3.1</v>
      </c>
      <c r="C139" s="461" t="s">
        <v>182</v>
      </c>
      <c r="D139" s="64" t="s">
        <v>21</v>
      </c>
      <c r="E139" s="224">
        <v>138.6</v>
      </c>
      <c r="F139" s="65">
        <v>46802</v>
      </c>
      <c r="G139" s="59">
        <f t="shared" si="75"/>
        <v>6486757.2000000002</v>
      </c>
      <c r="H139" s="584">
        <v>-138.6</v>
      </c>
      <c r="I139" s="59">
        <f t="shared" si="76"/>
        <v>-6486757</v>
      </c>
      <c r="J139" s="10">
        <f t="shared" ref="J139:J140" si="79">+H139+E139</f>
        <v>0</v>
      </c>
      <c r="K139" s="59">
        <f t="shared" si="78"/>
        <v>0</v>
      </c>
      <c r="L139" s="66">
        <v>0</v>
      </c>
      <c r="M139" s="59">
        <f t="shared" si="70"/>
        <v>0</v>
      </c>
      <c r="N139" s="49">
        <f t="shared" ref="N139:N141" si="80">+L139</f>
        <v>0</v>
      </c>
      <c r="O139" s="52">
        <f t="shared" ref="O139:O141" si="81">+N139*F139</f>
        <v>0</v>
      </c>
      <c r="P139" s="47">
        <v>0</v>
      </c>
    </row>
    <row r="140" spans="2:16" s="618" customFormat="1">
      <c r="B140" s="70">
        <v>3.2</v>
      </c>
      <c r="C140" s="461" t="s">
        <v>183</v>
      </c>
      <c r="D140" s="64" t="s">
        <v>21</v>
      </c>
      <c r="E140" s="224">
        <v>149.1</v>
      </c>
      <c r="F140" s="65">
        <v>19845</v>
      </c>
      <c r="G140" s="59">
        <f t="shared" si="75"/>
        <v>2958889.5</v>
      </c>
      <c r="H140" s="584">
        <f>-118.63</f>
        <v>-118.63</v>
      </c>
      <c r="I140" s="59">
        <f t="shared" si="76"/>
        <v>-2354212</v>
      </c>
      <c r="J140" s="10">
        <f t="shared" si="79"/>
        <v>30.47</v>
      </c>
      <c r="K140" s="59">
        <f t="shared" si="78"/>
        <v>604677</v>
      </c>
      <c r="L140" s="66">
        <v>0</v>
      </c>
      <c r="M140" s="59">
        <f t="shared" si="70"/>
        <v>0</v>
      </c>
      <c r="N140" s="49">
        <f t="shared" si="80"/>
        <v>0</v>
      </c>
      <c r="O140" s="52">
        <f t="shared" si="81"/>
        <v>0</v>
      </c>
      <c r="P140" s="47">
        <f>N140/J140</f>
        <v>0</v>
      </c>
    </row>
    <row r="141" spans="2:16" s="618" customFormat="1">
      <c r="B141" s="70">
        <v>3.3</v>
      </c>
      <c r="C141" s="461" t="s">
        <v>184</v>
      </c>
      <c r="D141" s="64" t="s">
        <v>46</v>
      </c>
      <c r="E141" s="224">
        <v>5</v>
      </c>
      <c r="F141" s="65">
        <v>88305</v>
      </c>
      <c r="G141" s="59">
        <f t="shared" si="75"/>
        <v>441525</v>
      </c>
      <c r="H141" s="584">
        <v>-5</v>
      </c>
      <c r="I141" s="59">
        <f t="shared" si="76"/>
        <v>-441525</v>
      </c>
      <c r="J141" s="10">
        <f>+H141+E141</f>
        <v>0</v>
      </c>
      <c r="K141" s="59">
        <f t="shared" si="78"/>
        <v>0</v>
      </c>
      <c r="L141" s="66">
        <v>0</v>
      </c>
      <c r="M141" s="59">
        <f t="shared" si="70"/>
        <v>0</v>
      </c>
      <c r="N141" s="49">
        <f t="shared" si="80"/>
        <v>0</v>
      </c>
      <c r="O141" s="52">
        <f t="shared" si="81"/>
        <v>0</v>
      </c>
      <c r="P141" s="47">
        <v>0</v>
      </c>
    </row>
    <row r="142" spans="2:16" s="618" customFormat="1" ht="15">
      <c r="B142" s="94">
        <v>4</v>
      </c>
      <c r="C142" s="95" t="s">
        <v>185</v>
      </c>
      <c r="D142" s="90"/>
      <c r="E142" s="225"/>
      <c r="F142" s="91"/>
      <c r="G142" s="60"/>
      <c r="H142" s="586"/>
      <c r="I142" s="60"/>
      <c r="J142" s="83"/>
      <c r="K142" s="60"/>
      <c r="L142" s="83"/>
      <c r="M142" s="60"/>
      <c r="N142" s="83"/>
      <c r="O142" s="84"/>
      <c r="P142" s="86"/>
    </row>
    <row r="143" spans="2:16" s="618" customFormat="1" ht="28.5">
      <c r="B143" s="70">
        <v>4.0999999999999996</v>
      </c>
      <c r="C143" s="461" t="s">
        <v>186</v>
      </c>
      <c r="D143" s="64" t="s">
        <v>187</v>
      </c>
      <c r="E143" s="224">
        <v>1</v>
      </c>
      <c r="F143" s="65">
        <v>181010</v>
      </c>
      <c r="G143" s="59">
        <f t="shared" si="75"/>
        <v>181010</v>
      </c>
      <c r="H143" s="584">
        <v>0</v>
      </c>
      <c r="I143" s="59">
        <f t="shared" si="76"/>
        <v>0</v>
      </c>
      <c r="J143" s="10">
        <f>+H143+E143</f>
        <v>1</v>
      </c>
      <c r="K143" s="59">
        <f t="shared" si="78"/>
        <v>181010</v>
      </c>
      <c r="L143" s="66">
        <v>0</v>
      </c>
      <c r="M143" s="59">
        <f t="shared" si="70"/>
        <v>0</v>
      </c>
      <c r="N143" s="49">
        <f t="shared" ref="N143" si="82">+L143</f>
        <v>0</v>
      </c>
      <c r="O143" s="52">
        <f t="shared" ref="O143" si="83">+N143*F143</f>
        <v>0</v>
      </c>
      <c r="P143" s="47">
        <f>N143/J143</f>
        <v>0</v>
      </c>
    </row>
    <row r="144" spans="2:16" s="618" customFormat="1" ht="15">
      <c r="B144" s="94">
        <v>5</v>
      </c>
      <c r="C144" s="95" t="s">
        <v>188</v>
      </c>
      <c r="D144" s="90"/>
      <c r="E144" s="225"/>
      <c r="F144" s="91"/>
      <c r="G144" s="60"/>
      <c r="H144" s="586"/>
      <c r="I144" s="60"/>
      <c r="J144" s="83"/>
      <c r="K144" s="60"/>
      <c r="L144" s="83"/>
      <c r="M144" s="60"/>
      <c r="N144" s="83"/>
      <c r="O144" s="84"/>
      <c r="P144" s="86"/>
    </row>
    <row r="145" spans="2:16" s="618" customFormat="1" ht="28.5">
      <c r="B145" s="70">
        <v>5.0999999999999996</v>
      </c>
      <c r="C145" s="461" t="s">
        <v>189</v>
      </c>
      <c r="D145" s="64" t="s">
        <v>176</v>
      </c>
      <c r="E145" s="224">
        <v>7.62</v>
      </c>
      <c r="F145" s="65">
        <v>467259</v>
      </c>
      <c r="G145" s="59">
        <f t="shared" si="75"/>
        <v>3560513.58</v>
      </c>
      <c r="H145" s="584">
        <v>-7.62</v>
      </c>
      <c r="I145" s="59">
        <f t="shared" si="76"/>
        <v>-3560514</v>
      </c>
      <c r="J145" s="10">
        <f t="shared" ref="J145:J146" si="84">+H145+E145</f>
        <v>0</v>
      </c>
      <c r="K145" s="59">
        <f t="shared" si="78"/>
        <v>0</v>
      </c>
      <c r="L145" s="66">
        <v>0</v>
      </c>
      <c r="M145" s="59">
        <f t="shared" si="70"/>
        <v>0</v>
      </c>
      <c r="N145" s="49">
        <f t="shared" ref="N145" si="85">+L145</f>
        <v>0</v>
      </c>
      <c r="O145" s="52">
        <f t="shared" ref="O145" si="86">+N145*F145</f>
        <v>0</v>
      </c>
      <c r="P145" s="47">
        <v>0</v>
      </c>
    </row>
    <row r="146" spans="2:16" s="618" customFormat="1" ht="42.75">
      <c r="B146" s="70">
        <v>5.2</v>
      </c>
      <c r="C146" s="461" t="s">
        <v>190</v>
      </c>
      <c r="D146" s="64" t="s">
        <v>21</v>
      </c>
      <c r="E146" s="224">
        <v>76.16</v>
      </c>
      <c r="F146" s="65">
        <v>56248</v>
      </c>
      <c r="G146" s="59">
        <f t="shared" si="75"/>
        <v>4283847.68</v>
      </c>
      <c r="H146" s="584">
        <v>-76.16</v>
      </c>
      <c r="I146" s="59">
        <f t="shared" si="76"/>
        <v>-4283848</v>
      </c>
      <c r="J146" s="10">
        <f t="shared" si="84"/>
        <v>0</v>
      </c>
      <c r="K146" s="59">
        <f t="shared" si="78"/>
        <v>0</v>
      </c>
      <c r="L146" s="66">
        <v>0</v>
      </c>
      <c r="M146" s="59">
        <f t="shared" si="70"/>
        <v>0</v>
      </c>
      <c r="N146" s="49">
        <f t="shared" ref="N146:N152" si="87">+L146</f>
        <v>0</v>
      </c>
      <c r="O146" s="52">
        <f t="shared" ref="O146:O152" si="88">+N146*F146</f>
        <v>0</v>
      </c>
      <c r="P146" s="47">
        <v>0</v>
      </c>
    </row>
    <row r="147" spans="2:16" s="618" customFormat="1" ht="28.5">
      <c r="B147" s="70">
        <v>5.3</v>
      </c>
      <c r="C147" s="461" t="s">
        <v>54</v>
      </c>
      <c r="D147" s="64" t="s">
        <v>21</v>
      </c>
      <c r="E147" s="224">
        <v>372.37</v>
      </c>
      <c r="F147" s="65">
        <v>6485</v>
      </c>
      <c r="G147" s="59">
        <f t="shared" si="75"/>
        <v>2414819.4500000002</v>
      </c>
      <c r="H147" s="584">
        <v>-372.37</v>
      </c>
      <c r="I147" s="59">
        <f t="shared" si="76"/>
        <v>-2414819</v>
      </c>
      <c r="J147" s="10">
        <f>+H147+E147</f>
        <v>0</v>
      </c>
      <c r="K147" s="59">
        <f t="shared" si="78"/>
        <v>0</v>
      </c>
      <c r="L147" s="66">
        <v>0</v>
      </c>
      <c r="M147" s="59">
        <f t="shared" si="70"/>
        <v>0</v>
      </c>
      <c r="N147" s="49">
        <f t="shared" si="87"/>
        <v>0</v>
      </c>
      <c r="O147" s="52">
        <f t="shared" si="88"/>
        <v>0</v>
      </c>
      <c r="P147" s="47">
        <v>0</v>
      </c>
    </row>
    <row r="148" spans="2:16" s="618" customFormat="1" ht="28.5">
      <c r="B148" s="70">
        <v>5.4</v>
      </c>
      <c r="C148" s="461" t="s">
        <v>191</v>
      </c>
      <c r="D148" s="64" t="s">
        <v>21</v>
      </c>
      <c r="E148" s="224">
        <v>372.37</v>
      </c>
      <c r="F148" s="65">
        <v>6975</v>
      </c>
      <c r="G148" s="59">
        <f t="shared" si="75"/>
        <v>2597280.75</v>
      </c>
      <c r="H148" s="584">
        <v>91.21</v>
      </c>
      <c r="I148" s="59">
        <f t="shared" si="76"/>
        <v>636190</v>
      </c>
      <c r="J148" s="10">
        <f>+H148+E148</f>
        <v>463.58</v>
      </c>
      <c r="K148" s="59">
        <f t="shared" si="78"/>
        <v>3233471</v>
      </c>
      <c r="L148" s="66">
        <v>0</v>
      </c>
      <c r="M148" s="59">
        <f t="shared" si="70"/>
        <v>0</v>
      </c>
      <c r="N148" s="49">
        <f t="shared" si="87"/>
        <v>0</v>
      </c>
      <c r="O148" s="52">
        <f t="shared" si="88"/>
        <v>0</v>
      </c>
      <c r="P148" s="47">
        <f>N148/J148</f>
        <v>0</v>
      </c>
    </row>
    <row r="149" spans="2:16" s="618" customFormat="1">
      <c r="B149" s="70">
        <v>5.5</v>
      </c>
      <c r="C149" s="461" t="s">
        <v>192</v>
      </c>
      <c r="D149" s="64" t="s">
        <v>21</v>
      </c>
      <c r="E149" s="224">
        <v>81.680000000000007</v>
      </c>
      <c r="F149" s="65">
        <v>5424</v>
      </c>
      <c r="G149" s="59">
        <f t="shared" si="75"/>
        <v>443032.32000000001</v>
      </c>
      <c r="H149" s="584">
        <f>47.29</f>
        <v>47.29</v>
      </c>
      <c r="I149" s="59">
        <f t="shared" si="76"/>
        <v>256501</v>
      </c>
      <c r="J149" s="10">
        <f>+H149+E149</f>
        <v>128.97</v>
      </c>
      <c r="K149" s="59">
        <f t="shared" si="78"/>
        <v>699533</v>
      </c>
      <c r="L149" s="66">
        <v>0</v>
      </c>
      <c r="M149" s="59">
        <f t="shared" si="70"/>
        <v>0</v>
      </c>
      <c r="N149" s="49">
        <f t="shared" si="87"/>
        <v>0</v>
      </c>
      <c r="O149" s="52">
        <f t="shared" si="88"/>
        <v>0</v>
      </c>
      <c r="P149" s="47">
        <f>N149/J149</f>
        <v>0</v>
      </c>
    </row>
    <row r="150" spans="2:16" s="618" customFormat="1" ht="15">
      <c r="B150" s="94">
        <v>6</v>
      </c>
      <c r="C150" s="95" t="s">
        <v>193</v>
      </c>
      <c r="D150" s="90"/>
      <c r="E150" s="225"/>
      <c r="F150" s="91"/>
      <c r="G150" s="60"/>
      <c r="H150" s="586"/>
      <c r="I150" s="60"/>
      <c r="J150" s="83"/>
      <c r="K150" s="60"/>
      <c r="L150" s="83"/>
      <c r="M150" s="60"/>
      <c r="N150" s="49">
        <f t="shared" si="87"/>
        <v>0</v>
      </c>
      <c r="O150" s="52">
        <f t="shared" si="88"/>
        <v>0</v>
      </c>
      <c r="P150" s="86"/>
    </row>
    <row r="151" spans="2:16" s="619" customFormat="1" ht="28.5">
      <c r="B151" s="460">
        <v>6.1</v>
      </c>
      <c r="C151" s="461" t="s">
        <v>194</v>
      </c>
      <c r="D151" s="79" t="s">
        <v>21</v>
      </c>
      <c r="E151" s="223">
        <v>87.1</v>
      </c>
      <c r="F151" s="80">
        <v>43457</v>
      </c>
      <c r="G151" s="43">
        <f t="shared" si="75"/>
        <v>3785104.7</v>
      </c>
      <c r="H151" s="585">
        <v>-18.309999999999999</v>
      </c>
      <c r="I151" s="43">
        <f t="shared" si="76"/>
        <v>-795698</v>
      </c>
      <c r="J151" s="10">
        <f>+H151+E151</f>
        <v>68.789999999999992</v>
      </c>
      <c r="K151" s="43">
        <f t="shared" si="78"/>
        <v>2989407</v>
      </c>
      <c r="L151" s="10">
        <v>0</v>
      </c>
      <c r="M151" s="43">
        <f t="shared" si="70"/>
        <v>0</v>
      </c>
      <c r="N151" s="49">
        <f t="shared" si="87"/>
        <v>0</v>
      </c>
      <c r="O151" s="52">
        <f t="shared" si="88"/>
        <v>0</v>
      </c>
      <c r="P151" s="47">
        <f>N151/J151</f>
        <v>0</v>
      </c>
    </row>
    <row r="152" spans="2:16" s="618" customFormat="1" ht="28.5">
      <c r="B152" s="70">
        <v>6.2</v>
      </c>
      <c r="C152" s="461" t="s">
        <v>64</v>
      </c>
      <c r="D152" s="64" t="s">
        <v>180</v>
      </c>
      <c r="E152" s="224">
        <v>11.9</v>
      </c>
      <c r="F152" s="65">
        <v>59772</v>
      </c>
      <c r="G152" s="59">
        <f t="shared" si="75"/>
        <v>711286.8</v>
      </c>
      <c r="H152" s="584">
        <v>-11.9</v>
      </c>
      <c r="I152" s="59">
        <f t="shared" si="76"/>
        <v>-711287</v>
      </c>
      <c r="J152" s="10">
        <f t="shared" ref="J152" si="89">+H152+E152</f>
        <v>0</v>
      </c>
      <c r="K152" s="59">
        <f t="shared" si="78"/>
        <v>0</v>
      </c>
      <c r="L152" s="66">
        <v>0</v>
      </c>
      <c r="M152" s="59">
        <f t="shared" si="70"/>
        <v>0</v>
      </c>
      <c r="N152" s="49">
        <f t="shared" si="87"/>
        <v>0</v>
      </c>
      <c r="O152" s="52">
        <f t="shared" si="88"/>
        <v>0</v>
      </c>
      <c r="P152" s="47">
        <v>0</v>
      </c>
    </row>
    <row r="153" spans="2:16" s="618" customFormat="1" ht="15">
      <c r="B153" s="94">
        <v>7</v>
      </c>
      <c r="C153" s="95" t="s">
        <v>195</v>
      </c>
      <c r="D153" s="90"/>
      <c r="E153" s="225"/>
      <c r="F153" s="91"/>
      <c r="G153" s="60"/>
      <c r="H153" s="586"/>
      <c r="I153" s="60"/>
      <c r="J153" s="83"/>
      <c r="K153" s="60"/>
      <c r="L153" s="83"/>
      <c r="M153" s="60"/>
      <c r="N153" s="83"/>
      <c r="O153" s="84"/>
      <c r="P153" s="86"/>
    </row>
    <row r="154" spans="2:16" s="618" customFormat="1">
      <c r="B154" s="70">
        <v>7.1</v>
      </c>
      <c r="C154" s="461" t="s">
        <v>196</v>
      </c>
      <c r="D154" s="64" t="s">
        <v>21</v>
      </c>
      <c r="E154" s="224">
        <v>22.68</v>
      </c>
      <c r="F154" s="65">
        <v>25015</v>
      </c>
      <c r="G154" s="59">
        <f t="shared" si="75"/>
        <v>567340.19999999995</v>
      </c>
      <c r="H154" s="584">
        <f>-0.68</f>
        <v>-0.68</v>
      </c>
      <c r="I154" s="59">
        <f t="shared" si="76"/>
        <v>-17010</v>
      </c>
      <c r="J154" s="10">
        <f t="shared" ref="J154:J156" si="90">+H154+E154</f>
        <v>22</v>
      </c>
      <c r="K154" s="59">
        <f t="shared" si="78"/>
        <v>550330</v>
      </c>
      <c r="L154" s="66">
        <v>0</v>
      </c>
      <c r="M154" s="59">
        <f t="shared" si="70"/>
        <v>0</v>
      </c>
      <c r="N154" s="49">
        <f t="shared" ref="N154" si="91">+L154</f>
        <v>0</v>
      </c>
      <c r="O154" s="52">
        <f t="shared" ref="O154" si="92">+N154*F154</f>
        <v>0</v>
      </c>
      <c r="P154" s="47">
        <f>N154/J154</f>
        <v>0</v>
      </c>
    </row>
    <row r="155" spans="2:16" s="618" customFormat="1">
      <c r="B155" s="70">
        <v>7.2</v>
      </c>
      <c r="C155" s="73" t="s">
        <v>197</v>
      </c>
      <c r="D155" s="64" t="s">
        <v>180</v>
      </c>
      <c r="E155" s="224">
        <v>11.9</v>
      </c>
      <c r="F155" s="65">
        <v>41490</v>
      </c>
      <c r="G155" s="59">
        <f t="shared" si="75"/>
        <v>493731</v>
      </c>
      <c r="H155" s="584">
        <v>0</v>
      </c>
      <c r="I155" s="59">
        <f t="shared" si="76"/>
        <v>0</v>
      </c>
      <c r="J155" s="10">
        <f t="shared" si="90"/>
        <v>11.9</v>
      </c>
      <c r="K155" s="59">
        <f t="shared" si="78"/>
        <v>493731</v>
      </c>
      <c r="L155" s="66">
        <v>0</v>
      </c>
      <c r="M155" s="59">
        <f t="shared" si="70"/>
        <v>0</v>
      </c>
      <c r="N155" s="49">
        <f t="shared" ref="N155:N157" si="93">+L155</f>
        <v>0</v>
      </c>
      <c r="O155" s="52">
        <f t="shared" ref="O155:O157" si="94">+N155*F155</f>
        <v>0</v>
      </c>
      <c r="P155" s="47">
        <f>N155/J155</f>
        <v>0</v>
      </c>
    </row>
    <row r="156" spans="2:16" s="618" customFormat="1" ht="42.75">
      <c r="B156" s="70">
        <v>7.3</v>
      </c>
      <c r="C156" s="461" t="s">
        <v>198</v>
      </c>
      <c r="D156" s="64" t="s">
        <v>180</v>
      </c>
      <c r="E156" s="224">
        <v>44.63</v>
      </c>
      <c r="F156" s="65">
        <v>57658</v>
      </c>
      <c r="G156" s="59">
        <f t="shared" si="75"/>
        <v>2573276.54</v>
      </c>
      <c r="H156" s="584">
        <v>-44.63</v>
      </c>
      <c r="I156" s="59">
        <f t="shared" si="76"/>
        <v>-2573277</v>
      </c>
      <c r="J156" s="10">
        <f t="shared" si="90"/>
        <v>0</v>
      </c>
      <c r="K156" s="59">
        <f t="shared" si="78"/>
        <v>0</v>
      </c>
      <c r="L156" s="66">
        <v>0</v>
      </c>
      <c r="M156" s="59">
        <f t="shared" si="70"/>
        <v>0</v>
      </c>
      <c r="N156" s="49">
        <f t="shared" si="93"/>
        <v>0</v>
      </c>
      <c r="O156" s="52">
        <f t="shared" si="94"/>
        <v>0</v>
      </c>
      <c r="P156" s="47">
        <v>0</v>
      </c>
    </row>
    <row r="157" spans="2:16" s="618" customFormat="1">
      <c r="B157" s="70">
        <v>7.4</v>
      </c>
      <c r="C157" s="461" t="s">
        <v>199</v>
      </c>
      <c r="D157" s="64" t="s">
        <v>21</v>
      </c>
      <c r="E157" s="224">
        <v>457.74</v>
      </c>
      <c r="F157" s="65">
        <v>7621</v>
      </c>
      <c r="G157" s="59">
        <f t="shared" si="75"/>
        <v>3488436.54</v>
      </c>
      <c r="H157" s="584">
        <f>45.74</f>
        <v>45.74</v>
      </c>
      <c r="I157" s="59">
        <f t="shared" si="76"/>
        <v>348585</v>
      </c>
      <c r="J157" s="10">
        <f>+H157+E157</f>
        <v>503.48</v>
      </c>
      <c r="K157" s="59">
        <f t="shared" si="78"/>
        <v>3837021</v>
      </c>
      <c r="L157" s="66">
        <v>0</v>
      </c>
      <c r="M157" s="59">
        <f t="shared" si="70"/>
        <v>0</v>
      </c>
      <c r="N157" s="49">
        <f t="shared" si="93"/>
        <v>0</v>
      </c>
      <c r="O157" s="52">
        <f t="shared" si="94"/>
        <v>0</v>
      </c>
      <c r="P157" s="47">
        <f>N157/J157</f>
        <v>0</v>
      </c>
    </row>
    <row r="158" spans="2:16" s="618" customFormat="1" ht="15">
      <c r="B158" s="94">
        <v>8</v>
      </c>
      <c r="C158" s="95" t="s">
        <v>200</v>
      </c>
      <c r="D158" s="90"/>
      <c r="E158" s="225"/>
      <c r="F158" s="91"/>
      <c r="G158" s="60"/>
      <c r="H158" s="586"/>
      <c r="I158" s="60"/>
      <c r="J158" s="83"/>
      <c r="K158" s="60"/>
      <c r="L158" s="83"/>
      <c r="M158" s="60"/>
      <c r="N158" s="83"/>
      <c r="O158" s="84"/>
      <c r="P158" s="86"/>
    </row>
    <row r="159" spans="2:16" s="618" customFormat="1">
      <c r="B159" s="70">
        <v>8.1</v>
      </c>
      <c r="C159" s="73" t="s">
        <v>201</v>
      </c>
      <c r="D159" s="64" t="s">
        <v>21</v>
      </c>
      <c r="E159" s="224">
        <v>21.73</v>
      </c>
      <c r="F159" s="65">
        <v>58267</v>
      </c>
      <c r="G159" s="59">
        <f t="shared" si="75"/>
        <v>1266141.9099999999</v>
      </c>
      <c r="H159" s="584">
        <f>-17.13</f>
        <v>-17.13</v>
      </c>
      <c r="I159" s="59">
        <f t="shared" si="76"/>
        <v>-998114</v>
      </c>
      <c r="J159" s="10">
        <f>+H159+E159</f>
        <v>4.6000000000000014</v>
      </c>
      <c r="K159" s="59">
        <f t="shared" si="78"/>
        <v>268028</v>
      </c>
      <c r="L159" s="66">
        <v>0</v>
      </c>
      <c r="M159" s="59">
        <f t="shared" si="70"/>
        <v>0</v>
      </c>
      <c r="N159" s="49">
        <f t="shared" ref="N159:N160" si="95">+L159</f>
        <v>0</v>
      </c>
      <c r="O159" s="52">
        <f t="shared" ref="O159:O160" si="96">+N159*F159</f>
        <v>0</v>
      </c>
      <c r="P159" s="47">
        <f>N159/J159</f>
        <v>0</v>
      </c>
    </row>
    <row r="160" spans="2:16" s="618" customFormat="1">
      <c r="B160" s="460">
        <v>8.1999999999999993</v>
      </c>
      <c r="C160" s="461" t="s">
        <v>141</v>
      </c>
      <c r="D160" s="79" t="s">
        <v>21</v>
      </c>
      <c r="E160" s="223">
        <v>100</v>
      </c>
      <c r="F160" s="80">
        <v>2893</v>
      </c>
      <c r="G160" s="43">
        <f t="shared" si="75"/>
        <v>289300</v>
      </c>
      <c r="H160" s="588">
        <v>100</v>
      </c>
      <c r="I160" s="43">
        <f t="shared" si="76"/>
        <v>289300</v>
      </c>
      <c r="J160" s="49">
        <f>+H160+E160</f>
        <v>200</v>
      </c>
      <c r="K160" s="52">
        <f t="shared" si="78"/>
        <v>578600</v>
      </c>
      <c r="L160" s="49">
        <v>0</v>
      </c>
      <c r="M160" s="43">
        <f t="shared" si="70"/>
        <v>0</v>
      </c>
      <c r="N160" s="49">
        <f t="shared" si="95"/>
        <v>0</v>
      </c>
      <c r="O160" s="52">
        <f t="shared" si="96"/>
        <v>0</v>
      </c>
      <c r="P160" s="47">
        <f>N160/J160</f>
        <v>0</v>
      </c>
    </row>
    <row r="161" spans="2:16" s="618" customFormat="1" ht="15">
      <c r="B161" s="94"/>
      <c r="C161" s="95" t="s">
        <v>83</v>
      </c>
      <c r="D161" s="90"/>
      <c r="E161" s="225"/>
      <c r="F161" s="91"/>
      <c r="G161" s="60"/>
      <c r="H161" s="586"/>
      <c r="I161" s="60"/>
      <c r="J161" s="83"/>
      <c r="K161" s="60"/>
      <c r="L161" s="83"/>
      <c r="M161" s="60"/>
      <c r="N161" s="83"/>
      <c r="O161" s="84"/>
      <c r="P161" s="86"/>
    </row>
    <row r="162" spans="2:16" s="618" customFormat="1">
      <c r="B162" s="70" t="s">
        <v>84</v>
      </c>
      <c r="C162" s="461" t="s">
        <v>202</v>
      </c>
      <c r="D162" s="64" t="s">
        <v>21</v>
      </c>
      <c r="E162" s="224"/>
      <c r="F162" s="65">
        <v>6870</v>
      </c>
      <c r="G162" s="59"/>
      <c r="H162" s="584">
        <v>66.53</v>
      </c>
      <c r="I162" s="59">
        <f t="shared" si="76"/>
        <v>457061</v>
      </c>
      <c r="J162" s="10">
        <f>+H162+E162</f>
        <v>66.53</v>
      </c>
      <c r="K162" s="59">
        <f t="shared" ref="K162:K167" si="97">+ROUND(J162*F162,0)</f>
        <v>457061</v>
      </c>
      <c r="L162" s="66">
        <v>0</v>
      </c>
      <c r="M162" s="59">
        <f t="shared" si="70"/>
        <v>0</v>
      </c>
      <c r="N162" s="49">
        <f t="shared" ref="N162" si="98">+L162</f>
        <v>0</v>
      </c>
      <c r="O162" s="52">
        <f t="shared" ref="O162" si="99">+N162*F162</f>
        <v>0</v>
      </c>
      <c r="P162" s="47">
        <f t="shared" ref="P162:P171" si="100">N162/J162</f>
        <v>0</v>
      </c>
    </row>
    <row r="163" spans="2:16" s="618" customFormat="1" ht="28.5">
      <c r="B163" s="489" t="s">
        <v>85</v>
      </c>
      <c r="C163" s="490" t="s">
        <v>203</v>
      </c>
      <c r="D163" s="491" t="s">
        <v>21</v>
      </c>
      <c r="E163" s="228"/>
      <c r="F163" s="105">
        <v>38074</v>
      </c>
      <c r="G163" s="104"/>
      <c r="H163" s="596">
        <v>66.53</v>
      </c>
      <c r="I163" s="104">
        <f>+ROUND(H163*F163,0)</f>
        <v>2533063</v>
      </c>
      <c r="J163" s="10">
        <v>66.53</v>
      </c>
      <c r="K163" s="104">
        <f t="shared" si="97"/>
        <v>2533063</v>
      </c>
      <c r="L163" s="103">
        <v>0</v>
      </c>
      <c r="M163" s="59">
        <f t="shared" si="70"/>
        <v>0</v>
      </c>
      <c r="N163" s="49">
        <f t="shared" ref="N163:N171" si="101">+L163</f>
        <v>0</v>
      </c>
      <c r="O163" s="52">
        <f t="shared" ref="O163:O171" si="102">+N163*F163</f>
        <v>0</v>
      </c>
      <c r="P163" s="47">
        <f t="shared" si="100"/>
        <v>0</v>
      </c>
    </row>
    <row r="164" spans="2:16" s="618" customFormat="1">
      <c r="B164" s="70" t="s">
        <v>87</v>
      </c>
      <c r="C164" s="492" t="s">
        <v>204</v>
      </c>
      <c r="D164" s="491" t="s">
        <v>21</v>
      </c>
      <c r="E164" s="228"/>
      <c r="F164" s="493">
        <v>7359</v>
      </c>
      <c r="G164" s="104"/>
      <c r="H164" s="596">
        <v>30.47</v>
      </c>
      <c r="I164" s="104">
        <f>+ROUND(H164*F164,0)</f>
        <v>224229</v>
      </c>
      <c r="J164" s="49">
        <f t="shared" ref="J164:J170" si="103">+H164+E164</f>
        <v>30.47</v>
      </c>
      <c r="K164" s="104">
        <f t="shared" si="97"/>
        <v>224229</v>
      </c>
      <c r="L164" s="103">
        <v>0</v>
      </c>
      <c r="M164" s="104">
        <f t="shared" si="70"/>
        <v>0</v>
      </c>
      <c r="N164" s="49">
        <f t="shared" si="101"/>
        <v>0</v>
      </c>
      <c r="O164" s="52">
        <f t="shared" si="102"/>
        <v>0</v>
      </c>
      <c r="P164" s="47">
        <f t="shared" si="100"/>
        <v>0</v>
      </c>
    </row>
    <row r="165" spans="2:16" s="618" customFormat="1">
      <c r="B165" s="489" t="s">
        <v>151</v>
      </c>
      <c r="C165" s="492" t="s">
        <v>205</v>
      </c>
      <c r="D165" s="491" t="s">
        <v>22</v>
      </c>
      <c r="E165" s="228"/>
      <c r="F165" s="494">
        <v>29404</v>
      </c>
      <c r="G165" s="104"/>
      <c r="H165" s="596">
        <v>18</v>
      </c>
      <c r="I165" s="104">
        <f>+ROUND(H165*F165,0)</f>
        <v>529272</v>
      </c>
      <c r="J165" s="49">
        <f t="shared" si="103"/>
        <v>18</v>
      </c>
      <c r="K165" s="104">
        <f t="shared" si="97"/>
        <v>529272</v>
      </c>
      <c r="L165" s="103">
        <v>0</v>
      </c>
      <c r="M165" s="104">
        <f t="shared" si="70"/>
        <v>0</v>
      </c>
      <c r="N165" s="49">
        <f t="shared" si="101"/>
        <v>0</v>
      </c>
      <c r="O165" s="52">
        <f t="shared" si="102"/>
        <v>0</v>
      </c>
      <c r="P165" s="47">
        <f t="shared" si="100"/>
        <v>0</v>
      </c>
    </row>
    <row r="166" spans="2:16" s="618" customFormat="1" ht="28.5">
      <c r="B166" s="70" t="s">
        <v>153</v>
      </c>
      <c r="C166" s="492" t="s">
        <v>206</v>
      </c>
      <c r="D166" s="491" t="s">
        <v>21</v>
      </c>
      <c r="E166" s="224"/>
      <c r="F166" s="105">
        <v>13364</v>
      </c>
      <c r="G166" s="59"/>
      <c r="H166" s="584">
        <v>334.15</v>
      </c>
      <c r="I166" s="104">
        <f>+ROUND(H166*F166,0)</f>
        <v>4465581</v>
      </c>
      <c r="J166" s="10">
        <f t="shared" si="103"/>
        <v>334.15</v>
      </c>
      <c r="K166" s="104">
        <f t="shared" si="97"/>
        <v>4465581</v>
      </c>
      <c r="L166" s="103">
        <v>0</v>
      </c>
      <c r="M166" s="104">
        <f>+ROUND(L166*F166,0)</f>
        <v>0</v>
      </c>
      <c r="N166" s="49">
        <f t="shared" si="101"/>
        <v>0</v>
      </c>
      <c r="O166" s="52">
        <f t="shared" si="102"/>
        <v>0</v>
      </c>
      <c r="P166" s="47">
        <f t="shared" si="100"/>
        <v>0</v>
      </c>
    </row>
    <row r="167" spans="2:16" s="618" customFormat="1" ht="28.5">
      <c r="B167" s="495" t="s">
        <v>155</v>
      </c>
      <c r="C167" s="461" t="s">
        <v>61</v>
      </c>
      <c r="D167" s="79" t="s">
        <v>180</v>
      </c>
      <c r="E167" s="239"/>
      <c r="F167" s="80">
        <v>11767</v>
      </c>
      <c r="G167" s="46"/>
      <c r="H167" s="591">
        <v>82</v>
      </c>
      <c r="I167" s="43">
        <f>H167*F167</f>
        <v>964894</v>
      </c>
      <c r="J167" s="10">
        <f t="shared" si="103"/>
        <v>82</v>
      </c>
      <c r="K167" s="52">
        <f t="shared" si="97"/>
        <v>964894</v>
      </c>
      <c r="L167" s="10">
        <v>0</v>
      </c>
      <c r="M167" s="43">
        <f t="shared" ref="M167:M170" si="104">+ROUND(L167*F167,0)</f>
        <v>0</v>
      </c>
      <c r="N167" s="49">
        <f t="shared" si="101"/>
        <v>0</v>
      </c>
      <c r="O167" s="52">
        <f t="shared" si="102"/>
        <v>0</v>
      </c>
      <c r="P167" s="47">
        <f t="shared" si="100"/>
        <v>0</v>
      </c>
    </row>
    <row r="168" spans="2:16" s="618" customFormat="1" ht="28.5">
      <c r="B168" s="496" t="s">
        <v>157</v>
      </c>
      <c r="C168" s="461" t="s">
        <v>367</v>
      </c>
      <c r="D168" s="497" t="s">
        <v>180</v>
      </c>
      <c r="E168" s="498"/>
      <c r="F168" s="194">
        <v>7109</v>
      </c>
      <c r="G168" s="52"/>
      <c r="H168" s="588">
        <v>37</v>
      </c>
      <c r="I168" s="43">
        <f t="shared" ref="I168:I171" si="105">H168*F168</f>
        <v>263033</v>
      </c>
      <c r="J168" s="10">
        <f t="shared" si="103"/>
        <v>37</v>
      </c>
      <c r="K168" s="52">
        <f t="shared" ref="K168:K170" si="106">+ROUND(J168*F168,0)</f>
        <v>263033</v>
      </c>
      <c r="L168" s="49">
        <v>0</v>
      </c>
      <c r="M168" s="43">
        <f t="shared" si="104"/>
        <v>0</v>
      </c>
      <c r="N168" s="49">
        <f t="shared" si="101"/>
        <v>0</v>
      </c>
      <c r="O168" s="52">
        <f t="shared" si="102"/>
        <v>0</v>
      </c>
      <c r="P168" s="47">
        <f t="shared" si="100"/>
        <v>0</v>
      </c>
    </row>
    <row r="169" spans="2:16" s="618" customFormat="1" ht="28.5">
      <c r="B169" s="460" t="s">
        <v>159</v>
      </c>
      <c r="C169" s="461" t="s">
        <v>365</v>
      </c>
      <c r="D169" s="497" t="s">
        <v>180</v>
      </c>
      <c r="E169" s="498"/>
      <c r="F169" s="446">
        <v>4714</v>
      </c>
      <c r="G169" s="52"/>
      <c r="H169" s="588">
        <v>148.5</v>
      </c>
      <c r="I169" s="43">
        <f t="shared" si="105"/>
        <v>700029</v>
      </c>
      <c r="J169" s="10">
        <f t="shared" si="103"/>
        <v>148.5</v>
      </c>
      <c r="K169" s="52">
        <f t="shared" si="106"/>
        <v>700029</v>
      </c>
      <c r="L169" s="49">
        <v>0</v>
      </c>
      <c r="M169" s="52">
        <f t="shared" si="104"/>
        <v>0</v>
      </c>
      <c r="N169" s="49">
        <f t="shared" si="101"/>
        <v>0</v>
      </c>
      <c r="O169" s="52">
        <f t="shared" si="102"/>
        <v>0</v>
      </c>
      <c r="P169" s="47">
        <f t="shared" si="100"/>
        <v>0</v>
      </c>
    </row>
    <row r="170" spans="2:16" s="618" customFormat="1" ht="28.5">
      <c r="B170" s="496" t="s">
        <v>161</v>
      </c>
      <c r="C170" s="461" t="s">
        <v>366</v>
      </c>
      <c r="D170" s="497" t="s">
        <v>180</v>
      </c>
      <c r="E170" s="498"/>
      <c r="F170" s="450">
        <v>6277</v>
      </c>
      <c r="G170" s="52"/>
      <c r="H170" s="588">
        <v>185.52</v>
      </c>
      <c r="I170" s="43">
        <f t="shared" si="105"/>
        <v>1164509.04</v>
      </c>
      <c r="J170" s="10">
        <f t="shared" si="103"/>
        <v>185.52</v>
      </c>
      <c r="K170" s="52">
        <f t="shared" si="106"/>
        <v>1164509</v>
      </c>
      <c r="L170" s="49">
        <v>0</v>
      </c>
      <c r="M170" s="52">
        <f t="shared" si="104"/>
        <v>0</v>
      </c>
      <c r="N170" s="49">
        <f t="shared" si="101"/>
        <v>0</v>
      </c>
      <c r="O170" s="52">
        <f t="shared" si="102"/>
        <v>0</v>
      </c>
      <c r="P170" s="47">
        <f t="shared" si="100"/>
        <v>0</v>
      </c>
    </row>
    <row r="171" spans="2:16" s="618" customFormat="1" ht="15" thickBot="1">
      <c r="B171" s="23" t="s">
        <v>165</v>
      </c>
      <c r="C171" s="181" t="s">
        <v>389</v>
      </c>
      <c r="D171" s="24" t="s">
        <v>390</v>
      </c>
      <c r="E171" s="222"/>
      <c r="F171" s="499">
        <v>30000</v>
      </c>
      <c r="G171" s="44"/>
      <c r="H171" s="589">
        <v>3</v>
      </c>
      <c r="I171" s="44">
        <f t="shared" si="105"/>
        <v>90000</v>
      </c>
      <c r="J171" s="11">
        <f t="shared" ref="J171" si="107">+H171+E171</f>
        <v>3</v>
      </c>
      <c r="K171" s="44">
        <f t="shared" ref="K171" si="108">+ROUND(J171*F171,0)</f>
        <v>90000</v>
      </c>
      <c r="L171" s="11">
        <v>0</v>
      </c>
      <c r="M171" s="44">
        <f t="shared" ref="M171" si="109">+ROUND(L171*F171,0)</f>
        <v>0</v>
      </c>
      <c r="N171" s="11">
        <f t="shared" si="101"/>
        <v>0</v>
      </c>
      <c r="O171" s="44">
        <f t="shared" si="102"/>
        <v>0</v>
      </c>
      <c r="P171" s="48">
        <f t="shared" si="100"/>
        <v>0</v>
      </c>
    </row>
    <row r="172" spans="2:16" s="285" customFormat="1" ht="15" thickBot="1">
      <c r="B172" s="284"/>
      <c r="H172" s="592"/>
      <c r="P172" s="622"/>
    </row>
    <row r="173" spans="2:16" s="618" customFormat="1" ht="15">
      <c r="B173" s="256"/>
      <c r="C173" s="257" t="s">
        <v>8</v>
      </c>
      <c r="D173" s="633"/>
      <c r="E173" s="633"/>
      <c r="F173" s="258"/>
      <c r="G173" s="259">
        <f>+ROUND(SUM(G132:G171),0)</f>
        <v>42349892</v>
      </c>
      <c r="H173" s="579"/>
      <c r="I173" s="259">
        <f>+ROUND(SUM(I132:I171),0)</f>
        <v>-17203127</v>
      </c>
      <c r="J173" s="262"/>
      <c r="K173" s="261">
        <f>+ROUND(SUM(K132:K171),0)</f>
        <v>25146764</v>
      </c>
      <c r="L173" s="263"/>
      <c r="M173" s="259">
        <f>+ROUND(SUM(M132:M171),0)</f>
        <v>0</v>
      </c>
      <c r="N173" s="289"/>
      <c r="O173" s="259">
        <f>+ROUND(SUM(O132:O171),0)</f>
        <v>0</v>
      </c>
      <c r="P173" s="634">
        <f>+O178/K178</f>
        <v>0</v>
      </c>
    </row>
    <row r="174" spans="2:16" s="618" customFormat="1">
      <c r="B174" s="256"/>
      <c r="C174" s="264" t="s">
        <v>101</v>
      </c>
      <c r="D174" s="265"/>
      <c r="E174" s="266">
        <v>0.25</v>
      </c>
      <c r="F174" s="267"/>
      <c r="G174" s="54">
        <f>+$G$173*E174</f>
        <v>10587473</v>
      </c>
      <c r="H174" s="580"/>
      <c r="I174" s="46">
        <f>+$I$173*E174</f>
        <v>-4300781.75</v>
      </c>
      <c r="J174" s="269"/>
      <c r="K174" s="46">
        <f>+$K$173*E174</f>
        <v>6286691</v>
      </c>
      <c r="L174" s="270"/>
      <c r="M174" s="46">
        <f>+$M$173*E174</f>
        <v>0</v>
      </c>
      <c r="N174" s="10"/>
      <c r="O174" s="46">
        <f>+$O$173*E174</f>
        <v>0</v>
      </c>
      <c r="P174" s="635"/>
    </row>
    <row r="175" spans="2:16" s="618" customFormat="1">
      <c r="B175" s="256"/>
      <c r="C175" s="264" t="s">
        <v>102</v>
      </c>
      <c r="D175" s="265"/>
      <c r="E175" s="266">
        <v>0.02</v>
      </c>
      <c r="F175" s="267"/>
      <c r="G175" s="54">
        <f t="shared" ref="G175:G176" si="110">+$G$173*E175</f>
        <v>846997.84</v>
      </c>
      <c r="H175" s="580"/>
      <c r="I175" s="46">
        <f t="shared" ref="I175:I176" si="111">+$I$173*E175</f>
        <v>-344062.54</v>
      </c>
      <c r="J175" s="269"/>
      <c r="K175" s="46">
        <f t="shared" ref="K175:K176" si="112">+$K$173*E175</f>
        <v>502935.28</v>
      </c>
      <c r="L175" s="270"/>
      <c r="M175" s="46">
        <f t="shared" ref="M175:M176" si="113">+$M$173*E175</f>
        <v>0</v>
      </c>
      <c r="N175" s="10"/>
      <c r="O175" s="46">
        <f>+$O$173*E175</f>
        <v>0</v>
      </c>
      <c r="P175" s="635"/>
    </row>
    <row r="176" spans="2:16" s="618" customFormat="1">
      <c r="B176" s="256"/>
      <c r="C176" s="264" t="s">
        <v>103</v>
      </c>
      <c r="D176" s="265"/>
      <c r="E176" s="266">
        <v>0.05</v>
      </c>
      <c r="F176" s="267"/>
      <c r="G176" s="54">
        <f t="shared" si="110"/>
        <v>2117494.6</v>
      </c>
      <c r="H176" s="580"/>
      <c r="I176" s="46">
        <f t="shared" si="111"/>
        <v>-860156.35000000009</v>
      </c>
      <c r="J176" s="269"/>
      <c r="K176" s="46">
        <f t="shared" si="112"/>
        <v>1257338.2000000002</v>
      </c>
      <c r="L176" s="270"/>
      <c r="M176" s="46">
        <f t="shared" si="113"/>
        <v>0</v>
      </c>
      <c r="N176" s="10"/>
      <c r="O176" s="46">
        <f>+$O$173*E176</f>
        <v>0</v>
      </c>
      <c r="P176" s="635"/>
    </row>
    <row r="177" spans="2:16" s="618" customFormat="1" ht="15">
      <c r="B177" s="256"/>
      <c r="C177" s="271" t="s">
        <v>104</v>
      </c>
      <c r="D177" s="637"/>
      <c r="E177" s="637"/>
      <c r="F177" s="272"/>
      <c r="G177" s="273">
        <f>ROUND(SUM(G174:G176),0)</f>
        <v>13551965</v>
      </c>
      <c r="H177" s="581"/>
      <c r="I177" s="275">
        <f>ROUND(SUM(I174:I176),0)</f>
        <v>-5505001</v>
      </c>
      <c r="J177" s="276"/>
      <c r="K177" s="275">
        <f>ROUND(SUM(K174:K176),0)</f>
        <v>8046964</v>
      </c>
      <c r="L177" s="277"/>
      <c r="M177" s="275">
        <f>ROUND(SUM(M174:M176),0)</f>
        <v>0</v>
      </c>
      <c r="N177" s="10"/>
      <c r="O177" s="275">
        <f>ROUND(SUM(O174:O176),0)</f>
        <v>0</v>
      </c>
      <c r="P177" s="635"/>
    </row>
    <row r="178" spans="2:16" s="618" customFormat="1" ht="15.75" thickBot="1">
      <c r="B178" s="256"/>
      <c r="C178" s="278" t="s">
        <v>105</v>
      </c>
      <c r="D178" s="638"/>
      <c r="E178" s="638"/>
      <c r="F178" s="279"/>
      <c r="G178" s="159">
        <f>+ROUND(G177+G173,0)</f>
        <v>55901857</v>
      </c>
      <c r="H178" s="582"/>
      <c r="I178" s="281">
        <f>+ROUND(I177+I173,0)</f>
        <v>-22708128</v>
      </c>
      <c r="J178" s="282"/>
      <c r="K178" s="281">
        <f>+ROUND(K177+K173,0)</f>
        <v>33193728</v>
      </c>
      <c r="L178" s="283"/>
      <c r="M178" s="281">
        <f>+ROUND(M177+M173,0)</f>
        <v>0</v>
      </c>
      <c r="N178" s="11"/>
      <c r="O178" s="281">
        <f>+ROUND(O177+O173,0)</f>
        <v>0</v>
      </c>
      <c r="P178" s="636"/>
    </row>
    <row r="179" spans="2:16" s="285" customFormat="1" ht="15" thickBot="1">
      <c r="B179" s="284"/>
      <c r="H179" s="592"/>
      <c r="P179" s="622"/>
    </row>
    <row r="180" spans="2:16" s="424" customFormat="1" ht="15.75" thickBot="1">
      <c r="B180" s="332"/>
      <c r="C180" s="333" t="s">
        <v>334</v>
      </c>
      <c r="D180" s="334"/>
      <c r="E180" s="335"/>
      <c r="F180" s="336"/>
      <c r="G180" s="500"/>
      <c r="H180" s="600"/>
      <c r="I180" s="501"/>
      <c r="J180" s="310"/>
      <c r="K180" s="502"/>
      <c r="L180" s="310"/>
      <c r="M180" s="311"/>
      <c r="N180" s="317"/>
      <c r="O180" s="318"/>
      <c r="P180" s="308"/>
    </row>
    <row r="181" spans="2:16" s="424" customFormat="1" ht="15">
      <c r="B181" s="503">
        <v>1</v>
      </c>
      <c r="C181" s="504" t="s">
        <v>42</v>
      </c>
      <c r="D181" s="505"/>
      <c r="E181" s="506"/>
      <c r="F181" s="507"/>
      <c r="G181" s="313"/>
      <c r="H181" s="601"/>
      <c r="I181" s="313"/>
      <c r="J181" s="312"/>
      <c r="K181" s="313"/>
      <c r="L181" s="312"/>
      <c r="M181" s="313"/>
      <c r="N181" s="315"/>
      <c r="O181" s="316"/>
      <c r="P181" s="309"/>
    </row>
    <row r="182" spans="2:16" s="424" customFormat="1" ht="28.5">
      <c r="B182" s="62">
        <v>1.1000000000000001</v>
      </c>
      <c r="C182" s="102" t="s">
        <v>357</v>
      </c>
      <c r="D182" s="64" t="s">
        <v>46</v>
      </c>
      <c r="E182" s="224">
        <v>119.7</v>
      </c>
      <c r="F182" s="65">
        <v>6062</v>
      </c>
      <c r="G182" s="59">
        <f>+ROUND(F182*E182,2)</f>
        <v>725621.4</v>
      </c>
      <c r="H182" s="584">
        <v>172</v>
      </c>
      <c r="I182" s="59">
        <f>+ROUND(H182*F182,0)</f>
        <v>1042664</v>
      </c>
      <c r="J182" s="10">
        <f>+H182+E182</f>
        <v>291.7</v>
      </c>
      <c r="K182" s="59">
        <f>+ROUND(J182*F182,0)</f>
        <v>1768285</v>
      </c>
      <c r="L182" s="66">
        <v>0</v>
      </c>
      <c r="M182" s="59">
        <f t="shared" ref="M182:M220" si="114">+ROUND(L182*F182,0)</f>
        <v>0</v>
      </c>
      <c r="N182" s="49">
        <f t="shared" ref="N182" si="115">+L182</f>
        <v>0</v>
      </c>
      <c r="O182" s="52">
        <f t="shared" ref="O182" si="116">+N182*F182</f>
        <v>0</v>
      </c>
      <c r="P182" s="47">
        <f t="shared" ref="P182:P187" si="117">N182/J182</f>
        <v>0</v>
      </c>
    </row>
    <row r="183" spans="2:16" s="424" customFormat="1" ht="42.75">
      <c r="B183" s="62">
        <v>1.2</v>
      </c>
      <c r="C183" s="102" t="s">
        <v>358</v>
      </c>
      <c r="D183" s="64" t="s">
        <v>46</v>
      </c>
      <c r="E183" s="224">
        <v>119.7</v>
      </c>
      <c r="F183" s="65">
        <v>5905</v>
      </c>
      <c r="G183" s="59">
        <f t="shared" ref="G183:G220" si="118">+ROUND(F183*E183,2)</f>
        <v>706828.5</v>
      </c>
      <c r="H183" s="584">
        <v>260</v>
      </c>
      <c r="I183" s="59">
        <f>+ROUND(H183*F183,0)</f>
        <v>1535300</v>
      </c>
      <c r="J183" s="10">
        <f t="shared" ref="J183:J206" si="119">+H183+E183</f>
        <v>379.7</v>
      </c>
      <c r="K183" s="59">
        <f t="shared" ref="K183:K206" si="120">+ROUND(J183*F183,0)</f>
        <v>2242129</v>
      </c>
      <c r="L183" s="66">
        <v>0</v>
      </c>
      <c r="M183" s="59">
        <f t="shared" si="114"/>
        <v>0</v>
      </c>
      <c r="N183" s="49">
        <f t="shared" ref="N183:N187" si="121">+L183</f>
        <v>0</v>
      </c>
      <c r="O183" s="52">
        <f t="shared" ref="O183:O187" si="122">+N183*F183</f>
        <v>0</v>
      </c>
      <c r="P183" s="47">
        <f t="shared" si="117"/>
        <v>0</v>
      </c>
    </row>
    <row r="184" spans="2:16" s="424" customFormat="1">
      <c r="B184" s="62">
        <v>1.3</v>
      </c>
      <c r="C184" s="102" t="s">
        <v>335</v>
      </c>
      <c r="D184" s="64" t="s">
        <v>46</v>
      </c>
      <c r="E184" s="224">
        <v>119.7</v>
      </c>
      <c r="F184" s="65">
        <v>5905</v>
      </c>
      <c r="G184" s="59">
        <f t="shared" si="118"/>
        <v>706828.5</v>
      </c>
      <c r="H184" s="584">
        <v>0</v>
      </c>
      <c r="I184" s="59">
        <f t="shared" ref="I184:I187" si="123">+ROUND(H184*F184,0)</f>
        <v>0</v>
      </c>
      <c r="J184" s="10">
        <f t="shared" si="119"/>
        <v>119.7</v>
      </c>
      <c r="K184" s="59">
        <f t="shared" si="120"/>
        <v>706829</v>
      </c>
      <c r="L184" s="66">
        <v>0</v>
      </c>
      <c r="M184" s="59">
        <f t="shared" si="114"/>
        <v>0</v>
      </c>
      <c r="N184" s="49">
        <f t="shared" si="121"/>
        <v>0</v>
      </c>
      <c r="O184" s="52">
        <f t="shared" si="122"/>
        <v>0</v>
      </c>
      <c r="P184" s="47">
        <f t="shared" si="117"/>
        <v>0</v>
      </c>
    </row>
    <row r="185" spans="2:16" s="424" customFormat="1">
      <c r="B185" s="62">
        <v>1.4</v>
      </c>
      <c r="C185" s="102" t="s">
        <v>336</v>
      </c>
      <c r="D185" s="64" t="s">
        <v>67</v>
      </c>
      <c r="E185" s="224">
        <v>5.18</v>
      </c>
      <c r="F185" s="65">
        <v>124414</v>
      </c>
      <c r="G185" s="59">
        <f t="shared" si="118"/>
        <v>644464.52</v>
      </c>
      <c r="H185" s="584">
        <v>0</v>
      </c>
      <c r="I185" s="59">
        <f t="shared" si="123"/>
        <v>0</v>
      </c>
      <c r="J185" s="10">
        <f t="shared" si="119"/>
        <v>5.18</v>
      </c>
      <c r="K185" s="59">
        <f t="shared" si="120"/>
        <v>644465</v>
      </c>
      <c r="L185" s="66">
        <v>0</v>
      </c>
      <c r="M185" s="59">
        <f t="shared" si="114"/>
        <v>0</v>
      </c>
      <c r="N185" s="49">
        <f t="shared" si="121"/>
        <v>0</v>
      </c>
      <c r="O185" s="52">
        <f t="shared" si="122"/>
        <v>0</v>
      </c>
      <c r="P185" s="47">
        <f t="shared" si="117"/>
        <v>0</v>
      </c>
    </row>
    <row r="186" spans="2:16" s="424" customFormat="1" ht="28.5">
      <c r="B186" s="62">
        <v>1.5</v>
      </c>
      <c r="C186" s="102" t="s">
        <v>47</v>
      </c>
      <c r="D186" s="64" t="s">
        <v>48</v>
      </c>
      <c r="E186" s="224">
        <v>48.4</v>
      </c>
      <c r="F186" s="65">
        <v>5593</v>
      </c>
      <c r="G186" s="59">
        <f t="shared" si="118"/>
        <v>270701.2</v>
      </c>
      <c r="H186" s="584">
        <v>0</v>
      </c>
      <c r="I186" s="59">
        <f t="shared" si="123"/>
        <v>0</v>
      </c>
      <c r="J186" s="10">
        <f t="shared" si="119"/>
        <v>48.4</v>
      </c>
      <c r="K186" s="59">
        <f t="shared" si="120"/>
        <v>270701</v>
      </c>
      <c r="L186" s="66">
        <v>0</v>
      </c>
      <c r="M186" s="59">
        <f t="shared" si="114"/>
        <v>0</v>
      </c>
      <c r="N186" s="49">
        <f t="shared" si="121"/>
        <v>0</v>
      </c>
      <c r="O186" s="52">
        <f t="shared" si="122"/>
        <v>0</v>
      </c>
      <c r="P186" s="47">
        <f t="shared" si="117"/>
        <v>0</v>
      </c>
    </row>
    <row r="187" spans="2:16" s="424" customFormat="1" ht="28.5">
      <c r="B187" s="62">
        <v>1.6</v>
      </c>
      <c r="C187" s="102" t="s">
        <v>49</v>
      </c>
      <c r="D187" s="64" t="s">
        <v>48</v>
      </c>
      <c r="E187" s="224">
        <v>98.6</v>
      </c>
      <c r="F187" s="65">
        <v>8249</v>
      </c>
      <c r="G187" s="59">
        <f t="shared" si="118"/>
        <v>813351.4</v>
      </c>
      <c r="H187" s="584">
        <v>-80</v>
      </c>
      <c r="I187" s="59">
        <f t="shared" si="123"/>
        <v>-659920</v>
      </c>
      <c r="J187" s="10">
        <f t="shared" si="119"/>
        <v>18.599999999999994</v>
      </c>
      <c r="K187" s="59">
        <f t="shared" si="120"/>
        <v>153431</v>
      </c>
      <c r="L187" s="66">
        <v>0</v>
      </c>
      <c r="M187" s="59">
        <f t="shared" si="114"/>
        <v>0</v>
      </c>
      <c r="N187" s="49">
        <f t="shared" si="121"/>
        <v>0</v>
      </c>
      <c r="O187" s="52">
        <f t="shared" si="122"/>
        <v>0</v>
      </c>
      <c r="P187" s="47">
        <f t="shared" si="117"/>
        <v>0</v>
      </c>
    </row>
    <row r="188" spans="2:16" s="424" customFormat="1" ht="15">
      <c r="B188" s="98">
        <v>2</v>
      </c>
      <c r="C188" s="89" t="s">
        <v>208</v>
      </c>
      <c r="D188" s="90"/>
      <c r="E188" s="225"/>
      <c r="F188" s="91"/>
      <c r="G188" s="60"/>
      <c r="H188" s="586"/>
      <c r="I188" s="60"/>
      <c r="J188" s="83"/>
      <c r="K188" s="60"/>
      <c r="L188" s="83"/>
      <c r="M188" s="60"/>
      <c r="N188" s="83"/>
      <c r="O188" s="178"/>
      <c r="P188" s="179"/>
    </row>
    <row r="189" spans="2:16" s="424" customFormat="1" ht="28.5">
      <c r="B189" s="62">
        <v>2.1</v>
      </c>
      <c r="C189" s="102" t="s">
        <v>359</v>
      </c>
      <c r="D189" s="64" t="s">
        <v>46</v>
      </c>
      <c r="E189" s="224">
        <v>119.7</v>
      </c>
      <c r="F189" s="65">
        <v>25015</v>
      </c>
      <c r="G189" s="59">
        <f t="shared" si="118"/>
        <v>2994295.5</v>
      </c>
      <c r="H189" s="584">
        <f>+H183</f>
        <v>260</v>
      </c>
      <c r="I189" s="59">
        <f t="shared" ref="I189:I221" si="124">+ROUND(H189*F189,0)</f>
        <v>6503900</v>
      </c>
      <c r="J189" s="10">
        <f t="shared" si="119"/>
        <v>379.7</v>
      </c>
      <c r="K189" s="59">
        <f t="shared" si="120"/>
        <v>9498196</v>
      </c>
      <c r="L189" s="66">
        <v>0</v>
      </c>
      <c r="M189" s="59">
        <f t="shared" si="114"/>
        <v>0</v>
      </c>
      <c r="N189" s="49">
        <f t="shared" ref="N189" si="125">+L189</f>
        <v>0</v>
      </c>
      <c r="O189" s="52">
        <f t="shared" ref="O189" si="126">+N189*F189</f>
        <v>0</v>
      </c>
      <c r="P189" s="47">
        <f>N189/J189</f>
        <v>0</v>
      </c>
    </row>
    <row r="190" spans="2:16" s="424" customFormat="1" ht="42.75">
      <c r="B190" s="62">
        <v>2.2000000000000002</v>
      </c>
      <c r="C190" s="102" t="s">
        <v>360</v>
      </c>
      <c r="D190" s="64" t="s">
        <v>67</v>
      </c>
      <c r="E190" s="224">
        <v>66</v>
      </c>
      <c r="F190" s="65">
        <v>57658</v>
      </c>
      <c r="G190" s="59">
        <f t="shared" si="118"/>
        <v>3805428</v>
      </c>
      <c r="H190" s="584">
        <f>-E190</f>
        <v>-66</v>
      </c>
      <c r="I190" s="59">
        <f t="shared" si="124"/>
        <v>-3805428</v>
      </c>
      <c r="J190" s="10">
        <v>0</v>
      </c>
      <c r="K190" s="59">
        <f t="shared" si="120"/>
        <v>0</v>
      </c>
      <c r="L190" s="66">
        <v>0</v>
      </c>
      <c r="M190" s="59">
        <f t="shared" si="114"/>
        <v>0</v>
      </c>
      <c r="N190" s="49">
        <f t="shared" ref="N190:N191" si="127">+L190</f>
        <v>0</v>
      </c>
      <c r="O190" s="52">
        <f t="shared" ref="O190:O191" si="128">+N190*F190</f>
        <v>0</v>
      </c>
      <c r="P190" s="47">
        <v>0</v>
      </c>
    </row>
    <row r="191" spans="2:16" s="424" customFormat="1" ht="28.5">
      <c r="B191" s="62">
        <v>2.2999999999999998</v>
      </c>
      <c r="C191" s="102" t="s">
        <v>361</v>
      </c>
      <c r="D191" s="64" t="s">
        <v>46</v>
      </c>
      <c r="E191" s="224">
        <v>119.7</v>
      </c>
      <c r="F191" s="65">
        <v>26710</v>
      </c>
      <c r="G191" s="59">
        <f t="shared" si="118"/>
        <v>3197187</v>
      </c>
      <c r="H191" s="584">
        <v>31.9</v>
      </c>
      <c r="I191" s="59">
        <f t="shared" si="124"/>
        <v>852049</v>
      </c>
      <c r="J191" s="10">
        <f t="shared" si="119"/>
        <v>151.6</v>
      </c>
      <c r="K191" s="59">
        <f t="shared" si="120"/>
        <v>4049236</v>
      </c>
      <c r="L191" s="66">
        <v>0</v>
      </c>
      <c r="M191" s="59">
        <f t="shared" si="114"/>
        <v>0</v>
      </c>
      <c r="N191" s="49">
        <f t="shared" si="127"/>
        <v>0</v>
      </c>
      <c r="O191" s="52">
        <f t="shared" si="128"/>
        <v>0</v>
      </c>
      <c r="P191" s="47">
        <f>N191/J191</f>
        <v>0</v>
      </c>
    </row>
    <row r="192" spans="2:16" s="424" customFormat="1" ht="15">
      <c r="B192" s="98">
        <v>3</v>
      </c>
      <c r="C192" s="89" t="s">
        <v>51</v>
      </c>
      <c r="D192" s="90"/>
      <c r="E192" s="225"/>
      <c r="F192" s="91"/>
      <c r="G192" s="60"/>
      <c r="H192" s="586"/>
      <c r="I192" s="60"/>
      <c r="J192" s="83"/>
      <c r="K192" s="60"/>
      <c r="L192" s="83"/>
      <c r="M192" s="60"/>
      <c r="N192" s="83"/>
      <c r="O192" s="178"/>
      <c r="P192" s="179"/>
    </row>
    <row r="193" spans="2:16" s="424" customFormat="1" ht="28.5">
      <c r="B193" s="62">
        <v>3.1</v>
      </c>
      <c r="C193" s="102" t="s">
        <v>362</v>
      </c>
      <c r="D193" s="64" t="s">
        <v>46</v>
      </c>
      <c r="E193" s="224">
        <v>208.02</v>
      </c>
      <c r="F193" s="65">
        <v>17916</v>
      </c>
      <c r="G193" s="59">
        <f t="shared" si="118"/>
        <v>3726886.32</v>
      </c>
      <c r="H193" s="584">
        <f>-172</f>
        <v>-172</v>
      </c>
      <c r="I193" s="59">
        <f t="shared" si="124"/>
        <v>-3081552</v>
      </c>
      <c r="J193" s="10">
        <f t="shared" si="119"/>
        <v>36.02000000000001</v>
      </c>
      <c r="K193" s="59">
        <f t="shared" si="120"/>
        <v>645334</v>
      </c>
      <c r="L193" s="66">
        <v>0</v>
      </c>
      <c r="M193" s="59">
        <f t="shared" si="114"/>
        <v>0</v>
      </c>
      <c r="N193" s="49">
        <f t="shared" ref="N193" si="129">+L193</f>
        <v>0</v>
      </c>
      <c r="O193" s="52">
        <f t="shared" ref="O193" si="130">+N193*F193</f>
        <v>0</v>
      </c>
      <c r="P193" s="47">
        <f>N193/J193</f>
        <v>0</v>
      </c>
    </row>
    <row r="194" spans="2:16" s="424" customFormat="1" ht="28.5">
      <c r="B194" s="62">
        <v>3.2</v>
      </c>
      <c r="C194" s="102" t="s">
        <v>337</v>
      </c>
      <c r="D194" s="64" t="s">
        <v>46</v>
      </c>
      <c r="E194" s="224">
        <v>208.02</v>
      </c>
      <c r="F194" s="65">
        <v>6485</v>
      </c>
      <c r="G194" s="59">
        <f t="shared" si="118"/>
        <v>1349009.7</v>
      </c>
      <c r="H194" s="584">
        <v>41.98</v>
      </c>
      <c r="I194" s="59">
        <f t="shared" si="124"/>
        <v>272240</v>
      </c>
      <c r="J194" s="10">
        <f t="shared" si="119"/>
        <v>250</v>
      </c>
      <c r="K194" s="59">
        <f t="shared" si="120"/>
        <v>1621250</v>
      </c>
      <c r="L194" s="66">
        <v>0</v>
      </c>
      <c r="M194" s="59">
        <f t="shared" si="114"/>
        <v>0</v>
      </c>
      <c r="N194" s="49">
        <f t="shared" ref="N194:N195" si="131">+L194</f>
        <v>0</v>
      </c>
      <c r="O194" s="52">
        <f t="shared" ref="O194:O195" si="132">+N194*F194</f>
        <v>0</v>
      </c>
      <c r="P194" s="47">
        <f>N194/J194</f>
        <v>0</v>
      </c>
    </row>
    <row r="195" spans="2:16" s="424" customFormat="1">
      <c r="B195" s="62">
        <v>3.3</v>
      </c>
      <c r="C195" s="102" t="s">
        <v>338</v>
      </c>
      <c r="D195" s="64" t="s">
        <v>46</v>
      </c>
      <c r="E195" s="224">
        <v>208.02</v>
      </c>
      <c r="F195" s="65">
        <v>5922</v>
      </c>
      <c r="G195" s="59">
        <f t="shared" si="118"/>
        <v>1231894.44</v>
      </c>
      <c r="H195" s="584">
        <v>41.98</v>
      </c>
      <c r="I195" s="59">
        <f t="shared" si="124"/>
        <v>248606</v>
      </c>
      <c r="J195" s="10">
        <f t="shared" si="119"/>
        <v>250</v>
      </c>
      <c r="K195" s="59">
        <f t="shared" si="120"/>
        <v>1480500</v>
      </c>
      <c r="L195" s="66">
        <v>0</v>
      </c>
      <c r="M195" s="59">
        <f t="shared" si="114"/>
        <v>0</v>
      </c>
      <c r="N195" s="49">
        <f t="shared" si="131"/>
        <v>0</v>
      </c>
      <c r="O195" s="52">
        <f t="shared" si="132"/>
        <v>0</v>
      </c>
      <c r="P195" s="47">
        <f>N195/J195</f>
        <v>0</v>
      </c>
    </row>
    <row r="196" spans="2:16" s="424" customFormat="1" ht="28.5">
      <c r="B196" s="62">
        <v>3.4</v>
      </c>
      <c r="C196" s="102" t="s">
        <v>55</v>
      </c>
      <c r="D196" s="64" t="s">
        <v>48</v>
      </c>
      <c r="E196" s="224">
        <v>60.3</v>
      </c>
      <c r="F196" s="65">
        <v>6485</v>
      </c>
      <c r="G196" s="59">
        <f t="shared" si="118"/>
        <v>391045.5</v>
      </c>
      <c r="H196" s="584">
        <v>39.700000000000003</v>
      </c>
      <c r="I196" s="59">
        <f t="shared" si="124"/>
        <v>257455</v>
      </c>
      <c r="J196" s="10">
        <f t="shared" si="119"/>
        <v>100</v>
      </c>
      <c r="K196" s="59">
        <f t="shared" si="120"/>
        <v>648500</v>
      </c>
      <c r="L196" s="66">
        <v>0</v>
      </c>
      <c r="M196" s="59">
        <f t="shared" si="114"/>
        <v>0</v>
      </c>
      <c r="N196" s="49">
        <f t="shared" ref="N196" si="133">+L196</f>
        <v>0</v>
      </c>
      <c r="O196" s="52">
        <f t="shared" ref="O196" si="134">+N196*F196</f>
        <v>0</v>
      </c>
      <c r="P196" s="47">
        <f>N196/J196</f>
        <v>0</v>
      </c>
    </row>
    <row r="197" spans="2:16" s="424" customFormat="1" ht="15">
      <c r="B197" s="98">
        <v>4</v>
      </c>
      <c r="C197" s="89" t="s">
        <v>58</v>
      </c>
      <c r="D197" s="90"/>
      <c r="E197" s="225"/>
      <c r="F197" s="91"/>
      <c r="G197" s="60"/>
      <c r="H197" s="586"/>
      <c r="I197" s="60"/>
      <c r="J197" s="83"/>
      <c r="K197" s="60"/>
      <c r="L197" s="83"/>
      <c r="M197" s="60"/>
      <c r="N197" s="83"/>
      <c r="O197" s="178"/>
      <c r="P197" s="179"/>
    </row>
    <row r="198" spans="2:16" s="424" customFormat="1" ht="28.5">
      <c r="B198" s="62">
        <v>4.0999999999999996</v>
      </c>
      <c r="C198" s="102" t="s">
        <v>363</v>
      </c>
      <c r="D198" s="64" t="s">
        <v>46</v>
      </c>
      <c r="E198" s="224">
        <v>119.7</v>
      </c>
      <c r="F198" s="65">
        <v>17739</v>
      </c>
      <c r="G198" s="59">
        <f t="shared" si="118"/>
        <v>2123358.2999999998</v>
      </c>
      <c r="H198" s="584">
        <v>41.98</v>
      </c>
      <c r="I198" s="59">
        <f t="shared" si="124"/>
        <v>744683</v>
      </c>
      <c r="J198" s="10">
        <f t="shared" si="119"/>
        <v>161.68</v>
      </c>
      <c r="K198" s="59">
        <f t="shared" si="120"/>
        <v>2868042</v>
      </c>
      <c r="L198" s="66">
        <v>0</v>
      </c>
      <c r="M198" s="59">
        <f t="shared" si="114"/>
        <v>0</v>
      </c>
      <c r="N198" s="49">
        <f t="shared" ref="N198:N199" si="135">+L198</f>
        <v>0</v>
      </c>
      <c r="O198" s="52">
        <f t="shared" ref="O198:O199" si="136">+N198*F198</f>
        <v>0</v>
      </c>
      <c r="P198" s="47">
        <f>N198/J198</f>
        <v>0</v>
      </c>
    </row>
    <row r="199" spans="2:16" s="424" customFormat="1" ht="57">
      <c r="B199" s="62">
        <v>4.2</v>
      </c>
      <c r="C199" s="102" t="s">
        <v>364</v>
      </c>
      <c r="D199" s="64" t="s">
        <v>46</v>
      </c>
      <c r="E199" s="224">
        <v>119.7</v>
      </c>
      <c r="F199" s="65">
        <v>37532</v>
      </c>
      <c r="G199" s="59">
        <f t="shared" si="118"/>
        <v>4492580.4000000004</v>
      </c>
      <c r="H199" s="584">
        <v>30</v>
      </c>
      <c r="I199" s="59">
        <f t="shared" si="124"/>
        <v>1125960</v>
      </c>
      <c r="J199" s="10">
        <f t="shared" si="119"/>
        <v>149.69999999999999</v>
      </c>
      <c r="K199" s="59">
        <f t="shared" si="120"/>
        <v>5618540</v>
      </c>
      <c r="L199" s="66">
        <v>0</v>
      </c>
      <c r="M199" s="59">
        <f t="shared" si="114"/>
        <v>0</v>
      </c>
      <c r="N199" s="49">
        <f t="shared" si="135"/>
        <v>0</v>
      </c>
      <c r="O199" s="52">
        <f t="shared" si="136"/>
        <v>0</v>
      </c>
      <c r="P199" s="47">
        <f>N199/J199</f>
        <v>0</v>
      </c>
    </row>
    <row r="200" spans="2:16" s="424" customFormat="1" ht="15">
      <c r="B200" s="98">
        <v>5</v>
      </c>
      <c r="C200" s="89" t="s">
        <v>60</v>
      </c>
      <c r="D200" s="90"/>
      <c r="E200" s="225"/>
      <c r="F200" s="91"/>
      <c r="G200" s="60"/>
      <c r="H200" s="586"/>
      <c r="I200" s="60"/>
      <c r="J200" s="83"/>
      <c r="K200" s="60"/>
      <c r="L200" s="83"/>
      <c r="M200" s="60"/>
      <c r="N200" s="83"/>
      <c r="O200" s="178"/>
      <c r="P200" s="179"/>
    </row>
    <row r="201" spans="2:16" s="424" customFormat="1" ht="28.5">
      <c r="B201" s="62">
        <v>5.0999999999999996</v>
      </c>
      <c r="C201" s="102" t="s">
        <v>61</v>
      </c>
      <c r="D201" s="64" t="s">
        <v>48</v>
      </c>
      <c r="E201" s="224">
        <v>98.6</v>
      </c>
      <c r="F201" s="65">
        <v>11738</v>
      </c>
      <c r="G201" s="59">
        <f t="shared" si="118"/>
        <v>1157366.8</v>
      </c>
      <c r="H201" s="584">
        <v>-98.6</v>
      </c>
      <c r="I201" s="59">
        <f t="shared" si="124"/>
        <v>-1157367</v>
      </c>
      <c r="J201" s="10">
        <f>+H201+E201</f>
        <v>0</v>
      </c>
      <c r="K201" s="59">
        <f t="shared" si="120"/>
        <v>0</v>
      </c>
      <c r="L201" s="66">
        <v>0</v>
      </c>
      <c r="M201" s="59">
        <f t="shared" si="114"/>
        <v>0</v>
      </c>
      <c r="N201" s="49">
        <f t="shared" ref="N201:N203" si="137">+L201</f>
        <v>0</v>
      </c>
      <c r="O201" s="52">
        <f t="shared" ref="O201:O203" si="138">+N201*F201</f>
        <v>0</v>
      </c>
      <c r="P201" s="47">
        <v>0</v>
      </c>
    </row>
    <row r="202" spans="2:16" s="424" customFormat="1" ht="28.5">
      <c r="B202" s="62">
        <v>5.2</v>
      </c>
      <c r="C202" s="102" t="s">
        <v>62</v>
      </c>
      <c r="D202" s="64" t="s">
        <v>48</v>
      </c>
      <c r="E202" s="224">
        <v>44.82</v>
      </c>
      <c r="F202" s="65">
        <v>7050</v>
      </c>
      <c r="G202" s="59">
        <f t="shared" si="118"/>
        <v>315981</v>
      </c>
      <c r="H202" s="584">
        <v>-44.82</v>
      </c>
      <c r="I202" s="59">
        <f t="shared" si="124"/>
        <v>-315981</v>
      </c>
      <c r="J202" s="10">
        <f t="shared" si="119"/>
        <v>0</v>
      </c>
      <c r="K202" s="59">
        <f t="shared" si="120"/>
        <v>0</v>
      </c>
      <c r="L202" s="66">
        <v>0</v>
      </c>
      <c r="M202" s="59">
        <f t="shared" si="114"/>
        <v>0</v>
      </c>
      <c r="N202" s="49">
        <f t="shared" si="137"/>
        <v>0</v>
      </c>
      <c r="O202" s="52">
        <f t="shared" si="138"/>
        <v>0</v>
      </c>
      <c r="P202" s="47">
        <v>0</v>
      </c>
    </row>
    <row r="203" spans="2:16" s="424" customFormat="1" ht="28.5">
      <c r="B203" s="62">
        <v>5.3</v>
      </c>
      <c r="C203" s="102" t="s">
        <v>339</v>
      </c>
      <c r="D203" s="64" t="s">
        <v>48</v>
      </c>
      <c r="E203" s="224">
        <v>44.8</v>
      </c>
      <c r="F203" s="65">
        <v>24367</v>
      </c>
      <c r="G203" s="59">
        <f t="shared" si="118"/>
        <v>1091641.6000000001</v>
      </c>
      <c r="H203" s="584">
        <v>-44.8</v>
      </c>
      <c r="I203" s="59">
        <f t="shared" si="124"/>
        <v>-1091642</v>
      </c>
      <c r="J203" s="10">
        <f t="shared" si="119"/>
        <v>0</v>
      </c>
      <c r="K203" s="59">
        <f t="shared" si="120"/>
        <v>0</v>
      </c>
      <c r="L203" s="66">
        <v>0</v>
      </c>
      <c r="M203" s="59">
        <f t="shared" si="114"/>
        <v>0</v>
      </c>
      <c r="N203" s="49">
        <f t="shared" si="137"/>
        <v>0</v>
      </c>
      <c r="O203" s="52">
        <f t="shared" si="138"/>
        <v>0</v>
      </c>
      <c r="P203" s="47">
        <v>0</v>
      </c>
    </row>
    <row r="204" spans="2:16" s="424" customFormat="1" ht="15">
      <c r="B204" s="98">
        <v>6</v>
      </c>
      <c r="C204" s="89" t="s">
        <v>145</v>
      </c>
      <c r="D204" s="90"/>
      <c r="E204" s="225"/>
      <c r="F204" s="91"/>
      <c r="G204" s="60"/>
      <c r="H204" s="586"/>
      <c r="I204" s="60"/>
      <c r="J204" s="83"/>
      <c r="K204" s="60"/>
      <c r="L204" s="83"/>
      <c r="M204" s="60"/>
      <c r="N204" s="83"/>
      <c r="O204" s="178"/>
      <c r="P204" s="179"/>
    </row>
    <row r="205" spans="2:16" s="424" customFormat="1">
      <c r="B205" s="62">
        <v>6.1</v>
      </c>
      <c r="C205" s="102" t="s">
        <v>81</v>
      </c>
      <c r="D205" s="64" t="s">
        <v>340</v>
      </c>
      <c r="E205" s="224">
        <v>1</v>
      </c>
      <c r="F205" s="65">
        <v>349853</v>
      </c>
      <c r="G205" s="59">
        <f t="shared" si="118"/>
        <v>349853</v>
      </c>
      <c r="H205" s="584">
        <v>0</v>
      </c>
      <c r="I205" s="59">
        <f t="shared" si="124"/>
        <v>0</v>
      </c>
      <c r="J205" s="10">
        <f t="shared" si="119"/>
        <v>1</v>
      </c>
      <c r="K205" s="59">
        <f t="shared" si="120"/>
        <v>349853</v>
      </c>
      <c r="L205" s="66">
        <v>0</v>
      </c>
      <c r="M205" s="59">
        <f t="shared" si="114"/>
        <v>0</v>
      </c>
      <c r="N205" s="49">
        <f t="shared" ref="N205:N206" si="139">+L205</f>
        <v>0</v>
      </c>
      <c r="O205" s="52">
        <f t="shared" ref="O205:O206" si="140">+N205*F205</f>
        <v>0</v>
      </c>
      <c r="P205" s="47">
        <f>N205/J205</f>
        <v>0</v>
      </c>
    </row>
    <row r="206" spans="2:16" s="424" customFormat="1" ht="28.5">
      <c r="B206" s="62">
        <v>6.2</v>
      </c>
      <c r="C206" s="102" t="s">
        <v>341</v>
      </c>
      <c r="D206" s="64" t="s">
        <v>340</v>
      </c>
      <c r="E206" s="224">
        <v>1</v>
      </c>
      <c r="F206" s="65">
        <v>6709500</v>
      </c>
      <c r="G206" s="59">
        <f t="shared" si="118"/>
        <v>6709500</v>
      </c>
      <c r="H206" s="584">
        <v>0</v>
      </c>
      <c r="I206" s="59">
        <f t="shared" si="124"/>
        <v>0</v>
      </c>
      <c r="J206" s="10">
        <f t="shared" si="119"/>
        <v>1</v>
      </c>
      <c r="K206" s="59">
        <f t="shared" si="120"/>
        <v>6709500</v>
      </c>
      <c r="L206" s="66">
        <v>0</v>
      </c>
      <c r="M206" s="59">
        <f t="shared" si="114"/>
        <v>0</v>
      </c>
      <c r="N206" s="49">
        <f t="shared" si="139"/>
        <v>0</v>
      </c>
      <c r="O206" s="52">
        <f t="shared" si="140"/>
        <v>0</v>
      </c>
      <c r="P206" s="47">
        <f>N206/J206</f>
        <v>0</v>
      </c>
    </row>
    <row r="207" spans="2:16" s="424" customFormat="1" ht="15">
      <c r="B207" s="147"/>
      <c r="C207" s="148" t="s">
        <v>147</v>
      </c>
      <c r="D207" s="149"/>
      <c r="E207" s="235"/>
      <c r="F207" s="150"/>
      <c r="G207" s="151"/>
      <c r="H207" s="586"/>
      <c r="I207" s="60"/>
      <c r="J207" s="83"/>
      <c r="K207" s="60"/>
      <c r="L207" s="83"/>
      <c r="M207" s="60"/>
      <c r="N207" s="83"/>
      <c r="O207" s="178"/>
      <c r="P207" s="179"/>
    </row>
    <row r="208" spans="2:16" s="424" customFormat="1" ht="71.25">
      <c r="B208" s="175" t="s">
        <v>273</v>
      </c>
      <c r="C208" s="124" t="s">
        <v>342</v>
      </c>
      <c r="D208" s="176" t="s">
        <v>298</v>
      </c>
      <c r="E208" s="229"/>
      <c r="F208" s="177">
        <v>82710</v>
      </c>
      <c r="G208" s="59">
        <f t="shared" si="118"/>
        <v>0</v>
      </c>
      <c r="H208" s="602">
        <v>230</v>
      </c>
      <c r="I208" s="59">
        <f t="shared" si="124"/>
        <v>19023300</v>
      </c>
      <c r="J208" s="10">
        <f t="shared" ref="J208:J225" si="141">+H208+E208</f>
        <v>230</v>
      </c>
      <c r="K208" s="59">
        <f t="shared" ref="K208:K225" si="142">+ROUND(J208*F208,0)</f>
        <v>19023300</v>
      </c>
      <c r="L208" s="66">
        <v>0</v>
      </c>
      <c r="M208" s="59">
        <f t="shared" si="114"/>
        <v>0</v>
      </c>
      <c r="N208" s="49">
        <f t="shared" ref="N208" si="143">+L208</f>
        <v>0</v>
      </c>
      <c r="O208" s="52">
        <f t="shared" ref="O208" si="144">+N208*F208</f>
        <v>0</v>
      </c>
      <c r="P208" s="47">
        <f t="shared" ref="P208:P225" si="145">N208/J208</f>
        <v>0</v>
      </c>
    </row>
    <row r="209" spans="2:16" s="424" customFormat="1" ht="42.75">
      <c r="B209" s="175" t="s">
        <v>276</v>
      </c>
      <c r="C209" s="124" t="s">
        <v>343</v>
      </c>
      <c r="D209" s="176" t="s">
        <v>298</v>
      </c>
      <c r="E209" s="229"/>
      <c r="F209" s="177">
        <v>14358</v>
      </c>
      <c r="G209" s="59">
        <f t="shared" si="118"/>
        <v>0</v>
      </c>
      <c r="H209" s="602">
        <v>108.24</v>
      </c>
      <c r="I209" s="59">
        <f t="shared" si="124"/>
        <v>1554110</v>
      </c>
      <c r="J209" s="10">
        <f>+H209+E209</f>
        <v>108.24</v>
      </c>
      <c r="K209" s="59">
        <f t="shared" si="142"/>
        <v>1554110</v>
      </c>
      <c r="L209" s="66">
        <v>0</v>
      </c>
      <c r="M209" s="59">
        <f t="shared" si="114"/>
        <v>0</v>
      </c>
      <c r="N209" s="49">
        <f t="shared" ref="N209:N225" si="146">+L209</f>
        <v>0</v>
      </c>
      <c r="O209" s="52">
        <f t="shared" ref="O209:O225" si="147">+N209*F209</f>
        <v>0</v>
      </c>
      <c r="P209" s="47">
        <f t="shared" si="145"/>
        <v>0</v>
      </c>
    </row>
    <row r="210" spans="2:16" s="424" customFormat="1" ht="42.75">
      <c r="B210" s="175" t="s">
        <v>277</v>
      </c>
      <c r="C210" s="124" t="s">
        <v>344</v>
      </c>
      <c r="D210" s="176" t="s">
        <v>298</v>
      </c>
      <c r="E210" s="229"/>
      <c r="F210" s="177">
        <v>107666</v>
      </c>
      <c r="G210" s="59">
        <f t="shared" si="118"/>
        <v>0</v>
      </c>
      <c r="H210" s="602">
        <v>16</v>
      </c>
      <c r="I210" s="59">
        <f t="shared" si="124"/>
        <v>1722656</v>
      </c>
      <c r="J210" s="10">
        <f t="shared" si="141"/>
        <v>16</v>
      </c>
      <c r="K210" s="59">
        <f t="shared" si="142"/>
        <v>1722656</v>
      </c>
      <c r="L210" s="66">
        <v>0</v>
      </c>
      <c r="M210" s="59">
        <f t="shared" si="114"/>
        <v>0</v>
      </c>
      <c r="N210" s="49">
        <f t="shared" si="146"/>
        <v>0</v>
      </c>
      <c r="O210" s="52">
        <f t="shared" si="147"/>
        <v>0</v>
      </c>
      <c r="P210" s="47">
        <f t="shared" si="145"/>
        <v>0</v>
      </c>
    </row>
    <row r="211" spans="2:16" s="424" customFormat="1" ht="28.5">
      <c r="B211" s="175" t="s">
        <v>279</v>
      </c>
      <c r="C211" s="124" t="s">
        <v>345</v>
      </c>
      <c r="D211" s="176" t="s">
        <v>298</v>
      </c>
      <c r="E211" s="229"/>
      <c r="F211" s="177">
        <v>60561</v>
      </c>
      <c r="G211" s="59">
        <f t="shared" si="118"/>
        <v>0</v>
      </c>
      <c r="H211" s="602">
        <v>16</v>
      </c>
      <c r="I211" s="59">
        <f t="shared" si="124"/>
        <v>968976</v>
      </c>
      <c r="J211" s="10">
        <f t="shared" si="141"/>
        <v>16</v>
      </c>
      <c r="K211" s="59">
        <f t="shared" si="142"/>
        <v>968976</v>
      </c>
      <c r="L211" s="66">
        <v>0</v>
      </c>
      <c r="M211" s="59">
        <f t="shared" si="114"/>
        <v>0</v>
      </c>
      <c r="N211" s="49">
        <f t="shared" si="146"/>
        <v>0</v>
      </c>
      <c r="O211" s="52">
        <f t="shared" si="147"/>
        <v>0</v>
      </c>
      <c r="P211" s="47">
        <f t="shared" si="145"/>
        <v>0</v>
      </c>
    </row>
    <row r="212" spans="2:16" s="424" customFormat="1" ht="42.75">
      <c r="B212" s="175" t="s">
        <v>281</v>
      </c>
      <c r="C212" s="124" t="s">
        <v>346</v>
      </c>
      <c r="D212" s="176" t="s">
        <v>268</v>
      </c>
      <c r="E212" s="229"/>
      <c r="F212" s="177">
        <v>83007</v>
      </c>
      <c r="G212" s="59">
        <f t="shared" si="118"/>
        <v>0</v>
      </c>
      <c r="H212" s="602">
        <v>5</v>
      </c>
      <c r="I212" s="59">
        <f t="shared" si="124"/>
        <v>415035</v>
      </c>
      <c r="J212" s="10">
        <f t="shared" si="141"/>
        <v>5</v>
      </c>
      <c r="K212" s="59">
        <f t="shared" si="142"/>
        <v>415035</v>
      </c>
      <c r="L212" s="66">
        <v>0</v>
      </c>
      <c r="M212" s="59">
        <f t="shared" si="114"/>
        <v>0</v>
      </c>
      <c r="N212" s="49">
        <f t="shared" si="146"/>
        <v>0</v>
      </c>
      <c r="O212" s="52">
        <f t="shared" si="147"/>
        <v>0</v>
      </c>
      <c r="P212" s="47">
        <f t="shared" si="145"/>
        <v>0</v>
      </c>
    </row>
    <row r="213" spans="2:16" s="424" customFormat="1" ht="28.5">
      <c r="B213" s="175" t="s">
        <v>283</v>
      </c>
      <c r="C213" s="124" t="s">
        <v>347</v>
      </c>
      <c r="D213" s="176" t="s">
        <v>268</v>
      </c>
      <c r="E213" s="229"/>
      <c r="F213" s="177">
        <v>43019</v>
      </c>
      <c r="G213" s="59">
        <f t="shared" si="118"/>
        <v>0</v>
      </c>
      <c r="H213" s="602">
        <v>5</v>
      </c>
      <c r="I213" s="59">
        <f t="shared" si="124"/>
        <v>215095</v>
      </c>
      <c r="J213" s="10">
        <f t="shared" si="141"/>
        <v>5</v>
      </c>
      <c r="K213" s="59">
        <f t="shared" si="142"/>
        <v>215095</v>
      </c>
      <c r="L213" s="66">
        <v>0</v>
      </c>
      <c r="M213" s="59">
        <f t="shared" si="114"/>
        <v>0</v>
      </c>
      <c r="N213" s="49">
        <f t="shared" si="146"/>
        <v>0</v>
      </c>
      <c r="O213" s="52">
        <f t="shared" si="147"/>
        <v>0</v>
      </c>
      <c r="P213" s="47">
        <f t="shared" si="145"/>
        <v>0</v>
      </c>
    </row>
    <row r="214" spans="2:16" s="424" customFormat="1" ht="28.5">
      <c r="B214" s="175" t="s">
        <v>285</v>
      </c>
      <c r="C214" s="124" t="s">
        <v>348</v>
      </c>
      <c r="D214" s="176" t="s">
        <v>21</v>
      </c>
      <c r="E214" s="229"/>
      <c r="F214" s="177">
        <v>73596</v>
      </c>
      <c r="G214" s="59">
        <f t="shared" si="118"/>
        <v>0</v>
      </c>
      <c r="H214" s="602">
        <v>15</v>
      </c>
      <c r="I214" s="59">
        <f t="shared" si="124"/>
        <v>1103940</v>
      </c>
      <c r="J214" s="10">
        <f t="shared" si="141"/>
        <v>15</v>
      </c>
      <c r="K214" s="59">
        <f t="shared" si="142"/>
        <v>1103940</v>
      </c>
      <c r="L214" s="66">
        <v>0</v>
      </c>
      <c r="M214" s="59">
        <f t="shared" si="114"/>
        <v>0</v>
      </c>
      <c r="N214" s="49">
        <f t="shared" si="146"/>
        <v>0</v>
      </c>
      <c r="O214" s="52">
        <f t="shared" si="147"/>
        <v>0</v>
      </c>
      <c r="P214" s="47">
        <f t="shared" si="145"/>
        <v>0</v>
      </c>
    </row>
    <row r="215" spans="2:16" s="424" customFormat="1" ht="28.5">
      <c r="B215" s="175" t="s">
        <v>287</v>
      </c>
      <c r="C215" s="124" t="s">
        <v>349</v>
      </c>
      <c r="D215" s="176" t="s">
        <v>21</v>
      </c>
      <c r="E215" s="229"/>
      <c r="F215" s="177">
        <v>6494</v>
      </c>
      <c r="G215" s="59">
        <f t="shared" si="118"/>
        <v>0</v>
      </c>
      <c r="H215" s="602">
        <v>6</v>
      </c>
      <c r="I215" s="59">
        <f t="shared" si="124"/>
        <v>38964</v>
      </c>
      <c r="J215" s="10">
        <f t="shared" si="141"/>
        <v>6</v>
      </c>
      <c r="K215" s="59">
        <f t="shared" si="142"/>
        <v>38964</v>
      </c>
      <c r="L215" s="66">
        <v>0</v>
      </c>
      <c r="M215" s="59">
        <f t="shared" si="114"/>
        <v>0</v>
      </c>
      <c r="N215" s="49">
        <f t="shared" si="146"/>
        <v>0</v>
      </c>
      <c r="O215" s="52">
        <f t="shared" si="147"/>
        <v>0</v>
      </c>
      <c r="P215" s="47">
        <f t="shared" si="145"/>
        <v>0</v>
      </c>
    </row>
    <row r="216" spans="2:16" s="424" customFormat="1" ht="42.75">
      <c r="B216" s="175" t="s">
        <v>289</v>
      </c>
      <c r="C216" s="124" t="s">
        <v>350</v>
      </c>
      <c r="D216" s="176" t="s">
        <v>268</v>
      </c>
      <c r="E216" s="229"/>
      <c r="F216" s="177">
        <v>76184</v>
      </c>
      <c r="G216" s="59">
        <f t="shared" si="118"/>
        <v>0</v>
      </c>
      <c r="H216" s="602">
        <v>2</v>
      </c>
      <c r="I216" s="59">
        <f t="shared" si="124"/>
        <v>152368</v>
      </c>
      <c r="J216" s="10">
        <f t="shared" si="141"/>
        <v>2</v>
      </c>
      <c r="K216" s="59">
        <f t="shared" si="142"/>
        <v>152368</v>
      </c>
      <c r="L216" s="66">
        <v>0</v>
      </c>
      <c r="M216" s="59">
        <f t="shared" si="114"/>
        <v>0</v>
      </c>
      <c r="N216" s="49">
        <f t="shared" si="146"/>
        <v>0</v>
      </c>
      <c r="O216" s="52">
        <f t="shared" si="147"/>
        <v>0</v>
      </c>
      <c r="P216" s="47">
        <f t="shared" si="145"/>
        <v>0</v>
      </c>
    </row>
    <row r="217" spans="2:16" s="424" customFormat="1" ht="42.75">
      <c r="B217" s="175" t="s">
        <v>291</v>
      </c>
      <c r="C217" s="124" t="s">
        <v>351</v>
      </c>
      <c r="D217" s="176" t="s">
        <v>298</v>
      </c>
      <c r="E217" s="229"/>
      <c r="F217" s="177">
        <v>41302</v>
      </c>
      <c r="G217" s="59">
        <f t="shared" si="118"/>
        <v>0</v>
      </c>
      <c r="H217" s="602">
        <v>12</v>
      </c>
      <c r="I217" s="59">
        <f t="shared" si="124"/>
        <v>495624</v>
      </c>
      <c r="J217" s="10">
        <f t="shared" si="141"/>
        <v>12</v>
      </c>
      <c r="K217" s="59">
        <f t="shared" si="142"/>
        <v>495624</v>
      </c>
      <c r="L217" s="66">
        <v>0</v>
      </c>
      <c r="M217" s="59">
        <f t="shared" si="114"/>
        <v>0</v>
      </c>
      <c r="N217" s="49">
        <f t="shared" si="146"/>
        <v>0</v>
      </c>
      <c r="O217" s="52">
        <f t="shared" si="147"/>
        <v>0</v>
      </c>
      <c r="P217" s="47">
        <f t="shared" si="145"/>
        <v>0</v>
      </c>
    </row>
    <row r="218" spans="2:16" s="424" customFormat="1" ht="57">
      <c r="B218" s="175" t="s">
        <v>293</v>
      </c>
      <c r="C218" s="124" t="s">
        <v>352</v>
      </c>
      <c r="D218" s="176" t="s">
        <v>268</v>
      </c>
      <c r="E218" s="229"/>
      <c r="F218" s="177">
        <v>367681</v>
      </c>
      <c r="G218" s="59">
        <f t="shared" si="118"/>
        <v>0</v>
      </c>
      <c r="H218" s="602">
        <v>1</v>
      </c>
      <c r="I218" s="59">
        <f t="shared" si="124"/>
        <v>367681</v>
      </c>
      <c r="J218" s="10">
        <f t="shared" si="141"/>
        <v>1</v>
      </c>
      <c r="K218" s="59">
        <f t="shared" si="142"/>
        <v>367681</v>
      </c>
      <c r="L218" s="66">
        <v>0</v>
      </c>
      <c r="M218" s="59">
        <f t="shared" si="114"/>
        <v>0</v>
      </c>
      <c r="N218" s="49">
        <f t="shared" si="146"/>
        <v>0</v>
      </c>
      <c r="O218" s="52">
        <f t="shared" si="147"/>
        <v>0</v>
      </c>
      <c r="P218" s="47">
        <f t="shared" si="145"/>
        <v>0</v>
      </c>
    </row>
    <row r="219" spans="2:16" s="424" customFormat="1" ht="42.75">
      <c r="B219" s="175" t="s">
        <v>296</v>
      </c>
      <c r="C219" s="124" t="s">
        <v>353</v>
      </c>
      <c r="D219" s="176" t="s">
        <v>21</v>
      </c>
      <c r="E219" s="229"/>
      <c r="F219" s="177">
        <v>12584</v>
      </c>
      <c r="G219" s="59">
        <f t="shared" si="118"/>
        <v>0</v>
      </c>
      <c r="H219" s="602">
        <v>9.6</v>
      </c>
      <c r="I219" s="59">
        <f t="shared" si="124"/>
        <v>120806</v>
      </c>
      <c r="J219" s="10">
        <f t="shared" si="141"/>
        <v>9.6</v>
      </c>
      <c r="K219" s="59">
        <f t="shared" si="142"/>
        <v>120806</v>
      </c>
      <c r="L219" s="66">
        <v>0</v>
      </c>
      <c r="M219" s="59">
        <f t="shared" si="114"/>
        <v>0</v>
      </c>
      <c r="N219" s="49">
        <f t="shared" si="146"/>
        <v>0</v>
      </c>
      <c r="O219" s="52">
        <f t="shared" si="147"/>
        <v>0</v>
      </c>
      <c r="P219" s="47">
        <f t="shared" si="145"/>
        <v>0</v>
      </c>
    </row>
    <row r="220" spans="2:16" s="424" customFormat="1" ht="28.5">
      <c r="B220" s="175" t="s">
        <v>299</v>
      </c>
      <c r="C220" s="124" t="s">
        <v>354</v>
      </c>
      <c r="D220" s="176" t="s">
        <v>21</v>
      </c>
      <c r="E220" s="229"/>
      <c r="F220" s="177">
        <v>45816</v>
      </c>
      <c r="G220" s="59">
        <f t="shared" si="118"/>
        <v>0</v>
      </c>
      <c r="H220" s="602">
        <v>9.6</v>
      </c>
      <c r="I220" s="59">
        <f t="shared" si="124"/>
        <v>439834</v>
      </c>
      <c r="J220" s="10">
        <f t="shared" si="141"/>
        <v>9.6</v>
      </c>
      <c r="K220" s="59">
        <f t="shared" si="142"/>
        <v>439834</v>
      </c>
      <c r="L220" s="103">
        <v>0</v>
      </c>
      <c r="M220" s="59">
        <f t="shared" si="114"/>
        <v>0</v>
      </c>
      <c r="N220" s="49">
        <f t="shared" si="146"/>
        <v>0</v>
      </c>
      <c r="O220" s="52">
        <f t="shared" si="147"/>
        <v>0</v>
      </c>
      <c r="P220" s="47">
        <f t="shared" si="145"/>
        <v>0</v>
      </c>
    </row>
    <row r="221" spans="2:16" s="424" customFormat="1" ht="71.25">
      <c r="B221" s="190" t="s">
        <v>355</v>
      </c>
      <c r="C221" s="129" t="s">
        <v>356</v>
      </c>
      <c r="D221" s="191" t="s">
        <v>22</v>
      </c>
      <c r="E221" s="230"/>
      <c r="F221" s="177">
        <v>3891118</v>
      </c>
      <c r="G221" s="314">
        <f>+ROUND(F221*E221,2)</f>
        <v>0</v>
      </c>
      <c r="H221" s="603">
        <v>1</v>
      </c>
      <c r="I221" s="104">
        <f t="shared" si="124"/>
        <v>3891118</v>
      </c>
      <c r="J221" s="10">
        <f t="shared" si="141"/>
        <v>1</v>
      </c>
      <c r="K221" s="43">
        <f t="shared" si="142"/>
        <v>3891118</v>
      </c>
      <c r="L221" s="66">
        <v>0</v>
      </c>
      <c r="M221" s="59">
        <f>+ROUND(L221*F221,0)</f>
        <v>0</v>
      </c>
      <c r="N221" s="49">
        <f t="shared" si="146"/>
        <v>0</v>
      </c>
      <c r="O221" s="52">
        <f t="shared" si="147"/>
        <v>0</v>
      </c>
      <c r="P221" s="47">
        <f t="shared" si="145"/>
        <v>0</v>
      </c>
    </row>
    <row r="222" spans="2:16" ht="42.75">
      <c r="B222" s="122" t="s">
        <v>368</v>
      </c>
      <c r="C222" s="102" t="s">
        <v>393</v>
      </c>
      <c r="D222" s="79" t="s">
        <v>67</v>
      </c>
      <c r="E222" s="223"/>
      <c r="F222" s="565">
        <v>46138.66490126666</v>
      </c>
      <c r="G222" s="43"/>
      <c r="H222" s="585">
        <v>477</v>
      </c>
      <c r="I222" s="43">
        <f t="shared" ref="I222:I225" si="148">+ROUND(H222*F222,0)</f>
        <v>22008143</v>
      </c>
      <c r="J222" s="53">
        <f t="shared" si="141"/>
        <v>477</v>
      </c>
      <c r="K222" s="46">
        <f t="shared" si="142"/>
        <v>22008143</v>
      </c>
      <c r="L222" s="53">
        <v>0</v>
      </c>
      <c r="M222" s="46">
        <f t="shared" ref="M222:M225" si="149">+ROUND(L222*F222,0)</f>
        <v>0</v>
      </c>
      <c r="N222" s="49">
        <f t="shared" si="146"/>
        <v>0</v>
      </c>
      <c r="O222" s="52">
        <f t="shared" si="147"/>
        <v>0</v>
      </c>
      <c r="P222" s="196">
        <f t="shared" si="145"/>
        <v>0</v>
      </c>
    </row>
    <row r="223" spans="2:16" s="424" customFormat="1">
      <c r="B223" s="195" t="s">
        <v>384</v>
      </c>
      <c r="C223" s="102" t="s">
        <v>45</v>
      </c>
      <c r="D223" s="508" t="s">
        <v>21</v>
      </c>
      <c r="E223" s="239"/>
      <c r="F223" s="446">
        <v>7359</v>
      </c>
      <c r="G223" s="46"/>
      <c r="H223" s="585">
        <v>36.020000000000003</v>
      </c>
      <c r="I223" s="43">
        <f t="shared" si="148"/>
        <v>265071</v>
      </c>
      <c r="J223" s="10">
        <f t="shared" si="141"/>
        <v>36.020000000000003</v>
      </c>
      <c r="K223" s="43">
        <f t="shared" si="142"/>
        <v>265071</v>
      </c>
      <c r="L223" s="53">
        <v>0</v>
      </c>
      <c r="M223" s="46">
        <f t="shared" si="149"/>
        <v>0</v>
      </c>
      <c r="N223" s="49">
        <f t="shared" si="146"/>
        <v>0</v>
      </c>
      <c r="O223" s="52">
        <f t="shared" si="147"/>
        <v>0</v>
      </c>
      <c r="P223" s="196">
        <f t="shared" si="145"/>
        <v>0</v>
      </c>
    </row>
    <row r="224" spans="2:16" s="424" customFormat="1">
      <c r="B224" s="126" t="s">
        <v>373</v>
      </c>
      <c r="C224" s="454" t="s">
        <v>385</v>
      </c>
      <c r="D224" s="508" t="s">
        <v>176</v>
      </c>
      <c r="E224" s="239"/>
      <c r="F224" s="456">
        <v>11930</v>
      </c>
      <c r="G224" s="46"/>
      <c r="H224" s="591">
        <v>42</v>
      </c>
      <c r="I224" s="43">
        <f t="shared" si="148"/>
        <v>501060</v>
      </c>
      <c r="J224" s="10">
        <f t="shared" si="141"/>
        <v>42</v>
      </c>
      <c r="K224" s="46">
        <f t="shared" si="142"/>
        <v>501060</v>
      </c>
      <c r="L224" s="53">
        <v>0</v>
      </c>
      <c r="M224" s="46">
        <f t="shared" si="149"/>
        <v>0</v>
      </c>
      <c r="N224" s="49">
        <f t="shared" si="146"/>
        <v>0</v>
      </c>
      <c r="O224" s="52">
        <f t="shared" si="147"/>
        <v>0</v>
      </c>
      <c r="P224" s="196">
        <f t="shared" si="145"/>
        <v>0</v>
      </c>
    </row>
    <row r="225" spans="2:16" s="424" customFormat="1" ht="29.25" thickBot="1">
      <c r="B225" s="197" t="s">
        <v>375</v>
      </c>
      <c r="C225" s="471" t="s">
        <v>386</v>
      </c>
      <c r="D225" s="345" t="s">
        <v>176</v>
      </c>
      <c r="E225" s="346"/>
      <c r="F225" s="472">
        <v>76000</v>
      </c>
      <c r="G225" s="288"/>
      <c r="H225" s="604">
        <v>42</v>
      </c>
      <c r="I225" s="44">
        <f t="shared" si="148"/>
        <v>3192000</v>
      </c>
      <c r="J225" s="11">
        <f t="shared" si="141"/>
        <v>42</v>
      </c>
      <c r="K225" s="288">
        <f t="shared" si="142"/>
        <v>3192000</v>
      </c>
      <c r="L225" s="287">
        <v>0</v>
      </c>
      <c r="M225" s="288">
        <f t="shared" si="149"/>
        <v>0</v>
      </c>
      <c r="N225" s="11">
        <f t="shared" si="146"/>
        <v>0</v>
      </c>
      <c r="O225" s="44">
        <f t="shared" si="147"/>
        <v>0</v>
      </c>
      <c r="P225" s="567">
        <f t="shared" si="145"/>
        <v>0</v>
      </c>
    </row>
    <row r="226" spans="2:16" s="323" customFormat="1" ht="15" thickBot="1">
      <c r="B226" s="322"/>
      <c r="H226" s="605"/>
      <c r="P226" s="624"/>
    </row>
    <row r="227" spans="2:16" s="424" customFormat="1" ht="15">
      <c r="B227" s="195"/>
      <c r="C227" s="257" t="s">
        <v>8</v>
      </c>
      <c r="D227" s="633"/>
      <c r="E227" s="633"/>
      <c r="F227" s="258"/>
      <c r="G227" s="259">
        <f>+ROUND(SUM(G182:G225),0)</f>
        <v>36803823</v>
      </c>
      <c r="H227" s="579"/>
      <c r="I227" s="259">
        <f>+ROUND(SUM(I182:I225),0)</f>
        <v>58946748</v>
      </c>
      <c r="J227" s="262"/>
      <c r="K227" s="261">
        <f>+ROUND(SUM(K182:K225),0)</f>
        <v>95750572</v>
      </c>
      <c r="L227" s="263"/>
      <c r="M227" s="259">
        <f>+ROUND(SUM(M182:M225),0)</f>
        <v>0</v>
      </c>
      <c r="N227" s="289"/>
      <c r="O227" s="259">
        <f>+ROUND(SUM(O182:O225),0)</f>
        <v>0</v>
      </c>
      <c r="P227" s="634">
        <f>+O232/K232</f>
        <v>0</v>
      </c>
    </row>
    <row r="228" spans="2:16" s="424" customFormat="1">
      <c r="B228" s="195"/>
      <c r="C228" s="264" t="s">
        <v>101</v>
      </c>
      <c r="D228" s="265"/>
      <c r="E228" s="266">
        <v>0.25</v>
      </c>
      <c r="F228" s="267"/>
      <c r="G228" s="54">
        <f>+$G$227*E228</f>
        <v>9200955.75</v>
      </c>
      <c r="H228" s="580"/>
      <c r="I228" s="46">
        <f>+$I$227*E228</f>
        <v>14736687</v>
      </c>
      <c r="J228" s="269"/>
      <c r="K228" s="46">
        <f>+$K$227*E228</f>
        <v>23937643</v>
      </c>
      <c r="L228" s="270"/>
      <c r="M228" s="46">
        <f>+$M$227*E228</f>
        <v>0</v>
      </c>
      <c r="N228" s="10"/>
      <c r="O228" s="46">
        <f>+$O$227*E228</f>
        <v>0</v>
      </c>
      <c r="P228" s="635"/>
    </row>
    <row r="229" spans="2:16" s="424" customFormat="1">
      <c r="B229" s="195"/>
      <c r="C229" s="264" t="s">
        <v>102</v>
      </c>
      <c r="D229" s="265"/>
      <c r="E229" s="266">
        <v>0.02</v>
      </c>
      <c r="F229" s="267"/>
      <c r="G229" s="54">
        <f t="shared" ref="G229:G230" si="150">+$G$227*E229</f>
        <v>736076.46</v>
      </c>
      <c r="H229" s="580"/>
      <c r="I229" s="46">
        <f t="shared" ref="I229:I230" si="151">+$I$227*E229</f>
        <v>1178934.96</v>
      </c>
      <c r="J229" s="269"/>
      <c r="K229" s="46">
        <f t="shared" ref="K229:K230" si="152">+$K$227*E229</f>
        <v>1915011.44</v>
      </c>
      <c r="L229" s="270"/>
      <c r="M229" s="46">
        <f t="shared" ref="M229:M230" si="153">+$M$227*E229</f>
        <v>0</v>
      </c>
      <c r="N229" s="10"/>
      <c r="O229" s="46">
        <f>+$O$227*E229</f>
        <v>0</v>
      </c>
      <c r="P229" s="635"/>
    </row>
    <row r="230" spans="2:16" s="424" customFormat="1">
      <c r="B230" s="195"/>
      <c r="C230" s="264" t="s">
        <v>103</v>
      </c>
      <c r="D230" s="265"/>
      <c r="E230" s="266">
        <v>0.05</v>
      </c>
      <c r="F230" s="267"/>
      <c r="G230" s="54">
        <f t="shared" si="150"/>
        <v>1840191.1500000001</v>
      </c>
      <c r="H230" s="580"/>
      <c r="I230" s="46">
        <f t="shared" si="151"/>
        <v>2947337.4000000004</v>
      </c>
      <c r="J230" s="269"/>
      <c r="K230" s="46">
        <f t="shared" si="152"/>
        <v>4787528.6000000006</v>
      </c>
      <c r="L230" s="270"/>
      <c r="M230" s="46">
        <f t="shared" si="153"/>
        <v>0</v>
      </c>
      <c r="N230" s="10"/>
      <c r="O230" s="46">
        <f>+$O$227*E230</f>
        <v>0</v>
      </c>
      <c r="P230" s="635"/>
    </row>
    <row r="231" spans="2:16" s="424" customFormat="1" ht="15">
      <c r="B231" s="195"/>
      <c r="C231" s="271" t="s">
        <v>104</v>
      </c>
      <c r="D231" s="637"/>
      <c r="E231" s="637"/>
      <c r="F231" s="272"/>
      <c r="G231" s="273">
        <f>ROUND(SUM(G228:G230),0)</f>
        <v>11777223</v>
      </c>
      <c r="H231" s="581"/>
      <c r="I231" s="275">
        <f>ROUND(SUM(I228:I230),0)</f>
        <v>18862959</v>
      </c>
      <c r="J231" s="276"/>
      <c r="K231" s="275">
        <f>ROUND(SUM(K228:K230),0)</f>
        <v>30640183</v>
      </c>
      <c r="L231" s="277"/>
      <c r="M231" s="275">
        <f>ROUND(SUM(M228:M230),0)</f>
        <v>0</v>
      </c>
      <c r="N231" s="10"/>
      <c r="O231" s="275">
        <f>ROUND(SUM(O228:O230),0)</f>
        <v>0</v>
      </c>
      <c r="P231" s="635"/>
    </row>
    <row r="232" spans="2:16" s="424" customFormat="1" ht="15.75" thickBot="1">
      <c r="B232" s="195"/>
      <c r="C232" s="278" t="s">
        <v>105</v>
      </c>
      <c r="D232" s="638"/>
      <c r="E232" s="638"/>
      <c r="F232" s="279"/>
      <c r="G232" s="159">
        <f>+ROUND(G231+G227,0)</f>
        <v>48581046</v>
      </c>
      <c r="H232" s="582"/>
      <c r="I232" s="281">
        <f>+ROUND(I231+I227,0)</f>
        <v>77809707</v>
      </c>
      <c r="J232" s="282"/>
      <c r="K232" s="281">
        <f>+ROUND(K231+K227,0)</f>
        <v>126390755</v>
      </c>
      <c r="L232" s="283"/>
      <c r="M232" s="281">
        <f>+ROUND(M231+M227,0)</f>
        <v>0</v>
      </c>
      <c r="N232" s="11"/>
      <c r="O232" s="281">
        <f>+ROUND(O231+O227,0)</f>
        <v>0</v>
      </c>
      <c r="P232" s="636"/>
    </row>
    <row r="233" spans="2:16" s="323" customFormat="1" ht="15" thickBot="1">
      <c r="B233" s="322"/>
      <c r="H233" s="605"/>
      <c r="P233" s="624"/>
    </row>
    <row r="234" spans="2:16" s="424" customFormat="1" ht="15.75" thickBot="1">
      <c r="B234" s="509"/>
      <c r="C234" s="510" t="s">
        <v>305</v>
      </c>
      <c r="D234" s="511"/>
      <c r="E234" s="512"/>
      <c r="F234" s="513"/>
      <c r="G234" s="514"/>
      <c r="H234" s="606"/>
      <c r="I234" s="515"/>
      <c r="J234" s="516"/>
      <c r="K234" s="515"/>
      <c r="L234" s="517"/>
      <c r="M234" s="515"/>
      <c r="N234" s="327"/>
      <c r="O234" s="328"/>
      <c r="P234" s="329"/>
    </row>
    <row r="235" spans="2:16" s="424" customFormat="1" ht="15">
      <c r="B235" s="518">
        <v>1</v>
      </c>
      <c r="C235" s="519" t="s">
        <v>42</v>
      </c>
      <c r="D235" s="520"/>
      <c r="E235" s="521"/>
      <c r="F235" s="522"/>
      <c r="G235" s="157"/>
      <c r="H235" s="583"/>
      <c r="I235" s="157"/>
      <c r="J235" s="106"/>
      <c r="K235" s="330"/>
      <c r="L235" s="331"/>
      <c r="M235" s="330" t="s">
        <v>95</v>
      </c>
      <c r="N235" s="304"/>
      <c r="O235" s="301"/>
      <c r="P235" s="196"/>
    </row>
    <row r="236" spans="2:16" s="424" customFormat="1">
      <c r="B236" s="62">
        <v>1.1000000000000001</v>
      </c>
      <c r="C236" s="102" t="s">
        <v>306</v>
      </c>
      <c r="D236" s="64" t="s">
        <v>46</v>
      </c>
      <c r="E236" s="224">
        <v>31.379999999999995</v>
      </c>
      <c r="F236" s="65">
        <v>4436</v>
      </c>
      <c r="G236" s="67">
        <f>+ROUND(F236*E236,0)</f>
        <v>139202</v>
      </c>
      <c r="H236" s="584">
        <v>-25</v>
      </c>
      <c r="I236" s="67">
        <f>+ROUND(H236*F236,0)</f>
        <v>-110900</v>
      </c>
      <c r="J236" s="10">
        <f>+H236+E236</f>
        <v>6.3799999999999955</v>
      </c>
      <c r="K236" s="59">
        <f>+ROUND(J236*F236,0)</f>
        <v>28302</v>
      </c>
      <c r="L236" s="152">
        <v>0</v>
      </c>
      <c r="M236" s="46">
        <f t="shared" ref="M236:M257" si="154">+ROUND(L236*F236,0)</f>
        <v>0</v>
      </c>
      <c r="N236" s="49">
        <f t="shared" ref="N236" si="155">+L236</f>
        <v>0</v>
      </c>
      <c r="O236" s="52">
        <f t="shared" ref="O236" si="156">+N236*F236</f>
        <v>0</v>
      </c>
      <c r="P236" s="47">
        <f>N236/J236</f>
        <v>0</v>
      </c>
    </row>
    <row r="237" spans="2:16" s="424" customFormat="1">
      <c r="B237" s="62">
        <v>1.2</v>
      </c>
      <c r="C237" s="102" t="s">
        <v>307</v>
      </c>
      <c r="D237" s="64" t="s">
        <v>44</v>
      </c>
      <c r="E237" s="224">
        <v>2</v>
      </c>
      <c r="F237" s="65">
        <v>15626</v>
      </c>
      <c r="G237" s="67">
        <f>+ROUND(F237*E237,0)</f>
        <v>31252</v>
      </c>
      <c r="H237" s="584">
        <v>-2</v>
      </c>
      <c r="I237" s="67">
        <f>+ROUND(H237*F237,0)</f>
        <v>-31252</v>
      </c>
      <c r="J237" s="10">
        <f>+H237+E237</f>
        <v>0</v>
      </c>
      <c r="K237" s="59">
        <f>+ROUND(J237*F237,0)</f>
        <v>0</v>
      </c>
      <c r="L237" s="152">
        <v>0</v>
      </c>
      <c r="M237" s="46">
        <f t="shared" si="154"/>
        <v>0</v>
      </c>
      <c r="N237" s="49">
        <f t="shared" ref="N237:N239" si="157">+L237</f>
        <v>0</v>
      </c>
      <c r="O237" s="52">
        <f t="shared" ref="O237:O239" si="158">+N237*F237</f>
        <v>0</v>
      </c>
      <c r="P237" s="47">
        <v>0</v>
      </c>
    </row>
    <row r="238" spans="2:16" s="424" customFormat="1">
      <c r="B238" s="62">
        <v>1.3</v>
      </c>
      <c r="C238" s="102" t="s">
        <v>308</v>
      </c>
      <c r="D238" s="64" t="s">
        <v>46</v>
      </c>
      <c r="E238" s="224">
        <v>80</v>
      </c>
      <c r="F238" s="65">
        <v>5905</v>
      </c>
      <c r="G238" s="67">
        <f>+ROUND(F238*E238,0)</f>
        <v>472400</v>
      </c>
      <c r="H238" s="584">
        <v>-80</v>
      </c>
      <c r="I238" s="67">
        <f>+ROUND(H238*F238,0)</f>
        <v>-472400</v>
      </c>
      <c r="J238" s="10">
        <f>+H238+E238</f>
        <v>0</v>
      </c>
      <c r="K238" s="59">
        <f>+ROUND(J238*F238,0)</f>
        <v>0</v>
      </c>
      <c r="L238" s="152">
        <v>0</v>
      </c>
      <c r="M238" s="46">
        <f t="shared" si="154"/>
        <v>0</v>
      </c>
      <c r="N238" s="49">
        <f t="shared" si="157"/>
        <v>0</v>
      </c>
      <c r="O238" s="52">
        <f t="shared" si="158"/>
        <v>0</v>
      </c>
      <c r="P238" s="47">
        <v>0</v>
      </c>
    </row>
    <row r="239" spans="2:16" s="424" customFormat="1" ht="28.5">
      <c r="B239" s="62">
        <v>1.4</v>
      </c>
      <c r="C239" s="102" t="s">
        <v>317</v>
      </c>
      <c r="D239" s="64" t="s">
        <v>48</v>
      </c>
      <c r="E239" s="224">
        <v>35</v>
      </c>
      <c r="F239" s="65">
        <v>8249</v>
      </c>
      <c r="G239" s="67">
        <f>+ROUND(F239*E239,0)</f>
        <v>288715</v>
      </c>
      <c r="H239" s="584">
        <v>-35</v>
      </c>
      <c r="I239" s="67">
        <f>+ROUND(H239*F239,0)</f>
        <v>-288715</v>
      </c>
      <c r="J239" s="10">
        <f>+H239+E239</f>
        <v>0</v>
      </c>
      <c r="K239" s="59">
        <f>+ROUND(J239*F239,0)</f>
        <v>0</v>
      </c>
      <c r="L239" s="152">
        <v>0</v>
      </c>
      <c r="M239" s="46">
        <f t="shared" si="154"/>
        <v>0</v>
      </c>
      <c r="N239" s="49">
        <f t="shared" si="157"/>
        <v>0</v>
      </c>
      <c r="O239" s="52">
        <f t="shared" si="158"/>
        <v>0</v>
      </c>
      <c r="P239" s="47">
        <v>0</v>
      </c>
    </row>
    <row r="240" spans="2:16" s="424" customFormat="1" ht="15">
      <c r="B240" s="98">
        <v>2</v>
      </c>
      <c r="C240" s="89" t="s">
        <v>208</v>
      </c>
      <c r="D240" s="90"/>
      <c r="E240" s="225"/>
      <c r="F240" s="91"/>
      <c r="G240" s="84"/>
      <c r="H240" s="586"/>
      <c r="I240" s="84"/>
      <c r="J240" s="83"/>
      <c r="K240" s="60"/>
      <c r="L240" s="155"/>
      <c r="M240" s="60"/>
      <c r="N240" s="83"/>
      <c r="O240" s="60"/>
      <c r="P240" s="86"/>
    </row>
    <row r="241" spans="2:16" s="424" customFormat="1" ht="57">
      <c r="B241" s="62">
        <v>2.1</v>
      </c>
      <c r="C241" s="102" t="s">
        <v>309</v>
      </c>
      <c r="D241" s="64" t="s">
        <v>46</v>
      </c>
      <c r="E241" s="224">
        <v>65.8</v>
      </c>
      <c r="F241" s="65">
        <v>43682</v>
      </c>
      <c r="G241" s="67">
        <f>+ROUND(F241*E241,0)</f>
        <v>2874276</v>
      </c>
      <c r="H241" s="584">
        <f>-0.7</f>
        <v>-0.7</v>
      </c>
      <c r="I241" s="67">
        <f>+ROUND(H241*F241,0)</f>
        <v>-30577</v>
      </c>
      <c r="J241" s="10">
        <f>+H241+E241</f>
        <v>65.099999999999994</v>
      </c>
      <c r="K241" s="59">
        <f>+ROUND(J241*F241,0)</f>
        <v>2843698</v>
      </c>
      <c r="L241" s="152">
        <v>0</v>
      </c>
      <c r="M241" s="46">
        <f t="shared" si="154"/>
        <v>0</v>
      </c>
      <c r="N241" s="49">
        <f t="shared" ref="N241" si="159">+L241</f>
        <v>0</v>
      </c>
      <c r="O241" s="52">
        <f t="shared" ref="O241" si="160">+N241*F241</f>
        <v>0</v>
      </c>
      <c r="P241" s="47">
        <f>N241/J241</f>
        <v>0</v>
      </c>
    </row>
    <row r="242" spans="2:16" s="424" customFormat="1" ht="15">
      <c r="B242" s="98">
        <v>3</v>
      </c>
      <c r="C242" s="89" t="s">
        <v>51</v>
      </c>
      <c r="D242" s="90"/>
      <c r="E242" s="225"/>
      <c r="F242" s="91"/>
      <c r="G242" s="84"/>
      <c r="H242" s="586"/>
      <c r="I242" s="84"/>
      <c r="J242" s="83"/>
      <c r="K242" s="60"/>
      <c r="L242" s="155"/>
      <c r="M242" s="60"/>
      <c r="N242" s="83"/>
      <c r="O242" s="60"/>
      <c r="P242" s="86"/>
    </row>
    <row r="243" spans="2:16" s="424" customFormat="1">
      <c r="B243" s="62">
        <v>3.1</v>
      </c>
      <c r="C243" s="102" t="s">
        <v>310</v>
      </c>
      <c r="D243" s="64" t="s">
        <v>46</v>
      </c>
      <c r="E243" s="224">
        <v>120</v>
      </c>
      <c r="F243" s="65">
        <v>17739</v>
      </c>
      <c r="G243" s="67">
        <f>+ROUND(F243*E243,0)</f>
        <v>2128680</v>
      </c>
      <c r="H243" s="584">
        <f>0.07</f>
        <v>7.0000000000000007E-2</v>
      </c>
      <c r="I243" s="67">
        <f>+ROUND(H243*F243,0)</f>
        <v>1242</v>
      </c>
      <c r="J243" s="10">
        <f>+H243+E243</f>
        <v>120.07</v>
      </c>
      <c r="K243" s="59">
        <f>+ROUND(J243*F243,0)</f>
        <v>2129922</v>
      </c>
      <c r="L243" s="152">
        <v>37.770000000000003</v>
      </c>
      <c r="M243" s="46">
        <f t="shared" si="154"/>
        <v>670002</v>
      </c>
      <c r="N243" s="49">
        <f t="shared" ref="N243:N244" si="161">+L243</f>
        <v>37.770000000000003</v>
      </c>
      <c r="O243" s="52">
        <f t="shared" ref="O243:O244" si="162">+N243*F243</f>
        <v>670002.03</v>
      </c>
      <c r="P243" s="47">
        <f>N243/J243</f>
        <v>0.31456650287332394</v>
      </c>
    </row>
    <row r="244" spans="2:16" s="424" customFormat="1" ht="42.75">
      <c r="B244" s="62">
        <v>3.2</v>
      </c>
      <c r="C244" s="102" t="s">
        <v>318</v>
      </c>
      <c r="D244" s="64" t="s">
        <v>46</v>
      </c>
      <c r="E244" s="224">
        <v>1980</v>
      </c>
      <c r="F244" s="65">
        <v>6485</v>
      </c>
      <c r="G244" s="67">
        <f>+ROUND(F244*E244,0)</f>
        <v>12840300</v>
      </c>
      <c r="H244" s="584">
        <f>-67.83</f>
        <v>-67.83</v>
      </c>
      <c r="I244" s="67">
        <f>+ROUND(H244*F244,0)</f>
        <v>-439878</v>
      </c>
      <c r="J244" s="10">
        <f>+H244+E244</f>
        <v>1912.17</v>
      </c>
      <c r="K244" s="59">
        <f>+ROUND(J244*F244,0)</f>
        <v>12400422</v>
      </c>
      <c r="L244" s="152">
        <v>837.28</v>
      </c>
      <c r="M244" s="46">
        <f t="shared" si="154"/>
        <v>5429761</v>
      </c>
      <c r="N244" s="49">
        <f t="shared" si="161"/>
        <v>837.28</v>
      </c>
      <c r="O244" s="52">
        <f t="shared" si="162"/>
        <v>5429760.7999999998</v>
      </c>
      <c r="P244" s="47">
        <f>N244/J244</f>
        <v>0.43786901792204663</v>
      </c>
    </row>
    <row r="245" spans="2:16" s="424" customFormat="1" ht="15">
      <c r="B245" s="98">
        <v>4</v>
      </c>
      <c r="C245" s="89" t="s">
        <v>58</v>
      </c>
      <c r="D245" s="90"/>
      <c r="E245" s="225"/>
      <c r="F245" s="91"/>
      <c r="G245" s="84"/>
      <c r="H245" s="586"/>
      <c r="I245" s="84"/>
      <c r="J245" s="83"/>
      <c r="K245" s="60"/>
      <c r="L245" s="155"/>
      <c r="M245" s="60"/>
      <c r="N245" s="155"/>
      <c r="O245" s="60"/>
      <c r="P245" s="86"/>
    </row>
    <row r="246" spans="2:16" s="424" customFormat="1">
      <c r="B246" s="62">
        <v>4.0999999999999996</v>
      </c>
      <c r="C246" s="102" t="s">
        <v>311</v>
      </c>
      <c r="D246" s="64" t="s">
        <v>46</v>
      </c>
      <c r="E246" s="224">
        <v>31.379999999999995</v>
      </c>
      <c r="F246" s="65">
        <v>17739</v>
      </c>
      <c r="G246" s="67">
        <f>+ROUND(F246*E246,0)</f>
        <v>556650</v>
      </c>
      <c r="H246" s="584">
        <v>0</v>
      </c>
      <c r="I246" s="67">
        <f>+ROUND(H246*F246,0)</f>
        <v>0</v>
      </c>
      <c r="J246" s="10">
        <f>+H246+E246</f>
        <v>31.379999999999995</v>
      </c>
      <c r="K246" s="59">
        <f>+ROUND(J246*F246,0)</f>
        <v>556650</v>
      </c>
      <c r="L246" s="152">
        <v>0</v>
      </c>
      <c r="M246" s="46">
        <f t="shared" si="154"/>
        <v>0</v>
      </c>
      <c r="N246" s="49">
        <f t="shared" ref="N246:N247" si="163">+L246</f>
        <v>0</v>
      </c>
      <c r="O246" s="52">
        <f t="shared" ref="O246:O247" si="164">+N246*F246</f>
        <v>0</v>
      </c>
      <c r="P246" s="47">
        <f>N246/J246</f>
        <v>0</v>
      </c>
    </row>
    <row r="247" spans="2:16" s="424" customFormat="1" ht="42.75">
      <c r="B247" s="62">
        <v>4.2</v>
      </c>
      <c r="C247" s="102" t="s">
        <v>312</v>
      </c>
      <c r="D247" s="64" t="s">
        <v>46</v>
      </c>
      <c r="E247" s="224">
        <v>31.4</v>
      </c>
      <c r="F247" s="65">
        <v>37532</v>
      </c>
      <c r="G247" s="67">
        <f>+ROUND(F247*E247,0)</f>
        <v>1178505</v>
      </c>
      <c r="H247" s="584">
        <v>-25.02</v>
      </c>
      <c r="I247" s="67">
        <f>+ROUND(H247*F247,0)</f>
        <v>-939051</v>
      </c>
      <c r="J247" s="10">
        <f>+H247+E247</f>
        <v>6.379999999999999</v>
      </c>
      <c r="K247" s="59">
        <f>+ROUND(J247*F247,0)</f>
        <v>239454</v>
      </c>
      <c r="L247" s="152">
        <v>0</v>
      </c>
      <c r="M247" s="46">
        <f t="shared" si="154"/>
        <v>0</v>
      </c>
      <c r="N247" s="49">
        <f t="shared" si="163"/>
        <v>0</v>
      </c>
      <c r="O247" s="52">
        <f t="shared" si="164"/>
        <v>0</v>
      </c>
      <c r="P247" s="47">
        <f>N247/J247</f>
        <v>0</v>
      </c>
    </row>
    <row r="248" spans="2:16" s="424" customFormat="1" ht="15">
      <c r="B248" s="98">
        <v>5</v>
      </c>
      <c r="C248" s="89" t="s">
        <v>60</v>
      </c>
      <c r="D248" s="90"/>
      <c r="E248" s="225"/>
      <c r="F248" s="91"/>
      <c r="G248" s="84"/>
      <c r="H248" s="586"/>
      <c r="I248" s="84"/>
      <c r="J248" s="83"/>
      <c r="K248" s="60"/>
      <c r="L248" s="155"/>
      <c r="M248" s="60"/>
      <c r="N248" s="155"/>
      <c r="O248" s="60"/>
      <c r="P248" s="86"/>
    </row>
    <row r="249" spans="2:16" s="424" customFormat="1" ht="42.75">
      <c r="B249" s="62">
        <v>5.0999999999999996</v>
      </c>
      <c r="C249" s="102" t="s">
        <v>319</v>
      </c>
      <c r="D249" s="64" t="s">
        <v>48</v>
      </c>
      <c r="E249" s="224">
        <v>28</v>
      </c>
      <c r="F249" s="65">
        <v>11738</v>
      </c>
      <c r="G249" s="67">
        <f>+ROUND(F249*E249,0)</f>
        <v>328664</v>
      </c>
      <c r="H249" s="584">
        <v>28</v>
      </c>
      <c r="I249" s="67">
        <f>+ROUND(H249*F249,0)</f>
        <v>328664</v>
      </c>
      <c r="J249" s="10">
        <f>+H249+E249</f>
        <v>56</v>
      </c>
      <c r="K249" s="59">
        <f>+ROUND(J249*F249,0)</f>
        <v>657328</v>
      </c>
      <c r="L249" s="152">
        <v>56</v>
      </c>
      <c r="M249" s="46">
        <f t="shared" si="154"/>
        <v>657328</v>
      </c>
      <c r="N249" s="49">
        <f t="shared" ref="N249:N251" si="165">+L249</f>
        <v>56</v>
      </c>
      <c r="O249" s="52">
        <f t="shared" ref="O249:O251" si="166">+N249*F249</f>
        <v>657328</v>
      </c>
      <c r="P249" s="47">
        <f>N249/J249</f>
        <v>1</v>
      </c>
    </row>
    <row r="250" spans="2:16" s="424" customFormat="1" ht="28.5">
      <c r="B250" s="62">
        <v>5.2</v>
      </c>
      <c r="C250" s="102" t="s">
        <v>320</v>
      </c>
      <c r="D250" s="64" t="s">
        <v>48</v>
      </c>
      <c r="E250" s="224">
        <v>68</v>
      </c>
      <c r="F250" s="65">
        <v>7050</v>
      </c>
      <c r="G250" s="67">
        <f>+ROUND(F250*E250,0)</f>
        <v>479400</v>
      </c>
      <c r="H250" s="584">
        <v>0</v>
      </c>
      <c r="I250" s="67">
        <f>+ROUND(H250*F250,0)</f>
        <v>0</v>
      </c>
      <c r="J250" s="10">
        <f>+H250+E250</f>
        <v>68</v>
      </c>
      <c r="K250" s="59">
        <f>+ROUND(J250*F250,0)</f>
        <v>479400</v>
      </c>
      <c r="L250" s="152">
        <v>68</v>
      </c>
      <c r="M250" s="46">
        <f t="shared" si="154"/>
        <v>479400</v>
      </c>
      <c r="N250" s="49">
        <f t="shared" si="165"/>
        <v>68</v>
      </c>
      <c r="O250" s="52">
        <f t="shared" si="166"/>
        <v>479400</v>
      </c>
      <c r="P250" s="47">
        <f>N250/J250</f>
        <v>1</v>
      </c>
    </row>
    <row r="251" spans="2:16" s="424" customFormat="1" ht="42.75">
      <c r="B251" s="62">
        <v>5.3</v>
      </c>
      <c r="C251" s="102" t="s">
        <v>321</v>
      </c>
      <c r="D251" s="64" t="s">
        <v>48</v>
      </c>
      <c r="E251" s="224">
        <v>28</v>
      </c>
      <c r="F251" s="65">
        <v>59772</v>
      </c>
      <c r="G251" s="67">
        <f>+ROUND(F251*E251,0)</f>
        <v>1673616</v>
      </c>
      <c r="H251" s="584">
        <v>-28</v>
      </c>
      <c r="I251" s="67">
        <f>+ROUND(H251*F251,0)</f>
        <v>-1673616</v>
      </c>
      <c r="J251" s="10">
        <f>+H251+E251</f>
        <v>0</v>
      </c>
      <c r="K251" s="59">
        <f>+ROUND(J251*F251,0)</f>
        <v>0</v>
      </c>
      <c r="L251" s="152">
        <v>0</v>
      </c>
      <c r="M251" s="46">
        <f t="shared" si="154"/>
        <v>0</v>
      </c>
      <c r="N251" s="49">
        <f t="shared" si="165"/>
        <v>0</v>
      </c>
      <c r="O251" s="52">
        <f t="shared" si="166"/>
        <v>0</v>
      </c>
      <c r="P251" s="47">
        <v>0</v>
      </c>
    </row>
    <row r="252" spans="2:16" s="424" customFormat="1" ht="15">
      <c r="B252" s="98">
        <v>6</v>
      </c>
      <c r="C252" s="89" t="s">
        <v>68</v>
      </c>
      <c r="D252" s="90"/>
      <c r="E252" s="225"/>
      <c r="F252" s="91"/>
      <c r="G252" s="84"/>
      <c r="H252" s="586"/>
      <c r="I252" s="84"/>
      <c r="J252" s="83"/>
      <c r="K252" s="60"/>
      <c r="L252" s="155"/>
      <c r="M252" s="60"/>
      <c r="N252" s="155"/>
      <c r="O252" s="60"/>
      <c r="P252" s="86"/>
    </row>
    <row r="253" spans="2:16" s="424" customFormat="1" ht="57">
      <c r="B253" s="62">
        <v>6.1</v>
      </c>
      <c r="C253" s="102" t="s">
        <v>69</v>
      </c>
      <c r="D253" s="64" t="s">
        <v>44</v>
      </c>
      <c r="E253" s="224">
        <v>2</v>
      </c>
      <c r="F253" s="65">
        <v>359431</v>
      </c>
      <c r="G253" s="67">
        <f>+ROUND(F253*E253,0)</f>
        <v>718862</v>
      </c>
      <c r="H253" s="584">
        <v>-2</v>
      </c>
      <c r="I253" s="67">
        <f>+ROUND(H253*F253,0)</f>
        <v>-718862</v>
      </c>
      <c r="J253" s="10">
        <f>+H253+E253</f>
        <v>0</v>
      </c>
      <c r="K253" s="59">
        <f>+ROUND(J253*F253,0)</f>
        <v>0</v>
      </c>
      <c r="L253" s="152">
        <v>0</v>
      </c>
      <c r="M253" s="46">
        <f t="shared" si="154"/>
        <v>0</v>
      </c>
      <c r="N253" s="49">
        <f t="shared" ref="N253:N254" si="167">+L253</f>
        <v>0</v>
      </c>
      <c r="O253" s="52">
        <f t="shared" ref="O253:O254" si="168">+N253*F253</f>
        <v>0</v>
      </c>
      <c r="P253" s="47">
        <v>0</v>
      </c>
    </row>
    <row r="254" spans="2:16" s="424" customFormat="1" ht="42.75">
      <c r="B254" s="62">
        <v>6.2</v>
      </c>
      <c r="C254" s="102" t="s">
        <v>313</v>
      </c>
      <c r="D254" s="64" t="s">
        <v>44</v>
      </c>
      <c r="E254" s="224">
        <v>2</v>
      </c>
      <c r="F254" s="65">
        <v>280473</v>
      </c>
      <c r="G254" s="67">
        <f>+ROUND(F254*E254,0)</f>
        <v>560946</v>
      </c>
      <c r="H254" s="584">
        <v>-2</v>
      </c>
      <c r="I254" s="67">
        <f>+ROUND(H254*F254,0)</f>
        <v>-560946</v>
      </c>
      <c r="J254" s="10">
        <f>+H254+E254</f>
        <v>0</v>
      </c>
      <c r="K254" s="59">
        <f>+ROUND(J254*F254,0)</f>
        <v>0</v>
      </c>
      <c r="L254" s="152">
        <v>0</v>
      </c>
      <c r="M254" s="46">
        <f t="shared" si="154"/>
        <v>0</v>
      </c>
      <c r="N254" s="49">
        <f t="shared" si="167"/>
        <v>0</v>
      </c>
      <c r="O254" s="52">
        <f t="shared" si="168"/>
        <v>0</v>
      </c>
      <c r="P254" s="47">
        <v>0</v>
      </c>
    </row>
    <row r="255" spans="2:16" s="424" customFormat="1" ht="15">
      <c r="B255" s="98">
        <v>7</v>
      </c>
      <c r="C255" s="89" t="s">
        <v>145</v>
      </c>
      <c r="D255" s="90"/>
      <c r="E255" s="225"/>
      <c r="F255" s="91"/>
      <c r="G255" s="84"/>
      <c r="H255" s="586"/>
      <c r="I255" s="84"/>
      <c r="J255" s="83"/>
      <c r="K255" s="60"/>
      <c r="L255" s="155"/>
      <c r="M255" s="60"/>
      <c r="N255" s="155"/>
      <c r="O255" s="60"/>
      <c r="P255" s="86"/>
    </row>
    <row r="256" spans="2:16" s="424" customFormat="1" ht="42.75">
      <c r="B256" s="62">
        <v>7.1</v>
      </c>
      <c r="C256" s="102" t="s">
        <v>314</v>
      </c>
      <c r="D256" s="64" t="s">
        <v>46</v>
      </c>
      <c r="E256" s="224">
        <v>9.5</v>
      </c>
      <c r="F256" s="65">
        <v>80990</v>
      </c>
      <c r="G256" s="67">
        <f>+ROUND(F256*E256,0)</f>
        <v>769405</v>
      </c>
      <c r="H256" s="584">
        <v>44.1</v>
      </c>
      <c r="I256" s="67">
        <f>+ROUND(H256*F256,0)</f>
        <v>3571659</v>
      </c>
      <c r="J256" s="10">
        <f>+H256+E256</f>
        <v>53.6</v>
      </c>
      <c r="K256" s="59">
        <f>+ROUND(J256*F256,0)</f>
        <v>4341064</v>
      </c>
      <c r="L256" s="152">
        <v>0</v>
      </c>
      <c r="M256" s="46">
        <f t="shared" si="154"/>
        <v>0</v>
      </c>
      <c r="N256" s="49">
        <f t="shared" ref="N256:N257" si="169">+L256</f>
        <v>0</v>
      </c>
      <c r="O256" s="52">
        <f t="shared" ref="O256:O257" si="170">+N256*F256</f>
        <v>0</v>
      </c>
      <c r="P256" s="47">
        <f>N256/J256</f>
        <v>0</v>
      </c>
    </row>
    <row r="257" spans="2:16" s="424" customFormat="1">
      <c r="B257" s="101">
        <v>7.2</v>
      </c>
      <c r="C257" s="102" t="s">
        <v>81</v>
      </c>
      <c r="D257" s="79" t="s">
        <v>315</v>
      </c>
      <c r="E257" s="223">
        <v>1</v>
      </c>
      <c r="F257" s="80">
        <v>144007</v>
      </c>
      <c r="G257" s="33">
        <f>+ROUND(F257*E257,0)</f>
        <v>144007</v>
      </c>
      <c r="H257" s="585">
        <v>0</v>
      </c>
      <c r="I257" s="33">
        <f>+ROUND(H257*F257,0)</f>
        <v>0</v>
      </c>
      <c r="J257" s="10">
        <f>+H257+E257</f>
        <v>1</v>
      </c>
      <c r="K257" s="43">
        <f>+ROUND(J257*F257,0)</f>
        <v>144007</v>
      </c>
      <c r="L257" s="154">
        <v>0</v>
      </c>
      <c r="M257" s="46">
        <f t="shared" si="154"/>
        <v>0</v>
      </c>
      <c r="N257" s="49">
        <f t="shared" si="169"/>
        <v>0</v>
      </c>
      <c r="O257" s="52">
        <f t="shared" si="170"/>
        <v>0</v>
      </c>
      <c r="P257" s="47">
        <f>N257/J257</f>
        <v>0</v>
      </c>
    </row>
    <row r="258" spans="2:16" s="424" customFormat="1" ht="15">
      <c r="B258" s="147"/>
      <c r="C258" s="148" t="s">
        <v>147</v>
      </c>
      <c r="D258" s="149"/>
      <c r="E258" s="235"/>
      <c r="F258" s="150"/>
      <c r="G258" s="523"/>
      <c r="H258" s="586"/>
      <c r="I258" s="84"/>
      <c r="J258" s="83"/>
      <c r="K258" s="60"/>
      <c r="L258" s="155"/>
      <c r="M258" s="60"/>
      <c r="N258" s="403"/>
      <c r="O258" s="404"/>
      <c r="P258" s="86"/>
    </row>
    <row r="259" spans="2:16" s="424" customFormat="1" ht="15" thickBot="1">
      <c r="B259" s="107" t="s">
        <v>273</v>
      </c>
      <c r="C259" s="131" t="s">
        <v>316</v>
      </c>
      <c r="D259" s="108" t="s">
        <v>180</v>
      </c>
      <c r="E259" s="524"/>
      <c r="F259" s="109">
        <v>5990</v>
      </c>
      <c r="G259" s="525">
        <f>+ROUND(F259*E259,2)</f>
        <v>0</v>
      </c>
      <c r="H259" s="607">
        <v>233.74</v>
      </c>
      <c r="I259" s="525">
        <f>+ROUND(H259*F259,0)</f>
        <v>1400103</v>
      </c>
      <c r="J259" s="11">
        <f>+H259+E259</f>
        <v>233.74</v>
      </c>
      <c r="K259" s="61">
        <f>+ROUND(J259*F259,0)</f>
        <v>1400103</v>
      </c>
      <c r="L259" s="153">
        <v>0</v>
      </c>
      <c r="M259" s="61">
        <f>ROUND(L259*F259,0)</f>
        <v>0</v>
      </c>
      <c r="N259" s="11">
        <f t="shared" ref="N259" si="171">+L259</f>
        <v>0</v>
      </c>
      <c r="O259" s="44">
        <f t="shared" ref="O259" si="172">+N259*F259</f>
        <v>0</v>
      </c>
      <c r="P259" s="48">
        <f>N259/J259</f>
        <v>0</v>
      </c>
    </row>
    <row r="260" spans="2:16" s="326" customFormat="1" ht="15" thickBot="1">
      <c r="B260" s="325"/>
      <c r="H260" s="608"/>
      <c r="P260" s="625"/>
    </row>
    <row r="261" spans="2:16" s="424" customFormat="1" ht="15">
      <c r="B261" s="324"/>
      <c r="C261" s="257" t="s">
        <v>8</v>
      </c>
      <c r="D261" s="633"/>
      <c r="E261" s="633"/>
      <c r="F261" s="258"/>
      <c r="G261" s="259">
        <f>+ROUND(SUM(G236:G259),0)</f>
        <v>25184880</v>
      </c>
      <c r="H261" s="579"/>
      <c r="I261" s="259">
        <f>+ROUND(SUM(I236:I259),0)</f>
        <v>35471</v>
      </c>
      <c r="J261" s="262"/>
      <c r="K261" s="261">
        <f>+ROUND(SUM(K236:K259),0)</f>
        <v>25220350</v>
      </c>
      <c r="L261" s="263"/>
      <c r="M261" s="259">
        <f>+ROUND(SUM(M236:M259),0)</f>
        <v>7236491</v>
      </c>
      <c r="N261" s="289"/>
      <c r="O261" s="259">
        <f>+ROUND(SUM(O236:O259),0)</f>
        <v>7236491</v>
      </c>
      <c r="P261" s="634">
        <f>+O266/K266</f>
        <v>0.286930629792644</v>
      </c>
    </row>
    <row r="262" spans="2:16" s="424" customFormat="1">
      <c r="B262" s="324"/>
      <c r="C262" s="264" t="s">
        <v>101</v>
      </c>
      <c r="D262" s="265"/>
      <c r="E262" s="266">
        <v>0.25</v>
      </c>
      <c r="F262" s="267"/>
      <c r="G262" s="54">
        <f>+$G$261*E262</f>
        <v>6296220</v>
      </c>
      <c r="H262" s="580"/>
      <c r="I262" s="46">
        <f>+$I$261*E262</f>
        <v>8867.75</v>
      </c>
      <c r="J262" s="269"/>
      <c r="K262" s="46">
        <f>+$K$261*E262</f>
        <v>6305087.5</v>
      </c>
      <c r="L262" s="270"/>
      <c r="M262" s="46">
        <f>+$M$261*E262</f>
        <v>1809122.75</v>
      </c>
      <c r="N262" s="10"/>
      <c r="O262" s="46">
        <f>+$O$261*E262</f>
        <v>1809122.75</v>
      </c>
      <c r="P262" s="635"/>
    </row>
    <row r="263" spans="2:16" s="424" customFormat="1">
      <c r="B263" s="324"/>
      <c r="C263" s="264" t="s">
        <v>102</v>
      </c>
      <c r="D263" s="265"/>
      <c r="E263" s="266">
        <v>0.02</v>
      </c>
      <c r="F263" s="267"/>
      <c r="G263" s="54">
        <f t="shared" ref="G263:G264" si="173">+$G$261*E263</f>
        <v>503697.60000000003</v>
      </c>
      <c r="H263" s="580"/>
      <c r="I263" s="46">
        <f t="shared" ref="I263:I264" si="174">+$I$261*E263</f>
        <v>709.42</v>
      </c>
      <c r="J263" s="269"/>
      <c r="K263" s="46">
        <f t="shared" ref="K263:K264" si="175">+$K$261*E263</f>
        <v>504407</v>
      </c>
      <c r="L263" s="270"/>
      <c r="M263" s="46">
        <f t="shared" ref="M263:M264" si="176">+$M$261*E263</f>
        <v>144729.82</v>
      </c>
      <c r="N263" s="10"/>
      <c r="O263" s="46">
        <f>+$O$261*E263</f>
        <v>144729.82</v>
      </c>
      <c r="P263" s="635"/>
    </row>
    <row r="264" spans="2:16" s="424" customFormat="1">
      <c r="B264" s="324"/>
      <c r="C264" s="264" t="s">
        <v>103</v>
      </c>
      <c r="D264" s="265"/>
      <c r="E264" s="266">
        <v>0.05</v>
      </c>
      <c r="F264" s="267"/>
      <c r="G264" s="54">
        <f t="shared" si="173"/>
        <v>1259244</v>
      </c>
      <c r="H264" s="580"/>
      <c r="I264" s="46">
        <f t="shared" si="174"/>
        <v>1773.5500000000002</v>
      </c>
      <c r="J264" s="269"/>
      <c r="K264" s="46">
        <f t="shared" si="175"/>
        <v>1261017.5</v>
      </c>
      <c r="L264" s="270"/>
      <c r="M264" s="46">
        <f t="shared" si="176"/>
        <v>361824.55000000005</v>
      </c>
      <c r="N264" s="10"/>
      <c r="O264" s="46">
        <f>+$O$261*E264</f>
        <v>361824.55000000005</v>
      </c>
      <c r="P264" s="635"/>
    </row>
    <row r="265" spans="2:16" s="424" customFormat="1" ht="15">
      <c r="B265" s="324"/>
      <c r="C265" s="271" t="s">
        <v>104</v>
      </c>
      <c r="D265" s="637"/>
      <c r="E265" s="637"/>
      <c r="F265" s="272"/>
      <c r="G265" s="273">
        <f>ROUND(SUM(G262:G264),0)</f>
        <v>8059162</v>
      </c>
      <c r="H265" s="581"/>
      <c r="I265" s="275">
        <f>ROUND(SUM(I262:I264),0)</f>
        <v>11351</v>
      </c>
      <c r="J265" s="276"/>
      <c r="K265" s="275">
        <f>ROUND(SUM(K262:K264),0)</f>
        <v>8070512</v>
      </c>
      <c r="L265" s="277"/>
      <c r="M265" s="275">
        <f>ROUND(SUM(M262:M264),0)</f>
        <v>2315677</v>
      </c>
      <c r="N265" s="10"/>
      <c r="O265" s="275">
        <f>ROUND(SUM(O262:O264),0)</f>
        <v>2315677</v>
      </c>
      <c r="P265" s="635"/>
    </row>
    <row r="266" spans="2:16" s="424" customFormat="1" ht="15.75" thickBot="1">
      <c r="B266" s="324"/>
      <c r="C266" s="278" t="s">
        <v>105</v>
      </c>
      <c r="D266" s="638"/>
      <c r="E266" s="638"/>
      <c r="F266" s="279"/>
      <c r="G266" s="159">
        <f>+ROUND(G265+G261,0)</f>
        <v>33244042</v>
      </c>
      <c r="H266" s="582"/>
      <c r="I266" s="281">
        <f>+ROUND(I265+I261,0)</f>
        <v>46822</v>
      </c>
      <c r="J266" s="282"/>
      <c r="K266" s="281">
        <f>+ROUND(K265+K261,0)</f>
        <v>33290862</v>
      </c>
      <c r="L266" s="283"/>
      <c r="M266" s="281">
        <f>+ROUND(M265+M261,0)</f>
        <v>9552168</v>
      </c>
      <c r="N266" s="11"/>
      <c r="O266" s="281">
        <f>+ROUND(O265+O261,0)</f>
        <v>9552168</v>
      </c>
      <c r="P266" s="636"/>
    </row>
    <row r="267" spans="2:16" s="326" customFormat="1" ht="15" thickBot="1">
      <c r="B267" s="325"/>
      <c r="H267" s="608"/>
      <c r="P267" s="625"/>
    </row>
    <row r="268" spans="2:16" s="619" customFormat="1" ht="15.75" thickBot="1">
      <c r="B268" s="332"/>
      <c r="C268" s="333" t="s">
        <v>207</v>
      </c>
      <c r="D268" s="334"/>
      <c r="E268" s="335"/>
      <c r="F268" s="336"/>
      <c r="G268" s="337"/>
      <c r="H268" s="609"/>
      <c r="I268" s="350"/>
      <c r="J268" s="351"/>
      <c r="K268" s="350"/>
      <c r="L268" s="351"/>
      <c r="M268" s="352"/>
      <c r="N268" s="351"/>
      <c r="O268" s="353"/>
      <c r="P268" s="354"/>
    </row>
    <row r="269" spans="2:16" s="619" customFormat="1" ht="15">
      <c r="B269" s="338">
        <v>1</v>
      </c>
      <c r="C269" s="339" t="s">
        <v>208</v>
      </c>
      <c r="D269" s="340"/>
      <c r="E269" s="341"/>
      <c r="F269" s="342"/>
      <c r="G269" s="343"/>
      <c r="H269" s="591"/>
      <c r="I269" s="46"/>
      <c r="J269" s="53"/>
      <c r="K269" s="46"/>
      <c r="L269" s="53"/>
      <c r="M269" s="46"/>
      <c r="N269" s="53"/>
      <c r="O269" s="54"/>
      <c r="P269" s="349"/>
    </row>
    <row r="270" spans="2:16" s="619" customFormat="1" ht="57">
      <c r="B270" s="111" t="s">
        <v>209</v>
      </c>
      <c r="C270" s="112" t="s">
        <v>210</v>
      </c>
      <c r="D270" s="113" t="s">
        <v>211</v>
      </c>
      <c r="E270" s="231">
        <v>689</v>
      </c>
      <c r="F270" s="133">
        <v>8829</v>
      </c>
      <c r="G270" s="134">
        <f>+ROUND(F270*E270,0)</f>
        <v>6083181</v>
      </c>
      <c r="H270" s="585">
        <f>-58</f>
        <v>-58</v>
      </c>
      <c r="I270" s="114">
        <f>+H270*F270</f>
        <v>-512082</v>
      </c>
      <c r="J270" s="198">
        <f>+H270+E270</f>
        <v>631</v>
      </c>
      <c r="K270" s="43">
        <f>+ROUND(J270*F270,0)</f>
        <v>5571099</v>
      </c>
      <c r="L270" s="10">
        <v>631</v>
      </c>
      <c r="M270" s="33">
        <f t="shared" ref="M270:M320" si="177">+ROUND(L270*F270,0)</f>
        <v>5571099</v>
      </c>
      <c r="N270" s="49">
        <f t="shared" ref="N270" si="178">+L270</f>
        <v>631</v>
      </c>
      <c r="O270" s="52">
        <f t="shared" ref="O270" si="179">+N270*F270</f>
        <v>5571099</v>
      </c>
      <c r="P270" s="47">
        <f>N270/J270</f>
        <v>1</v>
      </c>
    </row>
    <row r="271" spans="2:16" s="619" customFormat="1" ht="57">
      <c r="B271" s="111" t="s">
        <v>212</v>
      </c>
      <c r="C271" s="112" t="s">
        <v>301</v>
      </c>
      <c r="D271" s="113" t="s">
        <v>180</v>
      </c>
      <c r="E271" s="231">
        <v>76</v>
      </c>
      <c r="F271" s="133">
        <v>12547</v>
      </c>
      <c r="G271" s="134">
        <f>+ROUND(F271*E271,0)</f>
        <v>953572</v>
      </c>
      <c r="H271" s="585">
        <v>0</v>
      </c>
      <c r="I271" s="114">
        <f>+H271*F271</f>
        <v>0</v>
      </c>
      <c r="J271" s="198">
        <f>+H271+E271</f>
        <v>76</v>
      </c>
      <c r="K271" s="43">
        <f>+ROUND(J271*F271,0)</f>
        <v>953572</v>
      </c>
      <c r="L271" s="10">
        <v>76</v>
      </c>
      <c r="M271" s="33">
        <f t="shared" si="177"/>
        <v>953572</v>
      </c>
      <c r="N271" s="49">
        <f t="shared" ref="N271" si="180">+L271</f>
        <v>76</v>
      </c>
      <c r="O271" s="52">
        <f t="shared" ref="O271" si="181">+N271*F271</f>
        <v>953572</v>
      </c>
      <c r="P271" s="47">
        <f>N271/J271</f>
        <v>1</v>
      </c>
    </row>
    <row r="272" spans="2:16" s="619" customFormat="1" ht="15">
      <c r="B272" s="141" t="s">
        <v>213</v>
      </c>
      <c r="C272" s="142" t="s">
        <v>214</v>
      </c>
      <c r="D272" s="143"/>
      <c r="E272" s="232"/>
      <c r="F272" s="144"/>
      <c r="G272" s="145"/>
      <c r="H272" s="586"/>
      <c r="I272" s="60"/>
      <c r="J272" s="83"/>
      <c r="K272" s="60"/>
      <c r="L272" s="83"/>
      <c r="M272" s="60"/>
      <c r="N272" s="83"/>
      <c r="O272" s="84"/>
      <c r="P272" s="86"/>
    </row>
    <row r="273" spans="2:16" s="619" customFormat="1" ht="57">
      <c r="B273" s="111" t="s">
        <v>97</v>
      </c>
      <c r="C273" s="112" t="s">
        <v>302</v>
      </c>
      <c r="D273" s="113" t="s">
        <v>211</v>
      </c>
      <c r="E273" s="231">
        <v>4</v>
      </c>
      <c r="F273" s="133">
        <v>19111</v>
      </c>
      <c r="G273" s="134">
        <f>+ROUND(F273*E273,0)</f>
        <v>76444</v>
      </c>
      <c r="H273" s="585">
        <v>30</v>
      </c>
      <c r="I273" s="114">
        <f>+H273*F273</f>
        <v>573330</v>
      </c>
      <c r="J273" s="198">
        <f>+H273+E273</f>
        <v>34</v>
      </c>
      <c r="K273" s="43">
        <f>+ROUND(J273*F273,0)</f>
        <v>649774</v>
      </c>
      <c r="L273" s="10">
        <v>0</v>
      </c>
      <c r="M273" s="33">
        <f t="shared" si="177"/>
        <v>0</v>
      </c>
      <c r="N273" s="49">
        <f t="shared" ref="N273" si="182">+L273</f>
        <v>0</v>
      </c>
      <c r="O273" s="52">
        <f t="shared" ref="O273" si="183">+N273*F273</f>
        <v>0</v>
      </c>
      <c r="P273" s="47">
        <f>N273/J273</f>
        <v>0</v>
      </c>
    </row>
    <row r="274" spans="2:16" s="619" customFormat="1" ht="42.75">
      <c r="B274" s="111" t="s">
        <v>215</v>
      </c>
      <c r="C274" s="112" t="s">
        <v>303</v>
      </c>
      <c r="D274" s="113" t="s">
        <v>211</v>
      </c>
      <c r="E274" s="231">
        <v>4</v>
      </c>
      <c r="F274" s="133">
        <v>23671</v>
      </c>
      <c r="G274" s="134">
        <f t="shared" ref="G274:G320" si="184">+ROUND(F274*E274,0)</f>
        <v>94684</v>
      </c>
      <c r="H274" s="585">
        <v>30</v>
      </c>
      <c r="I274" s="114">
        <f t="shared" ref="I274:I279" si="185">+H274*F274</f>
        <v>710130</v>
      </c>
      <c r="J274" s="198">
        <f t="shared" ref="J274:J279" si="186">+H274+E274</f>
        <v>34</v>
      </c>
      <c r="K274" s="43">
        <f>+ROUND(J274*F274,0)</f>
        <v>804814</v>
      </c>
      <c r="L274" s="10">
        <v>0</v>
      </c>
      <c r="M274" s="33">
        <f t="shared" si="177"/>
        <v>0</v>
      </c>
      <c r="N274" s="49">
        <f t="shared" ref="N274:N279" si="187">+L274</f>
        <v>0</v>
      </c>
      <c r="O274" s="52">
        <f t="shared" ref="O274:O279" si="188">+N274*F274</f>
        <v>0</v>
      </c>
      <c r="P274" s="47">
        <f>N274/J274</f>
        <v>0</v>
      </c>
    </row>
    <row r="275" spans="2:16" s="619" customFormat="1" ht="114">
      <c r="B275" s="111" t="s">
        <v>98</v>
      </c>
      <c r="C275" s="112" t="s">
        <v>304</v>
      </c>
      <c r="D275" s="113" t="s">
        <v>211</v>
      </c>
      <c r="E275" s="231">
        <v>115.74</v>
      </c>
      <c r="F275" s="133">
        <v>5568</v>
      </c>
      <c r="G275" s="134">
        <f t="shared" si="184"/>
        <v>644440</v>
      </c>
      <c r="H275" s="585">
        <v>30</v>
      </c>
      <c r="I275" s="114">
        <f t="shared" si="185"/>
        <v>167040</v>
      </c>
      <c r="J275" s="198">
        <f t="shared" si="186"/>
        <v>145.74</v>
      </c>
      <c r="K275" s="43">
        <f t="shared" ref="K275:K312" si="189">+ROUND(J275*F275,0)</f>
        <v>811480</v>
      </c>
      <c r="L275" s="53">
        <v>0</v>
      </c>
      <c r="M275" s="33">
        <f t="shared" si="177"/>
        <v>0</v>
      </c>
      <c r="N275" s="49">
        <f t="shared" si="187"/>
        <v>0</v>
      </c>
      <c r="O275" s="52">
        <f t="shared" si="188"/>
        <v>0</v>
      </c>
      <c r="P275" s="47">
        <f>N275/J275</f>
        <v>0</v>
      </c>
    </row>
    <row r="276" spans="2:16" s="619" customFormat="1" ht="142.5">
      <c r="B276" s="111" t="s">
        <v>216</v>
      </c>
      <c r="C276" s="112" t="s">
        <v>217</v>
      </c>
      <c r="D276" s="113" t="s">
        <v>211</v>
      </c>
      <c r="E276" s="231">
        <v>48.1</v>
      </c>
      <c r="F276" s="133">
        <v>38220</v>
      </c>
      <c r="G276" s="134">
        <f t="shared" si="184"/>
        <v>1838382</v>
      </c>
      <c r="H276" s="585">
        <v>-48.1</v>
      </c>
      <c r="I276" s="114">
        <f t="shared" si="185"/>
        <v>-1838382</v>
      </c>
      <c r="J276" s="198">
        <f t="shared" si="186"/>
        <v>0</v>
      </c>
      <c r="K276" s="43">
        <f t="shared" si="189"/>
        <v>0</v>
      </c>
      <c r="L276" s="10">
        <v>0</v>
      </c>
      <c r="M276" s="33">
        <f t="shared" si="177"/>
        <v>0</v>
      </c>
      <c r="N276" s="49">
        <f t="shared" si="187"/>
        <v>0</v>
      </c>
      <c r="O276" s="52">
        <f t="shared" si="188"/>
        <v>0</v>
      </c>
      <c r="P276" s="47">
        <v>0</v>
      </c>
    </row>
    <row r="277" spans="2:16" s="619" customFormat="1" ht="57">
      <c r="B277" s="111" t="s">
        <v>100</v>
      </c>
      <c r="C277" s="112" t="s">
        <v>218</v>
      </c>
      <c r="D277" s="113" t="s">
        <v>180</v>
      </c>
      <c r="E277" s="231">
        <v>0.9</v>
      </c>
      <c r="F277" s="133">
        <v>13664</v>
      </c>
      <c r="G277" s="134">
        <f t="shared" si="184"/>
        <v>12298</v>
      </c>
      <c r="H277" s="585">
        <f>0.94</f>
        <v>0.94</v>
      </c>
      <c r="I277" s="114">
        <f t="shared" si="185"/>
        <v>12844.16</v>
      </c>
      <c r="J277" s="198">
        <f t="shared" si="186"/>
        <v>1.8399999999999999</v>
      </c>
      <c r="K277" s="43">
        <f t="shared" si="189"/>
        <v>25142</v>
      </c>
      <c r="L277" s="10">
        <v>0</v>
      </c>
      <c r="M277" s="33">
        <f t="shared" si="177"/>
        <v>0</v>
      </c>
      <c r="N277" s="49">
        <f t="shared" si="187"/>
        <v>0</v>
      </c>
      <c r="O277" s="52">
        <f t="shared" si="188"/>
        <v>0</v>
      </c>
      <c r="P277" s="47">
        <f>N277/J277</f>
        <v>0</v>
      </c>
    </row>
    <row r="278" spans="2:16" s="619" customFormat="1" ht="114">
      <c r="B278" s="111" t="s">
        <v>219</v>
      </c>
      <c r="C278" s="112" t="s">
        <v>220</v>
      </c>
      <c r="D278" s="113" t="s">
        <v>211</v>
      </c>
      <c r="E278" s="231">
        <v>10</v>
      </c>
      <c r="F278" s="133">
        <v>13088</v>
      </c>
      <c r="G278" s="134">
        <f t="shared" si="184"/>
        <v>130880</v>
      </c>
      <c r="H278" s="585">
        <v>0</v>
      </c>
      <c r="I278" s="114">
        <f t="shared" si="185"/>
        <v>0</v>
      </c>
      <c r="J278" s="198">
        <f t="shared" si="186"/>
        <v>10</v>
      </c>
      <c r="K278" s="43">
        <f t="shared" si="189"/>
        <v>130880</v>
      </c>
      <c r="L278" s="10">
        <v>0</v>
      </c>
      <c r="M278" s="33">
        <f t="shared" si="177"/>
        <v>0</v>
      </c>
      <c r="N278" s="49">
        <f t="shared" si="187"/>
        <v>0</v>
      </c>
      <c r="O278" s="52">
        <f t="shared" si="188"/>
        <v>0</v>
      </c>
      <c r="P278" s="47">
        <f>N278/J278</f>
        <v>0</v>
      </c>
    </row>
    <row r="279" spans="2:16" s="619" customFormat="1" ht="85.5">
      <c r="B279" s="111" t="s">
        <v>221</v>
      </c>
      <c r="C279" s="112" t="s">
        <v>222</v>
      </c>
      <c r="D279" s="113" t="s">
        <v>211</v>
      </c>
      <c r="E279" s="231">
        <v>14.98</v>
      </c>
      <c r="F279" s="133">
        <v>14355</v>
      </c>
      <c r="G279" s="134">
        <f t="shared" si="184"/>
        <v>215038</v>
      </c>
      <c r="H279" s="585">
        <v>0</v>
      </c>
      <c r="I279" s="114">
        <f t="shared" si="185"/>
        <v>0</v>
      </c>
      <c r="J279" s="198">
        <f t="shared" si="186"/>
        <v>14.98</v>
      </c>
      <c r="K279" s="43">
        <f t="shared" si="189"/>
        <v>215038</v>
      </c>
      <c r="L279" s="10">
        <v>0</v>
      </c>
      <c r="M279" s="33">
        <f>+ROUND(L279*F279,0)</f>
        <v>0</v>
      </c>
      <c r="N279" s="49">
        <f t="shared" si="187"/>
        <v>0</v>
      </c>
      <c r="O279" s="52">
        <f t="shared" si="188"/>
        <v>0</v>
      </c>
      <c r="P279" s="47">
        <f>N279/J279</f>
        <v>0</v>
      </c>
    </row>
    <row r="280" spans="2:16" s="619" customFormat="1" ht="15">
      <c r="B280" s="110" t="s">
        <v>223</v>
      </c>
      <c r="C280" s="115" t="s">
        <v>224</v>
      </c>
      <c r="D280" s="116"/>
      <c r="E280" s="233"/>
      <c r="F280" s="117"/>
      <c r="G280" s="132"/>
      <c r="H280" s="585"/>
      <c r="I280" s="43"/>
      <c r="J280" s="10"/>
      <c r="K280" s="43"/>
      <c r="L280" s="53"/>
      <c r="M280" s="43"/>
      <c r="N280" s="10"/>
      <c r="O280" s="67"/>
      <c r="P280" s="47"/>
    </row>
    <row r="281" spans="2:16" s="619" customFormat="1" ht="28.5">
      <c r="B281" s="111" t="s">
        <v>225</v>
      </c>
      <c r="C281" s="112" t="s">
        <v>226</v>
      </c>
      <c r="D281" s="113" t="s">
        <v>211</v>
      </c>
      <c r="E281" s="231">
        <v>3</v>
      </c>
      <c r="F281" s="133">
        <v>23671</v>
      </c>
      <c r="G281" s="134">
        <f t="shared" si="184"/>
        <v>71013</v>
      </c>
      <c r="H281" s="585">
        <f>2.22</f>
        <v>2.2200000000000002</v>
      </c>
      <c r="I281" s="114">
        <f t="shared" ref="I281:I285" si="190">+H281*F281</f>
        <v>52549.62</v>
      </c>
      <c r="J281" s="198">
        <f t="shared" ref="J281:J285" si="191">+H281+E281</f>
        <v>5.2200000000000006</v>
      </c>
      <c r="K281" s="43">
        <f t="shared" si="189"/>
        <v>123563</v>
      </c>
      <c r="L281" s="10">
        <v>0</v>
      </c>
      <c r="M281" s="33">
        <f t="shared" si="177"/>
        <v>0</v>
      </c>
      <c r="N281" s="49">
        <f t="shared" ref="N281" si="192">+L281</f>
        <v>0</v>
      </c>
      <c r="O281" s="52">
        <f t="shared" ref="O281" si="193">+N281*F281</f>
        <v>0</v>
      </c>
      <c r="P281" s="47">
        <f>N281/J281</f>
        <v>0</v>
      </c>
    </row>
    <row r="282" spans="2:16" s="619" customFormat="1" ht="99.75">
      <c r="B282" s="111" t="s">
        <v>99</v>
      </c>
      <c r="C282" s="112" t="s">
        <v>227</v>
      </c>
      <c r="D282" s="113" t="s">
        <v>211</v>
      </c>
      <c r="E282" s="231">
        <v>39</v>
      </c>
      <c r="F282" s="133">
        <v>5568</v>
      </c>
      <c r="G282" s="134">
        <f t="shared" si="184"/>
        <v>217152</v>
      </c>
      <c r="H282" s="585">
        <f>1.24</f>
        <v>1.24</v>
      </c>
      <c r="I282" s="114">
        <f t="shared" si="190"/>
        <v>6904.32</v>
      </c>
      <c r="J282" s="198">
        <f t="shared" si="191"/>
        <v>40.24</v>
      </c>
      <c r="K282" s="43">
        <f t="shared" si="189"/>
        <v>224056</v>
      </c>
      <c r="L282" s="10">
        <v>0</v>
      </c>
      <c r="M282" s="33">
        <f t="shared" si="177"/>
        <v>0</v>
      </c>
      <c r="N282" s="49">
        <f t="shared" ref="N282:N285" si="194">+L282</f>
        <v>0</v>
      </c>
      <c r="O282" s="52">
        <f t="shared" ref="O282:O285" si="195">+N282*F282</f>
        <v>0</v>
      </c>
      <c r="P282" s="47">
        <f>N282/J282</f>
        <v>0</v>
      </c>
    </row>
    <row r="283" spans="2:16" s="619" customFormat="1" ht="142.5">
      <c r="B283" s="111" t="s">
        <v>228</v>
      </c>
      <c r="C283" s="112" t="s">
        <v>217</v>
      </c>
      <c r="D283" s="113" t="s">
        <v>211</v>
      </c>
      <c r="E283" s="231">
        <v>25.95</v>
      </c>
      <c r="F283" s="133">
        <v>38220</v>
      </c>
      <c r="G283" s="134">
        <f t="shared" si="184"/>
        <v>991809</v>
      </c>
      <c r="H283" s="585">
        <v>-25.95</v>
      </c>
      <c r="I283" s="114">
        <f t="shared" si="190"/>
        <v>-991809</v>
      </c>
      <c r="J283" s="198">
        <f t="shared" si="191"/>
        <v>0</v>
      </c>
      <c r="K283" s="43">
        <f t="shared" si="189"/>
        <v>0</v>
      </c>
      <c r="L283" s="10">
        <v>0</v>
      </c>
      <c r="M283" s="33">
        <f t="shared" si="177"/>
        <v>0</v>
      </c>
      <c r="N283" s="49">
        <f t="shared" si="194"/>
        <v>0</v>
      </c>
      <c r="O283" s="52">
        <f t="shared" si="195"/>
        <v>0</v>
      </c>
      <c r="P283" s="47">
        <v>0</v>
      </c>
    </row>
    <row r="284" spans="2:16" s="619" customFormat="1" ht="114">
      <c r="B284" s="111" t="s">
        <v>229</v>
      </c>
      <c r="C284" s="112" t="s">
        <v>220</v>
      </c>
      <c r="D284" s="113" t="s">
        <v>211</v>
      </c>
      <c r="E284" s="231">
        <v>4.3</v>
      </c>
      <c r="F284" s="133">
        <v>13088</v>
      </c>
      <c r="G284" s="134">
        <f t="shared" si="184"/>
        <v>56278</v>
      </c>
      <c r="H284" s="585">
        <v>0.14000000000000001</v>
      </c>
      <c r="I284" s="114">
        <f t="shared" si="190"/>
        <v>1832.3200000000002</v>
      </c>
      <c r="J284" s="198">
        <f t="shared" si="191"/>
        <v>4.4399999999999995</v>
      </c>
      <c r="K284" s="43">
        <f t="shared" si="189"/>
        <v>58111</v>
      </c>
      <c r="L284" s="53">
        <v>0</v>
      </c>
      <c r="M284" s="33">
        <f t="shared" si="177"/>
        <v>0</v>
      </c>
      <c r="N284" s="49">
        <f t="shared" si="194"/>
        <v>0</v>
      </c>
      <c r="O284" s="52">
        <f t="shared" si="195"/>
        <v>0</v>
      </c>
      <c r="P284" s="47">
        <f>N284/J284</f>
        <v>0</v>
      </c>
    </row>
    <row r="285" spans="2:16" s="619" customFormat="1" ht="85.5">
      <c r="B285" s="111" t="s">
        <v>230</v>
      </c>
      <c r="C285" s="118" t="s">
        <v>231</v>
      </c>
      <c r="D285" s="113" t="s">
        <v>211</v>
      </c>
      <c r="E285" s="231">
        <v>4.3</v>
      </c>
      <c r="F285" s="133">
        <v>14355</v>
      </c>
      <c r="G285" s="134">
        <f t="shared" si="184"/>
        <v>61727</v>
      </c>
      <c r="H285" s="585">
        <f>-0.14</f>
        <v>-0.14000000000000001</v>
      </c>
      <c r="I285" s="114">
        <f t="shared" si="190"/>
        <v>-2009.7000000000003</v>
      </c>
      <c r="J285" s="198">
        <f t="shared" si="191"/>
        <v>4.16</v>
      </c>
      <c r="K285" s="43">
        <f t="shared" si="189"/>
        <v>59717</v>
      </c>
      <c r="L285" s="10">
        <v>0</v>
      </c>
      <c r="M285" s="33">
        <f t="shared" si="177"/>
        <v>0</v>
      </c>
      <c r="N285" s="49">
        <f t="shared" si="194"/>
        <v>0</v>
      </c>
      <c r="O285" s="52">
        <f t="shared" si="195"/>
        <v>0</v>
      </c>
      <c r="P285" s="47">
        <f>N285/J285</f>
        <v>0</v>
      </c>
    </row>
    <row r="286" spans="2:16" s="619" customFormat="1" ht="15">
      <c r="B286" s="110" t="s">
        <v>232</v>
      </c>
      <c r="C286" s="115" t="s">
        <v>233</v>
      </c>
      <c r="D286" s="116"/>
      <c r="E286" s="233"/>
      <c r="F286" s="133"/>
      <c r="G286" s="132"/>
      <c r="H286" s="585"/>
      <c r="I286" s="43"/>
      <c r="J286" s="10"/>
      <c r="K286" s="43"/>
      <c r="L286" s="53"/>
      <c r="M286" s="43"/>
      <c r="N286" s="10"/>
      <c r="O286" s="67"/>
      <c r="P286" s="47"/>
    </row>
    <row r="287" spans="2:16" s="619" customFormat="1" ht="28.5">
      <c r="B287" s="111" t="s">
        <v>234</v>
      </c>
      <c r="C287" s="118" t="s">
        <v>226</v>
      </c>
      <c r="D287" s="113" t="s">
        <v>211</v>
      </c>
      <c r="E287" s="231">
        <v>3</v>
      </c>
      <c r="F287" s="133">
        <v>23671</v>
      </c>
      <c r="G287" s="134">
        <f t="shared" si="184"/>
        <v>71013</v>
      </c>
      <c r="H287" s="585">
        <v>1.9</v>
      </c>
      <c r="I287" s="114">
        <f t="shared" ref="I287:I291" si="196">+H287*F287</f>
        <v>44974.9</v>
      </c>
      <c r="J287" s="198">
        <f t="shared" ref="J287:J291" si="197">+H287+E287</f>
        <v>4.9000000000000004</v>
      </c>
      <c r="K287" s="43">
        <f t="shared" si="189"/>
        <v>115988</v>
      </c>
      <c r="L287" s="10">
        <v>0</v>
      </c>
      <c r="M287" s="33">
        <f t="shared" si="177"/>
        <v>0</v>
      </c>
      <c r="N287" s="49">
        <f t="shared" ref="N287" si="198">+L287</f>
        <v>0</v>
      </c>
      <c r="O287" s="52">
        <f t="shared" ref="O287" si="199">+N287*F287</f>
        <v>0</v>
      </c>
      <c r="P287" s="47">
        <f>N287/J287</f>
        <v>0</v>
      </c>
    </row>
    <row r="288" spans="2:16" s="619" customFormat="1" ht="99.75">
      <c r="B288" s="111" t="s">
        <v>235</v>
      </c>
      <c r="C288" s="112" t="s">
        <v>227</v>
      </c>
      <c r="D288" s="113" t="s">
        <v>211</v>
      </c>
      <c r="E288" s="231">
        <v>34.67</v>
      </c>
      <c r="F288" s="133">
        <v>5568</v>
      </c>
      <c r="G288" s="134">
        <f t="shared" si="184"/>
        <v>193043</v>
      </c>
      <c r="H288" s="585">
        <f>4.47</f>
        <v>4.47</v>
      </c>
      <c r="I288" s="114">
        <f t="shared" si="196"/>
        <v>24888.959999999999</v>
      </c>
      <c r="J288" s="198">
        <f t="shared" si="197"/>
        <v>39.14</v>
      </c>
      <c r="K288" s="43">
        <f t="shared" si="189"/>
        <v>217932</v>
      </c>
      <c r="L288" s="10">
        <v>0</v>
      </c>
      <c r="M288" s="33">
        <f t="shared" si="177"/>
        <v>0</v>
      </c>
      <c r="N288" s="49">
        <f t="shared" ref="N288:N291" si="200">+L288</f>
        <v>0</v>
      </c>
      <c r="O288" s="52">
        <f t="shared" ref="O288:O291" si="201">+N288*F288</f>
        <v>0</v>
      </c>
      <c r="P288" s="47">
        <f>N288/J288</f>
        <v>0</v>
      </c>
    </row>
    <row r="289" spans="2:16" s="619" customFormat="1" ht="142.5">
      <c r="B289" s="111" t="s">
        <v>236</v>
      </c>
      <c r="C289" s="112" t="s">
        <v>217</v>
      </c>
      <c r="D289" s="113" t="s">
        <v>211</v>
      </c>
      <c r="E289" s="231">
        <v>20.41</v>
      </c>
      <c r="F289" s="133">
        <v>38220</v>
      </c>
      <c r="G289" s="134">
        <f t="shared" si="184"/>
        <v>780070</v>
      </c>
      <c r="H289" s="585">
        <v>-20.41</v>
      </c>
      <c r="I289" s="114">
        <f t="shared" si="196"/>
        <v>-780070.2</v>
      </c>
      <c r="J289" s="198">
        <f t="shared" si="197"/>
        <v>0</v>
      </c>
      <c r="K289" s="43">
        <f t="shared" si="189"/>
        <v>0</v>
      </c>
      <c r="L289" s="53">
        <v>0</v>
      </c>
      <c r="M289" s="33">
        <f t="shared" si="177"/>
        <v>0</v>
      </c>
      <c r="N289" s="49">
        <f t="shared" si="200"/>
        <v>0</v>
      </c>
      <c r="O289" s="52">
        <f t="shared" si="201"/>
        <v>0</v>
      </c>
      <c r="P289" s="47">
        <v>0</v>
      </c>
    </row>
    <row r="290" spans="2:16" s="619" customFormat="1" ht="114">
      <c r="B290" s="111" t="s">
        <v>237</v>
      </c>
      <c r="C290" s="112" t="s">
        <v>220</v>
      </c>
      <c r="D290" s="113" t="s">
        <v>211</v>
      </c>
      <c r="E290" s="231">
        <v>3.44</v>
      </c>
      <c r="F290" s="133">
        <v>13088</v>
      </c>
      <c r="G290" s="134">
        <f t="shared" si="184"/>
        <v>45023</v>
      </c>
      <c r="H290" s="585">
        <f>0.11</f>
        <v>0.11</v>
      </c>
      <c r="I290" s="114">
        <f t="shared" si="196"/>
        <v>1439.68</v>
      </c>
      <c r="J290" s="198">
        <f t="shared" si="197"/>
        <v>3.55</v>
      </c>
      <c r="K290" s="43">
        <f t="shared" si="189"/>
        <v>46462</v>
      </c>
      <c r="L290" s="10">
        <v>0</v>
      </c>
      <c r="M290" s="33">
        <f t="shared" si="177"/>
        <v>0</v>
      </c>
      <c r="N290" s="49">
        <f t="shared" si="200"/>
        <v>0</v>
      </c>
      <c r="O290" s="52">
        <f t="shared" si="201"/>
        <v>0</v>
      </c>
      <c r="P290" s="47">
        <f>N290/J290</f>
        <v>0</v>
      </c>
    </row>
    <row r="291" spans="2:16" s="619" customFormat="1" ht="85.5">
      <c r="B291" s="111" t="s">
        <v>238</v>
      </c>
      <c r="C291" s="118" t="s">
        <v>239</v>
      </c>
      <c r="D291" s="113" t="s">
        <v>211</v>
      </c>
      <c r="E291" s="231">
        <v>4.3</v>
      </c>
      <c r="F291" s="133">
        <v>14355</v>
      </c>
      <c r="G291" s="134">
        <f t="shared" si="184"/>
        <v>61727</v>
      </c>
      <c r="H291" s="585">
        <f>0.15</f>
        <v>0.15</v>
      </c>
      <c r="I291" s="114">
        <f t="shared" si="196"/>
        <v>2153.25</v>
      </c>
      <c r="J291" s="198">
        <f t="shared" si="197"/>
        <v>4.45</v>
      </c>
      <c r="K291" s="43">
        <f t="shared" si="189"/>
        <v>63880</v>
      </c>
      <c r="L291" s="10">
        <v>0</v>
      </c>
      <c r="M291" s="33">
        <f t="shared" si="177"/>
        <v>0</v>
      </c>
      <c r="N291" s="49">
        <f t="shared" si="200"/>
        <v>0</v>
      </c>
      <c r="O291" s="52">
        <f t="shared" si="201"/>
        <v>0</v>
      </c>
      <c r="P291" s="47">
        <f>N291/J291</f>
        <v>0</v>
      </c>
    </row>
    <row r="292" spans="2:16" s="619" customFormat="1" ht="15">
      <c r="B292" s="141" t="s">
        <v>240</v>
      </c>
      <c r="C292" s="142" t="s">
        <v>241</v>
      </c>
      <c r="D292" s="143"/>
      <c r="E292" s="232"/>
      <c r="F292" s="146"/>
      <c r="G292" s="145"/>
      <c r="H292" s="586"/>
      <c r="I292" s="60"/>
      <c r="J292" s="83"/>
      <c r="K292" s="60"/>
      <c r="L292" s="92"/>
      <c r="M292" s="60"/>
      <c r="N292" s="83"/>
      <c r="O292" s="84"/>
      <c r="P292" s="86"/>
    </row>
    <row r="293" spans="2:16" s="619" customFormat="1" ht="42.75">
      <c r="B293" s="111" t="s">
        <v>242</v>
      </c>
      <c r="C293" s="112" t="s">
        <v>243</v>
      </c>
      <c r="D293" s="113" t="s">
        <v>211</v>
      </c>
      <c r="E293" s="231">
        <v>6</v>
      </c>
      <c r="F293" s="133">
        <v>21082</v>
      </c>
      <c r="G293" s="134">
        <f t="shared" si="184"/>
        <v>126492</v>
      </c>
      <c r="H293" s="585">
        <f>1.76</f>
        <v>1.76</v>
      </c>
      <c r="I293" s="114">
        <f t="shared" ref="I293:I298" si="202">+H293*F293</f>
        <v>37104.32</v>
      </c>
      <c r="J293" s="198">
        <f t="shared" ref="J293:J298" si="203">+H293+E293</f>
        <v>7.76</v>
      </c>
      <c r="K293" s="43">
        <f t="shared" si="189"/>
        <v>163596</v>
      </c>
      <c r="L293" s="10">
        <v>0</v>
      </c>
      <c r="M293" s="33">
        <f t="shared" si="177"/>
        <v>0</v>
      </c>
      <c r="N293" s="49">
        <f t="shared" ref="N293" si="204">+L293</f>
        <v>0</v>
      </c>
      <c r="O293" s="52">
        <f t="shared" ref="O293" si="205">+N293*F293</f>
        <v>0</v>
      </c>
      <c r="P293" s="47">
        <f>N293/J293</f>
        <v>0</v>
      </c>
    </row>
    <row r="294" spans="2:16" s="619" customFormat="1" ht="28.5">
      <c r="B294" s="111" t="s">
        <v>244</v>
      </c>
      <c r="C294" s="112" t="s">
        <v>226</v>
      </c>
      <c r="D294" s="113" t="s">
        <v>211</v>
      </c>
      <c r="E294" s="231">
        <v>5.8</v>
      </c>
      <c r="F294" s="133">
        <v>23147</v>
      </c>
      <c r="G294" s="134">
        <f t="shared" si="184"/>
        <v>134253</v>
      </c>
      <c r="H294" s="585">
        <f>1.96</f>
        <v>1.96</v>
      </c>
      <c r="I294" s="114">
        <f t="shared" si="202"/>
        <v>45368.12</v>
      </c>
      <c r="J294" s="198">
        <f t="shared" si="203"/>
        <v>7.76</v>
      </c>
      <c r="K294" s="43">
        <f t="shared" si="189"/>
        <v>179621</v>
      </c>
      <c r="L294" s="10">
        <v>0</v>
      </c>
      <c r="M294" s="33">
        <f t="shared" si="177"/>
        <v>0</v>
      </c>
      <c r="N294" s="49">
        <f t="shared" ref="N294:N298" si="206">+L294</f>
        <v>0</v>
      </c>
      <c r="O294" s="52">
        <f t="shared" ref="O294:O298" si="207">+N294*F294</f>
        <v>0</v>
      </c>
      <c r="P294" s="47">
        <f>N294/J294</f>
        <v>0</v>
      </c>
    </row>
    <row r="295" spans="2:16" s="619" customFormat="1" ht="99.75">
      <c r="B295" s="111" t="s">
        <v>245</v>
      </c>
      <c r="C295" s="112" t="s">
        <v>227</v>
      </c>
      <c r="D295" s="113" t="s">
        <v>211</v>
      </c>
      <c r="E295" s="231">
        <v>54.79</v>
      </c>
      <c r="F295" s="133">
        <v>5491</v>
      </c>
      <c r="G295" s="134">
        <f t="shared" si="184"/>
        <v>300852</v>
      </c>
      <c r="H295" s="585">
        <v>0</v>
      </c>
      <c r="I295" s="114">
        <f t="shared" si="202"/>
        <v>0</v>
      </c>
      <c r="J295" s="198">
        <f t="shared" si="203"/>
        <v>54.79</v>
      </c>
      <c r="K295" s="43">
        <f t="shared" si="189"/>
        <v>300852</v>
      </c>
      <c r="L295" s="53">
        <v>0</v>
      </c>
      <c r="M295" s="33">
        <f t="shared" si="177"/>
        <v>0</v>
      </c>
      <c r="N295" s="49">
        <f t="shared" si="206"/>
        <v>0</v>
      </c>
      <c r="O295" s="52">
        <f t="shared" si="207"/>
        <v>0</v>
      </c>
      <c r="P295" s="47">
        <f>N295/J295</f>
        <v>0</v>
      </c>
    </row>
    <row r="296" spans="2:16" s="619" customFormat="1" ht="142.5">
      <c r="B296" s="111" t="s">
        <v>246</v>
      </c>
      <c r="C296" s="112" t="s">
        <v>217</v>
      </c>
      <c r="D296" s="113" t="s">
        <v>211</v>
      </c>
      <c r="E296" s="231">
        <v>28.11</v>
      </c>
      <c r="F296" s="133">
        <v>38220</v>
      </c>
      <c r="G296" s="134">
        <f t="shared" si="184"/>
        <v>1074364</v>
      </c>
      <c r="H296" s="585">
        <v>-28.11</v>
      </c>
      <c r="I296" s="114">
        <f t="shared" si="202"/>
        <v>-1074364.2</v>
      </c>
      <c r="J296" s="198">
        <f t="shared" si="203"/>
        <v>0</v>
      </c>
      <c r="K296" s="43">
        <f t="shared" si="189"/>
        <v>0</v>
      </c>
      <c r="L296" s="10">
        <v>0</v>
      </c>
      <c r="M296" s="33">
        <f t="shared" si="177"/>
        <v>0</v>
      </c>
      <c r="N296" s="49">
        <f t="shared" si="206"/>
        <v>0</v>
      </c>
      <c r="O296" s="52">
        <f t="shared" si="207"/>
        <v>0</v>
      </c>
      <c r="P296" s="47">
        <v>0</v>
      </c>
    </row>
    <row r="297" spans="2:16" s="619" customFormat="1" ht="114">
      <c r="B297" s="111" t="s">
        <v>247</v>
      </c>
      <c r="C297" s="118" t="s">
        <v>220</v>
      </c>
      <c r="D297" s="113" t="s">
        <v>211</v>
      </c>
      <c r="E297" s="231">
        <v>6.89</v>
      </c>
      <c r="F297" s="133">
        <v>13088</v>
      </c>
      <c r="G297" s="134">
        <f t="shared" si="184"/>
        <v>90176</v>
      </c>
      <c r="H297" s="585">
        <f>0.21</f>
        <v>0.21</v>
      </c>
      <c r="I297" s="114">
        <f t="shared" si="202"/>
        <v>2748.48</v>
      </c>
      <c r="J297" s="198">
        <f t="shared" si="203"/>
        <v>7.1</v>
      </c>
      <c r="K297" s="43">
        <f t="shared" si="189"/>
        <v>92925</v>
      </c>
      <c r="L297" s="10">
        <v>0</v>
      </c>
      <c r="M297" s="33">
        <f t="shared" si="177"/>
        <v>0</v>
      </c>
      <c r="N297" s="49">
        <f t="shared" si="206"/>
        <v>0</v>
      </c>
      <c r="O297" s="52">
        <f t="shared" si="207"/>
        <v>0</v>
      </c>
      <c r="P297" s="47">
        <f>N297/J297</f>
        <v>0</v>
      </c>
    </row>
    <row r="298" spans="2:16" s="619" customFormat="1" ht="85.5">
      <c r="B298" s="111" t="s">
        <v>248</v>
      </c>
      <c r="C298" s="112" t="s">
        <v>249</v>
      </c>
      <c r="D298" s="113" t="s">
        <v>211</v>
      </c>
      <c r="E298" s="231">
        <v>8.8000000000000007</v>
      </c>
      <c r="F298" s="133">
        <v>14355</v>
      </c>
      <c r="G298" s="134">
        <f t="shared" si="184"/>
        <v>126324</v>
      </c>
      <c r="H298" s="585">
        <f>-0.27</f>
        <v>-0.27</v>
      </c>
      <c r="I298" s="114">
        <f t="shared" si="202"/>
        <v>-3875.8500000000004</v>
      </c>
      <c r="J298" s="198">
        <f t="shared" si="203"/>
        <v>8.5300000000000011</v>
      </c>
      <c r="K298" s="43">
        <f t="shared" si="189"/>
        <v>122448</v>
      </c>
      <c r="L298" s="53">
        <v>0</v>
      </c>
      <c r="M298" s="33">
        <f t="shared" si="177"/>
        <v>0</v>
      </c>
      <c r="N298" s="49">
        <f t="shared" si="206"/>
        <v>0</v>
      </c>
      <c r="O298" s="52">
        <f t="shared" si="207"/>
        <v>0</v>
      </c>
      <c r="P298" s="47">
        <f>N298/J298</f>
        <v>0</v>
      </c>
    </row>
    <row r="299" spans="2:16" s="619" customFormat="1" ht="15">
      <c r="B299" s="141" t="s">
        <v>250</v>
      </c>
      <c r="C299" s="142" t="s">
        <v>251</v>
      </c>
      <c r="D299" s="143"/>
      <c r="E299" s="232"/>
      <c r="F299" s="146"/>
      <c r="G299" s="145"/>
      <c r="H299" s="586"/>
      <c r="I299" s="60"/>
      <c r="J299" s="83"/>
      <c r="K299" s="60"/>
      <c r="L299" s="83"/>
      <c r="M299" s="180"/>
      <c r="N299" s="83"/>
      <c r="O299" s="84"/>
      <c r="P299" s="86"/>
    </row>
    <row r="300" spans="2:16" s="619" customFormat="1" ht="114">
      <c r="B300" s="111" t="s">
        <v>252</v>
      </c>
      <c r="C300" s="112" t="s">
        <v>220</v>
      </c>
      <c r="D300" s="113" t="s">
        <v>211</v>
      </c>
      <c r="E300" s="231">
        <v>6</v>
      </c>
      <c r="F300" s="133">
        <v>13088</v>
      </c>
      <c r="G300" s="134">
        <f t="shared" si="184"/>
        <v>78528</v>
      </c>
      <c r="H300" s="585">
        <f>-0.4</f>
        <v>-0.4</v>
      </c>
      <c r="I300" s="114">
        <f t="shared" ref="I300:I301" si="208">+H300*F300</f>
        <v>-5235.2000000000007</v>
      </c>
      <c r="J300" s="198">
        <f t="shared" ref="J300:J303" si="209">+H300+E300</f>
        <v>5.6</v>
      </c>
      <c r="K300" s="43">
        <f t="shared" si="189"/>
        <v>73293</v>
      </c>
      <c r="L300" s="10">
        <v>0</v>
      </c>
      <c r="M300" s="33">
        <f t="shared" si="177"/>
        <v>0</v>
      </c>
      <c r="N300" s="49">
        <f t="shared" ref="N300" si="210">+L300</f>
        <v>0</v>
      </c>
      <c r="O300" s="52">
        <f t="shared" ref="O300" si="211">+N300*F300</f>
        <v>0</v>
      </c>
      <c r="P300" s="47">
        <f>N300/J300</f>
        <v>0</v>
      </c>
    </row>
    <row r="301" spans="2:16" s="619" customFormat="1" ht="142.5">
      <c r="B301" s="111" t="s">
        <v>253</v>
      </c>
      <c r="C301" s="112" t="s">
        <v>217</v>
      </c>
      <c r="D301" s="113" t="s">
        <v>211</v>
      </c>
      <c r="E301" s="231">
        <v>11</v>
      </c>
      <c r="F301" s="133">
        <v>38220</v>
      </c>
      <c r="G301" s="134">
        <f t="shared" si="184"/>
        <v>420420</v>
      </c>
      <c r="H301" s="585">
        <v>-11</v>
      </c>
      <c r="I301" s="114">
        <f t="shared" si="208"/>
        <v>-420420</v>
      </c>
      <c r="J301" s="198">
        <f t="shared" si="209"/>
        <v>0</v>
      </c>
      <c r="K301" s="43">
        <f t="shared" si="189"/>
        <v>0</v>
      </c>
      <c r="L301" s="10">
        <v>0</v>
      </c>
      <c r="M301" s="33">
        <f t="shared" si="177"/>
        <v>0</v>
      </c>
      <c r="N301" s="49">
        <f t="shared" ref="N301" si="212">+L301</f>
        <v>0</v>
      </c>
      <c r="O301" s="52">
        <f t="shared" ref="O301" si="213">+N301*F301</f>
        <v>0</v>
      </c>
      <c r="P301" s="47">
        <v>0</v>
      </c>
    </row>
    <row r="302" spans="2:16" s="619" customFormat="1" ht="15">
      <c r="B302" s="141" t="s">
        <v>254</v>
      </c>
      <c r="C302" s="142" t="s">
        <v>255</v>
      </c>
      <c r="D302" s="143"/>
      <c r="E302" s="232"/>
      <c r="F302" s="146"/>
      <c r="G302" s="145"/>
      <c r="H302" s="586"/>
      <c r="I302" s="60"/>
      <c r="J302" s="83"/>
      <c r="K302" s="60"/>
      <c r="L302" s="92"/>
      <c r="M302" s="60"/>
      <c r="N302" s="83"/>
      <c r="O302" s="84"/>
      <c r="P302" s="86"/>
    </row>
    <row r="303" spans="2:16" s="619" customFormat="1" ht="99.75">
      <c r="B303" s="111" t="s">
        <v>256</v>
      </c>
      <c r="C303" s="112" t="s">
        <v>227</v>
      </c>
      <c r="D303" s="113" t="s">
        <v>211</v>
      </c>
      <c r="E303" s="231">
        <v>412</v>
      </c>
      <c r="F303" s="133">
        <v>5568</v>
      </c>
      <c r="G303" s="134">
        <f t="shared" si="184"/>
        <v>2294016</v>
      </c>
      <c r="H303" s="585">
        <v>-136</v>
      </c>
      <c r="I303" s="114">
        <f t="shared" ref="I303:I308" si="214">+H303*F303</f>
        <v>-757248</v>
      </c>
      <c r="J303" s="198">
        <f t="shared" si="209"/>
        <v>276</v>
      </c>
      <c r="K303" s="43">
        <f t="shared" si="189"/>
        <v>1536768</v>
      </c>
      <c r="L303" s="49">
        <v>260.19</v>
      </c>
      <c r="M303" s="33">
        <f t="shared" si="177"/>
        <v>1448738</v>
      </c>
      <c r="N303" s="49">
        <f t="shared" ref="N303" si="215">+L303</f>
        <v>260.19</v>
      </c>
      <c r="O303" s="52">
        <f t="shared" ref="O303" si="216">+N303*F303</f>
        <v>1448737.92</v>
      </c>
      <c r="P303" s="47">
        <f>N303/J303</f>
        <v>0.94271739130434784</v>
      </c>
    </row>
    <row r="304" spans="2:16" s="619" customFormat="1" ht="85.5">
      <c r="B304" s="111" t="s">
        <v>257</v>
      </c>
      <c r="C304" s="112" t="s">
        <v>258</v>
      </c>
      <c r="D304" s="113" t="s">
        <v>211</v>
      </c>
      <c r="E304" s="231">
        <v>11.3</v>
      </c>
      <c r="F304" s="133">
        <v>14355</v>
      </c>
      <c r="G304" s="134">
        <f t="shared" si="184"/>
        <v>162212</v>
      </c>
      <c r="H304" s="585">
        <f>4.5</f>
        <v>4.5</v>
      </c>
      <c r="I304" s="114">
        <f t="shared" si="214"/>
        <v>64597.5</v>
      </c>
      <c r="J304" s="198">
        <f t="shared" ref="J304:J308" si="217">+H304+E304</f>
        <v>15.8</v>
      </c>
      <c r="K304" s="43">
        <f t="shared" si="189"/>
        <v>226809</v>
      </c>
      <c r="L304" s="10">
        <v>0</v>
      </c>
      <c r="M304" s="33">
        <f t="shared" si="177"/>
        <v>0</v>
      </c>
      <c r="N304" s="49">
        <f t="shared" ref="N304:N308" si="218">+L304</f>
        <v>0</v>
      </c>
      <c r="O304" s="52">
        <f t="shared" ref="O304:O308" si="219">+N304*F304</f>
        <v>0</v>
      </c>
      <c r="P304" s="47">
        <f>N304/J304</f>
        <v>0</v>
      </c>
    </row>
    <row r="305" spans="2:16" s="619" customFormat="1" ht="128.25">
      <c r="B305" s="111" t="s">
        <v>259</v>
      </c>
      <c r="C305" s="112" t="s">
        <v>260</v>
      </c>
      <c r="D305" s="113" t="s">
        <v>211</v>
      </c>
      <c r="E305" s="231">
        <v>37</v>
      </c>
      <c r="F305" s="133">
        <v>13088</v>
      </c>
      <c r="G305" s="134">
        <f t="shared" si="184"/>
        <v>484256</v>
      </c>
      <c r="H305" s="585">
        <v>0</v>
      </c>
      <c r="I305" s="114">
        <f t="shared" si="214"/>
        <v>0</v>
      </c>
      <c r="J305" s="198">
        <f t="shared" si="217"/>
        <v>37</v>
      </c>
      <c r="K305" s="43">
        <f t="shared" si="189"/>
        <v>484256</v>
      </c>
      <c r="L305" s="10">
        <v>0</v>
      </c>
      <c r="M305" s="33">
        <f t="shared" si="177"/>
        <v>0</v>
      </c>
      <c r="N305" s="49">
        <f t="shared" si="218"/>
        <v>0</v>
      </c>
      <c r="O305" s="52">
        <f t="shared" si="219"/>
        <v>0</v>
      </c>
      <c r="P305" s="47">
        <f>N305/J305</f>
        <v>0</v>
      </c>
    </row>
    <row r="306" spans="2:16" s="619" customFormat="1" ht="57">
      <c r="B306" s="111" t="s">
        <v>261</v>
      </c>
      <c r="C306" s="112" t="s">
        <v>218</v>
      </c>
      <c r="D306" s="113" t="s">
        <v>180</v>
      </c>
      <c r="E306" s="231">
        <v>8</v>
      </c>
      <c r="F306" s="133">
        <v>13664</v>
      </c>
      <c r="G306" s="134">
        <f t="shared" si="184"/>
        <v>109312</v>
      </c>
      <c r="H306" s="585">
        <f>1.57</f>
        <v>1.57</v>
      </c>
      <c r="I306" s="114">
        <f t="shared" si="214"/>
        <v>21452.48</v>
      </c>
      <c r="J306" s="198">
        <f t="shared" si="217"/>
        <v>9.57</v>
      </c>
      <c r="K306" s="43">
        <f t="shared" si="189"/>
        <v>130764</v>
      </c>
      <c r="L306" s="10">
        <v>0</v>
      </c>
      <c r="M306" s="33">
        <f t="shared" si="177"/>
        <v>0</v>
      </c>
      <c r="N306" s="49">
        <f t="shared" si="218"/>
        <v>0</v>
      </c>
      <c r="O306" s="52">
        <f t="shared" si="219"/>
        <v>0</v>
      </c>
      <c r="P306" s="47">
        <f>N306/J306</f>
        <v>0</v>
      </c>
    </row>
    <row r="307" spans="2:16" s="619" customFormat="1" ht="142.5">
      <c r="B307" s="111" t="s">
        <v>262</v>
      </c>
      <c r="C307" s="112" t="s">
        <v>217</v>
      </c>
      <c r="D307" s="113" t="s">
        <v>211</v>
      </c>
      <c r="E307" s="231">
        <v>251</v>
      </c>
      <c r="F307" s="133">
        <v>38220</v>
      </c>
      <c r="G307" s="134">
        <f t="shared" si="184"/>
        <v>9593220</v>
      </c>
      <c r="H307" s="585">
        <v>-251</v>
      </c>
      <c r="I307" s="114">
        <f t="shared" si="214"/>
        <v>-9593220</v>
      </c>
      <c r="J307" s="198">
        <f t="shared" si="217"/>
        <v>0</v>
      </c>
      <c r="K307" s="43">
        <f t="shared" si="189"/>
        <v>0</v>
      </c>
      <c r="L307" s="10">
        <v>0</v>
      </c>
      <c r="M307" s="33">
        <f t="shared" si="177"/>
        <v>0</v>
      </c>
      <c r="N307" s="49">
        <f t="shared" si="218"/>
        <v>0</v>
      </c>
      <c r="O307" s="52">
        <f t="shared" si="219"/>
        <v>0</v>
      </c>
      <c r="P307" s="47">
        <v>0</v>
      </c>
    </row>
    <row r="308" spans="2:16" s="619" customFormat="1" ht="99.75">
      <c r="B308" s="111" t="s">
        <v>263</v>
      </c>
      <c r="C308" s="118" t="s">
        <v>264</v>
      </c>
      <c r="D308" s="113" t="s">
        <v>211</v>
      </c>
      <c r="E308" s="231">
        <v>5</v>
      </c>
      <c r="F308" s="133">
        <v>40000</v>
      </c>
      <c r="G308" s="134">
        <f t="shared" si="184"/>
        <v>200000</v>
      </c>
      <c r="H308" s="585">
        <v>4</v>
      </c>
      <c r="I308" s="114">
        <f t="shared" si="214"/>
        <v>160000</v>
      </c>
      <c r="J308" s="198">
        <f t="shared" si="217"/>
        <v>9</v>
      </c>
      <c r="K308" s="43">
        <f t="shared" si="189"/>
        <v>360000</v>
      </c>
      <c r="L308" s="53">
        <v>0</v>
      </c>
      <c r="M308" s="33">
        <f t="shared" si="177"/>
        <v>0</v>
      </c>
      <c r="N308" s="49">
        <f t="shared" si="218"/>
        <v>0</v>
      </c>
      <c r="O308" s="52">
        <f t="shared" si="219"/>
        <v>0</v>
      </c>
      <c r="P308" s="47">
        <f>N308/J308</f>
        <v>0</v>
      </c>
    </row>
    <row r="309" spans="2:16" s="619" customFormat="1" ht="15">
      <c r="B309" s="110" t="s">
        <v>265</v>
      </c>
      <c r="C309" s="115" t="s">
        <v>145</v>
      </c>
      <c r="D309" s="116"/>
      <c r="E309" s="233"/>
      <c r="F309" s="133"/>
      <c r="G309" s="132"/>
      <c r="H309" s="585"/>
      <c r="I309" s="43"/>
      <c r="J309" s="10"/>
      <c r="K309" s="43"/>
      <c r="L309" s="10"/>
      <c r="M309" s="43"/>
      <c r="N309" s="10"/>
      <c r="O309" s="67"/>
      <c r="P309" s="47"/>
    </row>
    <row r="310" spans="2:16" s="619" customFormat="1">
      <c r="B310" s="111" t="s">
        <v>266</v>
      </c>
      <c r="C310" s="112" t="s">
        <v>267</v>
      </c>
      <c r="D310" s="113" t="s">
        <v>268</v>
      </c>
      <c r="E310" s="231">
        <v>1</v>
      </c>
      <c r="F310" s="133">
        <v>53129</v>
      </c>
      <c r="G310" s="134">
        <f t="shared" si="184"/>
        <v>53129</v>
      </c>
      <c r="H310" s="585">
        <v>0</v>
      </c>
      <c r="I310" s="114">
        <f t="shared" ref="I310:I312" si="220">+H310*F310</f>
        <v>0</v>
      </c>
      <c r="J310" s="198">
        <f t="shared" ref="J310:J312" si="221">+H310+E310</f>
        <v>1</v>
      </c>
      <c r="K310" s="43">
        <f t="shared" si="189"/>
        <v>53129</v>
      </c>
      <c r="L310" s="10">
        <v>0</v>
      </c>
      <c r="M310" s="33">
        <f t="shared" si="177"/>
        <v>0</v>
      </c>
      <c r="N310" s="49">
        <f t="shared" ref="N310" si="222">+L310</f>
        <v>0</v>
      </c>
      <c r="O310" s="52">
        <f t="shared" ref="O310" si="223">+N310*F310</f>
        <v>0</v>
      </c>
      <c r="P310" s="47">
        <f>N310/J310</f>
        <v>0</v>
      </c>
    </row>
    <row r="311" spans="2:16" s="619" customFormat="1" ht="28.5">
      <c r="B311" s="111" t="s">
        <v>269</v>
      </c>
      <c r="C311" s="112" t="s">
        <v>270</v>
      </c>
      <c r="D311" s="113" t="s">
        <v>268</v>
      </c>
      <c r="E311" s="231">
        <v>1</v>
      </c>
      <c r="F311" s="133">
        <v>43038</v>
      </c>
      <c r="G311" s="134">
        <f t="shared" si="184"/>
        <v>43038</v>
      </c>
      <c r="H311" s="585">
        <v>0</v>
      </c>
      <c r="I311" s="43">
        <f t="shared" si="220"/>
        <v>0</v>
      </c>
      <c r="J311" s="10">
        <f t="shared" si="221"/>
        <v>1</v>
      </c>
      <c r="K311" s="43">
        <f t="shared" si="189"/>
        <v>43038</v>
      </c>
      <c r="L311" s="10">
        <v>0</v>
      </c>
      <c r="M311" s="33">
        <f t="shared" si="177"/>
        <v>0</v>
      </c>
      <c r="N311" s="49">
        <f t="shared" ref="N311:N312" si="224">+L311</f>
        <v>0</v>
      </c>
      <c r="O311" s="52">
        <f t="shared" ref="O311:O312" si="225">+N311*F311</f>
        <v>0</v>
      </c>
      <c r="P311" s="47">
        <f>N311/J311</f>
        <v>0</v>
      </c>
    </row>
    <row r="312" spans="2:16" s="619" customFormat="1" ht="171">
      <c r="B312" s="119" t="s">
        <v>271</v>
      </c>
      <c r="C312" s="120" t="s">
        <v>272</v>
      </c>
      <c r="D312" s="121" t="s">
        <v>268</v>
      </c>
      <c r="E312" s="234">
        <v>1</v>
      </c>
      <c r="F312" s="135">
        <v>321030</v>
      </c>
      <c r="G312" s="134">
        <f t="shared" si="184"/>
        <v>321030</v>
      </c>
      <c r="H312" s="588">
        <v>0</v>
      </c>
      <c r="I312" s="52">
        <f t="shared" si="220"/>
        <v>0</v>
      </c>
      <c r="J312" s="49">
        <f t="shared" si="221"/>
        <v>1</v>
      </c>
      <c r="K312" s="52">
        <f t="shared" si="189"/>
        <v>321030</v>
      </c>
      <c r="L312" s="10">
        <v>0</v>
      </c>
      <c r="M312" s="33">
        <f t="shared" si="177"/>
        <v>0</v>
      </c>
      <c r="N312" s="49">
        <f t="shared" si="224"/>
        <v>0</v>
      </c>
      <c r="O312" s="52">
        <f t="shared" si="225"/>
        <v>0</v>
      </c>
      <c r="P312" s="47">
        <f>N312/J312</f>
        <v>0</v>
      </c>
    </row>
    <row r="313" spans="2:16" s="619" customFormat="1" ht="15">
      <c r="B313" s="147"/>
      <c r="C313" s="148" t="s">
        <v>147</v>
      </c>
      <c r="D313" s="149"/>
      <c r="E313" s="235"/>
      <c r="F313" s="150"/>
      <c r="G313" s="151"/>
      <c r="H313" s="586"/>
      <c r="I313" s="60"/>
      <c r="J313" s="83"/>
      <c r="K313" s="60"/>
      <c r="L313" s="92"/>
      <c r="M313" s="60"/>
      <c r="N313" s="83"/>
      <c r="O313" s="84"/>
      <c r="P313" s="86"/>
    </row>
    <row r="314" spans="2:16" s="619" customFormat="1" ht="28.5">
      <c r="B314" s="122" t="s">
        <v>273</v>
      </c>
      <c r="C314" s="124" t="s">
        <v>274</v>
      </c>
      <c r="D314" s="123" t="s">
        <v>275</v>
      </c>
      <c r="E314" s="236"/>
      <c r="F314" s="125">
        <v>88205</v>
      </c>
      <c r="G314" s="134">
        <f t="shared" si="184"/>
        <v>0</v>
      </c>
      <c r="H314" s="610">
        <v>24</v>
      </c>
      <c r="I314" s="43">
        <f>+ROUND(H314*F314,0)</f>
        <v>2116920</v>
      </c>
      <c r="J314" s="49">
        <f t="shared" ref="J314:J332" si="226">+H314+E314</f>
        <v>24</v>
      </c>
      <c r="K314" s="52">
        <f t="shared" ref="K314:K332" si="227">+ROUND(J314*F314,0)</f>
        <v>2116920</v>
      </c>
      <c r="L314" s="10">
        <v>0</v>
      </c>
      <c r="M314" s="33">
        <f t="shared" si="177"/>
        <v>0</v>
      </c>
      <c r="N314" s="49">
        <f t="shared" ref="N314" si="228">+L314</f>
        <v>0</v>
      </c>
      <c r="O314" s="52">
        <f t="shared" ref="O314" si="229">+N314*F314</f>
        <v>0</v>
      </c>
      <c r="P314" s="47">
        <f t="shared" ref="P314:P331" si="230">N314/J314</f>
        <v>0</v>
      </c>
    </row>
    <row r="315" spans="2:16" s="619" customFormat="1" ht="42.75">
      <c r="B315" s="122" t="s">
        <v>277</v>
      </c>
      <c r="C315" s="124" t="s">
        <v>278</v>
      </c>
      <c r="D315" s="123" t="s">
        <v>275</v>
      </c>
      <c r="E315" s="236"/>
      <c r="F315" s="125">
        <v>47908</v>
      </c>
      <c r="G315" s="134">
        <f t="shared" si="184"/>
        <v>0</v>
      </c>
      <c r="H315" s="610">
        <v>13</v>
      </c>
      <c r="I315" s="43">
        <f t="shared" ref="I315:I325" si="231">+ROUND(H315*F315,0)</f>
        <v>622804</v>
      </c>
      <c r="J315" s="10">
        <f t="shared" si="226"/>
        <v>13</v>
      </c>
      <c r="K315" s="43">
        <f t="shared" si="227"/>
        <v>622804</v>
      </c>
      <c r="L315" s="10">
        <v>0</v>
      </c>
      <c r="M315" s="43">
        <f t="shared" si="177"/>
        <v>0</v>
      </c>
      <c r="N315" s="49">
        <f t="shared" ref="N315:N332" si="232">+L315</f>
        <v>0</v>
      </c>
      <c r="O315" s="52">
        <f t="shared" ref="O315:O332" si="233">+N315*F315</f>
        <v>0</v>
      </c>
      <c r="P315" s="47">
        <f t="shared" si="230"/>
        <v>0</v>
      </c>
    </row>
    <row r="316" spans="2:16" s="619" customFormat="1" ht="28.5">
      <c r="B316" s="122" t="s">
        <v>279</v>
      </c>
      <c r="C316" s="124" t="s">
        <v>280</v>
      </c>
      <c r="D316" s="123" t="s">
        <v>180</v>
      </c>
      <c r="E316" s="236"/>
      <c r="F316" s="125">
        <v>81021</v>
      </c>
      <c r="G316" s="134">
        <f t="shared" si="184"/>
        <v>0</v>
      </c>
      <c r="H316" s="610">
        <v>76</v>
      </c>
      <c r="I316" s="43">
        <f t="shared" si="231"/>
        <v>6157596</v>
      </c>
      <c r="J316" s="49">
        <f t="shared" si="226"/>
        <v>76</v>
      </c>
      <c r="K316" s="52">
        <f t="shared" si="227"/>
        <v>6157596</v>
      </c>
      <c r="L316" s="10">
        <v>0</v>
      </c>
      <c r="M316" s="33">
        <f t="shared" si="177"/>
        <v>0</v>
      </c>
      <c r="N316" s="49">
        <f t="shared" si="232"/>
        <v>0</v>
      </c>
      <c r="O316" s="52">
        <f t="shared" si="233"/>
        <v>0</v>
      </c>
      <c r="P316" s="47">
        <f t="shared" si="230"/>
        <v>0</v>
      </c>
    </row>
    <row r="317" spans="2:16" s="619" customFormat="1" ht="28.5">
      <c r="B317" s="122" t="s">
        <v>281</v>
      </c>
      <c r="C317" s="124" t="s">
        <v>282</v>
      </c>
      <c r="D317" s="123" t="s">
        <v>268</v>
      </c>
      <c r="E317" s="236"/>
      <c r="F317" s="125">
        <v>166797</v>
      </c>
      <c r="G317" s="134">
        <f t="shared" si="184"/>
        <v>0</v>
      </c>
      <c r="H317" s="610">
        <v>15</v>
      </c>
      <c r="I317" s="43">
        <f t="shared" si="231"/>
        <v>2501955</v>
      </c>
      <c r="J317" s="49">
        <f t="shared" si="226"/>
        <v>15</v>
      </c>
      <c r="K317" s="52">
        <f t="shared" si="227"/>
        <v>2501955</v>
      </c>
      <c r="L317" s="10">
        <v>0</v>
      </c>
      <c r="M317" s="33">
        <f t="shared" si="177"/>
        <v>0</v>
      </c>
      <c r="N317" s="49">
        <f t="shared" si="232"/>
        <v>0</v>
      </c>
      <c r="O317" s="52">
        <f t="shared" si="233"/>
        <v>0</v>
      </c>
      <c r="P317" s="47">
        <f t="shared" si="230"/>
        <v>0</v>
      </c>
    </row>
    <row r="318" spans="2:16" s="619" customFormat="1" ht="42.75">
      <c r="B318" s="122" t="s">
        <v>283</v>
      </c>
      <c r="C318" s="124" t="s">
        <v>284</v>
      </c>
      <c r="D318" s="123" t="s">
        <v>109</v>
      </c>
      <c r="E318" s="236"/>
      <c r="F318" s="125">
        <v>350220</v>
      </c>
      <c r="G318" s="134">
        <f t="shared" si="184"/>
        <v>0</v>
      </c>
      <c r="H318" s="610">
        <v>1</v>
      </c>
      <c r="I318" s="43">
        <f t="shared" si="231"/>
        <v>350220</v>
      </c>
      <c r="J318" s="49">
        <f t="shared" si="226"/>
        <v>1</v>
      </c>
      <c r="K318" s="52">
        <f t="shared" si="227"/>
        <v>350220</v>
      </c>
      <c r="L318" s="10">
        <v>0</v>
      </c>
      <c r="M318" s="33">
        <f t="shared" si="177"/>
        <v>0</v>
      </c>
      <c r="N318" s="49">
        <f t="shared" si="232"/>
        <v>0</v>
      </c>
      <c r="O318" s="52">
        <f t="shared" si="233"/>
        <v>0</v>
      </c>
      <c r="P318" s="47">
        <f t="shared" si="230"/>
        <v>0</v>
      </c>
    </row>
    <row r="319" spans="2:16" s="619" customFormat="1">
      <c r="B319" s="122" t="s">
        <v>285</v>
      </c>
      <c r="C319" s="124" t="s">
        <v>286</v>
      </c>
      <c r="D319" s="123" t="s">
        <v>211</v>
      </c>
      <c r="E319" s="236"/>
      <c r="F319" s="125">
        <v>28127</v>
      </c>
      <c r="G319" s="134">
        <f t="shared" si="184"/>
        <v>0</v>
      </c>
      <c r="H319" s="610">
        <v>9</v>
      </c>
      <c r="I319" s="43">
        <f t="shared" si="231"/>
        <v>253143</v>
      </c>
      <c r="J319" s="49">
        <f t="shared" si="226"/>
        <v>9</v>
      </c>
      <c r="K319" s="52">
        <f t="shared" si="227"/>
        <v>253143</v>
      </c>
      <c r="L319" s="10">
        <v>0</v>
      </c>
      <c r="M319" s="33">
        <f t="shared" si="177"/>
        <v>0</v>
      </c>
      <c r="N319" s="49">
        <f t="shared" si="232"/>
        <v>0</v>
      </c>
      <c r="O319" s="52">
        <f t="shared" si="233"/>
        <v>0</v>
      </c>
      <c r="P319" s="47">
        <f t="shared" si="230"/>
        <v>0</v>
      </c>
    </row>
    <row r="320" spans="2:16" s="619" customFormat="1" ht="28.5">
      <c r="B320" s="122" t="s">
        <v>287</v>
      </c>
      <c r="C320" s="124" t="s">
        <v>288</v>
      </c>
      <c r="D320" s="123" t="s">
        <v>211</v>
      </c>
      <c r="E320" s="236"/>
      <c r="F320" s="125">
        <v>5459</v>
      </c>
      <c r="G320" s="137">
        <f t="shared" si="184"/>
        <v>0</v>
      </c>
      <c r="H320" s="610">
        <v>386.83</v>
      </c>
      <c r="I320" s="43">
        <f t="shared" si="231"/>
        <v>2111705</v>
      </c>
      <c r="J320" s="49">
        <f t="shared" si="226"/>
        <v>386.83</v>
      </c>
      <c r="K320" s="52">
        <f t="shared" si="227"/>
        <v>2111705</v>
      </c>
      <c r="L320" s="10">
        <v>0</v>
      </c>
      <c r="M320" s="33">
        <f t="shared" si="177"/>
        <v>0</v>
      </c>
      <c r="N320" s="49">
        <f t="shared" si="232"/>
        <v>0</v>
      </c>
      <c r="O320" s="52">
        <f t="shared" si="233"/>
        <v>0</v>
      </c>
      <c r="P320" s="47">
        <f t="shared" si="230"/>
        <v>0</v>
      </c>
    </row>
    <row r="321" spans="2:16" s="619" customFormat="1" ht="28.5">
      <c r="B321" s="122" t="s">
        <v>289</v>
      </c>
      <c r="C321" s="124" t="s">
        <v>290</v>
      </c>
      <c r="D321" s="123" t="s">
        <v>211</v>
      </c>
      <c r="E321" s="236"/>
      <c r="F321" s="125">
        <v>38220</v>
      </c>
      <c r="G321" s="136">
        <f>+ROUND(F321*E321,0)</f>
        <v>0</v>
      </c>
      <c r="H321" s="610">
        <v>386.83</v>
      </c>
      <c r="I321" s="43">
        <f t="shared" si="231"/>
        <v>14784643</v>
      </c>
      <c r="J321" s="10">
        <f t="shared" si="226"/>
        <v>386.83</v>
      </c>
      <c r="K321" s="43">
        <f t="shared" si="227"/>
        <v>14784643</v>
      </c>
      <c r="L321" s="10">
        <v>0</v>
      </c>
      <c r="M321" s="43">
        <f>+ROUND(L321*F321,0)</f>
        <v>0</v>
      </c>
      <c r="N321" s="49">
        <f t="shared" si="232"/>
        <v>0</v>
      </c>
      <c r="O321" s="52">
        <f t="shared" si="233"/>
        <v>0</v>
      </c>
      <c r="P321" s="47">
        <f t="shared" si="230"/>
        <v>0</v>
      </c>
    </row>
    <row r="322" spans="2:16" s="619" customFormat="1" ht="28.5">
      <c r="B322" s="126" t="s">
        <v>291</v>
      </c>
      <c r="C322" s="184" t="s">
        <v>292</v>
      </c>
      <c r="D322" s="127" t="s">
        <v>211</v>
      </c>
      <c r="E322" s="237"/>
      <c r="F322" s="128">
        <v>5547</v>
      </c>
      <c r="G322" s="138">
        <f>+ROUND(F322*E322,0)</f>
        <v>0</v>
      </c>
      <c r="H322" s="611">
        <v>249.43</v>
      </c>
      <c r="I322" s="43">
        <f t="shared" si="231"/>
        <v>1383588</v>
      </c>
      <c r="J322" s="10">
        <f t="shared" si="226"/>
        <v>249.43</v>
      </c>
      <c r="K322" s="43">
        <f t="shared" si="227"/>
        <v>1383588</v>
      </c>
      <c r="L322" s="10">
        <v>0</v>
      </c>
      <c r="M322" s="43">
        <f>+ROUND(L322*F322,0)</f>
        <v>0</v>
      </c>
      <c r="N322" s="49">
        <f t="shared" si="232"/>
        <v>0</v>
      </c>
      <c r="O322" s="52">
        <f t="shared" si="233"/>
        <v>0</v>
      </c>
      <c r="P322" s="47">
        <f t="shared" si="230"/>
        <v>0</v>
      </c>
    </row>
    <row r="323" spans="2:16" s="619" customFormat="1">
      <c r="B323" s="122" t="s">
        <v>293</v>
      </c>
      <c r="C323" s="124" t="s">
        <v>294</v>
      </c>
      <c r="D323" s="123" t="s">
        <v>295</v>
      </c>
      <c r="E323" s="236"/>
      <c r="F323" s="125">
        <v>5898</v>
      </c>
      <c r="G323" s="136">
        <f>+ROUND(F323*E323,0)</f>
        <v>0</v>
      </c>
      <c r="H323" s="612">
        <v>168</v>
      </c>
      <c r="I323" s="52">
        <f t="shared" si="231"/>
        <v>990864</v>
      </c>
      <c r="J323" s="49">
        <f t="shared" si="226"/>
        <v>168</v>
      </c>
      <c r="K323" s="52">
        <f t="shared" si="227"/>
        <v>990864</v>
      </c>
      <c r="L323" s="10">
        <v>0</v>
      </c>
      <c r="M323" s="43">
        <f>+ROUND(L323*F323,0)</f>
        <v>0</v>
      </c>
      <c r="N323" s="49">
        <f t="shared" si="232"/>
        <v>0</v>
      </c>
      <c r="O323" s="52">
        <f t="shared" si="233"/>
        <v>0</v>
      </c>
      <c r="P323" s="47">
        <f t="shared" si="230"/>
        <v>0</v>
      </c>
    </row>
    <row r="324" spans="2:16" s="619" customFormat="1" ht="71.25">
      <c r="B324" s="126" t="s">
        <v>296</v>
      </c>
      <c r="C324" s="129" t="s">
        <v>297</v>
      </c>
      <c r="D324" s="127" t="s">
        <v>298</v>
      </c>
      <c r="E324" s="238"/>
      <c r="F324" s="130">
        <v>75343</v>
      </c>
      <c r="G324" s="136">
        <f>+ROUND(F324*E324,0)</f>
        <v>0</v>
      </c>
      <c r="H324" s="613">
        <v>9</v>
      </c>
      <c r="I324" s="52">
        <f t="shared" si="231"/>
        <v>678087</v>
      </c>
      <c r="J324" s="49">
        <f t="shared" si="226"/>
        <v>9</v>
      </c>
      <c r="K324" s="52">
        <f t="shared" si="227"/>
        <v>678087</v>
      </c>
      <c r="L324" s="10">
        <v>0</v>
      </c>
      <c r="M324" s="43">
        <f>+ROUND(L324*F324,0)</f>
        <v>0</v>
      </c>
      <c r="N324" s="49">
        <f t="shared" si="232"/>
        <v>0</v>
      </c>
      <c r="O324" s="52">
        <f t="shared" si="233"/>
        <v>0</v>
      </c>
      <c r="P324" s="47">
        <f t="shared" si="230"/>
        <v>0</v>
      </c>
    </row>
    <row r="325" spans="2:16" s="619" customFormat="1" ht="42.75">
      <c r="B325" s="126" t="s">
        <v>299</v>
      </c>
      <c r="C325" s="129" t="s">
        <v>300</v>
      </c>
      <c r="D325" s="127" t="s">
        <v>298</v>
      </c>
      <c r="E325" s="238"/>
      <c r="F325" s="130">
        <v>6103</v>
      </c>
      <c r="G325" s="136">
        <f t="shared" ref="G325:G332" si="234">+ROUND(F325*E325,0)</f>
        <v>0</v>
      </c>
      <c r="H325" s="613">
        <v>11</v>
      </c>
      <c r="I325" s="52">
        <f t="shared" si="231"/>
        <v>67133</v>
      </c>
      <c r="J325" s="10">
        <f t="shared" si="226"/>
        <v>11</v>
      </c>
      <c r="K325" s="52">
        <f t="shared" si="227"/>
        <v>67133</v>
      </c>
      <c r="L325" s="10">
        <v>0</v>
      </c>
      <c r="M325" s="50">
        <f>+ROUND(L325*F325,0)</f>
        <v>0</v>
      </c>
      <c r="N325" s="49">
        <f t="shared" si="232"/>
        <v>0</v>
      </c>
      <c r="O325" s="52">
        <f t="shared" si="233"/>
        <v>0</v>
      </c>
      <c r="P325" s="47">
        <f t="shared" si="230"/>
        <v>0</v>
      </c>
    </row>
    <row r="326" spans="2:16" s="619" customFormat="1" ht="28.5">
      <c r="B326" s="122" t="s">
        <v>355</v>
      </c>
      <c r="C326" s="129" t="s">
        <v>369</v>
      </c>
      <c r="D326" s="127" t="s">
        <v>180</v>
      </c>
      <c r="E326" s="238"/>
      <c r="F326" s="130">
        <v>18885</v>
      </c>
      <c r="G326" s="136">
        <f t="shared" si="234"/>
        <v>0</v>
      </c>
      <c r="H326" s="585">
        <v>76</v>
      </c>
      <c r="I326" s="52">
        <f>H326*F326</f>
        <v>1435260</v>
      </c>
      <c r="J326" s="10">
        <f t="shared" si="226"/>
        <v>76</v>
      </c>
      <c r="K326" s="52">
        <f t="shared" si="227"/>
        <v>1435260</v>
      </c>
      <c r="L326" s="10">
        <v>0</v>
      </c>
      <c r="M326" s="50">
        <f t="shared" ref="M326:M332" si="235">+ROUND(L326*F326,0)</f>
        <v>0</v>
      </c>
      <c r="N326" s="49">
        <f t="shared" si="232"/>
        <v>0</v>
      </c>
      <c r="O326" s="52">
        <f t="shared" si="233"/>
        <v>0</v>
      </c>
      <c r="P326" s="47">
        <f t="shared" si="230"/>
        <v>0</v>
      </c>
    </row>
    <row r="327" spans="2:16" s="619" customFormat="1">
      <c r="B327" s="122" t="s">
        <v>368</v>
      </c>
      <c r="C327" s="129" t="s">
        <v>370</v>
      </c>
      <c r="D327" s="127" t="s">
        <v>180</v>
      </c>
      <c r="E327" s="238"/>
      <c r="F327" s="130">
        <v>36088</v>
      </c>
      <c r="G327" s="136">
        <f t="shared" si="234"/>
        <v>0</v>
      </c>
      <c r="H327" s="585">
        <v>10</v>
      </c>
      <c r="I327" s="52">
        <f t="shared" ref="I327:I342" si="236">H327*F327</f>
        <v>360880</v>
      </c>
      <c r="J327" s="10">
        <f t="shared" si="226"/>
        <v>10</v>
      </c>
      <c r="K327" s="52">
        <f t="shared" si="227"/>
        <v>360880</v>
      </c>
      <c r="L327" s="49">
        <v>0</v>
      </c>
      <c r="M327" s="50">
        <f t="shared" si="235"/>
        <v>0</v>
      </c>
      <c r="N327" s="49">
        <f t="shared" si="232"/>
        <v>0</v>
      </c>
      <c r="O327" s="52">
        <f t="shared" si="233"/>
        <v>0</v>
      </c>
      <c r="P327" s="188">
        <f t="shared" si="230"/>
        <v>0</v>
      </c>
    </row>
    <row r="328" spans="2:16" s="619" customFormat="1" ht="28.5">
      <c r="B328" s="208" t="s">
        <v>371</v>
      </c>
      <c r="C328" s="102" t="s">
        <v>121</v>
      </c>
      <c r="D328" s="79" t="s">
        <v>46</v>
      </c>
      <c r="E328" s="223"/>
      <c r="F328" s="80">
        <v>31803</v>
      </c>
      <c r="G328" s="136">
        <f t="shared" si="234"/>
        <v>0</v>
      </c>
      <c r="H328" s="610">
        <v>33.840000000000003</v>
      </c>
      <c r="I328" s="52">
        <f t="shared" si="236"/>
        <v>1076213.52</v>
      </c>
      <c r="J328" s="10">
        <f t="shared" si="226"/>
        <v>33.840000000000003</v>
      </c>
      <c r="K328" s="52">
        <f t="shared" si="227"/>
        <v>1076214</v>
      </c>
      <c r="L328" s="49">
        <v>0</v>
      </c>
      <c r="M328" s="50">
        <f t="shared" si="235"/>
        <v>0</v>
      </c>
      <c r="N328" s="49">
        <f t="shared" si="232"/>
        <v>0</v>
      </c>
      <c r="O328" s="52">
        <f t="shared" si="233"/>
        <v>0</v>
      </c>
      <c r="P328" s="188">
        <f t="shared" si="230"/>
        <v>0</v>
      </c>
    </row>
    <row r="329" spans="2:16" s="619" customFormat="1" ht="30">
      <c r="B329" s="208" t="s">
        <v>373</v>
      </c>
      <c r="C329" s="209" t="s">
        <v>372</v>
      </c>
      <c r="D329" s="79" t="s">
        <v>46</v>
      </c>
      <c r="E329" s="223"/>
      <c r="F329" s="199">
        <v>8229.49</v>
      </c>
      <c r="G329" s="136">
        <f t="shared" si="234"/>
        <v>0</v>
      </c>
      <c r="H329" s="588">
        <v>111.03</v>
      </c>
      <c r="I329" s="52">
        <f t="shared" si="236"/>
        <v>913720.27469999995</v>
      </c>
      <c r="J329" s="10">
        <f t="shared" si="226"/>
        <v>111.03</v>
      </c>
      <c r="K329" s="43">
        <f t="shared" si="227"/>
        <v>913720</v>
      </c>
      <c r="L329" s="49">
        <v>0</v>
      </c>
      <c r="M329" s="50">
        <f t="shared" si="235"/>
        <v>0</v>
      </c>
      <c r="N329" s="49">
        <f t="shared" si="232"/>
        <v>0</v>
      </c>
      <c r="O329" s="52">
        <f t="shared" si="233"/>
        <v>0</v>
      </c>
      <c r="P329" s="188">
        <f t="shared" si="230"/>
        <v>0</v>
      </c>
    </row>
    <row r="330" spans="2:16" s="619" customFormat="1" ht="15">
      <c r="B330" s="208" t="s">
        <v>375</v>
      </c>
      <c r="C330" s="200" t="s">
        <v>376</v>
      </c>
      <c r="D330" s="79" t="s">
        <v>46</v>
      </c>
      <c r="E330" s="239"/>
      <c r="F330" s="201">
        <v>91328.819344000003</v>
      </c>
      <c r="G330" s="136">
        <f t="shared" si="234"/>
        <v>0</v>
      </c>
      <c r="H330" s="585">
        <v>70</v>
      </c>
      <c r="I330" s="52">
        <f t="shared" si="236"/>
        <v>6393017.35408</v>
      </c>
      <c r="J330" s="10">
        <f t="shared" si="226"/>
        <v>70</v>
      </c>
      <c r="K330" s="46">
        <f t="shared" si="227"/>
        <v>6393017</v>
      </c>
      <c r="L330" s="49">
        <v>0</v>
      </c>
      <c r="M330" s="50">
        <f t="shared" si="235"/>
        <v>0</v>
      </c>
      <c r="N330" s="49">
        <f t="shared" si="232"/>
        <v>0</v>
      </c>
      <c r="O330" s="52">
        <f t="shared" si="233"/>
        <v>0</v>
      </c>
      <c r="P330" s="188">
        <f t="shared" si="230"/>
        <v>0</v>
      </c>
    </row>
    <row r="331" spans="2:16" s="619" customFormat="1" ht="30">
      <c r="B331" s="208" t="s">
        <v>377</v>
      </c>
      <c r="C331" s="202" t="s">
        <v>380</v>
      </c>
      <c r="D331" s="79" t="s">
        <v>46</v>
      </c>
      <c r="E331" s="239"/>
      <c r="F331" s="203">
        <v>6148.4239999999991</v>
      </c>
      <c r="G331" s="136">
        <f t="shared" si="234"/>
        <v>0</v>
      </c>
      <c r="H331" s="614">
        <v>136</v>
      </c>
      <c r="I331" s="52">
        <f t="shared" si="236"/>
        <v>836185.66399999987</v>
      </c>
      <c r="J331" s="49">
        <f t="shared" si="226"/>
        <v>136</v>
      </c>
      <c r="K331" s="204">
        <f t="shared" si="227"/>
        <v>836186</v>
      </c>
      <c r="L331" s="49">
        <v>0</v>
      </c>
      <c r="M331" s="50">
        <f t="shared" si="235"/>
        <v>0</v>
      </c>
      <c r="N331" s="49">
        <f t="shared" si="232"/>
        <v>0</v>
      </c>
      <c r="O331" s="52">
        <f t="shared" si="233"/>
        <v>0</v>
      </c>
      <c r="P331" s="188">
        <f t="shared" si="230"/>
        <v>0</v>
      </c>
    </row>
    <row r="332" spans="2:16" s="619" customFormat="1" ht="15.75" thickBot="1">
      <c r="B332" s="344" t="s">
        <v>378</v>
      </c>
      <c r="C332" s="205" t="s">
        <v>379</v>
      </c>
      <c r="D332" s="345" t="s">
        <v>180</v>
      </c>
      <c r="E332" s="346"/>
      <c r="F332" s="347">
        <v>37713.575251266659</v>
      </c>
      <c r="G332" s="348">
        <f t="shared" si="234"/>
        <v>0</v>
      </c>
      <c r="H332" s="589">
        <v>76</v>
      </c>
      <c r="I332" s="44">
        <f t="shared" si="236"/>
        <v>2866231.7190962662</v>
      </c>
      <c r="J332" s="11">
        <f t="shared" si="226"/>
        <v>76</v>
      </c>
      <c r="K332" s="44">
        <f t="shared" si="227"/>
        <v>2866232</v>
      </c>
      <c r="L332" s="11">
        <v>0</v>
      </c>
      <c r="M332" s="26">
        <f t="shared" si="235"/>
        <v>0</v>
      </c>
      <c r="N332" s="11">
        <f t="shared" si="232"/>
        <v>0</v>
      </c>
      <c r="O332" s="44">
        <f t="shared" si="233"/>
        <v>0</v>
      </c>
      <c r="P332" s="211">
        <f>+N332/J332</f>
        <v>0</v>
      </c>
    </row>
    <row r="333" spans="2:16" s="323" customFormat="1" ht="15" thickBot="1">
      <c r="B333" s="322"/>
      <c r="H333" s="605"/>
      <c r="P333" s="624"/>
    </row>
    <row r="334" spans="2:16" s="619" customFormat="1" ht="15">
      <c r="B334" s="626"/>
      <c r="C334" s="257" t="s">
        <v>8</v>
      </c>
      <c r="D334" s="633"/>
      <c r="E334" s="633"/>
      <c r="F334" s="258"/>
      <c r="G334" s="261">
        <f>+ROUND(SUM(G270:G332),0)</f>
        <v>28209396</v>
      </c>
      <c r="H334" s="579"/>
      <c r="I334" s="261">
        <f>+ROUND(SUM(I270:I332),0)</f>
        <v>31850808</v>
      </c>
      <c r="J334" s="262"/>
      <c r="K334" s="261">
        <f>+ROUND(SUM(K270:K332),0)</f>
        <v>60060204</v>
      </c>
      <c r="L334" s="263"/>
      <c r="M334" s="261">
        <f>+ROUND(SUM(M270:M332),0)</f>
        <v>7973409</v>
      </c>
      <c r="N334" s="289"/>
      <c r="O334" s="261">
        <f>+ROUND(SUM(O270:O332),0)</f>
        <v>7973409</v>
      </c>
      <c r="P334" s="634">
        <f>+O339/K339</f>
        <v>0.13275694366721855</v>
      </c>
    </row>
    <row r="335" spans="2:16" s="619" customFormat="1">
      <c r="B335" s="626"/>
      <c r="C335" s="264" t="s">
        <v>101</v>
      </c>
      <c r="D335" s="265"/>
      <c r="E335" s="266">
        <v>0.25</v>
      </c>
      <c r="F335" s="267"/>
      <c r="G335" s="46">
        <f>+$G$334*E335</f>
        <v>7052349</v>
      </c>
      <c r="H335" s="580"/>
      <c r="I335" s="46">
        <f>+$I$334*E335</f>
        <v>7962702</v>
      </c>
      <c r="J335" s="269"/>
      <c r="K335" s="46">
        <f>+$K$334*E335</f>
        <v>15015051</v>
      </c>
      <c r="L335" s="270"/>
      <c r="M335" s="46">
        <f>+$M$334*E335</f>
        <v>1993352.25</v>
      </c>
      <c r="N335" s="10"/>
      <c r="O335" s="46">
        <f>+$O$334*E335</f>
        <v>1993352.25</v>
      </c>
      <c r="P335" s="635"/>
    </row>
    <row r="336" spans="2:16" s="619" customFormat="1">
      <c r="B336" s="626"/>
      <c r="C336" s="264" t="s">
        <v>102</v>
      </c>
      <c r="D336" s="265"/>
      <c r="E336" s="266">
        <v>0.02</v>
      </c>
      <c r="F336" s="267"/>
      <c r="G336" s="46">
        <f t="shared" ref="G336:G337" si="237">+$G$334*E336</f>
        <v>564187.92000000004</v>
      </c>
      <c r="H336" s="580"/>
      <c r="I336" s="46">
        <f t="shared" ref="I336:I337" si="238">+$I$334*E336</f>
        <v>637016.16</v>
      </c>
      <c r="J336" s="269"/>
      <c r="K336" s="46">
        <f t="shared" ref="K336:K337" si="239">+$K$334*E336</f>
        <v>1201204.08</v>
      </c>
      <c r="L336" s="270"/>
      <c r="M336" s="46">
        <f t="shared" ref="M336:M337" si="240">+$M$334*E336</f>
        <v>159468.18</v>
      </c>
      <c r="N336" s="10"/>
      <c r="O336" s="46">
        <f>+$O$334*E336</f>
        <v>159468.18</v>
      </c>
      <c r="P336" s="635"/>
    </row>
    <row r="337" spans="2:16" s="619" customFormat="1">
      <c r="B337" s="626"/>
      <c r="C337" s="264" t="s">
        <v>103</v>
      </c>
      <c r="D337" s="265"/>
      <c r="E337" s="266">
        <v>0.05</v>
      </c>
      <c r="F337" s="267"/>
      <c r="G337" s="46">
        <f t="shared" si="237"/>
        <v>1410469.8</v>
      </c>
      <c r="H337" s="580"/>
      <c r="I337" s="46">
        <f t="shared" si="238"/>
        <v>1592540.4000000001</v>
      </c>
      <c r="J337" s="269"/>
      <c r="K337" s="46">
        <f t="shared" si="239"/>
        <v>3003010.2</v>
      </c>
      <c r="L337" s="270"/>
      <c r="M337" s="46">
        <f t="shared" si="240"/>
        <v>398670.45</v>
      </c>
      <c r="N337" s="10"/>
      <c r="O337" s="46">
        <f>+$O$334*E337</f>
        <v>398670.45</v>
      </c>
      <c r="P337" s="635"/>
    </row>
    <row r="338" spans="2:16" s="619" customFormat="1" ht="15">
      <c r="B338" s="626"/>
      <c r="C338" s="271" t="s">
        <v>104</v>
      </c>
      <c r="D338" s="637"/>
      <c r="E338" s="637"/>
      <c r="F338" s="272"/>
      <c r="G338" s="275">
        <f>ROUND(SUM(G335:G337),0)</f>
        <v>9027007</v>
      </c>
      <c r="H338" s="581"/>
      <c r="I338" s="275">
        <f>ROUND(SUM(I335:I337),0)</f>
        <v>10192259</v>
      </c>
      <c r="J338" s="276"/>
      <c r="K338" s="275">
        <f>ROUND(SUM(K335:K337),0)</f>
        <v>19219265</v>
      </c>
      <c r="L338" s="277"/>
      <c r="M338" s="275">
        <f>ROUND(SUM(M335:M337),0)</f>
        <v>2551491</v>
      </c>
      <c r="N338" s="10"/>
      <c r="O338" s="275">
        <f>ROUND(SUM(O335:O337),0)</f>
        <v>2551491</v>
      </c>
      <c r="P338" s="635"/>
    </row>
    <row r="339" spans="2:16" s="619" customFormat="1" ht="15.75" thickBot="1">
      <c r="B339" s="626"/>
      <c r="C339" s="278" t="s">
        <v>105</v>
      </c>
      <c r="D339" s="638"/>
      <c r="E339" s="638"/>
      <c r="F339" s="279"/>
      <c r="G339" s="281">
        <f>+ROUND(G338+G334,0)</f>
        <v>37236403</v>
      </c>
      <c r="H339" s="582"/>
      <c r="I339" s="281">
        <f>+ROUND(I338+I334,0)</f>
        <v>42043067</v>
      </c>
      <c r="J339" s="282"/>
      <c r="K339" s="281">
        <f>+ROUND(K338+K334,0)</f>
        <v>79279469</v>
      </c>
      <c r="L339" s="283"/>
      <c r="M339" s="281">
        <f>+ROUND(M338+M334,0)</f>
        <v>10524900</v>
      </c>
      <c r="N339" s="11"/>
      <c r="O339" s="281">
        <f>+ROUND(O338+O334,0)</f>
        <v>10524900</v>
      </c>
      <c r="P339" s="636"/>
    </row>
    <row r="340" spans="2:16" s="323" customFormat="1" ht="15" thickBot="1">
      <c r="B340" s="322"/>
      <c r="H340" s="605"/>
      <c r="P340" s="624"/>
    </row>
    <row r="341" spans="2:16" s="424" customFormat="1" ht="30.75" thickBot="1">
      <c r="B341" s="526"/>
      <c r="C341" s="527" t="s">
        <v>322</v>
      </c>
      <c r="D341" s="528"/>
      <c r="E341" s="529"/>
      <c r="F341" s="530"/>
      <c r="G341" s="531"/>
      <c r="H341" s="615"/>
      <c r="I341" s="532"/>
      <c r="J341" s="357"/>
      <c r="K341" s="533"/>
      <c r="L341" s="357"/>
      <c r="M341" s="358"/>
      <c r="N341" s="359"/>
      <c r="O341" s="360"/>
      <c r="P341" s="361"/>
    </row>
    <row r="342" spans="2:16" s="424" customFormat="1" ht="28.5">
      <c r="B342" s="355">
        <v>1</v>
      </c>
      <c r="C342" s="534" t="s">
        <v>323</v>
      </c>
      <c r="D342" s="255" t="s">
        <v>21</v>
      </c>
      <c r="E342" s="535">
        <v>505.88</v>
      </c>
      <c r="F342" s="536">
        <v>5048</v>
      </c>
      <c r="G342" s="537">
        <f>+ROUND(F342*E342,0)</f>
        <v>2553682</v>
      </c>
      <c r="H342" s="583">
        <f>-E342</f>
        <v>-505.88</v>
      </c>
      <c r="I342" s="46">
        <f t="shared" si="236"/>
        <v>-2553682.2399999998</v>
      </c>
      <c r="J342" s="53">
        <f>+H342+E342</f>
        <v>0</v>
      </c>
      <c r="K342" s="330">
        <f>+ROUND(J342*F342,0)</f>
        <v>0</v>
      </c>
      <c r="L342" s="356">
        <v>0</v>
      </c>
      <c r="M342" s="157">
        <f t="shared" ref="M342:M351" si="241">+ROUND(L342*F342,0)</f>
        <v>0</v>
      </c>
      <c r="N342" s="49">
        <f t="shared" ref="N342" si="242">+L342</f>
        <v>0</v>
      </c>
      <c r="O342" s="52">
        <f t="shared" ref="O342" si="243">+N342*F342</f>
        <v>0</v>
      </c>
      <c r="P342" s="196">
        <v>0</v>
      </c>
    </row>
    <row r="343" spans="2:16" s="424" customFormat="1" ht="28.5">
      <c r="B343" s="172">
        <v>2</v>
      </c>
      <c r="C343" s="538" t="s">
        <v>324</v>
      </c>
      <c r="D343" s="173" t="s">
        <v>21</v>
      </c>
      <c r="E343" s="539">
        <v>169</v>
      </c>
      <c r="F343" s="540">
        <v>8632</v>
      </c>
      <c r="G343" s="541">
        <f t="shared" ref="G343:G352" si="244">+ROUND(F343*E343,0)</f>
        <v>1458808</v>
      </c>
      <c r="H343" s="584">
        <f>-E343</f>
        <v>-169</v>
      </c>
      <c r="I343" s="157">
        <f t="shared" ref="I343:I352" si="245">+H343*F343</f>
        <v>-1458808</v>
      </c>
      <c r="J343" s="10">
        <f t="shared" ref="J343:J352" si="246">+H343+E343</f>
        <v>0</v>
      </c>
      <c r="K343" s="59">
        <f t="shared" ref="K343:K350" si="247">+ROUND(J343*F343,0)</f>
        <v>0</v>
      </c>
      <c r="L343" s="68">
        <v>0</v>
      </c>
      <c r="M343" s="67">
        <f t="shared" si="241"/>
        <v>0</v>
      </c>
      <c r="N343" s="49">
        <f t="shared" ref="N343:N352" si="248">+L343</f>
        <v>0</v>
      </c>
      <c r="O343" s="52">
        <f t="shared" ref="O343:O352" si="249">+N343*F343</f>
        <v>0</v>
      </c>
      <c r="P343" s="47">
        <v>0</v>
      </c>
    </row>
    <row r="344" spans="2:16" s="424" customFormat="1" ht="57">
      <c r="B344" s="172">
        <v>3</v>
      </c>
      <c r="C344" s="538" t="s">
        <v>325</v>
      </c>
      <c r="D344" s="174" t="s">
        <v>180</v>
      </c>
      <c r="E344" s="240">
        <v>99.48</v>
      </c>
      <c r="F344" s="540">
        <v>12241</v>
      </c>
      <c r="G344" s="541">
        <f t="shared" si="244"/>
        <v>1217735</v>
      </c>
      <c r="H344" s="584">
        <f>-E344</f>
        <v>-99.48</v>
      </c>
      <c r="I344" s="67">
        <f t="shared" si="245"/>
        <v>-1217734.68</v>
      </c>
      <c r="J344" s="10">
        <f t="shared" si="246"/>
        <v>0</v>
      </c>
      <c r="K344" s="59">
        <f t="shared" si="247"/>
        <v>0</v>
      </c>
      <c r="L344" s="68">
        <v>0</v>
      </c>
      <c r="M344" s="67">
        <f t="shared" si="241"/>
        <v>0</v>
      </c>
      <c r="N344" s="49">
        <f t="shared" si="248"/>
        <v>0</v>
      </c>
      <c r="O344" s="52">
        <f t="shared" si="249"/>
        <v>0</v>
      </c>
      <c r="P344" s="47">
        <v>0</v>
      </c>
    </row>
    <row r="345" spans="2:16" ht="28.5">
      <c r="B345" s="111">
        <v>4</v>
      </c>
      <c r="C345" s="563" t="s">
        <v>326</v>
      </c>
      <c r="D345" s="113" t="s">
        <v>21</v>
      </c>
      <c r="E345" s="231">
        <v>503.42</v>
      </c>
      <c r="F345" s="446">
        <v>4649</v>
      </c>
      <c r="G345" s="564">
        <f t="shared" si="244"/>
        <v>2340400</v>
      </c>
      <c r="H345" s="585">
        <v>-503.42</v>
      </c>
      <c r="I345" s="33">
        <f t="shared" si="245"/>
        <v>-2340399.58</v>
      </c>
      <c r="J345" s="10">
        <f t="shared" si="246"/>
        <v>0</v>
      </c>
      <c r="K345" s="43">
        <f t="shared" si="247"/>
        <v>0</v>
      </c>
      <c r="L345" s="42">
        <v>0</v>
      </c>
      <c r="M345" s="33">
        <f t="shared" si="241"/>
        <v>0</v>
      </c>
      <c r="N345" s="49">
        <f t="shared" si="248"/>
        <v>0</v>
      </c>
      <c r="O345" s="52">
        <f t="shared" si="249"/>
        <v>0</v>
      </c>
      <c r="P345" s="47">
        <v>0</v>
      </c>
    </row>
    <row r="346" spans="2:16" s="424" customFormat="1" ht="42.75">
      <c r="B346" s="172">
        <v>5</v>
      </c>
      <c r="C346" s="538" t="s">
        <v>327</v>
      </c>
      <c r="D346" s="173" t="s">
        <v>328</v>
      </c>
      <c r="E346" s="539">
        <v>148</v>
      </c>
      <c r="F346" s="540">
        <v>42766</v>
      </c>
      <c r="G346" s="541">
        <f t="shared" si="244"/>
        <v>6329368</v>
      </c>
      <c r="H346" s="584">
        <v>-108</v>
      </c>
      <c r="I346" s="67">
        <f t="shared" si="245"/>
        <v>-4618728</v>
      </c>
      <c r="J346" s="10">
        <f t="shared" si="246"/>
        <v>40</v>
      </c>
      <c r="K346" s="59">
        <f t="shared" si="247"/>
        <v>1710640</v>
      </c>
      <c r="L346" s="68">
        <v>0</v>
      </c>
      <c r="M346" s="67">
        <f t="shared" si="241"/>
        <v>0</v>
      </c>
      <c r="N346" s="49">
        <f t="shared" si="248"/>
        <v>0</v>
      </c>
      <c r="O346" s="52">
        <f t="shared" si="249"/>
        <v>0</v>
      </c>
      <c r="P346" s="47">
        <f>N346/J346</f>
        <v>0</v>
      </c>
    </row>
    <row r="347" spans="2:16" s="424" customFormat="1">
      <c r="B347" s="172">
        <v>6</v>
      </c>
      <c r="C347" s="542" t="s">
        <v>329</v>
      </c>
      <c r="D347" s="173" t="s">
        <v>330</v>
      </c>
      <c r="E347" s="539">
        <v>2</v>
      </c>
      <c r="F347" s="540">
        <v>38425</v>
      </c>
      <c r="G347" s="541">
        <f t="shared" si="244"/>
        <v>76850</v>
      </c>
      <c r="H347" s="584">
        <f>-E347</f>
        <v>-2</v>
      </c>
      <c r="I347" s="67">
        <f t="shared" si="245"/>
        <v>-76850</v>
      </c>
      <c r="J347" s="10">
        <f t="shared" si="246"/>
        <v>0</v>
      </c>
      <c r="K347" s="59">
        <f t="shared" si="247"/>
        <v>0</v>
      </c>
      <c r="L347" s="68">
        <v>0</v>
      </c>
      <c r="M347" s="67">
        <f t="shared" si="241"/>
        <v>0</v>
      </c>
      <c r="N347" s="49">
        <f t="shared" si="248"/>
        <v>0</v>
      </c>
      <c r="O347" s="52">
        <f t="shared" si="249"/>
        <v>0</v>
      </c>
      <c r="P347" s="47">
        <v>0</v>
      </c>
    </row>
    <row r="348" spans="2:16" s="424" customFormat="1" ht="42.75">
      <c r="B348" s="172">
        <v>7</v>
      </c>
      <c r="C348" s="538" t="s">
        <v>331</v>
      </c>
      <c r="D348" s="173" t="s">
        <v>21</v>
      </c>
      <c r="E348" s="539">
        <v>5</v>
      </c>
      <c r="F348" s="540">
        <v>31353</v>
      </c>
      <c r="G348" s="541">
        <f t="shared" si="244"/>
        <v>156765</v>
      </c>
      <c r="H348" s="584">
        <f>-2.58</f>
        <v>-2.58</v>
      </c>
      <c r="I348" s="67">
        <f t="shared" si="245"/>
        <v>-80890.740000000005</v>
      </c>
      <c r="J348" s="10">
        <f t="shared" si="246"/>
        <v>2.42</v>
      </c>
      <c r="K348" s="59">
        <f>+ROUND(J348*F348,0)</f>
        <v>75874</v>
      </c>
      <c r="L348" s="68">
        <v>0</v>
      </c>
      <c r="M348" s="67">
        <f t="shared" si="241"/>
        <v>0</v>
      </c>
      <c r="N348" s="49">
        <f t="shared" si="248"/>
        <v>0</v>
      </c>
      <c r="O348" s="52">
        <f t="shared" si="249"/>
        <v>0</v>
      </c>
      <c r="P348" s="47">
        <f>N348/J348</f>
        <v>0</v>
      </c>
    </row>
    <row r="349" spans="2:16" s="424" customFormat="1" ht="57">
      <c r="B349" s="172">
        <v>8</v>
      </c>
      <c r="C349" s="538" t="s">
        <v>332</v>
      </c>
      <c r="D349" s="173" t="s">
        <v>21</v>
      </c>
      <c r="E349" s="539">
        <v>25.96</v>
      </c>
      <c r="F349" s="540">
        <v>121552</v>
      </c>
      <c r="G349" s="541">
        <f t="shared" si="244"/>
        <v>3155490</v>
      </c>
      <c r="H349" s="584">
        <v>-3.4</v>
      </c>
      <c r="I349" s="67">
        <f t="shared" si="245"/>
        <v>-413276.8</v>
      </c>
      <c r="J349" s="10">
        <f t="shared" si="246"/>
        <v>22.560000000000002</v>
      </c>
      <c r="K349" s="59">
        <f t="shared" si="247"/>
        <v>2742213</v>
      </c>
      <c r="L349" s="68">
        <v>0</v>
      </c>
      <c r="M349" s="67">
        <f t="shared" si="241"/>
        <v>0</v>
      </c>
      <c r="N349" s="49">
        <f t="shared" si="248"/>
        <v>0</v>
      </c>
      <c r="O349" s="52">
        <f t="shared" si="249"/>
        <v>0</v>
      </c>
      <c r="P349" s="47">
        <f>N349/J349</f>
        <v>0</v>
      </c>
    </row>
    <row r="350" spans="2:16" s="424" customFormat="1">
      <c r="B350" s="172">
        <v>9</v>
      </c>
      <c r="C350" s="538" t="s">
        <v>333</v>
      </c>
      <c r="D350" s="173" t="s">
        <v>21</v>
      </c>
      <c r="E350" s="539">
        <v>2.57</v>
      </c>
      <c r="F350" s="540">
        <v>37249</v>
      </c>
      <c r="G350" s="541">
        <f t="shared" si="244"/>
        <v>95730</v>
      </c>
      <c r="H350" s="584">
        <f>-E350</f>
        <v>-2.57</v>
      </c>
      <c r="I350" s="67">
        <f t="shared" si="245"/>
        <v>-95729.93</v>
      </c>
      <c r="J350" s="10">
        <f t="shared" si="246"/>
        <v>0</v>
      </c>
      <c r="K350" s="59">
        <f t="shared" si="247"/>
        <v>0</v>
      </c>
      <c r="L350" s="68">
        <v>0</v>
      </c>
      <c r="M350" s="67">
        <f t="shared" si="241"/>
        <v>0</v>
      </c>
      <c r="N350" s="49">
        <f t="shared" si="248"/>
        <v>0</v>
      </c>
      <c r="O350" s="52">
        <f t="shared" si="249"/>
        <v>0</v>
      </c>
      <c r="P350" s="47">
        <v>0</v>
      </c>
    </row>
    <row r="351" spans="2:16" s="424" customFormat="1" ht="42.75">
      <c r="B351" s="185">
        <v>10</v>
      </c>
      <c r="C351" s="543" t="s">
        <v>446</v>
      </c>
      <c r="D351" s="186" t="s">
        <v>180</v>
      </c>
      <c r="E351" s="544">
        <v>54.39</v>
      </c>
      <c r="F351" s="545">
        <v>59361</v>
      </c>
      <c r="G351" s="546">
        <f t="shared" si="244"/>
        <v>3228645</v>
      </c>
      <c r="H351" s="584">
        <v>-12.37</v>
      </c>
      <c r="I351" s="59">
        <f t="shared" si="245"/>
        <v>-734295.57</v>
      </c>
      <c r="J351" s="10">
        <f t="shared" si="246"/>
        <v>42.02</v>
      </c>
      <c r="K351" s="59">
        <f>+ROUND(J351*F351,0)</f>
        <v>2494349</v>
      </c>
      <c r="L351" s="66">
        <v>0</v>
      </c>
      <c r="M351" s="59">
        <f t="shared" si="241"/>
        <v>0</v>
      </c>
      <c r="N351" s="49">
        <f t="shared" si="248"/>
        <v>0</v>
      </c>
      <c r="O351" s="52">
        <f t="shared" si="249"/>
        <v>0</v>
      </c>
      <c r="P351" s="47">
        <f>N351/J351</f>
        <v>0</v>
      </c>
    </row>
    <row r="352" spans="2:16" s="424" customFormat="1">
      <c r="B352" s="175">
        <v>11</v>
      </c>
      <c r="C352" s="547" t="s">
        <v>141</v>
      </c>
      <c r="D352" s="176" t="s">
        <v>21</v>
      </c>
      <c r="E352" s="226">
        <v>405</v>
      </c>
      <c r="F352" s="177">
        <v>2886</v>
      </c>
      <c r="G352" s="548">
        <f t="shared" si="244"/>
        <v>1168830</v>
      </c>
      <c r="H352" s="584">
        <v>0</v>
      </c>
      <c r="I352" s="59">
        <f t="shared" si="245"/>
        <v>0</v>
      </c>
      <c r="J352" s="10">
        <f t="shared" si="246"/>
        <v>405</v>
      </c>
      <c r="K352" s="59">
        <f>+ROUND(J352*F352,0)</f>
        <v>1168830</v>
      </c>
      <c r="L352" s="66">
        <v>0</v>
      </c>
      <c r="M352" s="59">
        <f>+ROUND(L352*F352,0)</f>
        <v>0</v>
      </c>
      <c r="N352" s="49">
        <f t="shared" si="248"/>
        <v>0</v>
      </c>
      <c r="O352" s="52">
        <f t="shared" si="249"/>
        <v>0</v>
      </c>
      <c r="P352" s="47">
        <f>N352/J352</f>
        <v>0</v>
      </c>
    </row>
    <row r="353" spans="2:16" s="424" customFormat="1" ht="15">
      <c r="B353" s="147"/>
      <c r="C353" s="549" t="s">
        <v>381</v>
      </c>
      <c r="D353" s="187"/>
      <c r="E353" s="221"/>
      <c r="F353" s="150"/>
      <c r="G353" s="151"/>
      <c r="H353" s="586"/>
      <c r="I353" s="60"/>
      <c r="J353" s="83"/>
      <c r="K353" s="60"/>
      <c r="L353" s="83"/>
      <c r="M353" s="60"/>
      <c r="N353" s="83"/>
      <c r="O353" s="178"/>
      <c r="P353" s="86"/>
    </row>
    <row r="354" spans="2:16" s="620" customFormat="1">
      <c r="B354" s="122" t="s">
        <v>84</v>
      </c>
      <c r="C354" s="206" t="s">
        <v>445</v>
      </c>
      <c r="D354" s="207" t="s">
        <v>180</v>
      </c>
      <c r="E354" s="218"/>
      <c r="F354" s="125">
        <v>11738.294526599997</v>
      </c>
      <c r="G354" s="136">
        <v>0</v>
      </c>
      <c r="H354" s="585">
        <v>35</v>
      </c>
      <c r="I354" s="43">
        <f>H354*F354</f>
        <v>410840.30843099987</v>
      </c>
      <c r="J354" s="10">
        <f>E354+H354</f>
        <v>35</v>
      </c>
      <c r="K354" s="43">
        <f t="shared" ref="K354:K359" si="250">+ROUND(J354*F354,0)</f>
        <v>410840</v>
      </c>
      <c r="L354" s="10">
        <v>0</v>
      </c>
      <c r="M354" s="59">
        <f t="shared" ref="M354" si="251">+ROUND(L354*F354,0)</f>
        <v>0</v>
      </c>
      <c r="N354" s="49">
        <f t="shared" ref="N354" si="252">+L354</f>
        <v>0</v>
      </c>
      <c r="O354" s="52">
        <f t="shared" ref="O354" si="253">+N354*F354</f>
        <v>0</v>
      </c>
      <c r="P354" s="47">
        <v>0</v>
      </c>
    </row>
    <row r="355" spans="2:16" s="424" customFormat="1" ht="28.5">
      <c r="B355" s="122" t="s">
        <v>85</v>
      </c>
      <c r="C355" s="206" t="s">
        <v>374</v>
      </c>
      <c r="D355" s="123" t="s">
        <v>176</v>
      </c>
      <c r="E355" s="218"/>
      <c r="F355" s="125">
        <v>14233.833738304</v>
      </c>
      <c r="G355" s="136">
        <v>0</v>
      </c>
      <c r="H355" s="587">
        <v>235.03</v>
      </c>
      <c r="I355" s="43">
        <f t="shared" ref="I355:I356" si="254">H355*F355</f>
        <v>3345377.943513589</v>
      </c>
      <c r="J355" s="10">
        <f t="shared" ref="J355:J357" si="255">E355+H355</f>
        <v>235.03</v>
      </c>
      <c r="K355" s="43">
        <f t="shared" si="250"/>
        <v>3345378</v>
      </c>
      <c r="L355" s="10">
        <v>0</v>
      </c>
      <c r="M355" s="43">
        <f t="shared" ref="M355:M356" si="256">+ROUND(L355*F355,0)</f>
        <v>0</v>
      </c>
      <c r="N355" s="49">
        <f t="shared" ref="N355:N359" si="257">+L355</f>
        <v>0</v>
      </c>
      <c r="O355" s="52">
        <f t="shared" ref="O355:O359" si="258">+N355*F355</f>
        <v>0</v>
      </c>
      <c r="P355" s="47">
        <f>N355/J355</f>
        <v>0</v>
      </c>
    </row>
    <row r="356" spans="2:16" ht="28.5">
      <c r="B356" s="122" t="s">
        <v>87</v>
      </c>
      <c r="C356" s="206" t="s">
        <v>388</v>
      </c>
      <c r="D356" s="207" t="s">
        <v>180</v>
      </c>
      <c r="E356" s="218"/>
      <c r="F356" s="125">
        <v>42255</v>
      </c>
      <c r="G356" s="136">
        <v>0</v>
      </c>
      <c r="H356" s="587">
        <v>68</v>
      </c>
      <c r="I356" s="43">
        <f t="shared" si="254"/>
        <v>2873340</v>
      </c>
      <c r="J356" s="10">
        <f t="shared" si="255"/>
        <v>68</v>
      </c>
      <c r="K356" s="43">
        <f t="shared" si="250"/>
        <v>2873340</v>
      </c>
      <c r="L356" s="10">
        <v>0</v>
      </c>
      <c r="M356" s="43">
        <f t="shared" si="256"/>
        <v>0</v>
      </c>
      <c r="N356" s="49">
        <f t="shared" si="257"/>
        <v>0</v>
      </c>
      <c r="O356" s="52">
        <f t="shared" si="258"/>
        <v>0</v>
      </c>
      <c r="P356" s="47">
        <f>N356/J356</f>
        <v>0</v>
      </c>
    </row>
    <row r="357" spans="2:16" s="424" customFormat="1">
      <c r="B357" s="122" t="s">
        <v>151</v>
      </c>
      <c r="C357" s="550" t="s">
        <v>387</v>
      </c>
      <c r="D357" s="127" t="s">
        <v>21</v>
      </c>
      <c r="E357" s="219"/>
      <c r="F357" s="125">
        <v>450116</v>
      </c>
      <c r="G357" s="136">
        <v>0</v>
      </c>
      <c r="H357" s="587">
        <v>5.0199999999999996</v>
      </c>
      <c r="I357" s="43">
        <f t="shared" ref="I357" si="259">+H357*F357</f>
        <v>2259582.3199999998</v>
      </c>
      <c r="J357" s="10">
        <f t="shared" si="255"/>
        <v>5.0199999999999996</v>
      </c>
      <c r="K357" s="43">
        <f t="shared" si="250"/>
        <v>2259582</v>
      </c>
      <c r="L357" s="10">
        <v>0</v>
      </c>
      <c r="M357" s="43"/>
      <c r="N357" s="49">
        <f t="shared" si="257"/>
        <v>0</v>
      </c>
      <c r="O357" s="52">
        <f t="shared" si="258"/>
        <v>0</v>
      </c>
      <c r="P357" s="47">
        <f>N357/J357</f>
        <v>0</v>
      </c>
    </row>
    <row r="358" spans="2:16" ht="28.5">
      <c r="B358" s="447" t="s">
        <v>281</v>
      </c>
      <c r="C358" s="448" t="s">
        <v>55</v>
      </c>
      <c r="D358" s="449" t="s">
        <v>48</v>
      </c>
      <c r="E358" s="219"/>
      <c r="F358" s="450">
        <v>5476</v>
      </c>
      <c r="G358" s="451">
        <f t="shared" ref="G358" si="260">+ROUND(F358*E358,0)</f>
        <v>0</v>
      </c>
      <c r="H358" s="588">
        <v>244.99</v>
      </c>
      <c r="I358" s="50">
        <f t="shared" ref="I358:I359" si="261">+ROUND(H358*F358,0)</f>
        <v>1341565</v>
      </c>
      <c r="J358" s="49">
        <f t="shared" ref="J358" si="262">+H358+E358</f>
        <v>244.99</v>
      </c>
      <c r="K358" s="50">
        <f t="shared" si="250"/>
        <v>1341565</v>
      </c>
      <c r="L358" s="365">
        <v>0</v>
      </c>
      <c r="M358" s="50">
        <f t="shared" ref="M358" si="263">+ROUND(L358*F358,0)</f>
        <v>0</v>
      </c>
      <c r="N358" s="49">
        <f t="shared" si="257"/>
        <v>0</v>
      </c>
      <c r="O358" s="52">
        <f t="shared" si="258"/>
        <v>0</v>
      </c>
      <c r="P358" s="188">
        <f>N358/J358</f>
        <v>0</v>
      </c>
    </row>
    <row r="359" spans="2:16" ht="29.25" thickBot="1">
      <c r="B359" s="551" t="s">
        <v>283</v>
      </c>
      <c r="C359" s="552" t="s">
        <v>326</v>
      </c>
      <c r="D359" s="108" t="s">
        <v>21</v>
      </c>
      <c r="E359" s="363"/>
      <c r="F359" s="364">
        <v>6570</v>
      </c>
      <c r="G359" s="553"/>
      <c r="H359" s="589">
        <v>511.2</v>
      </c>
      <c r="I359" s="26">
        <f t="shared" si="261"/>
        <v>3358584</v>
      </c>
      <c r="J359" s="11">
        <f t="shared" ref="J359" si="264">+H359+E359</f>
        <v>511.2</v>
      </c>
      <c r="K359" s="26">
        <f t="shared" si="250"/>
        <v>3358584</v>
      </c>
      <c r="L359" s="212">
        <v>0</v>
      </c>
      <c r="M359" s="26">
        <f t="shared" ref="M359" si="265">+ROUND(L359*F359,0)</f>
        <v>0</v>
      </c>
      <c r="N359" s="11">
        <f t="shared" si="257"/>
        <v>0</v>
      </c>
      <c r="O359" s="44">
        <f t="shared" si="258"/>
        <v>0</v>
      </c>
      <c r="P359" s="48">
        <f>N359/J359</f>
        <v>0</v>
      </c>
    </row>
    <row r="360" spans="2:16" ht="15.75" thickBot="1">
      <c r="B360" s="554"/>
      <c r="C360" s="555"/>
      <c r="D360" s="362"/>
      <c r="E360" s="12"/>
      <c r="F360" s="254"/>
      <c r="G360" s="556"/>
      <c r="H360" s="252"/>
      <c r="I360" s="56"/>
      <c r="J360" s="57"/>
      <c r="K360" s="56"/>
      <c r="L360" s="253"/>
      <c r="M360" s="56"/>
      <c r="N360" s="57"/>
      <c r="O360" s="56"/>
      <c r="P360" s="58"/>
    </row>
    <row r="361" spans="2:16" ht="15">
      <c r="B361" s="554"/>
      <c r="C361" s="257" t="s">
        <v>8</v>
      </c>
      <c r="D361" s="633"/>
      <c r="E361" s="633"/>
      <c r="F361" s="258"/>
      <c r="G361" s="261">
        <f>+ROUND(SUM(G342:G359),0)</f>
        <v>21782303</v>
      </c>
      <c r="H361" s="260"/>
      <c r="I361" s="261">
        <f>+ROUND(SUM(I342:I359),0)</f>
        <v>-1106</v>
      </c>
      <c r="J361" s="262"/>
      <c r="K361" s="261">
        <f>+ROUND(SUM(K342:K359),0)</f>
        <v>21781195</v>
      </c>
      <c r="L361" s="263"/>
      <c r="M361" s="261">
        <f>+ROUND(SUM(M342:M359),0)</f>
        <v>0</v>
      </c>
      <c r="N361" s="289"/>
      <c r="O361" s="261">
        <f>+ROUND(SUM(O342:O359),0)</f>
        <v>0</v>
      </c>
      <c r="P361" s="634">
        <f>+O366/K366</f>
        <v>0</v>
      </c>
    </row>
    <row r="362" spans="2:16">
      <c r="B362" s="554"/>
      <c r="C362" s="264" t="s">
        <v>101</v>
      </c>
      <c r="D362" s="265"/>
      <c r="E362" s="266">
        <v>0.25</v>
      </c>
      <c r="F362" s="267"/>
      <c r="G362" s="46">
        <f>+$G$361*E362</f>
        <v>5445575.75</v>
      </c>
      <c r="H362" s="268"/>
      <c r="I362" s="46">
        <f>+$I$361*E362</f>
        <v>-276.5</v>
      </c>
      <c r="J362" s="269"/>
      <c r="K362" s="46">
        <f>+$K$361*E362</f>
        <v>5445298.75</v>
      </c>
      <c r="L362" s="270"/>
      <c r="M362" s="46">
        <f>+$M$361*E362</f>
        <v>0</v>
      </c>
      <c r="N362" s="10"/>
      <c r="O362" s="46">
        <f>+$O$361*E362</f>
        <v>0</v>
      </c>
      <c r="P362" s="635"/>
    </row>
    <row r="363" spans="2:16">
      <c r="B363" s="554"/>
      <c r="C363" s="264" t="s">
        <v>102</v>
      </c>
      <c r="D363" s="265"/>
      <c r="E363" s="266">
        <v>0.02</v>
      </c>
      <c r="F363" s="267"/>
      <c r="G363" s="46">
        <f t="shared" ref="G363:G364" si="266">+$G$361*E363</f>
        <v>435646.06</v>
      </c>
      <c r="H363" s="268"/>
      <c r="I363" s="46">
        <f t="shared" ref="I363:I364" si="267">+$I$361*E363</f>
        <v>-22.12</v>
      </c>
      <c r="J363" s="269"/>
      <c r="K363" s="46">
        <f t="shared" ref="K363:K364" si="268">+$K$361*E363</f>
        <v>435623.9</v>
      </c>
      <c r="L363" s="270"/>
      <c r="M363" s="46">
        <f t="shared" ref="M363:M364" si="269">+$M$361*E363</f>
        <v>0</v>
      </c>
      <c r="N363" s="10"/>
      <c r="O363" s="46">
        <f t="shared" ref="O363:O364" si="270">+$O$361*E363</f>
        <v>0</v>
      </c>
      <c r="P363" s="635"/>
    </row>
    <row r="364" spans="2:16">
      <c r="B364" s="554"/>
      <c r="C364" s="264" t="s">
        <v>103</v>
      </c>
      <c r="D364" s="265"/>
      <c r="E364" s="266">
        <v>0.05</v>
      </c>
      <c r="F364" s="267"/>
      <c r="G364" s="46">
        <f t="shared" si="266"/>
        <v>1089115.1500000001</v>
      </c>
      <c r="H364" s="268"/>
      <c r="I364" s="46">
        <f t="shared" si="267"/>
        <v>-55.300000000000004</v>
      </c>
      <c r="J364" s="269"/>
      <c r="K364" s="46">
        <f t="shared" si="268"/>
        <v>1089059.75</v>
      </c>
      <c r="L364" s="270"/>
      <c r="M364" s="46">
        <f t="shared" si="269"/>
        <v>0</v>
      </c>
      <c r="N364" s="10"/>
      <c r="O364" s="46">
        <f t="shared" si="270"/>
        <v>0</v>
      </c>
      <c r="P364" s="635"/>
    </row>
    <row r="365" spans="2:16" ht="15">
      <c r="B365" s="554"/>
      <c r="C365" s="271" t="s">
        <v>104</v>
      </c>
      <c r="D365" s="637"/>
      <c r="E365" s="637"/>
      <c r="F365" s="272"/>
      <c r="G365" s="275">
        <f>ROUND(SUM(G362:G364),0)</f>
        <v>6970337</v>
      </c>
      <c r="H365" s="274"/>
      <c r="I365" s="275">
        <f>ROUND(SUM(I362:I364),0)</f>
        <v>-354</v>
      </c>
      <c r="J365" s="276"/>
      <c r="K365" s="275">
        <f>ROUND(SUM(K362:K364),0)</f>
        <v>6969982</v>
      </c>
      <c r="L365" s="277"/>
      <c r="M365" s="275">
        <f>ROUND(SUM(M362:M364),0)</f>
        <v>0</v>
      </c>
      <c r="N365" s="10"/>
      <c r="O365" s="275">
        <f>ROUND(SUM(O362:O364),0)</f>
        <v>0</v>
      </c>
      <c r="P365" s="635"/>
    </row>
    <row r="366" spans="2:16" ht="15.75" thickBot="1">
      <c r="B366" s="554"/>
      <c r="C366" s="278" t="s">
        <v>105</v>
      </c>
      <c r="D366" s="638"/>
      <c r="E366" s="638"/>
      <c r="F366" s="279"/>
      <c r="G366" s="281">
        <f>+ROUND(G365+G361,0)</f>
        <v>28752640</v>
      </c>
      <c r="H366" s="280"/>
      <c r="I366" s="281">
        <f>+ROUND(I365+I361,0)</f>
        <v>-1460</v>
      </c>
      <c r="J366" s="282"/>
      <c r="K366" s="281">
        <f>+ROUND(K365+K361,0)</f>
        <v>28751177</v>
      </c>
      <c r="L366" s="283"/>
      <c r="M366" s="281">
        <f>+ROUND(M365+M361,0)</f>
        <v>0</v>
      </c>
      <c r="N366" s="11"/>
      <c r="O366" s="281">
        <f>+ROUND(O365+O361,0)</f>
        <v>0</v>
      </c>
      <c r="P366" s="636"/>
    </row>
    <row r="367" spans="2:16" ht="15.75" thickBot="1">
      <c r="B367" s="554"/>
      <c r="C367" s="366"/>
      <c r="D367" s="428"/>
      <c r="E367" s="428"/>
      <c r="F367" s="367"/>
      <c r="G367" s="367"/>
      <c r="H367" s="368"/>
      <c r="I367" s="367"/>
      <c r="J367" s="369"/>
      <c r="K367" s="367"/>
      <c r="L367" s="370"/>
      <c r="M367" s="367"/>
      <c r="N367" s="57"/>
      <c r="O367" s="367"/>
      <c r="P367" s="58"/>
    </row>
    <row r="368" spans="2:16" s="424" customFormat="1" ht="15">
      <c r="B368" s="740" t="s">
        <v>405</v>
      </c>
      <c r="C368" s="741"/>
      <c r="D368" s="736"/>
      <c r="E368" s="737"/>
      <c r="F368" s="156"/>
      <c r="G368" s="160">
        <f>+ROUND(SUM(G361+G334+G261+G227+G173+G124+G62),0)</f>
        <v>322038051</v>
      </c>
      <c r="H368" s="241"/>
      <c r="I368" s="160">
        <f>+ROUND(SUM(I361+I334+I261+I227+I173+I124+I62),0)</f>
        <v>76018202</v>
      </c>
      <c r="J368" s="164"/>
      <c r="K368" s="160">
        <f>+ROUND(SUM(K361+K334+K261+K227+K173+K124+K62),0)</f>
        <v>398056248</v>
      </c>
      <c r="L368" s="168"/>
      <c r="M368" s="160">
        <f>+ROUND(SUM(M361+M334+M261+M227+M173+M124+M62),0)</f>
        <v>91670801</v>
      </c>
      <c r="N368" s="213"/>
      <c r="O368" s="160">
        <f>+ROUND(SUM(O361+O334+O261+O227+O173+O124+O62),0)</f>
        <v>91670801</v>
      </c>
      <c r="P368" s="750">
        <f>+O373/K373</f>
        <v>0.2302960983051415</v>
      </c>
    </row>
    <row r="369" spans="2:16" s="424" customFormat="1">
      <c r="B369" s="742" t="s">
        <v>101</v>
      </c>
      <c r="C369" s="743"/>
      <c r="D369" s="748">
        <v>0.25</v>
      </c>
      <c r="E369" s="749"/>
      <c r="F369" s="157"/>
      <c r="G369" s="161">
        <f>G368*D369</f>
        <v>80509512.75</v>
      </c>
      <c r="H369" s="242"/>
      <c r="I369" s="161">
        <f>I368*D369</f>
        <v>19004550.5</v>
      </c>
      <c r="J369" s="165"/>
      <c r="K369" s="161">
        <f>K368*D369</f>
        <v>99514062</v>
      </c>
      <c r="L369" s="169"/>
      <c r="M369" s="161">
        <f>M368*D369</f>
        <v>22917700.25</v>
      </c>
      <c r="N369" s="214"/>
      <c r="O369" s="214">
        <f>O368*D369</f>
        <v>22917700.25</v>
      </c>
      <c r="P369" s="751"/>
    </row>
    <row r="370" spans="2:16" s="424" customFormat="1">
      <c r="B370" s="742" t="s">
        <v>102</v>
      </c>
      <c r="C370" s="743"/>
      <c r="D370" s="748">
        <v>0.02</v>
      </c>
      <c r="E370" s="749"/>
      <c r="F370" s="157"/>
      <c r="G370" s="161">
        <f>G368*D370</f>
        <v>6440761.0200000005</v>
      </c>
      <c r="H370" s="242"/>
      <c r="I370" s="161">
        <f>I368*D370</f>
        <v>1520364.04</v>
      </c>
      <c r="J370" s="165"/>
      <c r="K370" s="161">
        <f>K368*D370</f>
        <v>7961124.96</v>
      </c>
      <c r="L370" s="169"/>
      <c r="M370" s="161">
        <f>M368*D370</f>
        <v>1833416.02</v>
      </c>
      <c r="N370" s="214"/>
      <c r="O370" s="214">
        <f>O368*D370</f>
        <v>1833416.02</v>
      </c>
      <c r="P370" s="751"/>
    </row>
    <row r="371" spans="2:16" s="424" customFormat="1">
      <c r="B371" s="742" t="s">
        <v>103</v>
      </c>
      <c r="C371" s="743"/>
      <c r="D371" s="748">
        <v>0.05</v>
      </c>
      <c r="E371" s="749"/>
      <c r="F371" s="157"/>
      <c r="G371" s="161">
        <f>G368*D371</f>
        <v>16101902.550000001</v>
      </c>
      <c r="H371" s="242"/>
      <c r="I371" s="161">
        <f>D371*I368</f>
        <v>3800910.1</v>
      </c>
      <c r="J371" s="165"/>
      <c r="K371" s="161">
        <f>K368*D371</f>
        <v>19902812.400000002</v>
      </c>
      <c r="L371" s="169"/>
      <c r="M371" s="161">
        <f>M368*D371</f>
        <v>4583540.05</v>
      </c>
      <c r="N371" s="214"/>
      <c r="O371" s="214">
        <f>O368*D371</f>
        <v>4583540.05</v>
      </c>
      <c r="P371" s="751"/>
    </row>
    <row r="372" spans="2:16" s="424" customFormat="1" ht="15">
      <c r="B372" s="744" t="s">
        <v>104</v>
      </c>
      <c r="C372" s="745"/>
      <c r="D372" s="738"/>
      <c r="E372" s="637"/>
      <c r="F372" s="158"/>
      <c r="G372" s="162">
        <f>ROUND(SUM(G369:G371),0)</f>
        <v>103052176</v>
      </c>
      <c r="H372" s="243"/>
      <c r="I372" s="162">
        <f>ROUND(SUM(I369:I371),0)</f>
        <v>24325825</v>
      </c>
      <c r="J372" s="166"/>
      <c r="K372" s="162">
        <f>ROUND(SUM(K369:K371),0)</f>
        <v>127377999</v>
      </c>
      <c r="L372" s="170"/>
      <c r="M372" s="162">
        <f>ROUND(0.32*M368,0)</f>
        <v>29334656</v>
      </c>
      <c r="N372" s="214"/>
      <c r="O372" s="215">
        <f>O369+O370+O371</f>
        <v>29334656.32</v>
      </c>
      <c r="P372" s="751"/>
    </row>
    <row r="373" spans="2:16" s="424" customFormat="1" ht="15.75" thickBot="1">
      <c r="B373" s="746" t="s">
        <v>105</v>
      </c>
      <c r="C373" s="747"/>
      <c r="D373" s="739"/>
      <c r="E373" s="638"/>
      <c r="F373" s="159"/>
      <c r="G373" s="251">
        <f>+ROUND(G372+G368,0)</f>
        <v>425090227</v>
      </c>
      <c r="H373" s="244"/>
      <c r="I373" s="163">
        <f>+ROUND(I372+I368,0)</f>
        <v>100344027</v>
      </c>
      <c r="J373" s="167"/>
      <c r="K373" s="163">
        <f>+ROUND(K372+K368,0)</f>
        <v>525434247</v>
      </c>
      <c r="L373" s="171"/>
      <c r="M373" s="163">
        <f>+ROUND(M372+M368,0)</f>
        <v>121005457</v>
      </c>
      <c r="N373" s="217"/>
      <c r="O373" s="216">
        <f>+ROUND(O372+O368,0)</f>
        <v>121005457</v>
      </c>
      <c r="P373" s="752"/>
    </row>
    <row r="374" spans="2:16" s="41" customFormat="1" ht="15" thickBot="1">
      <c r="B374" s="40"/>
      <c r="I374" s="627"/>
    </row>
    <row r="375" spans="2:16" s="620" customFormat="1" ht="15.75" thickBot="1">
      <c r="B375" s="371"/>
      <c r="C375" s="733" t="s">
        <v>406</v>
      </c>
      <c r="D375" s="734"/>
      <c r="E375" s="734"/>
      <c r="F375" s="735"/>
      <c r="G375" s="771" t="s">
        <v>407</v>
      </c>
      <c r="H375" s="772"/>
      <c r="I375" s="772"/>
      <c r="J375" s="772"/>
      <c r="K375" s="733" t="s">
        <v>408</v>
      </c>
      <c r="L375" s="734"/>
      <c r="M375" s="735"/>
      <c r="N375" s="372"/>
      <c r="O375" s="373"/>
      <c r="P375" s="374"/>
    </row>
    <row r="376" spans="2:16" s="620" customFormat="1" ht="15">
      <c r="B376" s="371"/>
      <c r="C376" s="375" t="s">
        <v>409</v>
      </c>
      <c r="D376" s="773"/>
      <c r="E376" s="773"/>
      <c r="F376" s="376">
        <f>G373</f>
        <v>425090227</v>
      </c>
      <c r="G376" s="774" t="s">
        <v>410</v>
      </c>
      <c r="H376" s="775"/>
      <c r="I376" s="731">
        <v>0</v>
      </c>
      <c r="J376" s="732"/>
      <c r="K376" s="393" t="s">
        <v>411</v>
      </c>
      <c r="L376" s="394"/>
      <c r="M376" s="377" t="s">
        <v>436</v>
      </c>
      <c r="N376" s="372"/>
      <c r="O376" s="373"/>
      <c r="P376" s="374"/>
    </row>
    <row r="377" spans="2:16" s="620" customFormat="1" ht="15">
      <c r="B377" s="371"/>
      <c r="C377" s="378" t="s">
        <v>412</v>
      </c>
      <c r="D377" s="763"/>
      <c r="E377" s="764"/>
      <c r="F377" s="429">
        <f>+I373</f>
        <v>100344027</v>
      </c>
      <c r="G377" s="765" t="s">
        <v>413</v>
      </c>
      <c r="H377" s="766"/>
      <c r="I377" s="759">
        <v>0</v>
      </c>
      <c r="J377" s="760"/>
      <c r="K377" s="708" t="s">
        <v>414</v>
      </c>
      <c r="L377" s="767"/>
      <c r="M377" s="396">
        <v>0</v>
      </c>
      <c r="N377" s="372"/>
      <c r="O377" s="373"/>
      <c r="P377" s="374"/>
    </row>
    <row r="378" spans="2:16" s="620" customFormat="1" ht="15">
      <c r="B378" s="371"/>
      <c r="C378" s="378" t="s">
        <v>415</v>
      </c>
      <c r="D378" s="768"/>
      <c r="E378" s="768"/>
      <c r="F378" s="429">
        <f>+K373</f>
        <v>525434247</v>
      </c>
      <c r="G378" s="765" t="s">
        <v>416</v>
      </c>
      <c r="H378" s="755"/>
      <c r="I378" s="759">
        <v>0</v>
      </c>
      <c r="J378" s="760"/>
      <c r="K378" s="769" t="s">
        <v>417</v>
      </c>
      <c r="L378" s="770"/>
      <c r="M378" s="397">
        <v>0</v>
      </c>
      <c r="N378" s="372"/>
      <c r="O378" s="373"/>
      <c r="P378" s="374"/>
    </row>
    <row r="379" spans="2:16" s="620" customFormat="1" ht="15.75" thickBot="1">
      <c r="B379" s="371"/>
      <c r="C379" s="378" t="s">
        <v>418</v>
      </c>
      <c r="D379" s="753">
        <f>+O373</f>
        <v>121005457</v>
      </c>
      <c r="E379" s="753"/>
      <c r="F379" s="430"/>
      <c r="G379" s="754" t="s">
        <v>419</v>
      </c>
      <c r="H379" s="755"/>
      <c r="I379" s="759">
        <f>J376-I377</f>
        <v>0</v>
      </c>
      <c r="J379" s="760"/>
      <c r="K379" s="756" t="s">
        <v>420</v>
      </c>
      <c r="L379" s="757"/>
      <c r="M379" s="400">
        <v>0</v>
      </c>
      <c r="N379" s="372"/>
      <c r="O379" s="373"/>
      <c r="P379" s="374"/>
    </row>
    <row r="380" spans="2:16" s="620" customFormat="1" ht="16.5" thickTop="1" thickBot="1">
      <c r="B380" s="371"/>
      <c r="C380" s="378" t="s">
        <v>421</v>
      </c>
      <c r="D380" s="758">
        <f>+K373-O373</f>
        <v>404428790</v>
      </c>
      <c r="E380" s="758"/>
      <c r="F380" s="379"/>
      <c r="G380" s="754"/>
      <c r="H380" s="755"/>
      <c r="I380" s="761"/>
      <c r="J380" s="762"/>
      <c r="K380" s="380"/>
      <c r="L380" s="381"/>
      <c r="M380" s="398"/>
      <c r="N380" s="372"/>
      <c r="O380" s="373"/>
      <c r="P380" s="374"/>
    </row>
    <row r="381" spans="2:16" s="620" customFormat="1" ht="16.5" thickTop="1" thickBot="1">
      <c r="B381" s="371"/>
      <c r="C381" s="278" t="s">
        <v>422</v>
      </c>
      <c r="D381" s="787">
        <f>SUM(D379:D380)</f>
        <v>525434247</v>
      </c>
      <c r="E381" s="787"/>
      <c r="F381" s="382">
        <f>F378</f>
        <v>525434247</v>
      </c>
      <c r="G381" s="788" t="s">
        <v>423</v>
      </c>
      <c r="H381" s="789"/>
      <c r="I381" s="383">
        <f>SUM(I376:I380)</f>
        <v>0</v>
      </c>
      <c r="J381" s="395">
        <f>SUM(J376:J380)</f>
        <v>0</v>
      </c>
      <c r="K381" s="788" t="s">
        <v>424</v>
      </c>
      <c r="L381" s="789"/>
      <c r="M381" s="399">
        <f>SUM(M378:M380)</f>
        <v>0</v>
      </c>
      <c r="N381" s="384"/>
      <c r="O381" s="373"/>
      <c r="P381" s="374"/>
    </row>
    <row r="382" spans="2:16" s="621" customFormat="1" ht="15" thickBot="1">
      <c r="B382" s="385"/>
      <c r="C382" s="386"/>
      <c r="D382" s="385"/>
      <c r="E382" s="371"/>
      <c r="F382" s="385"/>
      <c r="G382" s="387"/>
      <c r="H382" s="371"/>
      <c r="I382" s="387"/>
      <c r="J382" s="371"/>
      <c r="K382" s="387"/>
      <c r="L382" s="371"/>
      <c r="M382" s="387"/>
      <c r="N382" s="388"/>
      <c r="O382" s="388"/>
      <c r="P382" s="388"/>
    </row>
    <row r="383" spans="2:16" s="424" customFormat="1" ht="15">
      <c r="B383" s="1"/>
      <c r="C383" s="389"/>
      <c r="D383" s="790"/>
      <c r="E383" s="791"/>
      <c r="F383" s="390"/>
      <c r="G383" s="792" t="s">
        <v>426</v>
      </c>
      <c r="H383" s="793"/>
      <c r="I383" s="793"/>
      <c r="J383" s="793"/>
      <c r="K383" s="793"/>
      <c r="L383" s="794"/>
      <c r="M383" s="401">
        <f>+M373</f>
        <v>121005457</v>
      </c>
      <c r="N383" s="3"/>
      <c r="O383" s="3"/>
      <c r="P383" s="3"/>
    </row>
    <row r="384" spans="2:16" s="424" customFormat="1" ht="15">
      <c r="B384" s="1"/>
      <c r="C384" s="8"/>
      <c r="D384" s="779"/>
      <c r="E384" s="779"/>
      <c r="F384" s="391"/>
      <c r="G384" s="780" t="s">
        <v>425</v>
      </c>
      <c r="H384" s="781"/>
      <c r="I384" s="781"/>
      <c r="J384" s="781"/>
      <c r="K384" s="781"/>
      <c r="L384" s="782"/>
      <c r="M384" s="402">
        <f>+I373</f>
        <v>100344027</v>
      </c>
      <c r="N384" s="3"/>
      <c r="O384" s="3"/>
      <c r="P384" s="3"/>
    </row>
    <row r="385" spans="2:16" s="424" customFormat="1" ht="15.75" thickBot="1">
      <c r="B385" s="1"/>
      <c r="C385" s="392"/>
      <c r="D385" s="783"/>
      <c r="E385" s="783"/>
      <c r="F385" s="391"/>
      <c r="G385" s="784" t="str">
        <f>IF(M384="","SON",[2]!NumLetras(M384,"CON","PESOS MONEDA CTE"))</f>
        <v xml:space="preserve"> CIEN MILLONES TRESCIENTOS CUARENTA Y CUATRO MIL VEINTISIETE 00/100 PESOS MONEDA CTE</v>
      </c>
      <c r="H385" s="785"/>
      <c r="I385" s="785"/>
      <c r="J385" s="785"/>
      <c r="K385" s="785"/>
      <c r="L385" s="785"/>
      <c r="M385" s="786"/>
      <c r="N385" s="3"/>
      <c r="O385" s="3"/>
      <c r="P385" s="3"/>
    </row>
    <row r="386" spans="2:16" ht="15" thickBot="1">
      <c r="B386" s="1"/>
      <c r="C386" s="8"/>
      <c r="D386" s="2"/>
      <c r="E386" s="17"/>
      <c r="F386" s="1"/>
      <c r="G386" s="37"/>
      <c r="H386" s="246"/>
      <c r="I386" s="35"/>
      <c r="J386" s="2"/>
      <c r="K386" s="34"/>
      <c r="L386" s="2"/>
      <c r="M386" s="31"/>
      <c r="N386" s="2"/>
      <c r="O386" s="31"/>
      <c r="P386" s="31"/>
    </row>
    <row r="387" spans="2:16">
      <c r="B387" s="411"/>
      <c r="C387" s="412"/>
      <c r="D387" s="413"/>
      <c r="E387" s="414"/>
      <c r="F387" s="415"/>
      <c r="G387" s="416"/>
      <c r="H387" s="417"/>
      <c r="I387" s="560"/>
      <c r="J387" s="413"/>
      <c r="K387" s="418"/>
      <c r="L387" s="413"/>
      <c r="M387" s="418"/>
      <c r="N387" s="413"/>
      <c r="O387" s="418"/>
      <c r="P387" s="629"/>
    </row>
    <row r="388" spans="2:16">
      <c r="B388" s="4"/>
      <c r="C388" s="7"/>
      <c r="D388" s="616"/>
      <c r="E388" s="16"/>
      <c r="F388" s="407"/>
      <c r="G388" s="36"/>
      <c r="H388" s="245"/>
      <c r="I388" s="408"/>
      <c r="J388" s="616"/>
      <c r="K388" s="30"/>
      <c r="L388" s="616"/>
      <c r="M388" s="30"/>
      <c r="N388" s="616"/>
      <c r="O388" s="30"/>
      <c r="P388" s="630"/>
    </row>
    <row r="389" spans="2:16">
      <c r="B389" s="4"/>
      <c r="C389" s="7"/>
      <c r="D389" s="616"/>
      <c r="E389" s="16"/>
      <c r="F389" s="407"/>
      <c r="G389" s="36"/>
      <c r="H389" s="245"/>
      <c r="I389" s="30"/>
      <c r="J389" s="616"/>
      <c r="K389" s="30"/>
      <c r="L389" s="616"/>
      <c r="M389" s="30"/>
      <c r="N389" s="616"/>
      <c r="O389" s="30"/>
      <c r="P389" s="630"/>
    </row>
    <row r="390" spans="2:16">
      <c r="B390" s="4"/>
      <c r="C390" s="7"/>
      <c r="D390" s="616"/>
      <c r="E390" s="16"/>
      <c r="F390" s="407"/>
      <c r="G390" s="36"/>
      <c r="H390" s="245"/>
      <c r="I390" s="30"/>
      <c r="J390" s="616"/>
      <c r="K390" s="30"/>
      <c r="L390" s="616"/>
      <c r="M390" s="30"/>
      <c r="N390" s="616"/>
      <c r="O390" s="30"/>
      <c r="P390" s="630"/>
    </row>
    <row r="391" spans="2:16" s="424" customFormat="1" ht="15">
      <c r="B391" s="425"/>
      <c r="C391" s="409" t="s">
        <v>429</v>
      </c>
      <c r="E391" s="419"/>
      <c r="F391" s="409" t="s">
        <v>430</v>
      </c>
      <c r="I391" s="421"/>
      <c r="J391" s="776" t="s">
        <v>431</v>
      </c>
      <c r="K391" s="776"/>
      <c r="L391" s="421"/>
      <c r="M391" s="410" t="s">
        <v>433</v>
      </c>
      <c r="N391" s="421"/>
      <c r="O391" s="410"/>
      <c r="P391" s="631"/>
    </row>
    <row r="392" spans="2:16" s="424" customFormat="1" ht="15.75" thickBot="1">
      <c r="B392" s="426"/>
      <c r="C392" s="406" t="s">
        <v>427</v>
      </c>
      <c r="D392" s="427"/>
      <c r="E392" s="420"/>
      <c r="F392" s="406" t="s">
        <v>428</v>
      </c>
      <c r="G392" s="427"/>
      <c r="H392" s="427"/>
      <c r="I392" s="422"/>
      <c r="J392" s="777" t="s">
        <v>432</v>
      </c>
      <c r="K392" s="778"/>
      <c r="L392" s="422"/>
      <c r="M392" s="423" t="s">
        <v>434</v>
      </c>
      <c r="N392" s="422"/>
      <c r="O392" s="45"/>
      <c r="P392" s="632"/>
    </row>
    <row r="393" spans="2:16">
      <c r="B393" s="1"/>
      <c r="C393" s="8"/>
      <c r="D393" s="2"/>
      <c r="E393" s="17"/>
      <c r="F393" s="1"/>
      <c r="G393" s="37"/>
      <c r="H393" s="246"/>
      <c r="I393" s="31"/>
      <c r="J393" s="2"/>
      <c r="K393" s="31"/>
      <c r="L393" s="2"/>
      <c r="M393" s="31"/>
      <c r="N393" s="2"/>
      <c r="O393" s="31"/>
      <c r="P393" s="31"/>
    </row>
    <row r="394" spans="2:16">
      <c r="B394" s="1"/>
      <c r="C394" s="8"/>
      <c r="D394" s="2"/>
      <c r="E394" s="17"/>
      <c r="F394" s="1"/>
      <c r="G394" s="37"/>
      <c r="H394" s="246"/>
      <c r="I394" s="2"/>
      <c r="J394" s="2"/>
      <c r="K394" s="2"/>
      <c r="L394" s="2"/>
      <c r="M394" s="31"/>
      <c r="N394" s="2"/>
      <c r="O394" s="31"/>
      <c r="P394" s="31"/>
    </row>
    <row r="395" spans="2:16">
      <c r="B395" s="1"/>
      <c r="C395" s="8"/>
      <c r="D395" s="2"/>
      <c r="E395" s="17"/>
      <c r="F395" s="1"/>
      <c r="G395" s="37"/>
      <c r="H395" s="246"/>
      <c r="I395" s="2" t="s">
        <v>442</v>
      </c>
      <c r="J395" s="2"/>
      <c r="K395" s="2" t="s">
        <v>443</v>
      </c>
      <c r="L395" s="2"/>
      <c r="M395" s="31"/>
      <c r="N395" s="2"/>
      <c r="O395" s="31"/>
      <c r="P395" s="31"/>
    </row>
    <row r="396" spans="2:16">
      <c r="B396" s="1"/>
      <c r="C396" s="8"/>
      <c r="D396" s="2"/>
      <c r="E396" s="17"/>
      <c r="F396" s="1"/>
      <c r="G396" s="37"/>
      <c r="H396" s="247" t="s">
        <v>437</v>
      </c>
      <c r="I396" s="557">
        <v>425090227</v>
      </c>
      <c r="J396" s="2"/>
      <c r="K396" s="566">
        <v>101311852</v>
      </c>
      <c r="L396" s="2"/>
      <c r="M396" s="31"/>
      <c r="N396" s="2"/>
      <c r="O396" s="31"/>
      <c r="P396" s="31"/>
    </row>
    <row r="397" spans="2:16">
      <c r="B397" s="1"/>
      <c r="C397" s="8"/>
      <c r="D397" s="2" t="s">
        <v>438</v>
      </c>
      <c r="E397" s="17"/>
      <c r="F397" s="1" t="s">
        <v>441</v>
      </c>
      <c r="G397" s="37"/>
      <c r="H397" s="246" t="s">
        <v>438</v>
      </c>
      <c r="I397" s="559">
        <f>+I396-I398</f>
        <v>396337587</v>
      </c>
      <c r="J397" s="2"/>
      <c r="K397" s="558">
        <f>+K396-K398</f>
        <v>100064492</v>
      </c>
      <c r="L397" s="2"/>
      <c r="M397" s="559">
        <f>+K396-M398</f>
        <v>100344041</v>
      </c>
      <c r="N397" s="2"/>
      <c r="O397" s="31"/>
      <c r="P397" s="31"/>
    </row>
    <row r="398" spans="2:16">
      <c r="B398" s="1"/>
      <c r="C398" s="8"/>
      <c r="D398" s="2" t="s">
        <v>439</v>
      </c>
      <c r="E398" s="17"/>
      <c r="F398" s="1" t="s">
        <v>440</v>
      </c>
      <c r="G398" s="37"/>
      <c r="H398" s="246" t="s">
        <v>439</v>
      </c>
      <c r="I398" s="558">
        <v>28752640</v>
      </c>
      <c r="J398" s="2"/>
      <c r="K398" s="34">
        <v>1247360</v>
      </c>
      <c r="L398" s="2"/>
      <c r="M398" s="558">
        <v>967811</v>
      </c>
      <c r="N398" s="2"/>
      <c r="O398" s="31"/>
      <c r="P398" s="31"/>
    </row>
    <row r="399" spans="2:16">
      <c r="B399" s="1"/>
      <c r="C399" s="8"/>
      <c r="D399" s="2"/>
      <c r="E399" s="17"/>
      <c r="F399" s="1"/>
      <c r="G399" s="34">
        <f>30000000+413423620</f>
        <v>443423620</v>
      </c>
      <c r="H399" s="246"/>
      <c r="I399" s="31"/>
      <c r="J399" s="2"/>
      <c r="K399" s="31"/>
      <c r="L399" s="2"/>
      <c r="M399" s="31"/>
      <c r="N399" s="2"/>
      <c r="O399" s="31"/>
      <c r="P399" s="31"/>
    </row>
    <row r="400" spans="2:16">
      <c r="B400" s="1"/>
      <c r="C400" s="8"/>
      <c r="D400" s="2"/>
      <c r="E400" s="17"/>
      <c r="F400" s="1"/>
      <c r="G400" s="37">
        <v>425090227</v>
      </c>
      <c r="H400" s="246"/>
      <c r="I400" s="31"/>
      <c r="J400" s="2"/>
      <c r="K400" s="31"/>
      <c r="L400" s="2"/>
      <c r="M400" s="31"/>
      <c r="N400" s="2"/>
      <c r="O400" s="31"/>
      <c r="P400" s="31"/>
    </row>
    <row r="401" spans="2:16">
      <c r="B401" s="1"/>
      <c r="C401" s="8"/>
      <c r="D401" s="2"/>
      <c r="E401" s="17"/>
      <c r="F401" s="1"/>
      <c r="G401" s="37">
        <f>+G399-G400</f>
        <v>18333393</v>
      </c>
      <c r="H401" s="246"/>
      <c r="I401" s="31"/>
      <c r="J401" s="2"/>
      <c r="K401" s="31"/>
      <c r="L401" s="2"/>
      <c r="M401" s="31"/>
      <c r="N401" s="2"/>
      <c r="O401" s="31"/>
      <c r="P401" s="31"/>
    </row>
    <row r="402" spans="2:16">
      <c r="B402" s="1"/>
      <c r="C402" s="8"/>
      <c r="D402" s="2"/>
      <c r="E402" s="17"/>
      <c r="F402" s="1"/>
      <c r="G402" s="37"/>
      <c r="H402" s="246"/>
      <c r="I402" s="31"/>
      <c r="J402" s="2"/>
      <c r="K402" s="31"/>
      <c r="L402" s="2"/>
      <c r="M402" s="31"/>
      <c r="N402" s="2"/>
      <c r="O402" s="31"/>
      <c r="P402" s="31"/>
    </row>
    <row r="403" spans="2:16">
      <c r="B403" s="1"/>
      <c r="C403" s="8"/>
      <c r="D403" s="2"/>
      <c r="E403" s="17"/>
      <c r="F403" s="1"/>
      <c r="G403" s="37"/>
      <c r="H403" s="246"/>
      <c r="I403" s="31"/>
      <c r="J403" s="2"/>
      <c r="K403" s="31"/>
      <c r="L403" s="2"/>
      <c r="M403" s="31"/>
      <c r="N403" s="2"/>
      <c r="O403" s="31"/>
      <c r="P403" s="31"/>
    </row>
    <row r="404" spans="2:16">
      <c r="B404" s="1"/>
      <c r="C404" s="8"/>
      <c r="D404" s="2"/>
      <c r="E404" s="17"/>
      <c r="F404" s="1"/>
      <c r="G404" s="37"/>
      <c r="H404" s="246"/>
      <c r="I404" s="31"/>
      <c r="J404" s="2"/>
      <c r="K404" s="31"/>
      <c r="L404" s="2"/>
      <c r="M404" s="31"/>
      <c r="N404" s="2"/>
      <c r="O404" s="31"/>
      <c r="P404" s="31"/>
    </row>
    <row r="405" spans="2:16">
      <c r="B405" s="1"/>
      <c r="C405" s="8"/>
      <c r="D405" s="2"/>
      <c r="E405" s="17"/>
      <c r="F405" s="1"/>
      <c r="G405" s="37"/>
      <c r="H405" s="246"/>
      <c r="I405" s="31"/>
      <c r="J405" s="2"/>
      <c r="K405" s="31"/>
      <c r="L405" s="2"/>
      <c r="M405" s="31"/>
      <c r="N405" s="2"/>
      <c r="O405" s="31"/>
      <c r="P405" s="31"/>
    </row>
    <row r="406" spans="2:16">
      <c r="B406" s="1"/>
      <c r="C406" s="8"/>
      <c r="D406" s="2"/>
      <c r="E406" s="17"/>
      <c r="F406" s="1"/>
      <c r="G406" s="37"/>
      <c r="H406" s="246"/>
      <c r="I406" s="31"/>
      <c r="J406" s="2"/>
      <c r="K406" s="31"/>
      <c r="L406" s="2"/>
      <c r="M406" s="31"/>
      <c r="N406" s="2"/>
      <c r="O406" s="31"/>
      <c r="P406" s="31"/>
    </row>
    <row r="407" spans="2:16">
      <c r="B407" s="1"/>
      <c r="C407" s="8"/>
      <c r="D407" s="2"/>
      <c r="E407" s="17"/>
      <c r="F407" s="1"/>
      <c r="G407" s="37"/>
      <c r="H407" s="246"/>
      <c r="I407" s="31"/>
      <c r="J407" s="2"/>
      <c r="K407" s="31"/>
      <c r="L407" s="2"/>
      <c r="M407" s="31"/>
      <c r="N407" s="2"/>
      <c r="O407" s="31"/>
      <c r="P407" s="31"/>
    </row>
    <row r="408" spans="2:16">
      <c r="B408" s="1"/>
      <c r="C408" s="8"/>
      <c r="D408" s="2"/>
      <c r="E408" s="17"/>
      <c r="F408" s="1"/>
      <c r="G408" s="37"/>
      <c r="H408" s="246"/>
      <c r="I408" s="31"/>
      <c r="J408" s="2"/>
      <c r="K408" s="31"/>
      <c r="L408" s="2"/>
      <c r="M408" s="31"/>
      <c r="N408" s="2"/>
      <c r="O408" s="31"/>
      <c r="P408" s="31"/>
    </row>
    <row r="409" spans="2:16">
      <c r="B409" s="1"/>
      <c r="C409" s="8"/>
      <c r="D409" s="2"/>
      <c r="E409" s="17"/>
      <c r="F409" s="1"/>
      <c r="G409" s="37"/>
      <c r="H409" s="246"/>
      <c r="I409" s="31"/>
      <c r="J409" s="2"/>
      <c r="K409" s="31"/>
      <c r="L409" s="2"/>
      <c r="M409" s="31"/>
      <c r="N409" s="2"/>
      <c r="O409" s="31"/>
      <c r="P409" s="31"/>
    </row>
    <row r="410" spans="2:16">
      <c r="B410" s="1"/>
      <c r="C410" s="8"/>
      <c r="D410" s="2"/>
      <c r="E410" s="17"/>
      <c r="F410" s="1"/>
      <c r="G410" s="37"/>
      <c r="H410" s="246"/>
      <c r="I410" s="31"/>
      <c r="J410" s="2"/>
      <c r="K410" s="31"/>
      <c r="L410" s="2"/>
      <c r="M410" s="31"/>
      <c r="N410" s="2"/>
      <c r="O410" s="31"/>
      <c r="P410" s="31"/>
    </row>
    <row r="411" spans="2:16">
      <c r="B411" s="1"/>
      <c r="C411" s="8"/>
      <c r="D411" s="2"/>
      <c r="E411" s="17"/>
      <c r="F411" s="1"/>
      <c r="G411" s="37"/>
      <c r="H411" s="246"/>
      <c r="I411" s="31"/>
      <c r="J411" s="2"/>
      <c r="K411" s="31"/>
      <c r="L411" s="2"/>
      <c r="M411" s="31"/>
      <c r="N411" s="2"/>
      <c r="O411" s="31"/>
      <c r="P411" s="31"/>
    </row>
    <row r="412" spans="2:16">
      <c r="B412" s="1"/>
      <c r="C412" s="8"/>
      <c r="D412" s="2"/>
      <c r="E412" s="17"/>
      <c r="F412" s="1"/>
      <c r="G412" s="37"/>
      <c r="H412" s="246"/>
      <c r="I412" s="31"/>
      <c r="J412" s="2"/>
      <c r="K412" s="31"/>
      <c r="L412" s="2"/>
      <c r="M412" s="31"/>
      <c r="N412" s="2"/>
      <c r="O412" s="31"/>
      <c r="P412" s="31"/>
    </row>
    <row r="566" spans="2:16"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</row>
  </sheetData>
  <mergeCells count="111">
    <mergeCell ref="J391:K391"/>
    <mergeCell ref="J392:K392"/>
    <mergeCell ref="D384:E384"/>
    <mergeCell ref="G384:L384"/>
    <mergeCell ref="D385:E385"/>
    <mergeCell ref="G385:M385"/>
    <mergeCell ref="D381:E381"/>
    <mergeCell ref="G381:H381"/>
    <mergeCell ref="K381:L381"/>
    <mergeCell ref="D383:E383"/>
    <mergeCell ref="G383:L383"/>
    <mergeCell ref="P368:P373"/>
    <mergeCell ref="P173:P178"/>
    <mergeCell ref="D177:E177"/>
    <mergeCell ref="D124:E124"/>
    <mergeCell ref="P124:P129"/>
    <mergeCell ref="D379:E379"/>
    <mergeCell ref="G379:H379"/>
    <mergeCell ref="K379:L379"/>
    <mergeCell ref="D380:E380"/>
    <mergeCell ref="G380:H380"/>
    <mergeCell ref="I379:J379"/>
    <mergeCell ref="I380:J380"/>
    <mergeCell ref="D377:E377"/>
    <mergeCell ref="G377:H377"/>
    <mergeCell ref="K377:L377"/>
    <mergeCell ref="D378:E378"/>
    <mergeCell ref="G378:H378"/>
    <mergeCell ref="K378:L378"/>
    <mergeCell ref="I377:J377"/>
    <mergeCell ref="I378:J378"/>
    <mergeCell ref="C375:F375"/>
    <mergeCell ref="G375:J375"/>
    <mergeCell ref="D376:E376"/>
    <mergeCell ref="G376:H376"/>
    <mergeCell ref="I376:J376"/>
    <mergeCell ref="K375:M375"/>
    <mergeCell ref="D368:E368"/>
    <mergeCell ref="D372:E372"/>
    <mergeCell ref="D373:E373"/>
    <mergeCell ref="B368:C368"/>
    <mergeCell ref="B369:C369"/>
    <mergeCell ref="B370:C370"/>
    <mergeCell ref="B371:C371"/>
    <mergeCell ref="B372:C372"/>
    <mergeCell ref="B373:C373"/>
    <mergeCell ref="D369:E369"/>
    <mergeCell ref="D370:E370"/>
    <mergeCell ref="D371:E371"/>
    <mergeCell ref="N1:P1"/>
    <mergeCell ref="N2:P2"/>
    <mergeCell ref="N3:P3"/>
    <mergeCell ref="B7:C7"/>
    <mergeCell ref="D7:H7"/>
    <mergeCell ref="J7:L7"/>
    <mergeCell ref="B9:C11"/>
    <mergeCell ref="B12:C15"/>
    <mergeCell ref="D9:H11"/>
    <mergeCell ref="D12:H15"/>
    <mergeCell ref="B1:C3"/>
    <mergeCell ref="D1:M1"/>
    <mergeCell ref="D2:M2"/>
    <mergeCell ref="D3:M3"/>
    <mergeCell ref="P16:P17"/>
    <mergeCell ref="B16:G17"/>
    <mergeCell ref="H16:I16"/>
    <mergeCell ref="J16:K17"/>
    <mergeCell ref="L16:M17"/>
    <mergeCell ref="N16:O17"/>
    <mergeCell ref="H17:I17"/>
    <mergeCell ref="J15:L15"/>
    <mergeCell ref="J9:L9"/>
    <mergeCell ref="M4:P10"/>
    <mergeCell ref="M11:P15"/>
    <mergeCell ref="B8:C8"/>
    <mergeCell ref="D4:H6"/>
    <mergeCell ref="I4:L4"/>
    <mergeCell ref="B5:C5"/>
    <mergeCell ref="J5:L5"/>
    <mergeCell ref="B6:C6"/>
    <mergeCell ref="J6:L6"/>
    <mergeCell ref="D8:H8"/>
    <mergeCell ref="J8:L8"/>
    <mergeCell ref="J10:L10"/>
    <mergeCell ref="J11:L11"/>
    <mergeCell ref="J12:L12"/>
    <mergeCell ref="J13:L13"/>
    <mergeCell ref="D361:E361"/>
    <mergeCell ref="P361:P366"/>
    <mergeCell ref="D365:E365"/>
    <mergeCell ref="D366:E366"/>
    <mergeCell ref="D334:E334"/>
    <mergeCell ref="P334:P339"/>
    <mergeCell ref="D338:E338"/>
    <mergeCell ref="D339:E339"/>
    <mergeCell ref="P62:P67"/>
    <mergeCell ref="D261:E261"/>
    <mergeCell ref="P261:P266"/>
    <mergeCell ref="D265:E265"/>
    <mergeCell ref="D266:E266"/>
    <mergeCell ref="D178:E178"/>
    <mergeCell ref="D227:E227"/>
    <mergeCell ref="P227:P232"/>
    <mergeCell ref="D231:E231"/>
    <mergeCell ref="D232:E232"/>
    <mergeCell ref="D128:E128"/>
    <mergeCell ref="D129:E129"/>
    <mergeCell ref="D173:E173"/>
    <mergeCell ref="D62:E62"/>
    <mergeCell ref="D66:E66"/>
    <mergeCell ref="D67:E67"/>
  </mergeCells>
  <phoneticPr fontId="16" type="noConversion"/>
  <printOptions horizontalCentered="1"/>
  <pageMargins left="0.23622047244094491" right="0.23622047244094491" top="0.74803149606299213" bottom="0.74803149606299213" header="0.31496062992125984" footer="0.31496062992125984"/>
  <pageSetup scale="43" orientation="landscape" r:id="rId1"/>
  <headerFooter>
    <oddFooter>&amp;C&amp;8
&amp;P</oddFooter>
  </headerFooter>
  <rowBreaks count="1" manualBreakCount="1">
    <brk id="48" max="16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ACTA.2</vt:lpstr>
      <vt:lpstr>ACTA.2!Área_de_impresión</vt:lpstr>
      <vt:lpstr>ACTA.2!Títulos_a_imprimir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meci_pc1</dc:creator>
  <cp:lastModifiedBy>silvio andrey ramirez sanchez</cp:lastModifiedBy>
  <cp:lastPrinted>2021-06-25T17:03:30Z</cp:lastPrinted>
  <dcterms:created xsi:type="dcterms:W3CDTF">2012-08-17T16:32:19Z</dcterms:created>
  <dcterms:modified xsi:type="dcterms:W3CDTF">2021-08-31T21:47:24Z</dcterms:modified>
</cp:coreProperties>
</file>