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20" windowWidth="15600" windowHeight="9240"/>
  </bookViews>
  <sheets>
    <sheet name="INFORME OPS" sheetId="1" r:id="rId1"/>
    <sheet name="CONSOLIDADO POR DIRECCION" sheetId="5" r:id="rId2"/>
    <sheet name="MAPA DE COSTOS" sheetId="2" r:id="rId3"/>
    <sheet name="Hoja1" sheetId="6" state="hidden" r:id="rId4"/>
    <sheet name="MAESTROS" sheetId="3" state="hidden" r:id="rId5"/>
    <sheet name="Hoja2" sheetId="7" r:id="rId6"/>
  </sheets>
  <functionGroups builtInGroupCount="17"/>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c r="B50" i="1"/>
  <c r="F135" i="1"/>
  <c r="F133" i="1"/>
  <c r="G96" i="1"/>
  <c r="O64" i="1"/>
  <c r="B64" i="1"/>
  <c r="O63" i="1"/>
  <c r="B63" i="1"/>
  <c r="O62" i="1"/>
  <c r="B62" i="1"/>
  <c r="K130" i="1"/>
  <c r="K128" i="1"/>
  <c r="J96" i="1"/>
  <c r="E9" i="3"/>
  <c r="B1" i="6"/>
  <c r="B2" i="6"/>
  <c r="N124" i="1"/>
  <c r="M59" i="1"/>
  <c r="M60" i="1"/>
  <c r="M58" i="1"/>
  <c r="M56" i="1"/>
  <c r="M55" i="1"/>
  <c r="M54" i="1"/>
  <c r="M52" i="1"/>
  <c r="M51" i="1"/>
  <c r="M49" i="1"/>
  <c r="M47" i="1"/>
  <c r="M46" i="1"/>
  <c r="M45" i="1"/>
  <c r="M43" i="1"/>
  <c r="M42" i="1"/>
  <c r="M41" i="1"/>
  <c r="M39" i="1"/>
  <c r="M38" i="1"/>
  <c r="M37" i="1"/>
  <c r="M35" i="1"/>
  <c r="M34" i="1"/>
  <c r="M33" i="1"/>
  <c r="M31" i="1"/>
  <c r="M30" i="1"/>
  <c r="M29" i="1"/>
  <c r="M27" i="1"/>
  <c r="M26" i="1"/>
  <c r="M25" i="1"/>
  <c r="M23" i="1"/>
  <c r="M22" i="1"/>
  <c r="M21"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74" i="1"/>
  <c r="O68" i="1"/>
  <c r="O67" i="1"/>
  <c r="Q73" i="1"/>
  <c r="Q69" i="1"/>
  <c r="Q65" i="1"/>
  <c r="O51" i="1"/>
  <c r="O46" i="1"/>
  <c r="O45" i="1"/>
  <c r="O39" i="1"/>
  <c r="O38" i="1"/>
  <c r="O34" i="1"/>
  <c r="O33" i="1"/>
  <c r="O31" i="1"/>
  <c r="O30" i="1"/>
  <c r="O29" i="1"/>
  <c r="O27" i="1"/>
  <c r="O26" i="1"/>
  <c r="O25" i="1"/>
  <c r="O72" i="1"/>
  <c r="Q57" i="1"/>
  <c r="Q53" i="1"/>
  <c r="O71" i="1"/>
  <c r="O52" i="1"/>
  <c r="Q24" i="1"/>
  <c r="Q28" i="1"/>
  <c r="Q20" i="1"/>
  <c r="Q32" i="1"/>
  <c r="Q36" i="1"/>
  <c r="Q40" i="1"/>
  <c r="Q44" i="1"/>
  <c r="Q48" i="1"/>
  <c r="O66" i="1"/>
  <c r="O37" i="1"/>
  <c r="O43" i="1"/>
  <c r="O47" i="1"/>
  <c r="O35" i="1"/>
  <c r="F77" i="1"/>
  <c r="O41" i="1"/>
  <c r="O42" i="1"/>
  <c r="O59" i="1"/>
  <c r="O60" i="1"/>
  <c r="O58" i="1"/>
  <c r="O54" i="1"/>
  <c r="O23" i="1"/>
  <c r="O21" i="1"/>
  <c r="O22" i="1"/>
  <c r="O49" i="1"/>
  <c r="O70" i="1"/>
  <c r="Q19" i="1"/>
  <c r="B23" i="1"/>
  <c r="B22" i="1"/>
  <c r="B21" i="1"/>
  <c r="F130" i="1"/>
  <c r="F128" i="1"/>
  <c r="F9" i="3"/>
  <c r="E10" i="3"/>
  <c r="E11" i="3"/>
  <c r="K121" i="1"/>
  <c r="F12" i="3"/>
  <c r="F13" i="3"/>
  <c r="L121" i="1" s="1"/>
  <c r="L124" i="1" s="1"/>
  <c r="E14" i="3"/>
  <c r="F14" i="3"/>
  <c r="L123" i="1"/>
  <c r="L122" i="1"/>
  <c r="F15" i="3"/>
  <c r="H77" i="1"/>
  <c r="G119" i="1"/>
  <c r="N96" i="1" l="1"/>
</calcChain>
</file>

<file path=xl/sharedStrings.xml><?xml version="1.0" encoding="utf-8"?>
<sst xmlns="http://schemas.openxmlformats.org/spreadsheetml/2006/main" count="6219" uniqueCount="1537">
  <si>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</si>
  <si>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</si>
  <si>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</si>
  <si>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</si>
  <si>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</si>
  <si>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</si>
  <si>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</si>
  <si>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</si>
  <si>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</si>
  <si>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</si>
  <si>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</si>
  <si>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</si>
  <si>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</si>
  <si>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</si>
  <si>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</si>
  <si>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</si>
  <si>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</si>
  <si>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</si>
  <si>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</si>
  <si>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</si>
  <si>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</si>
  <si>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</si>
  <si>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</si>
  <si>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</si>
  <si>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</si>
  <si>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</si>
  <si>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</si>
  <si>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</si>
  <si>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</si>
  <si>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</si>
  <si>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</si>
  <si>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</si>
  <si>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</si>
  <si>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</si>
  <si>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</si>
  <si>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</si>
  <si>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</si>
  <si>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</si>
  <si>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</si>
  <si>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</si>
  <si>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</si>
  <si>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</si>
  <si>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</si>
  <si>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</si>
  <si>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</si>
  <si>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</si>
  <si>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</si>
  <si>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</si>
  <si>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</si>
  <si>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</si>
  <si>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</si>
  <si>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</si>
  <si>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</si>
  <si>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</si>
  <si>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</si>
  <si>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</si>
  <si>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</si>
  <si>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</si>
  <si>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</si>
  <si>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</si>
  <si>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</si>
  <si>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</si>
  <si>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</si>
  <si>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</si>
  <si>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</si>
  <si>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</si>
  <si>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</si>
  <si>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</si>
  <si>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</si>
  <si>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</si>
  <si>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</si>
  <si>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</si>
  <si>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</si>
  <si>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</si>
  <si>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</si>
  <si>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</si>
  <si>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</si>
  <si>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</si>
  <si>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</si>
  <si>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</si>
  <si>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</si>
  <si>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</si>
  <si>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</si>
  <si>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</si>
  <si>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</si>
  <si>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</si>
  <si>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</si>
  <si>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</si>
  <si>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</si>
  <si>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</si>
  <si>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</si>
  <si>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</si>
  <si>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</si>
  <si>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</si>
  <si>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</si>
  <si>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</si>
  <si>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</si>
  <si>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</si>
  <si>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</si>
  <si>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</si>
  <si>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</si>
  <si>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</si>
  <si>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</si>
  <si>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</si>
  <si>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</si>
  <si>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</si>
  <si>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</si>
  <si>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</si>
  <si>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</si>
  <si>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</si>
  <si>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</si>
  <si>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</si>
  <si>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</si>
  <si>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</si>
  <si>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</si>
  <si>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</si>
  <si>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</si>
  <si>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</si>
  <si>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</si>
  <si>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</si>
  <si>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</si>
  <si>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</si>
  <si>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</si>
  <si>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</si>
  <si>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</si>
  <si>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</si>
  <si>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</si>
  <si>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</si>
  <si>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</si>
  <si>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</si>
  <si>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</si>
  <si>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</si>
  <si>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</si>
  <si>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</si>
  <si>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</si>
  <si>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</si>
  <si>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</si>
  <si>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</si>
  <si>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</si>
  <si>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</si>
  <si>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</si>
  <si>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</si>
  <si>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</si>
  <si>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</si>
  <si>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</si>
  <si>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</si>
  <si>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</si>
  <si>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</si>
  <si>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</si>
  <si>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</si>
  <si>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</si>
  <si>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</si>
  <si>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</si>
  <si>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</si>
  <si>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</si>
  <si>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</si>
  <si>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</si>
  <si>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</si>
  <si>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</si>
  <si>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</si>
  <si>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</si>
  <si>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</si>
  <si>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</si>
  <si>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</si>
  <si>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</si>
  <si>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</si>
  <si>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</si>
  <si>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</si>
  <si>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</si>
  <si>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</si>
  <si>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</si>
  <si>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</si>
  <si>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</si>
  <si>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</si>
  <si>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</si>
  <si>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</si>
  <si>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</si>
  <si>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</si>
  <si>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</si>
  <si>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</si>
  <si>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</si>
  <si>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</si>
  <si>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</si>
  <si>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</si>
  <si>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</si>
  <si>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</si>
  <si>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</si>
  <si>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</si>
  <si>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</si>
  <si>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</si>
  <si>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</si>
  <si>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</si>
  <si>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</si>
  <si>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</si>
  <si>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</si>
  <si>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</si>
  <si>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</si>
  <si>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</si>
  <si>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</si>
  <si>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</si>
  <si>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</si>
  <si>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</si>
  <si>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</si>
  <si>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</si>
  <si>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</si>
  <si>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</si>
  <si>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</si>
  <si>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</si>
  <si>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</si>
  <si>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</si>
  <si>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</si>
  <si>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</si>
  <si>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</si>
  <si>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</si>
  <si>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</si>
  <si>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</si>
  <si>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</si>
  <si>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</si>
  <si>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</si>
  <si>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</si>
  <si>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</si>
  <si>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</si>
  <si>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</si>
  <si>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</si>
  <si>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</si>
  <si>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</si>
  <si>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</si>
  <si>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</si>
  <si>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</si>
  <si>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</si>
  <si>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</si>
  <si>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</si>
  <si>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</si>
  <si>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</si>
  <si>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</si>
  <si>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</si>
  <si>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</si>
  <si>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</si>
  <si>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</si>
  <si>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</si>
  <si>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</si>
  <si>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</si>
  <si>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</si>
  <si>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</si>
  <si>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</si>
  <si>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</si>
  <si>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</si>
  <si>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</si>
  <si>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</si>
  <si>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</si>
  <si>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</si>
  <si>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</si>
  <si>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</si>
  <si>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</si>
  <si>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</si>
  <si>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</si>
  <si>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</si>
  <si>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</si>
  <si>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</si>
  <si>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</si>
  <si>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</si>
  <si>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</si>
  <si>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</si>
  <si>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</si>
  <si>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</si>
  <si>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</si>
  <si>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</si>
  <si>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</si>
  <si>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</si>
  <si>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</si>
  <si>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</si>
  <si>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</si>
  <si>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</si>
  <si>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</si>
  <si>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</si>
  <si>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</si>
  <si>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</si>
  <si>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</si>
  <si>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</si>
  <si>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</si>
  <si>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</si>
  <si>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</si>
  <si>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</si>
  <si>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</si>
  <si>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</si>
  <si>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</si>
  <si>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</si>
  <si>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</si>
  <si>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</si>
  <si>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</si>
  <si>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</si>
  <si>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</si>
  <si>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</si>
  <si>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</si>
  <si>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</si>
  <si>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</si>
  <si>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</si>
  <si>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</si>
  <si>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</si>
  <si>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</si>
  <si>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</si>
  <si>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</si>
  <si>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</si>
  <si>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</si>
  <si>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</si>
  <si>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</si>
  <si>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</si>
  <si>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</si>
  <si>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</si>
  <si>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</si>
  <si>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</si>
  <si>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</si>
  <si>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</si>
  <si>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</si>
  <si>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</si>
  <si>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</si>
  <si>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</si>
  <si>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</si>
  <si>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</si>
  <si>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</si>
  <si>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</si>
  <si>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</si>
  <si>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</si>
  <si>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</si>
  <si>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</si>
  <si>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</si>
  <si>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</si>
  <si>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</si>
  <si>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</si>
  <si>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</si>
  <si>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</si>
  <si>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</si>
  <si>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</si>
  <si>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</si>
  <si>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</si>
  <si>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</si>
  <si>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</si>
  <si>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</si>
  <si>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</si>
  <si>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</si>
  <si>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</si>
  <si>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</si>
  <si>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</si>
  <si>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</si>
  <si>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</si>
  <si>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</si>
  <si>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</si>
  <si>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</si>
  <si>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</si>
  <si>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</si>
  <si>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</si>
  <si>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</si>
  <si>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</si>
  <si>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</si>
  <si>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</si>
  <si>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</si>
  <si>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</si>
  <si>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</si>
  <si>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</si>
  <si>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</si>
  <si>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</si>
  <si>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</si>
  <si>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</si>
  <si>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</si>
  <si>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</si>
  <si>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</si>
  <si>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</si>
  <si>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</si>
  <si>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</si>
  <si>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</si>
  <si>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</si>
  <si>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</si>
  <si>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</si>
  <si>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</si>
  <si>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</si>
  <si>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</si>
  <si>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</si>
  <si>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</si>
  <si>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</si>
  <si>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</si>
  <si>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</si>
  <si>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</si>
  <si>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</si>
  <si>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</si>
  <si>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</si>
  <si>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</si>
  <si>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</si>
  <si>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</si>
  <si>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</si>
  <si>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</si>
  <si>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</si>
  <si>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</si>
  <si>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</si>
  <si>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</si>
  <si>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</si>
  <si>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</si>
  <si>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</si>
  <si>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</si>
  <si>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</si>
  <si>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</si>
  <si>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</si>
  <si>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</si>
  <si>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</si>
  <si>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</si>
  <si>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</si>
  <si>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</si>
  <si>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</si>
  <si>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</si>
  <si>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</si>
  <si>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</si>
  <si>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</si>
  <si>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</si>
  <si>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</si>
  <si>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</si>
  <si>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</si>
  <si>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</si>
  <si>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</si>
  <si>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</si>
  <si>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</si>
  <si>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</si>
  <si>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</si>
  <si>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</si>
  <si>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</si>
  <si>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</si>
  <si>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</si>
  <si>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</si>
  <si>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</si>
  <si>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</si>
  <si>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</si>
  <si>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</si>
  <si>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</si>
  <si>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</si>
  <si>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</si>
  <si>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</si>
  <si>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</si>
  <si>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</si>
  <si>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</si>
  <si>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</si>
  <si>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</si>
  <si>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</si>
  <si>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</si>
  <si>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</si>
  <si>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</si>
  <si>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</si>
  <si>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</si>
  <si>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</si>
  <si>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</si>
  <si>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</si>
  <si>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</si>
  <si>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</si>
  <si>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</si>
  <si>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</si>
  <si>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</si>
  <si>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</si>
  <si>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</si>
  <si>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</si>
  <si>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</si>
  <si>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</si>
  <si>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</si>
  <si>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</si>
  <si>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</si>
  <si>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</si>
  <si>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</si>
  <si>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</si>
  <si>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</si>
  <si>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</si>
  <si>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</si>
  <si>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</si>
  <si>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</si>
  <si>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</si>
  <si>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</si>
  <si>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</si>
  <si>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</si>
  <si>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</si>
  <si>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</si>
  <si>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</si>
  <si>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</si>
  <si>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</si>
  <si>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</si>
  <si>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</si>
  <si>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</si>
  <si>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</si>
  <si>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</si>
  <si>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</si>
  <si>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</si>
  <si>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</si>
  <si>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</si>
  <si>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</si>
  <si>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</si>
  <si>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</si>
  <si>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</si>
  <si>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</si>
  <si>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</si>
  <si>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</si>
  <si>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</si>
  <si>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</si>
  <si>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</si>
  <si>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</si>
  <si>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</si>
  <si>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</si>
  <si>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</si>
  <si>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</si>
  <si>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</si>
  <si>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</si>
  <si>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</si>
  <si>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</si>
  <si>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</si>
  <si>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</si>
  <si>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</si>
  <si>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</si>
  <si>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</si>
  <si>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</si>
  <si>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</si>
  <si>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</si>
  <si>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</si>
  <si>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</si>
  <si>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</si>
  <si>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</si>
  <si>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</si>
  <si>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</si>
  <si>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</si>
  <si>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</si>
  <si>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</si>
  <si>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</si>
  <si>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</si>
  <si>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</si>
  <si>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</si>
  <si>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</si>
  <si>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</si>
  <si>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</si>
  <si>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</si>
  <si>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</si>
  <si>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</si>
  <si>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</si>
  <si>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</si>
  <si>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</si>
  <si>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</si>
  <si>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</si>
  <si>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</si>
  <si>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</si>
  <si>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</si>
  <si>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</si>
  <si>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</si>
  <si>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</si>
  <si>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</si>
  <si>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</si>
  <si>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</si>
  <si>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</si>
  <si>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</si>
  <si>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</si>
  <si>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</si>
  <si>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</si>
  <si>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</si>
  <si>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</si>
  <si>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</si>
  <si>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</si>
  <si>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</si>
  <si>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</si>
  <si>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</si>
  <si>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</si>
  <si>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</si>
  <si>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</si>
  <si>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</si>
  <si>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</si>
  <si>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</si>
  <si>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</si>
  <si>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</si>
  <si>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</si>
  <si>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</si>
  <si>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</si>
  <si>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</si>
  <si>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</si>
  <si>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</si>
  <si>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</si>
  <si>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</si>
  <si>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</si>
  <si>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</si>
  <si>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</si>
  <si>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</si>
  <si>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</si>
  <si>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</si>
  <si>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</si>
  <si>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</si>
  <si>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</si>
  <si>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</si>
  <si>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</si>
  <si>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</si>
  <si>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</si>
  <si>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</si>
  <si>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</si>
  <si>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</si>
  <si>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</si>
  <si>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</si>
  <si>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</si>
  <si>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</si>
  <si>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</si>
  <si>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</si>
  <si>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</si>
  <si>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</si>
  <si>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</si>
  <si>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</si>
  <si>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</si>
  <si>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</si>
  <si>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</si>
  <si>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</si>
  <si>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</si>
  <si>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</si>
  <si>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</si>
  <si>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</si>
  <si>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</si>
  <si>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</si>
  <si>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</si>
  <si>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</si>
  <si>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</si>
  <si>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</si>
  <si>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</si>
  <si>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</si>
  <si>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</si>
  <si>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</si>
  <si>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</si>
  <si>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</si>
  <si>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</si>
  <si>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</si>
  <si>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</si>
  <si>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</si>
  <si>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</si>
  <si>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</si>
  <si>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</si>
  <si>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</si>
  <si>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</si>
  <si>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</si>
  <si>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</si>
  <si>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</si>
  <si>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</si>
  <si>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</si>
  <si>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</si>
  <si>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</si>
  <si>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</si>
  <si>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</si>
  <si>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</si>
  <si>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</si>
  <si>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</si>
  <si>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</si>
  <si>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</si>
  <si>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</si>
  <si>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</si>
  <si>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</si>
  <si>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</si>
  <si>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</si>
  <si>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</si>
  <si>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</si>
  <si>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</si>
  <si>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</si>
  <si>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</si>
  <si>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</si>
  <si>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</si>
  <si>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</si>
  <si>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</si>
  <si>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</si>
  <si>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</si>
  <si>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</si>
  <si>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</si>
  <si>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</si>
  <si>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</si>
  <si>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</si>
  <si>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</si>
  <si>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</si>
  <si>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</si>
  <si>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</si>
  <si>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</si>
  <si>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</si>
  <si>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</si>
  <si>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</si>
  <si>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</si>
  <si>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</si>
  <si>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</si>
  <si>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</si>
  <si>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</si>
  <si>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</si>
  <si>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</si>
  <si>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</si>
  <si>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</si>
  <si>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</si>
  <si>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</si>
  <si>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</si>
  <si>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</si>
  <si>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</si>
  <si>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</si>
  <si>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</si>
  <si>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</si>
  <si>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</si>
  <si>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</si>
  <si>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</si>
  <si>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</si>
  <si>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</si>
  <si>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</si>
  <si>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</si>
  <si>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</si>
  <si>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</si>
  <si>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</si>
  <si>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</si>
  <si>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</si>
  <si>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</si>
  <si>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</si>
  <si>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</si>
  <si>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</si>
  <si>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</si>
  <si>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</si>
  <si>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</si>
  <si>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</si>
  <si>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</si>
  <si>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</si>
  <si>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</si>
  <si>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</si>
  <si>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</si>
  <si>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</si>
  <si>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</si>
  <si>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</si>
  <si>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</si>
  <si>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</si>
  <si>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</si>
  <si>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</si>
  <si>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</si>
  <si>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</si>
  <si>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</si>
  <si>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</si>
  <si>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</si>
  <si>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</si>
  <si>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</si>
  <si>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</si>
  <si>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</si>
  <si>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</si>
  <si>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</si>
  <si>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</si>
  <si>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</si>
  <si>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</si>
  <si>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</si>
  <si>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</si>
  <si>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</si>
  <si>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</si>
  <si>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</si>
  <si>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</si>
  <si>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</si>
  <si>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</si>
  <si>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</si>
  <si>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</si>
  <si>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</si>
  <si>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</si>
  <si>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</si>
  <si>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</si>
  <si>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</si>
  <si>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</si>
  <si>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</si>
  <si>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</si>
  <si>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</si>
  <si>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</si>
  <si>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</si>
  <si>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</si>
  <si>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</si>
  <si>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</si>
  <si>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</si>
  <si>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</si>
  <si>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</si>
  <si>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</si>
  <si>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</si>
  <si>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</si>
  <si>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</si>
  <si>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</si>
  <si>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</si>
  <si>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</si>
  <si>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</si>
  <si>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</si>
  <si>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</si>
  <si>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</si>
  <si>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</si>
  <si>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</si>
  <si>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</si>
  <si>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</si>
  <si>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</si>
  <si>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</si>
  <si>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</si>
  <si>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</si>
  <si>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</si>
  <si>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</si>
  <si>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</si>
  <si>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</si>
  <si>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</si>
  <si>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</si>
  <si>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</si>
  <si>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</si>
  <si>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</si>
  <si>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</si>
  <si>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</si>
  <si>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</si>
  <si>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</si>
  <si>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</si>
  <si>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</si>
  <si>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</si>
  <si>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</si>
  <si>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</si>
  <si>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</si>
  <si>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</si>
  <si>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</si>
  <si>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</si>
  <si>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</si>
  <si>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</si>
  <si>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</si>
  <si>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</si>
  <si>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</si>
  <si>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</si>
  <si>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</si>
  <si>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</si>
  <si>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</si>
  <si>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</si>
  <si>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</si>
  <si>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</si>
  <si>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</si>
  <si>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</si>
  <si>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</si>
  <si>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</si>
  <si>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</si>
  <si>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</si>
  <si>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</si>
  <si>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</si>
  <si>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</si>
  <si>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</si>
  <si>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</si>
  <si>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</si>
  <si>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</si>
  <si>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</si>
  <si>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</si>
  <si>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</si>
  <si>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</si>
  <si>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</si>
  <si>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</si>
  <si>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</si>
  <si>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</si>
  <si>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</si>
  <si>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</si>
  <si>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</si>
  <si>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</si>
  <si>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</si>
  <si>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</si>
  <si>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</si>
  <si>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</si>
  <si>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</si>
  <si>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</si>
  <si>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</si>
  <si>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</si>
  <si>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</si>
  <si>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</si>
  <si>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</si>
  <si>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</si>
  <si>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</si>
  <si>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</si>
  <si>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</si>
  <si>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</si>
  <si>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</si>
  <si>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</si>
  <si>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</si>
  <si>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</si>
  <si>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</si>
  <si>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</si>
  <si>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</si>
  <si>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</si>
  <si>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</si>
  <si>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</si>
  <si>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</si>
  <si>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</si>
  <si>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</si>
  <si>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</si>
  <si>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</si>
  <si>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</si>
  <si>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</si>
  <si>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</si>
  <si>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</si>
  <si>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</si>
  <si>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</si>
  <si>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</si>
  <si>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</si>
  <si>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</si>
  <si>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</si>
  <si>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</si>
  <si>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</si>
  <si>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</si>
  <si>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</si>
  <si>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</si>
  <si>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</si>
  <si>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</si>
  <si>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</si>
  <si>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</si>
  <si>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</si>
  <si>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</si>
  <si>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</si>
  <si>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</si>
  <si>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</si>
  <si>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</si>
  <si>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</si>
  <si>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</si>
  <si>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</si>
  <si>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</si>
  <si>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</si>
  <si>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</si>
  <si>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</si>
  <si>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</si>
  <si>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</si>
  <si>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</si>
  <si>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</si>
  <si>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</si>
  <si>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</si>
  <si>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</si>
  <si>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</si>
  <si>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</si>
  <si>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</si>
  <si>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</si>
  <si>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</si>
  <si>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</si>
  <si>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</si>
  <si>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</si>
  <si>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</si>
  <si>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</si>
  <si>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</si>
  <si>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</si>
  <si>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</si>
  <si>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</si>
  <si>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</si>
  <si>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</si>
  <si>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</si>
  <si>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</si>
  <si>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</si>
  <si>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</si>
  <si>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</si>
  <si>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</si>
  <si>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</si>
  <si>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</si>
  <si>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</si>
  <si>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</si>
  <si>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</si>
  <si>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</si>
  <si>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</si>
  <si>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</si>
  <si>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</si>
  <si>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</si>
  <si>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</si>
  <si>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</si>
  <si>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</si>
  <si>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</si>
  <si>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</si>
  <si>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</si>
  <si>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</si>
  <si>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</si>
  <si>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</si>
  <si>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</si>
  <si>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</si>
  <si>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</si>
  <si>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</si>
  <si>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</si>
  <si>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</si>
  <si>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</si>
  <si>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</si>
  <si>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</si>
  <si>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</si>
  <si>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</si>
  <si>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</si>
  <si>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</si>
  <si>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</si>
  <si>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</si>
  <si>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</si>
  <si>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</si>
  <si>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</si>
  <si>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</si>
  <si>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</si>
  <si>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</si>
  <si>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</si>
  <si>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</si>
  <si>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</si>
  <si>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</si>
  <si>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</si>
  <si>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</si>
  <si>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</si>
  <si>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</si>
  <si>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</si>
  <si>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</si>
  <si>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</si>
  <si>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</si>
  <si>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</si>
  <si>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</si>
  <si>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</si>
  <si>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</si>
  <si>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</si>
  <si>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</si>
  <si>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</si>
  <si>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</si>
  <si>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</si>
  <si>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</si>
  <si>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</si>
  <si>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</si>
  <si>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</si>
  <si>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</si>
  <si>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</si>
  <si>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</si>
  <si>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</si>
  <si>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</si>
  <si>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</si>
  <si>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</si>
  <si>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</si>
  <si>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</si>
  <si>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</si>
  <si>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</si>
  <si>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</si>
  <si>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</si>
  <si>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</si>
  <si>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</si>
  <si>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</si>
  <si>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</si>
  <si>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</si>
  <si>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</si>
  <si>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</si>
  <si>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</si>
  <si>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</si>
  <si>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</si>
  <si>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</si>
  <si>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</si>
  <si>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</si>
  <si>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</si>
  <si>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</si>
  <si>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</si>
  <si>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</si>
  <si>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</si>
  <si>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</si>
  <si>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</si>
  <si>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</si>
  <si>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</si>
  <si>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</si>
  <si>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</si>
  <si>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</si>
  <si>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</si>
  <si>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</si>
  <si>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</si>
  <si>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</si>
  <si>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</si>
  <si>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</si>
  <si>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</si>
  <si>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</si>
  <si>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</si>
  <si>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</si>
  <si>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</si>
  <si>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</si>
  <si>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</si>
  <si>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</si>
  <si>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</si>
  <si>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</si>
  <si>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</si>
  <si>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</si>
  <si>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</si>
  <si>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</si>
  <si>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</si>
  <si>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</si>
  <si>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</si>
  <si>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</si>
  <si>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</si>
  <si>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</si>
  <si>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</si>
  <si>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</si>
  <si>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</si>
  <si>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</si>
  <si>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</si>
  <si>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</si>
  <si>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</si>
  <si>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</si>
  <si>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</si>
  <si>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</si>
  <si>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</si>
  <si>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</si>
  <si>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</si>
  <si>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</si>
  <si>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</si>
  <si>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</si>
  <si>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</si>
  <si>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</si>
  <si>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</si>
  <si>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</si>
  <si>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</si>
  <si>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</si>
  <si>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</si>
  <si>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</si>
  <si>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</si>
  <si>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</si>
  <si>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</si>
  <si>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</si>
  <si>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</si>
  <si>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</si>
  <si>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</si>
  <si>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</si>
  <si>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</si>
  <si>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</si>
  <si>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</si>
  <si>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</si>
  <si>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</si>
  <si>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</si>
  <si>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</si>
  <si>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</si>
  <si>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</si>
  <si>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</si>
  <si>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</si>
  <si>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</si>
  <si>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</si>
  <si>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</si>
  <si>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</si>
  <si>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</si>
  <si>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</si>
  <si>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</si>
  <si>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</si>
  <si>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</si>
  <si>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</si>
  <si>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</si>
  <si>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</si>
  <si>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</si>
  <si>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</si>
  <si>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</si>
  <si>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</si>
  <si>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</si>
  <si>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</si>
  <si>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</si>
  <si>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</si>
  <si>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</si>
  <si>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</si>
  <si>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</si>
  <si>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</si>
  <si>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</si>
  <si>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</si>
  <si>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</si>
  <si>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</si>
  <si>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</si>
  <si>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</si>
  <si>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</si>
  <si>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</si>
  <si>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</si>
  <si>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</si>
  <si>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</si>
  <si>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</si>
  <si>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</si>
  <si>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</si>
  <si>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</si>
  <si>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</si>
  <si>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</si>
  <si>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</si>
  <si>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</si>
  <si>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</si>
  <si>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</si>
  <si>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</si>
  <si>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</si>
  <si>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</si>
  <si>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</si>
  <si>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</si>
  <si>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</si>
  <si>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</si>
  <si>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</si>
  <si>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</si>
  <si>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</si>
  <si>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</si>
  <si>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</si>
  <si>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</si>
  <si>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</si>
  <si>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</si>
  <si>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</si>
  <si>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</si>
  <si>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</si>
  <si>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</si>
  <si>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</si>
  <si>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</si>
  <si>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</si>
  <si>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</si>
  <si>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</si>
  <si>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</si>
  <si>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</si>
  <si>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</si>
  <si>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</si>
  <si>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</si>
  <si>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</si>
  <si>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</si>
  <si>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</si>
  <si>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</si>
  <si>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</si>
  <si>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</si>
  <si>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</si>
  <si>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</si>
  <si>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</si>
  <si>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</si>
  <si>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</si>
  <si>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</si>
  <si>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</si>
  <si>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</si>
  <si>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</si>
  <si>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</si>
  <si>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</si>
  <si>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</si>
  <si>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</si>
  <si>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</si>
  <si>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</si>
  <si>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</si>
  <si>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</si>
  <si>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</si>
  <si>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</si>
  <si>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</si>
  <si>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</si>
  <si>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</si>
  <si>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</si>
  <si>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</si>
  <si>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</si>
  <si>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</si>
  <si>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</si>
  <si>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</si>
  <si>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</si>
  <si>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</si>
  <si>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</si>
  <si>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</si>
  <si>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</si>
  <si>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</si>
  <si>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</si>
  <si>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</si>
  <si>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</si>
  <si>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</si>
  <si>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</si>
  <si>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</si>
  <si>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</si>
  <si>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</si>
  <si>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</si>
  <si>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</si>
  <si>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</si>
  <si>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</si>
  <si>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</si>
  <si>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</si>
  <si>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</si>
  <si>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</si>
  <si>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</si>
  <si>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</si>
  <si>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</si>
  <si>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</si>
  <si>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</si>
  <si>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</si>
  <si>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</si>
  <si>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</si>
  <si>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</si>
  <si>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</si>
  <si>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</si>
  <si>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</si>
  <si>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</si>
  <si>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</si>
  <si>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</si>
  <si>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</si>
  <si>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</si>
  <si>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</si>
  <si>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</si>
  <si>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</si>
  <si>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</si>
  <si>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</si>
  <si>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</si>
  <si>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</si>
  <si>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</si>
  <si>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</si>
  <si>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</si>
  <si>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</si>
  <si>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</si>
  <si>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</si>
  <si>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</si>
  <si>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</si>
  <si>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</si>
  <si>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</si>
  <si>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</si>
  <si>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</si>
  <si>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</si>
  <si>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</si>
  <si>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</si>
  <si>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</si>
  <si>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</si>
  <si>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</si>
  <si>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</si>
  <si>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</si>
  <si>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</si>
  <si>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</si>
  <si>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</si>
  <si>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</si>
  <si>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</si>
  <si>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</si>
  <si>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</si>
  <si>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</si>
  <si>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</si>
  <si>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</si>
  <si>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</si>
  <si>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</si>
  <si>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</si>
  <si>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</si>
  <si>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</si>
  <si>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</si>
  <si>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</si>
  <si>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</si>
  <si>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</si>
  <si>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</si>
  <si>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</si>
  <si>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</si>
  <si>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</si>
  <si>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</si>
  <si>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</si>
  <si>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</si>
  <si>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</si>
  <si>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</si>
  <si>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</si>
  <si>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</si>
  <si>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</si>
  <si>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</si>
  <si>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</si>
  <si>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</si>
  <si>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</si>
  <si>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</si>
  <si>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</si>
  <si>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</si>
  <si>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</si>
  <si>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</si>
  <si>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</si>
  <si>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</si>
  <si>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</si>
  <si>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</si>
  <si>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</si>
  <si>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</si>
  <si>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</si>
  <si>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</si>
  <si>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</si>
  <si>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</si>
  <si>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</si>
  <si>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</si>
  <si>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</si>
  <si>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</si>
  <si>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</si>
  <si>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</si>
  <si>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</si>
  <si>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</si>
  <si>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</si>
  <si>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</si>
  <si>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</si>
  <si>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</si>
  <si>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</si>
  <si>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</si>
  <si>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</si>
  <si>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</si>
  <si>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</si>
  <si>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</si>
  <si>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</si>
  <si>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</si>
  <si>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</si>
  <si>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</si>
  <si>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</si>
  <si>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</si>
  <si>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</si>
  <si>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</si>
  <si>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</si>
  <si>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</si>
  <si>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</si>
  <si>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</si>
  <si>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</si>
  <si>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</si>
  <si>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</si>
  <si>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</si>
  <si>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</si>
  <si>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</si>
  <si>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</si>
  <si>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</si>
  <si>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</si>
  <si>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</si>
  <si>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</si>
  <si>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</si>
  <si>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</si>
  <si>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</si>
  <si>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</si>
  <si>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</si>
  <si>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</si>
  <si>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</si>
  <si>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</si>
  <si>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</si>
  <si>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</si>
  <si>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</si>
  <si>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</si>
  <si>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</si>
  <si>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</si>
  <si>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</si>
  <si>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</si>
  <si>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</si>
  <si>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</si>
  <si>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</si>
  <si>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</si>
  <si>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</si>
  <si>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</si>
  <si>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</si>
  <si>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</si>
  <si>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</si>
  <si>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</si>
  <si>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</si>
  <si>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</si>
  <si>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</si>
  <si>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</si>
  <si>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</si>
  <si>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</si>
  <si>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</si>
  <si>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</si>
  <si>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</si>
  <si>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</si>
  <si>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</si>
  <si>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</si>
  <si>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</si>
  <si>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</si>
  <si>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</si>
  <si>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</si>
  <si>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</si>
  <si>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</si>
  <si>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</si>
  <si>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</si>
  <si>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</si>
  <si>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</si>
  <si>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</si>
  <si>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</si>
  <si>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</si>
  <si>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</si>
  <si>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</si>
  <si>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</si>
  <si>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</si>
  <si>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</si>
  <si>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</si>
  <si>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</si>
  <si>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</si>
  <si>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</si>
  <si>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</si>
  <si>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</si>
  <si>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</si>
  <si>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</si>
  <si>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</si>
  <si>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</si>
  <si>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</si>
  <si>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</si>
  <si>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</si>
  <si>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</si>
  <si>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</si>
  <si>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</si>
  <si>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</si>
  <si>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</si>
  <si>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</si>
  <si>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</si>
  <si>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</si>
  <si>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</si>
  <si>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</si>
  <si>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</si>
  <si>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</si>
  <si>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</si>
  <si>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</si>
  <si>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</si>
  <si>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</si>
  <si>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</si>
  <si>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</si>
  <si>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</si>
  <si>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</si>
  <si>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</si>
  <si>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</si>
  <si>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</si>
  <si>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</si>
  <si>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</si>
  <si>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</si>
  <si>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</si>
  <si>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</si>
  <si>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</si>
  <si>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</si>
  <si>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</si>
  <si>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</si>
  <si>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</si>
  <si>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</si>
  <si>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</si>
  <si>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</si>
  <si>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</si>
  <si>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</si>
  <si>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</si>
  <si>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</si>
  <si>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</si>
  <si>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</si>
  <si>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</si>
  <si>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</si>
  <si>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</si>
  <si>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</si>
  <si>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</si>
  <si>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</si>
  <si>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</si>
  <si>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</si>
  <si>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</si>
  <si>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</si>
  <si>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</si>
  <si>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</si>
  <si>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</si>
  <si>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</si>
  <si>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</si>
  <si>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</si>
  <si>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DIRECCION DE GESTION DEL RIESGO</t>
  </si>
  <si>
    <t>SURA</t>
  </si>
  <si>
    <t>Actas y diligenciamiento de base.</t>
  </si>
  <si>
    <t xml:space="preserve">Actas </t>
  </si>
  <si>
    <t>Magnético</t>
  </si>
  <si>
    <t xml:space="preserve">Actas y base </t>
  </si>
  <si>
    <t>Actas</t>
  </si>
  <si>
    <t>2. Sistematizar información recolectada en las herramientas y/o aplicativos establecidos para tal fin</t>
  </si>
  <si>
    <t>3. Diseñar piezas comunicativas
de acuerdo a las necesidades identificadas. Imprentar puestas en escenas artísticas, según necesidad de la población.</t>
  </si>
  <si>
    <t>4. Realizar recorridos en espacio público a fin de logar
sensibilización y adopción de prácticas de cuidado y autocuidado</t>
  </si>
  <si>
    <t>5. Implementar estrategias de recuperación de puntos críticos en salud socio ambiental.</t>
  </si>
  <si>
    <t>6. Adherirse al proceso
de gestión documental, en la organización y custodia de los documentos generados</t>
  </si>
  <si>
    <t>7. Cumplir con la disponibilidad asignada, acuerdo al portafolio de servicios de la E.S.E</t>
  </si>
  <si>
    <t>8.
Las demás acciones que se requieren de acuerdo a las necesidades de la Institución y del PIC.</t>
  </si>
  <si>
    <t>1. Diligenciar formatos de recolección de información a partir de la
observación socio-ambiental del entornC100:L107o</t>
  </si>
  <si>
    <t xml:space="preserve">JEISON RODRIGO PARRA  TRIANA </t>
  </si>
  <si>
    <t>LIDER  DE PROCESO</t>
  </si>
  <si>
    <t>GESTORA COMUNITARIA</t>
  </si>
  <si>
    <t>MAYO</t>
  </si>
  <si>
    <t>envio de piesas comunicativas  distritales y videos alusivos a discapacidad   de la estrategia  rbc soprte social</t>
  </si>
  <si>
    <t>OLGA MENDOZA VARGAS</t>
  </si>
  <si>
    <t>olgamendoza.vargas.1971@gmail.com</t>
  </si>
  <si>
    <t>COLPENSIONES</t>
  </si>
  <si>
    <t>COMPENSAR</t>
  </si>
  <si>
    <t>JUNIO</t>
  </si>
  <si>
    <t>Realizar cronograma.  articulacion con lideres comunales para darles a conocer los servicios de acogidas,prevencion de sustancias psicoactivas,se realizan  listados a 20 personas para las pruebas covid,para hacer enganche para que participen en sesiones con el psicologo,trabajo social y enfermera,y jornadas de prevencion del uso de acohol, e dientificacion de personas cronicas y salud mental seguimientos mediante medios tecnológicos como  llamadas telefónicas y convocatoria para las sesiones programadas de los profesionales.</t>
  </si>
  <si>
    <t>Lectura de lineamientos ,Realizar cronograma, alistamiento revisión de base de datos de registro y caracterización,base de datos de fortalecimiento ,lideres y lideresas  en general   para  llamar  y coordinar los  grupos de gestores y lideres de familia  de la localidad de  Usme, ciudad bolivar, tunjuelito  , con el fin de identificar personas cronicas y personas en riesgo de salud mental</t>
  </si>
  <si>
    <t>Se organiza y presenta los soportes debidamente diligenciados.</t>
  </si>
  <si>
    <t>no se presenta ninguna eventualidad</t>
  </si>
  <si>
    <t>i) Informar oportunamente sobre cualquier eventualidad que interfiera en el cumplimiento de los objetivos establecidos.</t>
  </si>
  <si>
    <t>j) Desarrollar acciones relacionadas con la promoción de la salud a traves de las estrategias colectivas para la construcción de ciudad y ciudadanía, y el mejoramiento de las condiciones de calidad desde la diversidad poblacional, para el fortalecimiento de redes protectoras y promotoras de la salud.</t>
  </si>
  <si>
    <t>no aplica</t>
  </si>
  <si>
    <t>Se realizan recorridos de identificacion y accionesde concertacion de espacios,para las estrategias de prevencion y promocion en covid_19,identofocar el riesgo en la salud.Lectura de lineamientos,realizar cronograma,alistamineto y revisionde bases de datos,localizar lideres y lideresasen general para llamry coordinar los grupos de gestantes y lactantres,de la localidad de usme tunjuelito y ciudad bolivar con el fin de identificar personas cronicas y persona en riesgo de salud mental.</t>
  </si>
  <si>
    <t>se realizan recorridosde identificaciony acciones de enganche ,concertacionde espaciosy desarrollar accionesde prevencion en riesgo psicologico a madres maternas.</t>
  </si>
  <si>
    <t>se realiza entrega de actas del mes acorde a las acciones desarrolladaas,se lleva a cabo acompañamiento en las actividades en grupos con los psicologos, teniendo encuenta,los protocolos de bioseguridad y las necesidades de apoyo, mediante la identificaciony seguimineto a cada una de las familias.</t>
  </si>
  <si>
    <t>se realizan seguiminetosa os procesos de prevencion  del covid_19 a poblacion de personas en riesgo psicologico a madres lactantes.</t>
  </si>
  <si>
    <t>se realizan llamadas telefonicas, y via whatssap,donde se envian piesas comunicativas  las persona en riesgo  en salud mental que orienten frente ala prevencion y mitigacion del COVID_19.</t>
  </si>
  <si>
    <t xml:space="preserve">ENTORNO COMUNITARIO </t>
  </si>
  <si>
    <t>Realimentar el cronograma del mes de Julio y enviar proyeccion del cronograma del mes de Agosto 2021</t>
  </si>
  <si>
    <t>JULIO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</si>
</sst>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 numFmtId="174" formatCode="_-&quot;$&quot;* #,##0_-;\-&quot;$&quot;* #,##0_-;_-&quot;$&quot;* &quot;-&quot;_-;_-@"/>
  </numFmts>
  <fonts count="4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8"/>
      <color rgb="FF000000"/>
      <name val="Calibri"/>
      <family val="2"/>
    </font>
    <font>
      <sz val="11"/>
      <name val="Arial"/>
      <family val="2"/>
    </font>
    <font>
      <sz val="9"/>
      <color rgb="FF000000"/>
      <name val="Calibri"/>
      <family val="2"/>
    </font>
    <font>
      <b/>
      <sz val="9"/>
      <color rgb="FF000000"/>
      <name val="Calibri"/>
      <family val="2"/>
    </font>
    <font>
      <b/>
      <sz val="9"/>
      <color theme="1"/>
      <name val="Calibri"/>
      <family val="2"/>
    </font>
    <font>
      <b/>
      <sz val="13"/>
      <color rgb="FF000000"/>
      <name val="Calibri"/>
      <family val="2"/>
    </font>
    <font>
      <sz val="11"/>
      <color rgb="FF000000"/>
      <name val="Calibri"/>
      <family val="2"/>
    </font>
    <font>
      <sz val="8"/>
      <color rgb="FF000000"/>
      <name val="Calibri"/>
      <family val="2"/>
    </font>
    <font>
      <sz val="11"/>
      <name val="Arial"/>
      <family val="2"/>
    </font>
    <font>
      <sz val="9"/>
      <color rgb="FF000000"/>
      <name val="Calibri"/>
      <family val="2"/>
    </font>
  </fonts>
  <fills count="11">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
      <patternFill patternType="solid">
        <fgColor rgb="FFFFFFFF"/>
        <bgColor rgb="FFFFFFFF"/>
      </patternFill>
    </fill>
  </fills>
  <borders count="8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s>
  <cellStyleXfs count="2">
    <xf numFmtId="0" fontId="0" fillId="0" borderId="0"/>
    <xf numFmtId="0" fontId="16" fillId="0" borderId="0" applyNumberFormat="0" applyFill="0" applyBorder="0" applyAlignment="0" applyProtection="0"/>
  </cellStyleXfs>
  <cellXfs count="483">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74" fontId="41" fillId="0" borderId="72" xfId="0" applyNumberFormat="1" applyFont="1" applyBorder="1" applyAlignment="1" applyProtection="1">
      <alignment horizontal="left" vertical="center" wrapText="1"/>
      <protection locked="0"/>
    </xf>
    <xf numFmtId="0" fontId="31" fillId="0" borderId="73" xfId="0" applyFont="1" applyBorder="1" applyAlignment="1" applyProtection="1">
      <alignment horizontal="center" vertical="center" wrapText="1"/>
      <protection locked="0"/>
    </xf>
    <xf numFmtId="0" fontId="31" fillId="0" borderId="74" xfId="0" applyFont="1" applyBorder="1" applyAlignment="1" applyProtection="1">
      <alignment horizontal="center" vertical="center" wrapText="1"/>
      <protection locked="0"/>
    </xf>
    <xf numFmtId="172" fontId="48" fillId="10" borderId="86" xfId="0" applyNumberFormat="1" applyFont="1" applyFill="1" applyBorder="1" applyAlignment="1" applyProtection="1">
      <alignment horizontal="center" vertical="center" wrapText="1"/>
      <protection locked="0"/>
    </xf>
    <xf numFmtId="172" fontId="48" fillId="0" borderId="71" xfId="0" applyNumberFormat="1" applyFont="1" applyBorder="1" applyAlignment="1" applyProtection="1">
      <alignment horizontal="center" vertical="center" wrapText="1"/>
      <protection locked="0"/>
    </xf>
    <xf numFmtId="0" fontId="48" fillId="0" borderId="71" xfId="0" applyFont="1" applyBorder="1" applyAlignment="1" applyProtection="1">
      <alignment horizontal="center" vertical="center" wrapText="1"/>
      <protection locked="0"/>
    </xf>
    <xf numFmtId="174" fontId="48" fillId="0" borderId="71" xfId="0" applyNumberFormat="1" applyFont="1" applyBorder="1" applyAlignment="1" applyProtection="1">
      <alignment horizontal="left" vertical="center" wrapText="1"/>
      <protection locked="0"/>
    </xf>
    <xf numFmtId="172" fontId="48" fillId="10" borderId="70" xfId="0" applyNumberFormat="1" applyFont="1" applyFill="1" applyBorder="1" applyAlignment="1" applyProtection="1">
      <alignment horizontal="center" vertical="center" wrapText="1"/>
      <protection locked="0"/>
    </xf>
    <xf numFmtId="172" fontId="48" fillId="0" borderId="72" xfId="0" applyNumberFormat="1" applyFont="1" applyBorder="1" applyAlignment="1" applyProtection="1">
      <alignment horizontal="center" vertical="center" wrapText="1"/>
      <protection locked="0"/>
    </xf>
    <xf numFmtId="0" fontId="48" fillId="0" borderId="72" xfId="0" applyFont="1" applyBorder="1" applyAlignment="1" applyProtection="1">
      <alignment horizontal="center" vertical="center" wrapText="1"/>
      <protection locked="0"/>
    </xf>
    <xf numFmtId="174" fontId="48" fillId="0" borderId="72" xfId="0" applyNumberFormat="1" applyFont="1" applyBorder="1" applyAlignment="1" applyProtection="1">
      <alignment horizontal="left" vertical="center" wrapText="1"/>
      <protection locked="0"/>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74" fontId="43" fillId="0" borderId="67" xfId="0" applyNumberFormat="1" applyFont="1" applyBorder="1" applyAlignment="1" applyProtection="1">
      <alignment horizontal="center" vertical="center" wrapText="1"/>
      <protection locked="0"/>
    </xf>
    <xf numFmtId="0" fontId="40" fillId="0" borderId="69" xfId="0" applyFont="1" applyBorder="1" applyProtection="1">
      <protection locked="0"/>
    </xf>
    <xf numFmtId="174" fontId="42" fillId="0" borderId="67" xfId="0" applyNumberFormat="1"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9" fillId="10" borderId="79" xfId="0" applyFont="1" applyFill="1" applyBorder="1" applyAlignment="1" applyProtection="1">
      <alignment horizontal="center" vertical="center" wrapText="1" shrinkToFit="1"/>
      <protection locked="0"/>
    </xf>
    <xf numFmtId="0" fontId="40" fillId="0" borderId="79" xfId="0" applyFont="1" applyBorder="1" applyAlignment="1" applyProtection="1">
      <alignment wrapText="1"/>
      <protection locked="0"/>
    </xf>
    <xf numFmtId="0" fontId="40" fillId="0" borderId="80" xfId="0" applyFont="1" applyBorder="1" applyAlignment="1" applyProtection="1">
      <alignment wrapText="1"/>
      <protection locked="0"/>
    </xf>
    <xf numFmtId="0" fontId="39" fillId="10" borderId="78" xfId="0" applyFont="1" applyFill="1" applyBorder="1" applyAlignment="1" applyProtection="1">
      <alignment horizontal="center" vertical="center" wrapText="1" shrinkToFit="1"/>
      <protection locked="0"/>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43" fillId="0" borderId="75" xfId="0" applyFont="1" applyBorder="1" applyAlignment="1" applyProtection="1">
      <alignment horizontal="center" vertical="center" wrapText="1"/>
      <protection locked="0"/>
    </xf>
    <xf numFmtId="0" fontId="40" fillId="0" borderId="68" xfId="0" applyFont="1" applyBorder="1" applyProtection="1">
      <protection locked="0"/>
    </xf>
    <xf numFmtId="0" fontId="40" fillId="0" borderId="70" xfId="0" applyFont="1" applyBorder="1" applyProtection="1">
      <protection locked="0"/>
    </xf>
    <xf numFmtId="0" fontId="46" fillId="10" borderId="83" xfId="0" applyFont="1" applyFill="1" applyBorder="1" applyAlignment="1" applyProtection="1">
      <alignment horizontal="center" vertical="center" wrapText="1"/>
      <protection locked="0"/>
    </xf>
    <xf numFmtId="0" fontId="46" fillId="10" borderId="84" xfId="0" applyFont="1" applyFill="1" applyBorder="1" applyAlignment="1" applyProtection="1">
      <alignment horizontal="center" vertical="center" wrapText="1"/>
      <protection locked="0"/>
    </xf>
    <xf numFmtId="0" fontId="46" fillId="10" borderId="85" xfId="0" applyFont="1" applyFill="1" applyBorder="1" applyAlignment="1" applyProtection="1">
      <alignment horizontal="center" vertical="center" wrapText="1"/>
      <protection locked="0"/>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46" fillId="10" borderId="78" xfId="0" applyFont="1" applyFill="1" applyBorder="1" applyAlignment="1" applyProtection="1">
      <alignment horizontal="center" vertical="center" shrinkToFit="1"/>
      <protection locked="0"/>
    </xf>
    <xf numFmtId="0" fontId="47" fillId="0" borderId="79" xfId="0" applyFont="1" applyBorder="1" applyProtection="1">
      <protection locked="0"/>
    </xf>
    <xf numFmtId="0" fontId="47" fillId="0" borderId="80" xfId="0" applyFont="1" applyBorder="1" applyProtection="1">
      <protection locked="0"/>
    </xf>
    <xf numFmtId="0" fontId="39" fillId="10" borderId="78" xfId="0" applyFont="1" applyFill="1" applyBorder="1" applyAlignment="1" applyProtection="1">
      <alignment horizontal="center" vertical="center" shrinkToFit="1"/>
      <protection locked="0"/>
    </xf>
    <xf numFmtId="0" fontId="40" fillId="0" borderId="79" xfId="0" applyFont="1" applyBorder="1" applyProtection="1">
      <protection locked="0"/>
    </xf>
    <xf numFmtId="0" fontId="40" fillId="0" borderId="80" xfId="0" applyFont="1" applyBorder="1" applyProtection="1">
      <protection locked="0"/>
    </xf>
    <xf numFmtId="0" fontId="46" fillId="10" borderId="78" xfId="0" applyFont="1" applyFill="1" applyBorder="1" applyAlignment="1" applyProtection="1">
      <alignment horizontal="center" vertical="center" wrapText="1" shrinkToFit="1"/>
      <protection locked="0"/>
    </xf>
    <xf numFmtId="0" fontId="46" fillId="10" borderId="79" xfId="0" applyFont="1" applyFill="1" applyBorder="1" applyAlignment="1" applyProtection="1">
      <alignment horizontal="center" vertical="center" wrapText="1" shrinkToFit="1"/>
      <protection locked="0"/>
    </xf>
    <xf numFmtId="0" fontId="46" fillId="10" borderId="81" xfId="0" applyFont="1" applyFill="1" applyBorder="1" applyAlignment="1" applyProtection="1">
      <alignment horizontal="center" vertical="center" wrapText="1" shrinkToFit="1"/>
      <protection locked="0"/>
    </xf>
    <xf numFmtId="0" fontId="46" fillId="10" borderId="82" xfId="0" applyFont="1" applyFill="1" applyBorder="1" applyAlignment="1" applyProtection="1">
      <alignment horizontal="center" vertical="center" wrapText="1"/>
      <protection locked="0"/>
    </xf>
    <xf numFmtId="0" fontId="46" fillId="10" borderId="79" xfId="0" applyFont="1" applyFill="1" applyBorder="1" applyAlignment="1" applyProtection="1">
      <alignment horizontal="center" vertical="center" wrapText="1"/>
      <protection locked="0"/>
    </xf>
    <xf numFmtId="0" fontId="46" fillId="10" borderId="80" xfId="0" applyFont="1" applyFill="1" applyBorder="1" applyAlignment="1" applyProtection="1">
      <alignment horizontal="center" vertical="center" wrapText="1"/>
      <protection locked="0"/>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9" fillId="0" borderId="78" xfId="0" applyFont="1" applyBorder="1" applyAlignment="1" applyProtection="1">
      <alignment horizontal="center" vertical="center" wrapText="1"/>
      <protection locked="0"/>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74" fontId="44" fillId="10" borderId="78" xfId="0" applyNumberFormat="1" applyFont="1" applyFill="1" applyBorder="1" applyAlignment="1" applyProtection="1">
      <alignment horizontal="center" vertical="center" wrapText="1"/>
      <protection locked="0"/>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9" fillId="0" borderId="67" xfId="0" applyNumberFormat="1" applyFont="1" applyBorder="1" applyAlignment="1" applyProtection="1">
      <alignment horizontal="left" vertical="center"/>
      <protection locked="0"/>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 fillId="0" borderId="25" xfId="0" applyFont="1" applyBorder="1" applyAlignment="1" applyProtection="1">
      <alignment horizontal="left" vertical="center"/>
      <protection locked="0" hidden="1"/>
    </xf>
    <xf numFmtId="0" fontId="3" fillId="0" borderId="19"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3" fontId="39" fillId="0" borderId="67" xfId="0" applyNumberFormat="1" applyFont="1" applyBorder="1" applyAlignment="1" applyProtection="1">
      <alignment horizontal="left" vertical="center"/>
      <protection locked="0"/>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0" fontId="45" fillId="0" borderId="78" xfId="0" applyFont="1" applyBorder="1" applyAlignment="1" applyProtection="1">
      <alignment vertical="center"/>
      <protection locked="0"/>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74" fontId="43" fillId="0" borderId="76" xfId="0" applyNumberFormat="1" applyFont="1" applyBorder="1" applyAlignment="1" applyProtection="1">
      <alignment horizontal="center" vertical="center" wrapText="1"/>
      <protection locked="0"/>
    </xf>
    <xf numFmtId="0" fontId="40" fillId="0" borderId="77" xfId="0" applyFont="1" applyBorder="1" applyProtection="1">
      <protection locked="0"/>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0" fontId="42" fillId="0" borderId="75" xfId="0" applyFont="1" applyBorder="1" applyAlignment="1" applyProtection="1">
      <alignment horizontal="center" vertical="center" wrapText="1"/>
      <protection locked="0"/>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0" fontId="47" fillId="0" borderId="79" xfId="0" applyFont="1" applyBorder="1" applyAlignment="1" applyProtection="1">
      <alignment wrapText="1"/>
      <protection locked="0"/>
    </xf>
    <xf numFmtId="0" fontId="47" fillId="0" borderId="80" xfId="0" applyFont="1" applyBorder="1" applyAlignment="1" applyProtection="1">
      <alignment wrapText="1"/>
      <protection locked="0"/>
    </xf>
  </cellXfs>
  <cellStyles count="2">
    <cellStyle name="Hipervínculo" xfId="1" builtinId="8"/>
    <cellStyle name="Normal" xfId="0" builtinId="0"/>
  </cellStyles>
  <dxfs count="55">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patternType="solid">
          <fgColor rgb="FFFF0000"/>
          <bgColor rgb="FFFF0000"/>
        </patternFill>
      </fill>
    </dxf>
    <dxf>
      <font>
        <color auto="1"/>
      </font>
      <fill>
        <patternFill>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E36C09"/>
          <bgColor rgb="FFE36C09"/>
        </patternFill>
      </fill>
    </dxf>
    <dxf>
      <fill>
        <patternFill patternType="solid">
          <fgColor rgb="FFE36C09"/>
          <bgColor rgb="FFE36C09"/>
        </patternFill>
      </fill>
    </dxf>
    <dxf>
      <fill>
        <patternFill patternType="solid">
          <fgColor rgb="FFFF0000"/>
          <bgColor rgb="FFFF0000"/>
        </patternFill>
      </fill>
    </dxf>
    <dxf>
      <font>
        <b/>
      </font>
      <fill>
        <patternFill patternType="solid">
          <fgColor rgb="FFFF0000"/>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77" zoomScaleNormal="77" zoomScaleSheetLayoutView="100" workbookViewId="0">
      <pane xSplit="1" ySplit="5" topLeftCell="B110" activePane="bottomRight" state="frozen"/>
      <selection pane="topRight" activeCell="B1" sqref="B1"/>
      <selection pane="bottomLeft" activeCell="A6" sqref="A6"/>
      <selection pane="bottomRight" activeCell="C118" sqref="C11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25"/>
    <row r="2" spans="2:15" ht="27.95" customHeight="1" thickBot="1" x14ac:dyDescent="0.3">
      <c r="B2" s="371"/>
      <c r="C2" s="372"/>
      <c r="D2" s="372"/>
      <c r="E2" s="372"/>
      <c r="F2" s="373"/>
      <c r="G2" s="377" t="s">
        <v>0</v>
      </c>
      <c r="H2" s="377"/>
      <c r="I2" s="377"/>
      <c r="J2" s="377"/>
      <c r="K2" s="377"/>
      <c r="L2" s="377"/>
      <c r="M2" s="377"/>
      <c r="N2" s="377"/>
      <c r="O2" s="377"/>
    </row>
    <row r="3" spans="2:15" ht="27.95" customHeight="1" thickBot="1" x14ac:dyDescent="0.3">
      <c r="B3" s="374"/>
      <c r="C3" s="375"/>
      <c r="D3" s="375"/>
      <c r="E3" s="375"/>
      <c r="F3" s="376"/>
      <c r="G3" s="382" t="s">
        <v>708</v>
      </c>
      <c r="H3" s="383"/>
      <c r="I3" s="383"/>
      <c r="J3" s="383"/>
      <c r="K3" s="383"/>
      <c r="L3" s="383"/>
      <c r="M3" s="384"/>
      <c r="N3" s="377" t="s">
        <v>1496</v>
      </c>
      <c r="O3" s="381"/>
    </row>
    <row r="4" spans="2:15" ht="3" customHeight="1" thickBot="1" x14ac:dyDescent="0.25">
      <c r="B4" s="28"/>
      <c r="C4" s="3"/>
      <c r="D4" s="3"/>
      <c r="E4" s="3"/>
      <c r="F4" s="3"/>
      <c r="G4" s="3"/>
      <c r="H4" s="3"/>
      <c r="I4" s="3"/>
      <c r="J4" s="3"/>
      <c r="K4" s="3"/>
      <c r="L4" s="3"/>
      <c r="M4" s="3"/>
      <c r="N4" s="3"/>
      <c r="O4" s="4"/>
    </row>
    <row r="5" spans="2:15" ht="22.5" customHeight="1" thickBot="1" x14ac:dyDescent="0.25">
      <c r="B5" s="206" t="s">
        <v>1</v>
      </c>
      <c r="C5" s="206"/>
      <c r="D5" s="206"/>
      <c r="E5" s="206"/>
      <c r="F5" s="206"/>
      <c r="G5" s="206"/>
      <c r="H5" s="206"/>
      <c r="I5" s="206"/>
      <c r="J5" s="206"/>
      <c r="K5" s="206"/>
      <c r="L5" s="206"/>
      <c r="M5" s="206"/>
      <c r="N5" s="206"/>
      <c r="O5" s="206"/>
    </row>
    <row r="6" spans="2:15" ht="12" customHeight="1" x14ac:dyDescent="0.2">
      <c r="B6" s="365" t="s">
        <v>1442</v>
      </c>
      <c r="C6" s="366"/>
      <c r="D6" s="366"/>
      <c r="E6" s="366"/>
      <c r="F6" s="367"/>
      <c r="G6" s="1" t="s">
        <v>2</v>
      </c>
      <c r="H6" s="385">
        <v>44378</v>
      </c>
      <c r="I6" s="386"/>
      <c r="J6" s="386"/>
      <c r="K6" s="1" t="s">
        <v>3</v>
      </c>
      <c r="L6" s="385">
        <v>44408</v>
      </c>
      <c r="M6" s="387"/>
      <c r="N6" s="387"/>
      <c r="O6" s="388"/>
    </row>
    <row r="7" spans="2:15" ht="12" customHeight="1" x14ac:dyDescent="0.2">
      <c r="B7" s="351" t="s">
        <v>4</v>
      </c>
      <c r="C7" s="352"/>
      <c r="D7" s="352"/>
      <c r="E7" s="352"/>
      <c r="F7" s="353"/>
      <c r="G7" s="378" t="s">
        <v>1517</v>
      </c>
      <c r="H7" s="379"/>
      <c r="I7" s="379"/>
      <c r="J7" s="380"/>
      <c r="K7" s="2" t="s">
        <v>5</v>
      </c>
      <c r="L7" s="389">
        <v>39799558</v>
      </c>
      <c r="M7" s="262"/>
      <c r="N7" s="262"/>
      <c r="O7" s="234"/>
    </row>
    <row r="8" spans="2:15" ht="12" customHeight="1" x14ac:dyDescent="0.2">
      <c r="B8" s="351" t="s">
        <v>635</v>
      </c>
      <c r="C8" s="352"/>
      <c r="D8" s="352"/>
      <c r="E8" s="352"/>
      <c r="F8" s="353"/>
      <c r="G8" s="354" t="s">
        <v>1518</v>
      </c>
      <c r="H8" s="355"/>
      <c r="I8" s="355"/>
      <c r="J8" s="355"/>
      <c r="K8" s="2" t="s">
        <v>641</v>
      </c>
      <c r="L8" s="356">
        <v>3112437015</v>
      </c>
      <c r="M8" s="262"/>
      <c r="N8" s="262"/>
      <c r="O8" s="234"/>
    </row>
    <row r="9" spans="2:15" ht="12" customHeight="1" x14ac:dyDescent="0.2">
      <c r="B9" s="351" t="s">
        <v>1483</v>
      </c>
      <c r="C9" s="352"/>
      <c r="D9" s="352"/>
      <c r="E9" s="352"/>
      <c r="F9" s="353"/>
      <c r="G9" s="203"/>
      <c r="H9" s="204"/>
      <c r="I9" s="204"/>
      <c r="J9" s="205"/>
      <c r="K9" s="2" t="s">
        <v>1481</v>
      </c>
      <c r="L9" s="148"/>
      <c r="M9" s="149"/>
      <c r="N9" s="2" t="s">
        <v>1482</v>
      </c>
      <c r="O9" s="151"/>
    </row>
    <row r="10" spans="2:15" ht="12" customHeight="1" x14ac:dyDescent="0.2">
      <c r="B10" s="351" t="s">
        <v>1489</v>
      </c>
      <c r="C10" s="352"/>
      <c r="D10" s="352"/>
      <c r="E10" s="352"/>
      <c r="F10" s="353"/>
      <c r="G10" s="203" t="s">
        <v>1512</v>
      </c>
      <c r="H10" s="204"/>
      <c r="I10" s="204"/>
      <c r="J10" s="205"/>
      <c r="K10" s="2" t="s">
        <v>1485</v>
      </c>
      <c r="L10" s="131" t="s">
        <v>1513</v>
      </c>
      <c r="M10" s="132"/>
      <c r="N10" s="2" t="s">
        <v>1486</v>
      </c>
      <c r="O10" s="133">
        <v>6070</v>
      </c>
    </row>
    <row r="11" spans="2:15" ht="12" customHeight="1" thickBot="1" x14ac:dyDescent="0.3">
      <c r="B11" s="369" t="s">
        <v>1484</v>
      </c>
      <c r="C11" s="370"/>
      <c r="D11" s="370"/>
      <c r="E11" s="370"/>
      <c r="F11" s="370"/>
      <c r="G11" s="203"/>
      <c r="H11" s="204"/>
      <c r="I11" s="204"/>
      <c r="J11" s="205"/>
      <c r="K11" s="2" t="s">
        <v>1481</v>
      </c>
      <c r="L11" s="148"/>
      <c r="M11" s="149"/>
      <c r="N11" s="2" t="s">
        <v>1487</v>
      </c>
      <c r="O11" s="150"/>
    </row>
    <row r="12" spans="2:15" ht="12" customHeight="1" thickBot="1" x14ac:dyDescent="0.25">
      <c r="B12" s="369" t="s">
        <v>1490</v>
      </c>
      <c r="C12" s="370"/>
      <c r="D12" s="370"/>
      <c r="E12" s="370"/>
      <c r="F12" s="370"/>
      <c r="G12" s="461"/>
      <c r="H12" s="462"/>
      <c r="I12" s="462"/>
      <c r="J12" s="463"/>
      <c r="K12" s="2" t="s">
        <v>1485</v>
      </c>
      <c r="L12" s="145"/>
      <c r="M12" s="146"/>
      <c r="N12" s="2" t="s">
        <v>1486</v>
      </c>
      <c r="O12" s="147"/>
    </row>
    <row r="13" spans="2:15" ht="21.75" customHeight="1" thickBot="1" x14ac:dyDescent="0.25">
      <c r="B13" s="206" t="s">
        <v>7</v>
      </c>
      <c r="C13" s="206"/>
      <c r="D13" s="206"/>
      <c r="E13" s="206"/>
      <c r="F13" s="206"/>
      <c r="G13" s="206"/>
      <c r="H13" s="206"/>
      <c r="I13" s="206"/>
      <c r="J13" s="206"/>
      <c r="K13" s="206"/>
      <c r="L13" s="206"/>
      <c r="M13" s="206"/>
      <c r="N13" s="206"/>
      <c r="O13" s="206"/>
    </row>
    <row r="14" spans="2:15" ht="15" customHeight="1" thickBot="1" x14ac:dyDescent="0.3">
      <c r="B14" s="365" t="s">
        <v>8</v>
      </c>
      <c r="C14" s="366"/>
      <c r="D14" s="366"/>
      <c r="E14" s="366"/>
      <c r="F14" s="367"/>
      <c r="G14" s="363">
        <v>6054</v>
      </c>
      <c r="H14" s="364"/>
      <c r="I14" s="1" t="s">
        <v>9</v>
      </c>
      <c r="J14" s="92">
        <v>2021</v>
      </c>
      <c r="K14" s="359" t="s">
        <v>1478</v>
      </c>
      <c r="L14" s="360"/>
      <c r="M14" s="357">
        <v>1076</v>
      </c>
      <c r="N14" s="358"/>
      <c r="O14" s="358"/>
    </row>
    <row r="15" spans="2:15" ht="15" customHeight="1" thickBot="1" x14ac:dyDescent="0.25">
      <c r="B15" s="291" t="s">
        <v>636</v>
      </c>
      <c r="C15" s="292"/>
      <c r="D15" s="292"/>
      <c r="E15" s="292"/>
      <c r="F15" s="292"/>
      <c r="G15" s="293" t="s">
        <v>1514</v>
      </c>
      <c r="H15" s="294"/>
      <c r="I15" s="294"/>
      <c r="J15" s="294"/>
      <c r="K15" s="294"/>
      <c r="L15" s="294"/>
      <c r="M15" s="294"/>
      <c r="N15" s="294"/>
      <c r="O15" s="295"/>
    </row>
    <row r="16" spans="2:15" ht="15" customHeight="1" thickBot="1" x14ac:dyDescent="0.25">
      <c r="B16" s="291" t="s">
        <v>1476</v>
      </c>
      <c r="C16" s="292"/>
      <c r="D16" s="292"/>
      <c r="E16" s="292"/>
      <c r="F16" s="292"/>
      <c r="G16" s="200" t="s">
        <v>1497</v>
      </c>
      <c r="H16" s="201"/>
      <c r="I16" s="201"/>
      <c r="J16" s="201"/>
      <c r="K16" s="201"/>
      <c r="L16" s="201"/>
      <c r="M16" s="201"/>
      <c r="N16" s="201"/>
      <c r="O16" s="202"/>
    </row>
    <row r="17" spans="2:19" ht="15" customHeight="1" thickBot="1" x14ac:dyDescent="0.25">
      <c r="B17" s="291" t="s">
        <v>1477</v>
      </c>
      <c r="C17" s="292"/>
      <c r="D17" s="292"/>
      <c r="E17" s="292"/>
      <c r="F17" s="292"/>
      <c r="G17" s="200" t="s">
        <v>1534</v>
      </c>
      <c r="H17" s="201"/>
      <c r="I17" s="201"/>
      <c r="J17" s="201"/>
      <c r="K17" s="201"/>
      <c r="L17" s="201"/>
      <c r="M17" s="201"/>
      <c r="N17" s="201"/>
      <c r="O17" s="202"/>
    </row>
    <row r="18" spans="2:19" ht="21" customHeight="1" thickBot="1" x14ac:dyDescent="0.3">
      <c r="B18" s="206" t="s">
        <v>1061</v>
      </c>
      <c r="C18" s="206"/>
      <c r="D18" s="206"/>
      <c r="E18" s="206"/>
      <c r="F18" s="206"/>
      <c r="G18" s="206"/>
      <c r="H18" s="206"/>
      <c r="I18" s="206"/>
      <c r="J18" s="206"/>
      <c r="K18" s="206"/>
      <c r="L18" s="206"/>
      <c r="M18" s="206"/>
      <c r="N18" s="206"/>
      <c r="O18" s="206"/>
    </row>
    <row r="19" spans="2:19" ht="33" customHeight="1" thickBot="1" x14ac:dyDescent="0.2">
      <c r="B19" s="361" t="s">
        <v>642</v>
      </c>
      <c r="C19" s="361"/>
      <c r="D19" s="361"/>
      <c r="E19" s="362"/>
      <c r="F19" s="362"/>
      <c r="G19" s="362"/>
      <c r="H19" s="91" t="s">
        <v>1065</v>
      </c>
      <c r="I19" s="91" t="s">
        <v>645</v>
      </c>
      <c r="J19" s="33" t="s">
        <v>1396</v>
      </c>
      <c r="K19" s="33" t="s">
        <v>1473</v>
      </c>
      <c r="L19" s="115" t="s">
        <v>643</v>
      </c>
      <c r="M19" s="207" t="s">
        <v>11</v>
      </c>
      <c r="N19" s="208"/>
      <c r="O19" s="91" t="s">
        <v>644</v>
      </c>
      <c r="Q19" s="14">
        <f>+COUNTIF(TOTPORC,"&gt;0")</f>
        <v>1</v>
      </c>
    </row>
    <row r="20" spans="2:19" ht="18" customHeight="1" x14ac:dyDescent="0.15">
      <c r="B20" s="57" t="s">
        <v>1393</v>
      </c>
      <c r="C20" s="77"/>
      <c r="D20" s="77"/>
      <c r="E20" s="48"/>
      <c r="F20" s="48"/>
      <c r="G20" s="64" t="s">
        <v>1495</v>
      </c>
      <c r="H20" s="368"/>
      <c r="I20" s="210"/>
      <c r="J20" s="210"/>
      <c r="K20" s="210"/>
      <c r="L20" s="210"/>
      <c r="M20" s="210"/>
      <c r="N20" s="210"/>
      <c r="O20" s="211"/>
      <c r="Q20" s="14">
        <f>+SUM(TOTAMB)</f>
        <v>0</v>
      </c>
      <c r="S20" s="49" t="s">
        <v>1421</v>
      </c>
    </row>
    <row r="21" spans="2:19" ht="15" customHeight="1" x14ac:dyDescent="0.2">
      <c r="B21" s="194" t="str">
        <f>+IF(I21&lt;&gt;"",+VLOOKUP(I21,CENCOS,2,0),"")</f>
        <v/>
      </c>
      <c r="C21" s="195"/>
      <c r="D21" s="195"/>
      <c r="E21" s="196"/>
      <c r="F21" s="196"/>
      <c r="G21" s="196"/>
      <c r="H21" s="51"/>
      <c r="I21" s="53"/>
      <c r="J21" s="118"/>
      <c r="K21" s="119"/>
      <c r="L21" s="114"/>
      <c r="M21" s="212">
        <f>IF(AND(COUNTA(H21:I21)=2,SUM(J21:K21)&gt;0),+(J21+K21)*L21,0)</f>
        <v>0</v>
      </c>
      <c r="N21" s="213"/>
      <c r="O21" s="63">
        <f>+IF(M21&gt;0,+M21/SUM(TOTPORC),0)</f>
        <v>0</v>
      </c>
      <c r="S21" s="49" t="s">
        <v>1422</v>
      </c>
    </row>
    <row r="22" spans="2:19" ht="15" customHeight="1" x14ac:dyDescent="0.2">
      <c r="B22" s="194" t="str">
        <f>+IF(I22&lt;&gt;"",+VLOOKUP(I22,CENCOS,2,0),"")</f>
        <v/>
      </c>
      <c r="C22" s="195"/>
      <c r="D22" s="195"/>
      <c r="E22" s="196"/>
      <c r="F22" s="196"/>
      <c r="G22" s="196"/>
      <c r="H22" s="51"/>
      <c r="I22" s="53"/>
      <c r="J22" s="118"/>
      <c r="K22" s="119"/>
      <c r="L22" s="114"/>
      <c r="M22" s="212">
        <f t="shared" ref="M22" si="0">IF(AND(COUNTA(H22:I22)=2,SUM(J22:K22)&gt;0),+(J22+K22)*L22,0)</f>
        <v>0</v>
      </c>
      <c r="N22" s="213"/>
      <c r="O22" s="63">
        <f>+IF(M22&gt;0,+M22/SUM(TOTPORC),0)</f>
        <v>0</v>
      </c>
    </row>
    <row r="23" spans="2:19" ht="15" customHeight="1" thickBot="1" x14ac:dyDescent="0.25">
      <c r="B23" s="197" t="str">
        <f>+IF(I23&lt;&gt;"",+VLOOKUP(I23,CENCOS,2,0),"")</f>
        <v/>
      </c>
      <c r="C23" s="198"/>
      <c r="D23" s="198"/>
      <c r="E23" s="199"/>
      <c r="F23" s="199"/>
      <c r="G23" s="199"/>
      <c r="H23" s="52"/>
      <c r="I23" s="53"/>
      <c r="J23" s="118"/>
      <c r="K23" s="119"/>
      <c r="L23" s="114"/>
      <c r="M23" s="212">
        <f t="shared" ref="M23" si="1">IF(AND(COUNTA(H23:I23)=2,SUM(J23:K23)&gt;0),+(J23+K23)*L23,0)</f>
        <v>0</v>
      </c>
      <c r="N23" s="213"/>
      <c r="O23" s="63">
        <f>+IF(M23&gt;0,+M23/SUM(TOTPORC),0)</f>
        <v>0</v>
      </c>
    </row>
    <row r="24" spans="2:19" ht="18" customHeight="1" thickBot="1" x14ac:dyDescent="0.2">
      <c r="B24" s="57" t="s">
        <v>1268</v>
      </c>
      <c r="C24" s="77"/>
      <c r="D24" s="77"/>
      <c r="E24" s="48"/>
      <c r="F24" s="48"/>
      <c r="G24" s="64" t="s">
        <v>1397</v>
      </c>
      <c r="H24" s="209"/>
      <c r="I24" s="210"/>
      <c r="J24" s="210"/>
      <c r="K24" s="210"/>
      <c r="L24" s="210"/>
      <c r="M24" s="210"/>
      <c r="N24" s="210"/>
      <c r="O24" s="211"/>
      <c r="Q24" s="14">
        <f>+SUM(TOTURG)</f>
        <v>0</v>
      </c>
      <c r="S24" s="49" t="s">
        <v>1403</v>
      </c>
    </row>
    <row r="25" spans="2:19" ht="15" hidden="1" customHeight="1" x14ac:dyDescent="0.2">
      <c r="B25" s="194" t="str">
        <f>+IF(I25&lt;&gt;"",+VLOOKUP(I25,CENCOS,2,0),"")</f>
        <v/>
      </c>
      <c r="C25" s="195"/>
      <c r="D25" s="195"/>
      <c r="E25" s="196"/>
      <c r="F25" s="196"/>
      <c r="G25" s="196"/>
      <c r="H25" s="51"/>
      <c r="I25" s="55"/>
      <c r="J25" s="119"/>
      <c r="K25" s="119"/>
      <c r="L25" s="114"/>
      <c r="M25" s="212">
        <f>IF(AND(COUNTA(H25:I25)=2,SUM(J25:K25)&gt;0),+(J25+K25)*L25,0)</f>
        <v>0</v>
      </c>
      <c r="N25" s="213"/>
      <c r="O25" s="63">
        <f>+IF(M25&gt;0,+M25/SUM(TOTPORC),0)</f>
        <v>0</v>
      </c>
      <c r="S25" s="49" t="s">
        <v>1404</v>
      </c>
    </row>
    <row r="26" spans="2:19" ht="15" hidden="1" customHeight="1" x14ac:dyDescent="0.2">
      <c r="B26" s="194" t="str">
        <f>+IF(I26&lt;&gt;"",+VLOOKUP(I26,CENCOS,2,0),"")</f>
        <v/>
      </c>
      <c r="C26" s="195"/>
      <c r="D26" s="195"/>
      <c r="E26" s="196"/>
      <c r="F26" s="196"/>
      <c r="G26" s="196"/>
      <c r="H26" s="51"/>
      <c r="I26" s="55"/>
      <c r="J26" s="119"/>
      <c r="K26" s="119"/>
      <c r="L26" s="114"/>
      <c r="M26" s="212">
        <f t="shared" ref="M26:M27" si="2">IF(AND(COUNTA(H26:I26)=2,SUM(J26:K26)&gt;0),+(J26+K26)*L26,0)</f>
        <v>0</v>
      </c>
      <c r="N26" s="213"/>
      <c r="O26" s="63">
        <f>+IF(M26&gt;0,+M26/SUM(TOTPORC),0)</f>
        <v>0</v>
      </c>
    </row>
    <row r="27" spans="2:19" ht="15" hidden="1" customHeight="1" thickBot="1" x14ac:dyDescent="0.25">
      <c r="B27" s="197" t="str">
        <f>+IF(I27&lt;&gt;"",+VLOOKUP(I27,CENCOS,2,0),"")</f>
        <v/>
      </c>
      <c r="C27" s="198"/>
      <c r="D27" s="198"/>
      <c r="E27" s="199"/>
      <c r="F27" s="199"/>
      <c r="G27" s="199"/>
      <c r="H27" s="52"/>
      <c r="I27" s="56"/>
      <c r="J27" s="120"/>
      <c r="K27" s="119"/>
      <c r="L27" s="114"/>
      <c r="M27" s="212">
        <f t="shared" si="2"/>
        <v>0</v>
      </c>
      <c r="N27" s="213"/>
      <c r="O27" s="63">
        <f>+IF(M27&gt;0,+M27/SUM(TOTPORC),0)</f>
        <v>0</v>
      </c>
    </row>
    <row r="28" spans="2:19" ht="18" customHeight="1" thickBot="1" x14ac:dyDescent="0.2">
      <c r="B28" s="57" t="s">
        <v>1281</v>
      </c>
      <c r="C28" s="77"/>
      <c r="D28" s="77"/>
      <c r="E28" s="48"/>
      <c r="F28" s="48"/>
      <c r="G28" s="64" t="s">
        <v>1397</v>
      </c>
      <c r="H28" s="209"/>
      <c r="I28" s="210"/>
      <c r="J28" s="210"/>
      <c r="K28" s="210"/>
      <c r="L28" s="210"/>
      <c r="M28" s="210"/>
      <c r="N28" s="210"/>
      <c r="O28" s="211"/>
      <c r="Q28" s="14">
        <f>+SUM(TOTHOS)</f>
        <v>0</v>
      </c>
      <c r="S28" s="49" t="s">
        <v>1405</v>
      </c>
    </row>
    <row r="29" spans="2:19" ht="15" hidden="1" customHeight="1" x14ac:dyDescent="0.2">
      <c r="B29" s="194" t="str">
        <f>+IF(I29&lt;&gt;"",+VLOOKUP(I29,CENCOS,2,0),"")</f>
        <v/>
      </c>
      <c r="C29" s="195"/>
      <c r="D29" s="195"/>
      <c r="E29" s="196"/>
      <c r="F29" s="196"/>
      <c r="G29" s="196"/>
      <c r="H29" s="51"/>
      <c r="I29" s="53"/>
      <c r="J29" s="119"/>
      <c r="K29" s="119"/>
      <c r="L29" s="114"/>
      <c r="M29" s="212">
        <f>IF(AND(COUNTA(H29:I29)=2,SUM(J29:K29)&gt;0),+(J29+K29)*L29,0)</f>
        <v>0</v>
      </c>
      <c r="N29" s="213"/>
      <c r="O29" s="63">
        <f>+IF(M29&gt;0,+M29/SUM(TOTPORC),0)</f>
        <v>0</v>
      </c>
      <c r="S29" s="49" t="s">
        <v>1406</v>
      </c>
    </row>
    <row r="30" spans="2:19" ht="15" hidden="1" customHeight="1" x14ac:dyDescent="0.2">
      <c r="B30" s="194" t="str">
        <f>+IF(I30&lt;&gt;"",+VLOOKUP(I30,CENCOS,2,0),"")</f>
        <v/>
      </c>
      <c r="C30" s="195"/>
      <c r="D30" s="195"/>
      <c r="E30" s="196"/>
      <c r="F30" s="196"/>
      <c r="G30" s="196"/>
      <c r="H30" s="51"/>
      <c r="I30" s="53"/>
      <c r="J30" s="119"/>
      <c r="K30" s="119"/>
      <c r="L30" s="114"/>
      <c r="M30" s="212">
        <f t="shared" ref="M30:M31" si="3">IF(AND(COUNTA(H30:I30)=2,SUM(J30:K30)&gt;0),+(J30+K30)*L30,0)</f>
        <v>0</v>
      </c>
      <c r="N30" s="213"/>
      <c r="O30" s="63">
        <f>+IF(M30&gt;0,+M30/SUM(TOTPORC),0)</f>
        <v>0</v>
      </c>
    </row>
    <row r="31" spans="2:19" ht="15" hidden="1" customHeight="1" thickBot="1" x14ac:dyDescent="0.25">
      <c r="B31" s="197" t="str">
        <f>+IF(I31&lt;&gt;"",+VLOOKUP(I31,CENCOS,2,0),"")</f>
        <v/>
      </c>
      <c r="C31" s="198"/>
      <c r="D31" s="198"/>
      <c r="E31" s="199"/>
      <c r="F31" s="199"/>
      <c r="G31" s="199"/>
      <c r="H31" s="52"/>
      <c r="I31" s="54"/>
      <c r="J31" s="120"/>
      <c r="K31" s="119"/>
      <c r="L31" s="114"/>
      <c r="M31" s="212">
        <f t="shared" si="3"/>
        <v>0</v>
      </c>
      <c r="N31" s="213"/>
      <c r="O31" s="63">
        <f>+IF(M31&gt;0,+M31/SUM(TOTPORC),0)</f>
        <v>0</v>
      </c>
    </row>
    <row r="32" spans="2:19" ht="18" customHeight="1" thickBot="1" x14ac:dyDescent="0.2">
      <c r="B32" s="57" t="s">
        <v>1331</v>
      </c>
      <c r="C32" s="77"/>
      <c r="D32" s="77"/>
      <c r="E32" s="48"/>
      <c r="F32" s="48"/>
      <c r="G32" s="64" t="s">
        <v>1397</v>
      </c>
      <c r="H32" s="209"/>
      <c r="I32" s="210"/>
      <c r="J32" s="210"/>
      <c r="K32" s="210"/>
      <c r="L32" s="210"/>
      <c r="M32" s="210"/>
      <c r="N32" s="210"/>
      <c r="O32" s="211"/>
      <c r="Q32" s="14">
        <f>+SUM(TOTUCIP)</f>
        <v>0</v>
      </c>
      <c r="S32" s="49" t="s">
        <v>1407</v>
      </c>
    </row>
    <row r="33" spans="2:25" ht="15" hidden="1" customHeight="1" x14ac:dyDescent="0.2">
      <c r="B33" s="194" t="str">
        <f>+IF(I33&lt;&gt;"",+VLOOKUP(I33,CENCOS,2,0),"")</f>
        <v/>
      </c>
      <c r="C33" s="195"/>
      <c r="D33" s="195"/>
      <c r="E33" s="196"/>
      <c r="F33" s="196"/>
      <c r="G33" s="196"/>
      <c r="H33" s="51"/>
      <c r="I33" s="53"/>
      <c r="J33" s="119"/>
      <c r="K33" s="119"/>
      <c r="L33" s="114"/>
      <c r="M33" s="212">
        <f>IF(AND(COUNTA(H33:I33)=2,SUM(J33:K33)&gt;0),+(J33+K33)*L33,0)</f>
        <v>0</v>
      </c>
      <c r="N33" s="213"/>
      <c r="O33" s="63">
        <f>+IF(M33&gt;0,+M33/SUM(TOTPORC),0)</f>
        <v>0</v>
      </c>
      <c r="S33" s="49" t="s">
        <v>1408</v>
      </c>
    </row>
    <row r="34" spans="2:25" ht="15" hidden="1" customHeight="1" x14ac:dyDescent="0.2">
      <c r="B34" s="194" t="str">
        <f>+IF(I34&lt;&gt;"",+VLOOKUP(I34,CENCOS,2,0),"")</f>
        <v/>
      </c>
      <c r="C34" s="195"/>
      <c r="D34" s="195"/>
      <c r="E34" s="196"/>
      <c r="F34" s="196"/>
      <c r="G34" s="196"/>
      <c r="H34" s="51"/>
      <c r="I34" s="53"/>
      <c r="J34" s="119"/>
      <c r="K34" s="119"/>
      <c r="L34" s="114"/>
      <c r="M34" s="212">
        <f t="shared" ref="M34:M35" si="4">IF(AND(COUNTA(H34:I34)=2,SUM(J34:K34)&gt;0),+(J34+K34)*L34,0)</f>
        <v>0</v>
      </c>
      <c r="N34" s="213"/>
      <c r="O34" s="63">
        <f>+IF(M34&gt;0,+M34/SUM(TOTPORC),0)</f>
        <v>0</v>
      </c>
    </row>
    <row r="35" spans="2:25" ht="15" hidden="1" customHeight="1" thickBot="1" x14ac:dyDescent="0.25">
      <c r="B35" s="197" t="str">
        <f>+IF(I35&lt;&gt;"",+VLOOKUP(I35,CENCOS,2,0),"")</f>
        <v/>
      </c>
      <c r="C35" s="198"/>
      <c r="D35" s="198"/>
      <c r="E35" s="199"/>
      <c r="F35" s="199"/>
      <c r="G35" s="199"/>
      <c r="H35" s="52"/>
      <c r="I35" s="54"/>
      <c r="J35" s="120"/>
      <c r="K35" s="119"/>
      <c r="L35" s="114"/>
      <c r="M35" s="212">
        <f t="shared" si="4"/>
        <v>0</v>
      </c>
      <c r="N35" s="213"/>
      <c r="O35" s="63">
        <f>+IF(M35&gt;0,+M35/SUM(TOTPORC),0)</f>
        <v>0</v>
      </c>
    </row>
    <row r="36" spans="2:25" ht="18" customHeight="1" thickBot="1" x14ac:dyDescent="0.2">
      <c r="B36" s="47" t="s">
        <v>1334</v>
      </c>
      <c r="C36" s="78"/>
      <c r="D36" s="78"/>
      <c r="E36" s="45"/>
      <c r="F36" s="45"/>
      <c r="G36" s="65" t="s">
        <v>1397</v>
      </c>
      <c r="H36" s="348"/>
      <c r="I36" s="349"/>
      <c r="J36" s="349"/>
      <c r="K36" s="349"/>
      <c r="L36" s="349"/>
      <c r="M36" s="349"/>
      <c r="N36" s="349"/>
      <c r="O36" s="350"/>
      <c r="Q36" s="14">
        <f>+SUM(TOTUCIN)</f>
        <v>0</v>
      </c>
      <c r="S36" s="49" t="s">
        <v>1409</v>
      </c>
    </row>
    <row r="37" spans="2:25" ht="15" hidden="1" customHeight="1" x14ac:dyDescent="0.2">
      <c r="B37" s="194" t="str">
        <f>+IF(I37&lt;&gt;"",+VLOOKUP(I37,CENCOS,2,0),"")</f>
        <v/>
      </c>
      <c r="C37" s="195"/>
      <c r="D37" s="195"/>
      <c r="E37" s="196"/>
      <c r="F37" s="196"/>
      <c r="G37" s="196"/>
      <c r="H37" s="50"/>
      <c r="I37" s="58"/>
      <c r="J37" s="121"/>
      <c r="K37" s="119"/>
      <c r="L37" s="114"/>
      <c r="M37" s="212">
        <f>IF(AND(COUNTA(H37:I37)=2,SUM(J37:K37)&gt;0),+(J37+K37)*L37,0)</f>
        <v>0</v>
      </c>
      <c r="N37" s="213"/>
      <c r="O37" s="63">
        <f>+IF(M37&gt;0,+M37/SUM(TOTPORC),0)</f>
        <v>0</v>
      </c>
      <c r="S37" s="49" t="s">
        <v>1410</v>
      </c>
    </row>
    <row r="38" spans="2:25" ht="15" hidden="1" customHeight="1" x14ac:dyDescent="0.2">
      <c r="B38" s="194" t="str">
        <f>+IF(I38&lt;&gt;"",+VLOOKUP(I38,CENCOS,2,0),"")</f>
        <v/>
      </c>
      <c r="C38" s="195"/>
      <c r="D38" s="195"/>
      <c r="E38" s="196"/>
      <c r="F38" s="196"/>
      <c r="G38" s="196"/>
      <c r="H38" s="51"/>
      <c r="I38" s="59"/>
      <c r="J38" s="122"/>
      <c r="K38" s="119"/>
      <c r="L38" s="114"/>
      <c r="M38" s="212">
        <f t="shared" ref="M38:M39" si="5">IF(AND(COUNTA(H38:I38)=2,SUM(J38:K38)&gt;0),+(J38+K38)*L38,0)</f>
        <v>0</v>
      </c>
      <c r="N38" s="213"/>
      <c r="O38" s="63">
        <f>+IF(M38&gt;0,+M38/SUM(TOTPORC),0)</f>
        <v>0</v>
      </c>
    </row>
    <row r="39" spans="2:25" ht="15" hidden="1" customHeight="1" thickBot="1" x14ac:dyDescent="0.25">
      <c r="B39" s="197" t="str">
        <f>+IF(I39&lt;&gt;"",+VLOOKUP(I39,CENCOS,2,0),"")</f>
        <v/>
      </c>
      <c r="C39" s="198"/>
      <c r="D39" s="198"/>
      <c r="E39" s="199"/>
      <c r="F39" s="199"/>
      <c r="G39" s="199"/>
      <c r="H39" s="52"/>
      <c r="I39" s="60"/>
      <c r="J39" s="123"/>
      <c r="K39" s="119"/>
      <c r="L39" s="114"/>
      <c r="M39" s="212">
        <f t="shared" si="5"/>
        <v>0</v>
      </c>
      <c r="N39" s="213"/>
      <c r="O39" s="63">
        <f>+IF(M39&gt;0,+M39/SUM(TOTPORC),0)</f>
        <v>0</v>
      </c>
    </row>
    <row r="40" spans="2:25" ht="18" customHeight="1" thickBot="1" x14ac:dyDescent="0.2">
      <c r="B40" s="57" t="s">
        <v>1335</v>
      </c>
      <c r="C40" s="77"/>
      <c r="D40" s="77"/>
      <c r="E40" s="48"/>
      <c r="F40" s="48"/>
      <c r="G40" s="64" t="s">
        <v>1397</v>
      </c>
      <c r="H40" s="209"/>
      <c r="I40" s="210"/>
      <c r="J40" s="210"/>
      <c r="K40" s="210"/>
      <c r="L40" s="210"/>
      <c r="M40" s="210"/>
      <c r="N40" s="210"/>
      <c r="O40" s="211"/>
      <c r="Q40" s="14">
        <f>+SUM(TOTUCIA)</f>
        <v>0</v>
      </c>
      <c r="S40" s="49" t="s">
        <v>1411</v>
      </c>
    </row>
    <row r="41" spans="2:25" ht="15" hidden="1" customHeight="1" x14ac:dyDescent="0.2">
      <c r="B41" s="194" t="str">
        <f>+IF(I41&lt;&gt;"",+VLOOKUP(I41,CENCOS,2,0),"")</f>
        <v/>
      </c>
      <c r="C41" s="195"/>
      <c r="D41" s="195"/>
      <c r="E41" s="196"/>
      <c r="F41" s="196"/>
      <c r="G41" s="196"/>
      <c r="H41" s="51"/>
      <c r="I41" s="53"/>
      <c r="J41" s="119"/>
      <c r="K41" s="119"/>
      <c r="L41" s="114"/>
      <c r="M41" s="212">
        <f>IF(AND(COUNTA(H41:I41)=2,SUM(J41:K41)&gt;0),+(J41+K41)*L41,0)</f>
        <v>0</v>
      </c>
      <c r="N41" s="213"/>
      <c r="O41" s="63">
        <f>+IF(M41&gt;0,+M41/SUM(TOTPORC),0)</f>
        <v>0</v>
      </c>
      <c r="S41" s="49" t="s">
        <v>1412</v>
      </c>
    </row>
    <row r="42" spans="2:25" ht="15" hidden="1" customHeight="1" x14ac:dyDescent="0.2">
      <c r="B42" s="194" t="str">
        <f>+IF(I42&lt;&gt;"",+VLOOKUP(I42,CENCOS,2,0),"")</f>
        <v/>
      </c>
      <c r="C42" s="195"/>
      <c r="D42" s="195"/>
      <c r="E42" s="196"/>
      <c r="F42" s="196"/>
      <c r="G42" s="196"/>
      <c r="H42" s="51"/>
      <c r="I42" s="53"/>
      <c r="J42" s="119"/>
      <c r="K42" s="119"/>
      <c r="L42" s="114"/>
      <c r="M42" s="212">
        <f t="shared" ref="M42:M43" si="6">IF(AND(COUNTA(H42:I42)=2,SUM(J42:K42)&gt;0),+(J42+K42)*L42,0)</f>
        <v>0</v>
      </c>
      <c r="N42" s="213"/>
      <c r="O42" s="63">
        <f>+IF(M42&gt;0,+M42/SUM(TOTPORC),0)</f>
        <v>0</v>
      </c>
    </row>
    <row r="43" spans="2:25" ht="15" hidden="1" customHeight="1" thickBot="1" x14ac:dyDescent="0.25">
      <c r="B43" s="197" t="str">
        <f>+IF(I43&lt;&gt;"",+VLOOKUP(I43,CENCOS,2,0),"")</f>
        <v/>
      </c>
      <c r="C43" s="198"/>
      <c r="D43" s="198"/>
      <c r="E43" s="199"/>
      <c r="F43" s="199"/>
      <c r="G43" s="199"/>
      <c r="H43" s="52"/>
      <c r="I43" s="54"/>
      <c r="J43" s="120"/>
      <c r="K43" s="119"/>
      <c r="L43" s="114"/>
      <c r="M43" s="212">
        <f t="shared" si="6"/>
        <v>0</v>
      </c>
      <c r="N43" s="213"/>
      <c r="O43" s="63">
        <f>+IF(M43&gt;0,+M43/SUM(TOTPORC),0)</f>
        <v>0</v>
      </c>
    </row>
    <row r="44" spans="2:25" ht="18" customHeight="1" thickBot="1" x14ac:dyDescent="0.2">
      <c r="B44" s="57" t="s">
        <v>1336</v>
      </c>
      <c r="C44" s="77"/>
      <c r="D44" s="77"/>
      <c r="E44" s="48"/>
      <c r="F44" s="48"/>
      <c r="G44" s="64" t="s">
        <v>1397</v>
      </c>
      <c r="H44" s="209"/>
      <c r="I44" s="210"/>
      <c r="J44" s="210"/>
      <c r="K44" s="210"/>
      <c r="L44" s="210"/>
      <c r="M44" s="210"/>
      <c r="N44" s="210"/>
      <c r="O44" s="211"/>
      <c r="Q44" s="14">
        <f>+SUM(TOTCOM)</f>
        <v>0</v>
      </c>
      <c r="S44" s="49" t="s">
        <v>1400</v>
      </c>
    </row>
    <row r="45" spans="2:25" ht="15" hidden="1" customHeight="1" x14ac:dyDescent="0.2">
      <c r="B45" s="194" t="str">
        <f>+IF(I45&lt;&gt;"",+VLOOKUP(I45,CENCOS,2,0),"")</f>
        <v/>
      </c>
      <c r="C45" s="195"/>
      <c r="D45" s="195"/>
      <c r="E45" s="196"/>
      <c r="F45" s="196"/>
      <c r="G45" s="196"/>
      <c r="H45" s="51"/>
      <c r="I45" s="53"/>
      <c r="J45" s="119"/>
      <c r="K45" s="119"/>
      <c r="L45" s="114"/>
      <c r="M45" s="212">
        <f>IF(AND(COUNTA(H45:I45)=2,SUM(J45:K45)&gt;0),+(J45+K45)*L45,0)</f>
        <v>0</v>
      </c>
      <c r="N45" s="213"/>
      <c r="O45" s="63">
        <f>+IF(M45&gt;0,+M45/SUM(TOTPORC),0)</f>
        <v>0</v>
      </c>
      <c r="S45" s="49" t="s">
        <v>1413</v>
      </c>
      <c r="Y45" s="49"/>
    </row>
    <row r="46" spans="2:25" ht="15" hidden="1" customHeight="1" x14ac:dyDescent="0.2">
      <c r="B46" s="194" t="str">
        <f>+IF(I46&lt;&gt;"",+VLOOKUP(I46,CENCOS,2,0),"")</f>
        <v/>
      </c>
      <c r="C46" s="195"/>
      <c r="D46" s="195"/>
      <c r="E46" s="196"/>
      <c r="F46" s="196"/>
      <c r="G46" s="196"/>
      <c r="H46" s="51"/>
      <c r="I46" s="53"/>
      <c r="J46" s="119"/>
      <c r="K46" s="119"/>
      <c r="L46" s="114"/>
      <c r="M46" s="212">
        <f t="shared" ref="M46:M47" si="7">IF(AND(COUNTA(H46:I46)=2,SUM(J46:K46)&gt;0),+(J46+K46)*L46,0)</f>
        <v>0</v>
      </c>
      <c r="N46" s="213"/>
      <c r="O46" s="63">
        <f>+IF(M46&gt;0,+M46/SUM(TOTPORC),0)</f>
        <v>0</v>
      </c>
      <c r="S46" s="49"/>
    </row>
    <row r="47" spans="2:25" ht="15" hidden="1" customHeight="1" thickBot="1" x14ac:dyDescent="0.25">
      <c r="B47" s="197" t="str">
        <f>+IF(I47&lt;&gt;"",+VLOOKUP(I47,CENCOS,2,0),"")</f>
        <v/>
      </c>
      <c r="C47" s="198"/>
      <c r="D47" s="198"/>
      <c r="E47" s="199"/>
      <c r="F47" s="199"/>
      <c r="G47" s="199"/>
      <c r="H47" s="52"/>
      <c r="I47" s="54"/>
      <c r="J47" s="120"/>
      <c r="K47" s="119"/>
      <c r="L47" s="114"/>
      <c r="M47" s="212">
        <f t="shared" si="7"/>
        <v>0</v>
      </c>
      <c r="N47" s="213"/>
      <c r="O47" s="63">
        <f>+IF(M47&gt;0,+M47/SUM(TOTPORC),0)</f>
        <v>0</v>
      </c>
      <c r="S47" s="49"/>
    </row>
    <row r="48" spans="2:25" ht="15" customHeight="1" thickBot="1" x14ac:dyDescent="0.2">
      <c r="B48" s="57" t="s">
        <v>1066</v>
      </c>
      <c r="C48" s="77"/>
      <c r="D48" s="77"/>
      <c r="E48" s="48"/>
      <c r="F48" s="48"/>
      <c r="G48" s="64" t="s">
        <v>1397</v>
      </c>
      <c r="H48" s="209"/>
      <c r="I48" s="210"/>
      <c r="J48" s="210"/>
      <c r="K48" s="210"/>
      <c r="L48" s="210"/>
      <c r="M48" s="210"/>
      <c r="N48" s="210"/>
      <c r="O48" s="211"/>
      <c r="Q48" s="14">
        <f>+SUM(TOTAPH)</f>
        <v>0</v>
      </c>
      <c r="S48" s="49" t="s">
        <v>1414</v>
      </c>
      <c r="U48" s="49" t="s">
        <v>1395</v>
      </c>
    </row>
    <row r="49" spans="2:21" ht="15" hidden="1" customHeight="1" x14ac:dyDescent="0.2">
      <c r="B49" s="194" t="str">
        <f>+IF(I49&lt;&gt;"",+VLOOKUP(I49,CENCOS,2,0),"")</f>
        <v/>
      </c>
      <c r="C49" s="195"/>
      <c r="D49" s="195"/>
      <c r="E49" s="196"/>
      <c r="F49" s="196"/>
      <c r="G49" s="196"/>
      <c r="H49" s="51"/>
      <c r="I49" s="53"/>
      <c r="J49" s="124"/>
      <c r="K49" s="119"/>
      <c r="L49" s="114"/>
      <c r="M49" s="212">
        <f>IF(AND(COUNTA(H49:I49)=2,SUM(J49:K49)&gt;0),+(J49+K49)*L49,0)</f>
        <v>0</v>
      </c>
      <c r="N49" s="213"/>
      <c r="O49" s="63">
        <f>+IF(M49&gt;0,+M49/SUM(TOTPORC),0)</f>
        <v>0</v>
      </c>
      <c r="S49" s="49" t="s">
        <v>1415</v>
      </c>
      <c r="U49" s="49"/>
    </row>
    <row r="50" spans="2:21" ht="15" hidden="1" customHeight="1" thickBot="1" x14ac:dyDescent="0.25">
      <c r="B50" s="194" t="str">
        <f>+IF(I50&lt;&gt;"",+VLOOKUP(I50,CENCOS,2,0),"")</f>
        <v/>
      </c>
      <c r="C50" s="195"/>
      <c r="D50" s="195"/>
      <c r="E50" s="196"/>
      <c r="F50" s="196"/>
      <c r="G50" s="196"/>
      <c r="H50" s="52"/>
      <c r="I50" s="54"/>
      <c r="J50" s="125"/>
      <c r="K50" s="120"/>
      <c r="L50" s="116"/>
      <c r="M50" s="182">
        <f t="shared" ref="M50" si="8">IF(AND(COUNTA(H50:I50)=2,SUM(J50:K50)&gt;0),+(J50+K50)*L50,0)</f>
        <v>0</v>
      </c>
      <c r="N50" s="183"/>
      <c r="O50" s="66">
        <f>+IF(M50&gt;0,+M50/SUM(TOTPORC),0)</f>
        <v>0</v>
      </c>
      <c r="S50" s="49"/>
      <c r="U50" s="49"/>
    </row>
    <row r="51" spans="2:21" ht="15" hidden="1" customHeight="1" thickBot="1" x14ac:dyDescent="0.25">
      <c r="B51" s="194" t="str">
        <f>+IF(I51&lt;&gt;"",+VLOOKUP(I51,CENCOS,2,0),"")</f>
        <v/>
      </c>
      <c r="C51" s="195"/>
      <c r="D51" s="195"/>
      <c r="E51" s="196"/>
      <c r="F51" s="196"/>
      <c r="G51" s="196"/>
      <c r="H51" s="52"/>
      <c r="I51" s="54"/>
      <c r="J51" s="125"/>
      <c r="K51" s="120"/>
      <c r="L51" s="116"/>
      <c r="M51" s="182">
        <f t="shared" ref="M51:M52" si="9">IF(AND(COUNTA(H51:I51)=2,SUM(J51:K51)&gt;0),+(J51+K51)*L51,0)</f>
        <v>0</v>
      </c>
      <c r="N51" s="183"/>
      <c r="O51" s="66">
        <f>+IF(M51&gt;0,+M51/SUM(TOTPORC),0)</f>
        <v>0</v>
      </c>
      <c r="S51" s="49"/>
      <c r="U51" s="49"/>
    </row>
    <row r="52" spans="2:21" ht="15" customHeight="1" thickBot="1" x14ac:dyDescent="0.25">
      <c r="B52" s="57" t="s">
        <v>1067</v>
      </c>
      <c r="C52" s="79"/>
      <c r="D52" s="79"/>
      <c r="E52" s="45"/>
      <c r="F52" s="45"/>
      <c r="G52" s="45"/>
      <c r="H52" s="61"/>
      <c r="I52" s="62"/>
      <c r="J52" s="126"/>
      <c r="K52" s="127"/>
      <c r="L52" s="117"/>
      <c r="M52" s="212">
        <f t="shared" si="9"/>
        <v>0</v>
      </c>
      <c r="N52" s="213"/>
      <c r="O52" s="98">
        <f>+IF(M52&gt;0,+M52/SUM(TOTPORC),0)</f>
        <v>0</v>
      </c>
      <c r="S52" s="49" t="s">
        <v>1423</v>
      </c>
      <c r="U52" s="49" t="s">
        <v>1424</v>
      </c>
    </row>
    <row r="53" spans="2:21" ht="15" customHeight="1" thickBot="1" x14ac:dyDescent="0.2">
      <c r="B53" s="57" t="s">
        <v>1068</v>
      </c>
      <c r="C53" s="77"/>
      <c r="D53" s="77"/>
      <c r="E53" s="48"/>
      <c r="F53" s="48"/>
      <c r="G53" s="64" t="s">
        <v>1397</v>
      </c>
      <c r="H53" s="209"/>
      <c r="I53" s="210"/>
      <c r="J53" s="210"/>
      <c r="K53" s="210"/>
      <c r="L53" s="210"/>
      <c r="M53" s="210"/>
      <c r="N53" s="210"/>
      <c r="O53" s="211"/>
      <c r="Q53" s="14">
        <f>+SUM(TOTRUR)</f>
        <v>0</v>
      </c>
      <c r="S53" s="49" t="s">
        <v>1401</v>
      </c>
    </row>
    <row r="54" spans="2:21" ht="15" hidden="1" customHeight="1" thickBot="1" x14ac:dyDescent="0.25">
      <c r="B54" s="194" t="str">
        <f>+IF(I54&lt;&gt;"",+VLOOKUP(I54,CENCOS,2,0),"")</f>
        <v/>
      </c>
      <c r="C54" s="195"/>
      <c r="D54" s="195"/>
      <c r="E54" s="196"/>
      <c r="F54" s="196"/>
      <c r="G54" s="196"/>
      <c r="H54" s="51"/>
      <c r="I54" s="53"/>
      <c r="J54" s="119"/>
      <c r="K54" s="119"/>
      <c r="L54" s="114"/>
      <c r="M54" s="212">
        <f>IF(AND(COUNTA(H54:I54)=2,SUM(J54:K54)&gt;0),+(J54+K54)*L54,0)</f>
        <v>0</v>
      </c>
      <c r="N54" s="213"/>
      <c r="O54" s="98">
        <f>+IF(M54&gt;0,+M54/SUM(TOTPORC),0)</f>
        <v>0</v>
      </c>
      <c r="S54" s="49" t="s">
        <v>1402</v>
      </c>
    </row>
    <row r="55" spans="2:21" ht="15" hidden="1" customHeight="1" x14ac:dyDescent="0.2">
      <c r="B55" s="194" t="str">
        <f>+IF(I55&lt;&gt;"",+VLOOKUP(I55,CENCOS,2,0),"")</f>
        <v/>
      </c>
      <c r="C55" s="195"/>
      <c r="D55" s="195"/>
      <c r="E55" s="196"/>
      <c r="F55" s="196"/>
      <c r="G55" s="196"/>
      <c r="H55" s="51"/>
      <c r="I55" s="53"/>
      <c r="J55" s="119"/>
      <c r="K55" s="119"/>
      <c r="L55" s="114"/>
      <c r="M55" s="212">
        <f t="shared" ref="M55:M56" si="10">IF(AND(COUNTA(H55:I55)=2,SUM(J55:K55)&gt;0),+(J55+K55)*L55,0)</f>
        <v>0</v>
      </c>
      <c r="N55" s="213"/>
      <c r="O55" s="63"/>
      <c r="S55" s="49"/>
    </row>
    <row r="56" spans="2:21" ht="15" hidden="1" customHeight="1" thickBot="1" x14ac:dyDescent="0.25">
      <c r="B56" s="197" t="str">
        <f>+IF(I56&lt;&gt;"",+VLOOKUP(I56,CENCOS,2,0),"")</f>
        <v/>
      </c>
      <c r="C56" s="198"/>
      <c r="D56" s="198"/>
      <c r="E56" s="199"/>
      <c r="F56" s="199"/>
      <c r="G56" s="199"/>
      <c r="H56" s="52"/>
      <c r="I56" s="54"/>
      <c r="J56" s="120"/>
      <c r="K56" s="119"/>
      <c r="L56" s="114"/>
      <c r="M56" s="212">
        <f t="shared" si="10"/>
        <v>0</v>
      </c>
      <c r="N56" s="213"/>
      <c r="O56" s="66"/>
      <c r="S56" s="49"/>
    </row>
    <row r="57" spans="2:21" ht="39.950000000000003" customHeight="1" thickBot="1" x14ac:dyDescent="0.2">
      <c r="B57" s="432" t="s">
        <v>1363</v>
      </c>
      <c r="C57" s="433"/>
      <c r="D57" s="433"/>
      <c r="E57" s="434"/>
      <c r="F57" s="434"/>
      <c r="G57" s="64" t="s">
        <v>1397</v>
      </c>
      <c r="H57" s="209"/>
      <c r="I57" s="210"/>
      <c r="J57" s="210"/>
      <c r="K57" s="210"/>
      <c r="L57" s="210"/>
      <c r="M57" s="210"/>
      <c r="N57" s="210"/>
      <c r="O57" s="211"/>
      <c r="Q57" s="14">
        <f>+SUM(TOTPAR)</f>
        <v>0</v>
      </c>
      <c r="S57" s="49" t="s">
        <v>1416</v>
      </c>
    </row>
    <row r="58" spans="2:21" ht="15" hidden="1" customHeight="1" x14ac:dyDescent="0.2">
      <c r="B58" s="194" t="str">
        <f>+IF(I58&lt;&gt;"",+VLOOKUP(I58,CENCOS,2,0),"")</f>
        <v/>
      </c>
      <c r="C58" s="195"/>
      <c r="D58" s="195"/>
      <c r="E58" s="196"/>
      <c r="F58" s="196"/>
      <c r="G58" s="196"/>
      <c r="H58" s="51"/>
      <c r="I58" s="53"/>
      <c r="J58" s="124"/>
      <c r="K58" s="119"/>
      <c r="L58" s="114"/>
      <c r="M58" s="212">
        <f>IF(AND(COUNTA(H58:I58)=2,SUM(J58:K58)&gt;0),+(J58+K58)*L58,0)</f>
        <v>0</v>
      </c>
      <c r="N58" s="213"/>
      <c r="O58" s="63">
        <f>+IF(M58&gt;0,+M58/SUM(TOTPORC),0)</f>
        <v>0</v>
      </c>
      <c r="S58" s="49" t="s">
        <v>1425</v>
      </c>
    </row>
    <row r="59" spans="2:21" ht="15" hidden="1" customHeight="1" x14ac:dyDescent="0.2">
      <c r="B59" s="194" t="str">
        <f>+IF(I59&lt;&gt;"",+VLOOKUP(I59,CENCOS,2,0),"")</f>
        <v/>
      </c>
      <c r="C59" s="195"/>
      <c r="D59" s="195"/>
      <c r="E59" s="196"/>
      <c r="F59" s="196"/>
      <c r="G59" s="196"/>
      <c r="H59" s="51"/>
      <c r="I59" s="55"/>
      <c r="J59" s="124"/>
      <c r="K59" s="119"/>
      <c r="L59" s="114"/>
      <c r="M59" s="212">
        <f t="shared" ref="M59:M60" si="11">IF(AND(COUNTA(H59:I59)=2,SUM(J59:K59)&gt;0),+(J59+K59)*L59,0)</f>
        <v>0</v>
      </c>
      <c r="N59" s="213"/>
      <c r="O59" s="63">
        <f>+IF(M59&gt;0,+M59/SUM(TOTPORC),0)</f>
        <v>0</v>
      </c>
      <c r="S59" s="49"/>
    </row>
    <row r="60" spans="2:21" ht="15" hidden="1" customHeight="1" thickBot="1" x14ac:dyDescent="0.25">
      <c r="B60" s="197" t="str">
        <f>+IF(I60&lt;&gt;"",+VLOOKUP(I60,CENCOS,2,0),"")</f>
        <v/>
      </c>
      <c r="C60" s="198"/>
      <c r="D60" s="198"/>
      <c r="E60" s="199"/>
      <c r="F60" s="199"/>
      <c r="G60" s="199"/>
      <c r="H60" s="52"/>
      <c r="I60" s="56"/>
      <c r="J60" s="125"/>
      <c r="K60" s="119"/>
      <c r="L60" s="114"/>
      <c r="M60" s="212">
        <f t="shared" si="11"/>
        <v>0</v>
      </c>
      <c r="N60" s="213"/>
      <c r="O60" s="63">
        <f>+IF(M60&gt;0,+M60/SUM(TOTPORC),0)</f>
        <v>0</v>
      </c>
      <c r="S60" s="49"/>
    </row>
    <row r="61" spans="2:21" ht="15" customHeight="1" thickBot="1" x14ac:dyDescent="0.2">
      <c r="B61" s="47" t="s">
        <v>1488</v>
      </c>
      <c r="C61" s="78"/>
      <c r="D61" s="78"/>
      <c r="E61" s="45"/>
      <c r="F61" s="45"/>
      <c r="G61" s="64" t="s">
        <v>1397</v>
      </c>
      <c r="H61" s="152"/>
      <c r="I61" s="153"/>
      <c r="J61" s="154"/>
      <c r="K61" s="155"/>
      <c r="L61" s="156"/>
      <c r="M61" s="157"/>
      <c r="N61" s="158"/>
      <c r="O61" s="159"/>
      <c r="S61" s="49"/>
    </row>
    <row r="62" spans="2:21" ht="15" hidden="1" customHeight="1" x14ac:dyDescent="0.2">
      <c r="B62" s="435" t="str">
        <f>+IF(I62&lt;&gt;"",+VLOOKUP(I62,CENCOS,2,0),"")</f>
        <v/>
      </c>
      <c r="C62" s="436"/>
      <c r="D62" s="436"/>
      <c r="E62" s="431"/>
      <c r="F62" s="431"/>
      <c r="G62" s="431"/>
      <c r="H62" s="95"/>
      <c r="I62" s="96"/>
      <c r="J62" s="184"/>
      <c r="K62" s="185"/>
      <c r="L62" s="186"/>
      <c r="M62" s="192">
        <v>0</v>
      </c>
      <c r="N62" s="193"/>
      <c r="O62" s="97">
        <f>+IF(M62&gt;0,+M62/SUM(TOTPORC),0)</f>
        <v>0</v>
      </c>
      <c r="S62" s="49" t="s">
        <v>1418</v>
      </c>
    </row>
    <row r="63" spans="2:21" ht="15" hidden="1" customHeight="1" x14ac:dyDescent="0.2">
      <c r="B63" s="194" t="str">
        <f>+IF(I63&lt;&gt;"",+VLOOKUP(I63,CENCOS,2,0),"")</f>
        <v/>
      </c>
      <c r="C63" s="195"/>
      <c r="D63" s="195"/>
      <c r="E63" s="196"/>
      <c r="F63" s="196"/>
      <c r="G63" s="196"/>
      <c r="H63" s="51"/>
      <c r="I63" s="53"/>
      <c r="J63" s="187"/>
      <c r="K63" s="188"/>
      <c r="L63" s="186"/>
      <c r="M63" s="192">
        <v>0</v>
      </c>
      <c r="N63" s="193"/>
      <c r="O63" s="63">
        <f>+IF(M63&gt;0,+M63/SUM(TOTPORC),0)</f>
        <v>0</v>
      </c>
      <c r="S63" s="49"/>
    </row>
    <row r="64" spans="2:21" ht="15" hidden="1" customHeight="1" thickBot="1" x14ac:dyDescent="0.25">
      <c r="B64" s="197" t="str">
        <f>+IF(I64&lt;&gt;"",+VLOOKUP(I64,CENCOS,2,0),"")</f>
        <v/>
      </c>
      <c r="C64" s="198"/>
      <c r="D64" s="198"/>
      <c r="E64" s="199"/>
      <c r="F64" s="199"/>
      <c r="G64" s="199"/>
      <c r="H64" s="51"/>
      <c r="I64" s="53"/>
      <c r="J64" s="189"/>
      <c r="K64" s="190"/>
      <c r="L64" s="191"/>
      <c r="M64" s="192">
        <v>0</v>
      </c>
      <c r="N64" s="193"/>
      <c r="O64" s="63">
        <f>+IF(M64&gt;0,+M64/SUM(TOTPORC),0)</f>
        <v>0</v>
      </c>
      <c r="S64" s="49"/>
    </row>
    <row r="65" spans="2:19" ht="15" customHeight="1" thickBot="1" x14ac:dyDescent="0.2">
      <c r="B65" s="47" t="s">
        <v>1069</v>
      </c>
      <c r="C65" s="78"/>
      <c r="D65" s="78"/>
      <c r="E65" s="45"/>
      <c r="F65" s="45"/>
      <c r="G65" s="64" t="s">
        <v>1495</v>
      </c>
      <c r="H65" s="455"/>
      <c r="I65" s="456"/>
      <c r="J65" s="456"/>
      <c r="K65" s="456"/>
      <c r="L65" s="456"/>
      <c r="M65" s="456"/>
      <c r="N65" s="456"/>
      <c r="O65" s="457"/>
      <c r="Q65" s="14">
        <f>+SUM(TOTPIC)</f>
        <v>1395242</v>
      </c>
      <c r="S65" s="49" t="s">
        <v>1417</v>
      </c>
    </row>
    <row r="66" spans="2:19" ht="15" customHeight="1" x14ac:dyDescent="0.25">
      <c r="B66" s="435" t="str">
        <f>+IF(I66&lt;&gt;"",+VLOOKUP(I66,CENCOS,2,0),"")</f>
        <v>PIC ESPACIO PUBLICO SALUD PUBLICA</v>
      </c>
      <c r="C66" s="436"/>
      <c r="D66" s="436"/>
      <c r="E66" s="431"/>
      <c r="F66" s="431"/>
      <c r="G66" s="431"/>
      <c r="H66" s="95" t="s">
        <v>750</v>
      </c>
      <c r="I66" s="96" t="s">
        <v>756</v>
      </c>
      <c r="J66" s="184"/>
      <c r="K66" s="185"/>
      <c r="L66" s="186"/>
      <c r="M66" s="192">
        <v>1395242</v>
      </c>
      <c r="N66" s="193"/>
      <c r="O66" s="97">
        <f>+IF(M66&gt;0,+M66/SUM(TOTPORC),0)</f>
        <v>1</v>
      </c>
      <c r="S66" s="49" t="s">
        <v>1418</v>
      </c>
    </row>
    <row r="67" spans="2:19" ht="15" customHeight="1" x14ac:dyDescent="0.25">
      <c r="B67" s="194" t="str">
        <f>+IF(I67&lt;&gt;"",+VLOOKUP(I67,CENCOS,2,0),"")</f>
        <v/>
      </c>
      <c r="C67" s="195"/>
      <c r="D67" s="195"/>
      <c r="E67" s="196"/>
      <c r="F67" s="196"/>
      <c r="G67" s="196"/>
      <c r="H67" s="51"/>
      <c r="I67" s="53"/>
      <c r="J67" s="187"/>
      <c r="K67" s="188"/>
      <c r="L67" s="186"/>
      <c r="M67" s="192">
        <v>0</v>
      </c>
      <c r="N67" s="193"/>
      <c r="O67" s="63">
        <f>+IF(M67&gt;0,+M67/SUM(TOTPORC),0)</f>
        <v>0</v>
      </c>
      <c r="S67" s="49"/>
    </row>
    <row r="68" spans="2:19" ht="15" customHeight="1" thickBot="1" x14ac:dyDescent="0.3">
      <c r="B68" s="197" t="str">
        <f>+IF(I68&lt;&gt;"",+VLOOKUP(I68,CENCOS,2,0),"")</f>
        <v/>
      </c>
      <c r="C68" s="198"/>
      <c r="D68" s="198"/>
      <c r="E68" s="199"/>
      <c r="F68" s="199"/>
      <c r="G68" s="199"/>
      <c r="H68" s="51"/>
      <c r="I68" s="53"/>
      <c r="J68" s="189"/>
      <c r="K68" s="190"/>
      <c r="L68" s="191"/>
      <c r="M68" s="192">
        <v>0</v>
      </c>
      <c r="N68" s="193"/>
      <c r="O68" s="63">
        <f>+IF(M68&gt;0,+M68/SUM(TOTPORC),0)</f>
        <v>0</v>
      </c>
      <c r="S68" s="49"/>
    </row>
    <row r="69" spans="2:19" ht="15" customHeight="1" thickBot="1" x14ac:dyDescent="0.2">
      <c r="B69" s="57" t="s">
        <v>1070</v>
      </c>
      <c r="C69" s="79"/>
      <c r="D69" s="79"/>
      <c r="E69" s="45"/>
      <c r="F69" s="45"/>
      <c r="G69" s="64" t="s">
        <v>1397</v>
      </c>
      <c r="H69" s="328"/>
      <c r="I69" s="329"/>
      <c r="J69" s="329"/>
      <c r="K69" s="329"/>
      <c r="L69" s="329"/>
      <c r="M69" s="329"/>
      <c r="N69" s="329"/>
      <c r="O69" s="330"/>
      <c r="Q69" s="14">
        <f>+SUM(TOTHON)</f>
        <v>0</v>
      </c>
      <c r="S69" s="49" t="s">
        <v>1419</v>
      </c>
    </row>
    <row r="70" spans="2:19" ht="15" hidden="1" customHeight="1" x14ac:dyDescent="0.2">
      <c r="B70" s="194"/>
      <c r="C70" s="195"/>
      <c r="D70" s="195"/>
      <c r="E70" s="196"/>
      <c r="F70" s="196"/>
      <c r="G70" s="431"/>
      <c r="H70" s="95"/>
      <c r="I70" s="96"/>
      <c r="J70" s="184"/>
      <c r="K70" s="185"/>
      <c r="L70" s="186"/>
      <c r="M70" s="192"/>
      <c r="N70" s="193"/>
      <c r="O70" s="97">
        <f>+IF(M70&gt;0,+M70/SUM(TOTPORC),0)</f>
        <v>0</v>
      </c>
      <c r="S70" s="49" t="s">
        <v>1420</v>
      </c>
    </row>
    <row r="71" spans="2:19" ht="15" hidden="1" customHeight="1" x14ac:dyDescent="0.2">
      <c r="B71" s="194" t="str">
        <f>+IF(I71&lt;&gt;"",+VLOOKUP(I71,CENCOS,2,0),"")</f>
        <v/>
      </c>
      <c r="C71" s="195"/>
      <c r="D71" s="195"/>
      <c r="E71" s="196"/>
      <c r="F71" s="196"/>
      <c r="G71" s="196"/>
      <c r="H71" s="51"/>
      <c r="I71" s="53"/>
      <c r="J71" s="187"/>
      <c r="K71" s="188"/>
      <c r="L71" s="186"/>
      <c r="M71" s="192">
        <v>0</v>
      </c>
      <c r="N71" s="193"/>
      <c r="O71" s="63">
        <f>+IF(M71&gt;0,+M71/SUM(TOTPORC),0)</f>
        <v>0</v>
      </c>
      <c r="S71" s="49"/>
    </row>
    <row r="72" spans="2:19" ht="15" hidden="1" customHeight="1" thickBot="1" x14ac:dyDescent="0.25">
      <c r="B72" s="197" t="str">
        <f>+IF(I72&lt;&gt;"",+VLOOKUP(I72,CENCOS,2,0),"")</f>
        <v/>
      </c>
      <c r="C72" s="198"/>
      <c r="D72" s="198"/>
      <c r="E72" s="199"/>
      <c r="F72" s="199"/>
      <c r="G72" s="199"/>
      <c r="H72" s="51"/>
      <c r="I72" s="53"/>
      <c r="J72" s="189"/>
      <c r="K72" s="190"/>
      <c r="L72" s="191"/>
      <c r="M72" s="192">
        <v>0</v>
      </c>
      <c r="N72" s="193"/>
      <c r="O72" s="63">
        <f>+IF(M72&gt;0,+M72/SUM(TOTPORC),0)</f>
        <v>0</v>
      </c>
      <c r="S72" s="49"/>
    </row>
    <row r="73" spans="2:19" ht="15" customHeight="1" thickBot="1" x14ac:dyDescent="0.3">
      <c r="B73" s="169" t="s">
        <v>1071</v>
      </c>
      <c r="C73" s="78"/>
      <c r="D73" s="78"/>
      <c r="E73" s="45"/>
      <c r="F73" s="45"/>
      <c r="G73" s="64" t="s">
        <v>1397</v>
      </c>
      <c r="H73" s="328"/>
      <c r="I73" s="329"/>
      <c r="J73" s="329"/>
      <c r="K73" s="329"/>
      <c r="L73" s="329"/>
      <c r="M73" s="329"/>
      <c r="N73" s="329"/>
      <c r="O73" s="330"/>
      <c r="Q73" s="14">
        <f>+SUM(TOTREM)</f>
        <v>0</v>
      </c>
      <c r="S73" s="49" t="s">
        <v>1426</v>
      </c>
    </row>
    <row r="74" spans="2:19" ht="15" hidden="1" customHeight="1" x14ac:dyDescent="0.2">
      <c r="B74" s="194" t="str">
        <f>+IF(I74&lt;&gt;"",+VLOOKUP(I74,CENCOS,2,0),"")</f>
        <v/>
      </c>
      <c r="C74" s="195"/>
      <c r="D74" s="195"/>
      <c r="E74" s="196"/>
      <c r="F74" s="196"/>
      <c r="G74" s="196"/>
      <c r="H74" s="95"/>
      <c r="I74" s="96"/>
      <c r="J74" s="184"/>
      <c r="K74" s="185"/>
      <c r="L74" s="186"/>
      <c r="M74" s="192">
        <v>0</v>
      </c>
      <c r="N74" s="193"/>
      <c r="O74" s="97">
        <f>+IF(M74&gt;0,+M74/SUM(TOTPORC),0)</f>
        <v>0</v>
      </c>
      <c r="S74" s="49" t="s">
        <v>1427</v>
      </c>
    </row>
    <row r="75" spans="2:19" ht="15" hidden="1" customHeight="1" x14ac:dyDescent="0.2">
      <c r="B75" s="194" t="str">
        <f>+IF(I75&lt;&gt;"",+VLOOKUP(I75,CENCOS,2,0),"")</f>
        <v/>
      </c>
      <c r="C75" s="195"/>
      <c r="D75" s="195"/>
      <c r="E75" s="196"/>
      <c r="F75" s="196"/>
      <c r="G75" s="196"/>
      <c r="H75" s="51"/>
      <c r="I75" s="53"/>
      <c r="J75" s="187"/>
      <c r="K75" s="185"/>
      <c r="L75" s="186"/>
      <c r="M75" s="331">
        <v>0</v>
      </c>
      <c r="N75" s="332"/>
      <c r="O75" s="63">
        <f>+IF(M75&gt;0,+M75/SUM(TOTPORC),0)</f>
        <v>0</v>
      </c>
      <c r="S75" s="49"/>
    </row>
    <row r="76" spans="2:19" ht="15" hidden="1" customHeight="1" thickBot="1" x14ac:dyDescent="0.25">
      <c r="B76" s="197" t="str">
        <f>+IF(I76&lt;&gt;"",+VLOOKUP(I76,CENCOS,2,0),"")</f>
        <v/>
      </c>
      <c r="C76" s="198"/>
      <c r="D76" s="198"/>
      <c r="E76" s="199"/>
      <c r="F76" s="199"/>
      <c r="G76" s="199"/>
      <c r="H76" s="52"/>
      <c r="I76" s="54"/>
      <c r="J76" s="189"/>
      <c r="K76" s="190"/>
      <c r="L76" s="191"/>
      <c r="M76" s="331">
        <v>0</v>
      </c>
      <c r="N76" s="332"/>
      <c r="O76" s="63">
        <f>+IF(M76&gt;0,+M76/SUM(TOTPORC),0)</f>
        <v>0</v>
      </c>
      <c r="S76" s="49"/>
    </row>
    <row r="77" spans="2:19" ht="30" customHeight="1" thickBot="1" x14ac:dyDescent="0.3">
      <c r="B77" s="466" t="s">
        <v>614</v>
      </c>
      <c r="C77" s="467"/>
      <c r="D77" s="467"/>
      <c r="E77" s="468"/>
      <c r="F77" s="469">
        <f>IF(SUM(TOTPORC)=0,0,+SUM(TOTPORC))</f>
        <v>1395242</v>
      </c>
      <c r="G77" s="470"/>
      <c r="H77" s="471" t="str">
        <f>NumLetras(VRMENCTO)</f>
        <v>UN MILLON TRESCIENTOS NOVENTA Y CINCO MIL DOSCIENTOS CUARENTA Y DOS PESOS</v>
      </c>
      <c r="I77" s="472"/>
      <c r="J77" s="472"/>
      <c r="K77" s="472"/>
      <c r="L77" s="472"/>
      <c r="M77" s="472"/>
      <c r="N77" s="472"/>
      <c r="O77" s="473"/>
    </row>
    <row r="78" spans="2:19" ht="22.5" customHeight="1" thickBot="1" x14ac:dyDescent="0.3">
      <c r="B78" s="446" t="s">
        <v>1438</v>
      </c>
      <c r="C78" s="446"/>
      <c r="D78" s="446"/>
      <c r="E78" s="446"/>
      <c r="F78" s="446"/>
      <c r="G78" s="446"/>
      <c r="H78" s="446"/>
      <c r="I78" s="446"/>
      <c r="J78" s="446"/>
      <c r="K78" s="446"/>
      <c r="L78" s="446"/>
      <c r="M78" s="446"/>
      <c r="N78" s="446"/>
      <c r="O78" s="446"/>
      <c r="Q78" s="86"/>
    </row>
    <row r="79" spans="2:19" ht="22.5" customHeight="1" thickBot="1" x14ac:dyDescent="0.3">
      <c r="B79" s="449" t="s">
        <v>1441</v>
      </c>
      <c r="C79" s="450"/>
      <c r="D79" s="451"/>
      <c r="E79" s="452">
        <v>44317</v>
      </c>
      <c r="F79" s="453"/>
      <c r="G79" s="453"/>
      <c r="H79" s="454"/>
      <c r="I79" s="300" t="s">
        <v>1446</v>
      </c>
      <c r="J79" s="301"/>
      <c r="K79" s="452">
        <v>44377</v>
      </c>
      <c r="L79" s="453"/>
      <c r="M79" s="453"/>
      <c r="N79" s="453"/>
      <c r="O79" s="454"/>
    </row>
    <row r="80" spans="2:19" ht="36" customHeight="1" thickBot="1" x14ac:dyDescent="0.3">
      <c r="B80" s="442" t="s">
        <v>1447</v>
      </c>
      <c r="C80" s="443"/>
      <c r="D80" s="94" t="s">
        <v>1430</v>
      </c>
      <c r="E80" s="76" t="s">
        <v>1431</v>
      </c>
      <c r="F80" s="76" t="s">
        <v>1448</v>
      </c>
      <c r="G80" s="72" t="s">
        <v>1429</v>
      </c>
      <c r="H80" s="93" t="s">
        <v>1428</v>
      </c>
      <c r="I80" s="302" t="s">
        <v>1479</v>
      </c>
      <c r="J80" s="303"/>
      <c r="K80" s="475" t="s">
        <v>1432</v>
      </c>
      <c r="L80" s="476"/>
      <c r="M80" s="477"/>
      <c r="N80" s="440" t="s">
        <v>1433</v>
      </c>
      <c r="O80" s="441"/>
    </row>
    <row r="81" spans="2:15" ht="12.95" customHeight="1" x14ac:dyDescent="0.2">
      <c r="B81" s="444">
        <v>1</v>
      </c>
      <c r="C81" s="445"/>
      <c r="D81" s="174">
        <v>44378</v>
      </c>
      <c r="E81" s="175">
        <v>44392</v>
      </c>
      <c r="F81" s="176"/>
      <c r="G81" s="177"/>
      <c r="H81" s="172"/>
      <c r="I81" s="304">
        <v>1</v>
      </c>
      <c r="J81" s="305"/>
      <c r="K81" s="478"/>
      <c r="L81" s="479"/>
      <c r="M81" s="480"/>
      <c r="N81" s="447"/>
      <c r="O81" s="448"/>
    </row>
    <row r="82" spans="2:15" ht="12.95" customHeight="1" x14ac:dyDescent="0.2">
      <c r="B82" s="227">
        <v>2</v>
      </c>
      <c r="C82" s="228"/>
      <c r="D82" s="178">
        <v>44393</v>
      </c>
      <c r="E82" s="179">
        <v>44439</v>
      </c>
      <c r="F82" s="180">
        <v>1</v>
      </c>
      <c r="G82" s="181">
        <v>1395242</v>
      </c>
      <c r="H82" s="173">
        <v>1875</v>
      </c>
      <c r="I82" s="306">
        <v>2</v>
      </c>
      <c r="J82" s="307"/>
      <c r="K82" s="437"/>
      <c r="L82" s="438"/>
      <c r="M82" s="439"/>
      <c r="N82" s="233"/>
      <c r="O82" s="234"/>
    </row>
    <row r="83" spans="2:15" ht="12.95" customHeight="1" x14ac:dyDescent="0.2">
      <c r="B83" s="227"/>
      <c r="C83" s="228"/>
      <c r="D83" s="178"/>
      <c r="E83" s="179"/>
      <c r="F83" s="180"/>
      <c r="G83" s="181"/>
      <c r="H83" s="173"/>
      <c r="I83" s="306">
        <v>3</v>
      </c>
      <c r="J83" s="307"/>
      <c r="K83" s="437"/>
      <c r="L83" s="438"/>
      <c r="M83" s="439"/>
      <c r="N83" s="233"/>
      <c r="O83" s="234"/>
    </row>
    <row r="84" spans="2:15" ht="12.95" customHeight="1" x14ac:dyDescent="0.2">
      <c r="B84" s="227"/>
      <c r="C84" s="228"/>
      <c r="D84" s="178"/>
      <c r="E84" s="179"/>
      <c r="F84" s="180"/>
      <c r="G84" s="181"/>
      <c r="H84" s="173"/>
      <c r="I84" s="306">
        <v>4</v>
      </c>
      <c r="J84" s="307"/>
      <c r="K84" s="437"/>
      <c r="L84" s="438"/>
      <c r="M84" s="439"/>
      <c r="N84" s="233"/>
      <c r="O84" s="234"/>
    </row>
    <row r="85" spans="2:15" ht="12.95" customHeight="1" x14ac:dyDescent="0.2">
      <c r="B85" s="227"/>
      <c r="C85" s="228"/>
      <c r="D85" s="106"/>
      <c r="E85" s="108"/>
      <c r="F85" s="109"/>
      <c r="G85" s="171"/>
      <c r="H85" s="173"/>
      <c r="I85" s="306">
        <v>5</v>
      </c>
      <c r="J85" s="307"/>
      <c r="K85" s="437" t="s">
        <v>1515</v>
      </c>
      <c r="L85" s="438"/>
      <c r="M85" s="439"/>
      <c r="N85" s="233">
        <v>1406296</v>
      </c>
      <c r="O85" s="234"/>
    </row>
    <row r="86" spans="2:15" ht="12.95" customHeight="1" x14ac:dyDescent="0.2">
      <c r="B86" s="227"/>
      <c r="C86" s="228"/>
      <c r="D86" s="106"/>
      <c r="E86" s="108"/>
      <c r="F86" s="109"/>
      <c r="G86" s="112"/>
      <c r="H86" s="128"/>
      <c r="I86" s="306">
        <v>6</v>
      </c>
      <c r="J86" s="307"/>
      <c r="K86" s="474" t="s">
        <v>1521</v>
      </c>
      <c r="L86" s="262"/>
      <c r="M86" s="263"/>
      <c r="N86" s="235">
        <v>1395242</v>
      </c>
      <c r="O86" s="234"/>
    </row>
    <row r="87" spans="2:15" ht="12.95" customHeight="1" x14ac:dyDescent="0.2">
      <c r="B87" s="227"/>
      <c r="C87" s="228"/>
      <c r="D87" s="106"/>
      <c r="E87" s="108"/>
      <c r="F87" s="109"/>
      <c r="G87" s="112"/>
      <c r="H87" s="128"/>
      <c r="I87" s="306">
        <v>7</v>
      </c>
      <c r="J87" s="307"/>
      <c r="K87" s="261" t="s">
        <v>1536</v>
      </c>
      <c r="L87" s="262"/>
      <c r="M87" s="263"/>
      <c r="N87" s="233">
        <v>1395242</v>
      </c>
      <c r="O87" s="234"/>
    </row>
    <row r="88" spans="2:15" ht="12.95" customHeight="1" x14ac:dyDescent="0.2">
      <c r="B88" s="227"/>
      <c r="C88" s="228"/>
      <c r="D88" s="106"/>
      <c r="E88" s="108"/>
      <c r="F88" s="109"/>
      <c r="G88" s="112"/>
      <c r="H88" s="128"/>
      <c r="I88" s="306">
        <v>8</v>
      </c>
      <c r="J88" s="307"/>
      <c r="K88" s="261"/>
      <c r="L88" s="262"/>
      <c r="M88" s="263"/>
      <c r="N88" s="233"/>
      <c r="O88" s="234"/>
    </row>
    <row r="89" spans="2:15" ht="12.95" customHeight="1" x14ac:dyDescent="0.2">
      <c r="B89" s="227"/>
      <c r="C89" s="228"/>
      <c r="D89" s="107"/>
      <c r="E89" s="110"/>
      <c r="F89" s="111"/>
      <c r="G89" s="113"/>
      <c r="H89" s="129"/>
      <c r="I89" s="306">
        <v>9</v>
      </c>
      <c r="J89" s="307"/>
      <c r="K89" s="261"/>
      <c r="L89" s="262"/>
      <c r="M89" s="263"/>
      <c r="N89" s="233"/>
      <c r="O89" s="234"/>
    </row>
    <row r="90" spans="2:15" ht="12.95" customHeight="1" x14ac:dyDescent="0.2">
      <c r="B90" s="227"/>
      <c r="C90" s="228"/>
      <c r="D90" s="106"/>
      <c r="E90" s="108"/>
      <c r="F90" s="109"/>
      <c r="G90" s="112"/>
      <c r="H90" s="128"/>
      <c r="I90" s="306">
        <v>10</v>
      </c>
      <c r="J90" s="307"/>
      <c r="K90" s="261"/>
      <c r="L90" s="262"/>
      <c r="M90" s="263"/>
      <c r="N90" s="233"/>
      <c r="O90" s="234"/>
    </row>
    <row r="91" spans="2:15" ht="12.95" customHeight="1" x14ac:dyDescent="0.2">
      <c r="B91" s="227"/>
      <c r="C91" s="228"/>
      <c r="D91" s="106"/>
      <c r="E91" s="108"/>
      <c r="F91" s="109"/>
      <c r="G91" s="112"/>
      <c r="H91" s="128"/>
      <c r="I91" s="306">
        <v>11</v>
      </c>
      <c r="J91" s="307"/>
      <c r="K91" s="261"/>
      <c r="L91" s="262"/>
      <c r="M91" s="263"/>
      <c r="N91" s="233"/>
      <c r="O91" s="234"/>
    </row>
    <row r="92" spans="2:15" ht="12.95" customHeight="1" x14ac:dyDescent="0.2">
      <c r="B92" s="346"/>
      <c r="C92" s="347"/>
      <c r="D92" s="162"/>
      <c r="E92" s="108"/>
      <c r="F92" s="109"/>
      <c r="G92" s="112"/>
      <c r="H92" s="128"/>
      <c r="I92" s="464">
        <v>12</v>
      </c>
      <c r="J92" s="465"/>
      <c r="K92" s="261"/>
      <c r="L92" s="262"/>
      <c r="M92" s="263"/>
      <c r="N92" s="233"/>
      <c r="O92" s="234"/>
    </row>
    <row r="93" spans="2:15" ht="12.95" customHeight="1" thickBot="1" x14ac:dyDescent="0.3">
      <c r="B93" s="214"/>
      <c r="C93" s="215"/>
      <c r="D93" s="163"/>
      <c r="E93" s="163"/>
      <c r="F93" s="164"/>
      <c r="G93" s="165"/>
      <c r="H93" s="166"/>
      <c r="I93" s="216">
        <v>13</v>
      </c>
      <c r="J93" s="217"/>
      <c r="K93" s="220"/>
      <c r="L93" s="221"/>
      <c r="M93" s="221"/>
      <c r="N93" s="218"/>
      <c r="O93" s="219"/>
    </row>
    <row r="94" spans="2:15" ht="15" customHeight="1" thickBot="1" x14ac:dyDescent="0.3">
      <c r="B94" s="229"/>
      <c r="C94" s="230"/>
      <c r="D94" s="230"/>
      <c r="E94" s="230"/>
      <c r="F94" s="231"/>
      <c r="G94" s="231"/>
      <c r="H94" s="230"/>
      <c r="I94" s="231"/>
      <c r="J94" s="231"/>
      <c r="K94" s="231"/>
      <c r="L94" s="231"/>
      <c r="M94" s="231"/>
      <c r="N94" s="231"/>
      <c r="O94" s="232"/>
    </row>
    <row r="95" spans="2:15" ht="30" customHeight="1" thickBot="1" x14ac:dyDescent="0.3">
      <c r="B95" s="82"/>
      <c r="C95" s="222" t="s">
        <v>1434</v>
      </c>
      <c r="D95" s="299"/>
      <c r="E95" s="223"/>
      <c r="F95" s="74"/>
      <c r="G95" s="222" t="s">
        <v>1435</v>
      </c>
      <c r="H95" s="223"/>
      <c r="I95" s="75"/>
      <c r="J95" s="222" t="s">
        <v>1436</v>
      </c>
      <c r="K95" s="223"/>
      <c r="L95" s="82"/>
      <c r="M95" s="87"/>
      <c r="N95" s="296" t="s">
        <v>1437</v>
      </c>
      <c r="O95" s="297"/>
    </row>
    <row r="96" spans="2:15" ht="30" customHeight="1" thickBot="1" x14ac:dyDescent="0.25">
      <c r="B96" s="82"/>
      <c r="C96" s="298">
        <v>2801538</v>
      </c>
      <c r="D96" s="276"/>
      <c r="E96" s="277"/>
      <c r="F96" s="74"/>
      <c r="G96" s="224">
        <f>+VRINICTO+SUM(G81:G93)</f>
        <v>4196780</v>
      </c>
      <c r="H96" s="225"/>
      <c r="I96" s="73"/>
      <c r="J96" s="224">
        <f>N81+N82+N83+N84+N85+N86+N87+N88+N89+N90+N91+N92+N93</f>
        <v>4196780</v>
      </c>
      <c r="K96" s="225"/>
      <c r="L96" s="226"/>
      <c r="M96" s="226"/>
      <c r="N96" s="224">
        <f>+G96-J96</f>
        <v>0</v>
      </c>
      <c r="O96" s="22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13" t="s">
        <v>1439</v>
      </c>
      <c r="V97" s="313"/>
      <c r="W97" s="313"/>
      <c r="X97" s="314"/>
      <c r="Y97" s="315" t="s">
        <v>1440</v>
      </c>
      <c r="Z97" s="315"/>
      <c r="AA97" s="315"/>
      <c r="AB97" s="315"/>
      <c r="AC97" s="102"/>
      <c r="AD97" s="102"/>
      <c r="AE97" s="316" t="s">
        <v>3</v>
      </c>
      <c r="AF97" s="316"/>
      <c r="AG97" s="316"/>
      <c r="AH97" s="317"/>
      <c r="AI97" s="318" t="s">
        <v>1440</v>
      </c>
      <c r="AJ97" s="319"/>
      <c r="AK97" s="319"/>
      <c r="AL97" s="319"/>
      <c r="AM97" s="320"/>
      <c r="AN97" s="102"/>
      <c r="AO97" s="102"/>
      <c r="AP97" s="102"/>
      <c r="AQ97" s="102"/>
      <c r="AR97" s="102"/>
      <c r="AS97" s="102"/>
      <c r="AT97" s="102"/>
      <c r="AU97" s="102"/>
      <c r="AV97" s="102"/>
      <c r="AW97" s="103"/>
      <c r="AX97" s="312"/>
      <c r="AY97" s="312"/>
      <c r="AZ97" s="312"/>
      <c r="BA97" s="312"/>
      <c r="BB97" s="312"/>
      <c r="BC97" s="312"/>
      <c r="BD97" s="312"/>
      <c r="BE97" s="312"/>
      <c r="BF97" s="312"/>
      <c r="BG97" s="312"/>
      <c r="BH97" s="312"/>
      <c r="BI97" s="312"/>
      <c r="BJ97" s="312"/>
      <c r="BK97" s="312"/>
      <c r="BL97" s="312"/>
      <c r="BM97" s="312"/>
      <c r="BN97" s="312"/>
      <c r="BO97" s="312"/>
      <c r="BP97" s="104"/>
    </row>
    <row r="98" spans="1:68" ht="18" customHeight="1" thickBot="1" x14ac:dyDescent="0.3">
      <c r="B98" s="206" t="s">
        <v>10</v>
      </c>
      <c r="C98" s="206"/>
      <c r="D98" s="206"/>
      <c r="E98" s="206"/>
      <c r="F98" s="206"/>
      <c r="G98" s="206"/>
      <c r="H98" s="206"/>
      <c r="I98" s="206"/>
      <c r="J98" s="206"/>
      <c r="K98" s="206"/>
      <c r="L98" s="206"/>
      <c r="M98" s="206"/>
      <c r="N98" s="206"/>
      <c r="O98" s="206"/>
    </row>
    <row r="99" spans="1:68" ht="40.5" customHeight="1" thickBot="1" x14ac:dyDescent="0.3">
      <c r="B99" s="46"/>
      <c r="C99" s="80"/>
      <c r="D99" s="80"/>
      <c r="E99" s="241" t="s">
        <v>1443</v>
      </c>
      <c r="F99" s="247"/>
      <c r="G99" s="247"/>
      <c r="H99" s="248"/>
      <c r="I99" s="241" t="s">
        <v>1474</v>
      </c>
      <c r="J99" s="241"/>
      <c r="K99" s="241"/>
      <c r="L99" s="242"/>
      <c r="M99" s="269" t="s">
        <v>1444</v>
      </c>
      <c r="N99" s="270"/>
      <c r="O99" s="271"/>
    </row>
    <row r="100" spans="1:68" ht="108" customHeight="1" thickBot="1" x14ac:dyDescent="0.25">
      <c r="B100" s="85">
        <v>1</v>
      </c>
      <c r="C100" s="278" t="s">
        <v>1511</v>
      </c>
      <c r="D100" s="279"/>
      <c r="E100" s="279"/>
      <c r="F100" s="279"/>
      <c r="G100" s="279"/>
      <c r="H100" s="280"/>
      <c r="I100" s="243" t="s">
        <v>1522</v>
      </c>
      <c r="J100" s="244"/>
      <c r="K100" s="244"/>
      <c r="L100" s="245"/>
      <c r="M100" s="272" t="s">
        <v>1499</v>
      </c>
      <c r="N100" s="273"/>
      <c r="O100" s="274"/>
    </row>
    <row r="101" spans="1:68" ht="114" customHeight="1" thickBot="1" x14ac:dyDescent="0.25">
      <c r="B101" s="25">
        <v>2</v>
      </c>
      <c r="C101" s="281" t="s">
        <v>1504</v>
      </c>
      <c r="D101" s="282"/>
      <c r="E101" s="282"/>
      <c r="F101" s="282"/>
      <c r="G101" s="282"/>
      <c r="H101" s="283"/>
      <c r="I101" s="243" t="s">
        <v>1523</v>
      </c>
      <c r="J101" s="244"/>
      <c r="K101" s="244"/>
      <c r="L101" s="245"/>
      <c r="M101" s="272" t="s">
        <v>1499</v>
      </c>
      <c r="N101" s="273"/>
      <c r="O101" s="274"/>
    </row>
    <row r="102" spans="1:68" ht="116.25" customHeight="1" thickBot="1" x14ac:dyDescent="0.25">
      <c r="B102" s="25">
        <v>3</v>
      </c>
      <c r="C102" s="281" t="s">
        <v>1505</v>
      </c>
      <c r="D102" s="282"/>
      <c r="E102" s="282"/>
      <c r="F102" s="282"/>
      <c r="G102" s="282"/>
      <c r="H102" s="283"/>
      <c r="I102" s="246" t="s">
        <v>1529</v>
      </c>
      <c r="J102" s="244"/>
      <c r="K102" s="244"/>
      <c r="L102" s="245"/>
      <c r="M102" s="272" t="s">
        <v>1500</v>
      </c>
      <c r="N102" s="273"/>
      <c r="O102" s="274"/>
    </row>
    <row r="103" spans="1:68" ht="75" customHeight="1" thickBot="1" x14ac:dyDescent="0.25">
      <c r="B103" s="25">
        <v>4</v>
      </c>
      <c r="C103" s="281" t="s">
        <v>1506</v>
      </c>
      <c r="D103" s="282"/>
      <c r="E103" s="282"/>
      <c r="F103" s="282"/>
      <c r="G103" s="282"/>
      <c r="H103" s="283"/>
      <c r="I103" s="246" t="s">
        <v>1530</v>
      </c>
      <c r="J103" s="244"/>
      <c r="K103" s="244"/>
      <c r="L103" s="245"/>
      <c r="M103" s="272" t="s">
        <v>1501</v>
      </c>
      <c r="N103" s="273"/>
      <c r="O103" s="274"/>
    </row>
    <row r="104" spans="1:68" ht="114.75" customHeight="1" thickBot="1" x14ac:dyDescent="0.25">
      <c r="B104" s="25">
        <v>5</v>
      </c>
      <c r="C104" s="281" t="s">
        <v>1507</v>
      </c>
      <c r="D104" s="282"/>
      <c r="E104" s="282"/>
      <c r="F104" s="282"/>
      <c r="G104" s="282"/>
      <c r="H104" s="283"/>
      <c r="I104" s="246" t="s">
        <v>1535</v>
      </c>
      <c r="J104" s="244"/>
      <c r="K104" s="244"/>
      <c r="L104" s="245"/>
      <c r="M104" s="272" t="s">
        <v>1502</v>
      </c>
      <c r="N104" s="273"/>
      <c r="O104" s="274"/>
    </row>
    <row r="105" spans="1:68" ht="103.5" customHeight="1" thickBot="1" x14ac:dyDescent="0.25">
      <c r="B105" s="25">
        <v>6</v>
      </c>
      <c r="C105" s="281" t="s">
        <v>1508</v>
      </c>
      <c r="D105" s="282"/>
      <c r="E105" s="282"/>
      <c r="F105" s="282"/>
      <c r="G105" s="282"/>
      <c r="H105" s="283"/>
      <c r="I105" s="246" t="s">
        <v>1531</v>
      </c>
      <c r="J105" s="244"/>
      <c r="K105" s="244"/>
      <c r="L105" s="245"/>
      <c r="M105" s="272" t="s">
        <v>1503</v>
      </c>
      <c r="N105" s="273"/>
      <c r="O105" s="274"/>
    </row>
    <row r="106" spans="1:68" ht="57.75" customHeight="1" thickBot="1" x14ac:dyDescent="0.25">
      <c r="B106" s="25">
        <v>7</v>
      </c>
      <c r="C106" s="281" t="s">
        <v>1509</v>
      </c>
      <c r="D106" s="282"/>
      <c r="E106" s="282"/>
      <c r="F106" s="282"/>
      <c r="G106" s="282"/>
      <c r="H106" s="283"/>
      <c r="I106" s="246" t="s">
        <v>1532</v>
      </c>
      <c r="J106" s="244"/>
      <c r="K106" s="244"/>
      <c r="L106" s="245"/>
      <c r="M106" s="272" t="s">
        <v>1503</v>
      </c>
      <c r="N106" s="273"/>
      <c r="O106" s="274"/>
    </row>
    <row r="107" spans="1:68" ht="50.25" customHeight="1" thickBot="1" x14ac:dyDescent="0.25">
      <c r="B107" s="25">
        <v>8</v>
      </c>
      <c r="C107" s="281" t="s">
        <v>1510</v>
      </c>
      <c r="D107" s="282"/>
      <c r="E107" s="282"/>
      <c r="F107" s="282"/>
      <c r="G107" s="282"/>
      <c r="H107" s="283"/>
      <c r="I107" s="246" t="s">
        <v>1524</v>
      </c>
      <c r="J107" s="244"/>
      <c r="K107" s="244"/>
      <c r="L107" s="245"/>
      <c r="M107" s="272" t="s">
        <v>1500</v>
      </c>
      <c r="N107" s="273"/>
      <c r="O107" s="274"/>
    </row>
    <row r="108" spans="1:68" ht="40.5" customHeight="1" thickBot="1" x14ac:dyDescent="0.25">
      <c r="B108" s="25">
        <v>9</v>
      </c>
      <c r="C108" s="281" t="s">
        <v>1526</v>
      </c>
      <c r="D108" s="282"/>
      <c r="E108" s="282"/>
      <c r="F108" s="282"/>
      <c r="G108" s="282"/>
      <c r="H108" s="283"/>
      <c r="I108" s="246" t="s">
        <v>1525</v>
      </c>
      <c r="J108" s="244"/>
      <c r="K108" s="244"/>
      <c r="L108" s="245"/>
      <c r="M108" s="275" t="s">
        <v>1528</v>
      </c>
      <c r="N108" s="276"/>
      <c r="O108" s="277"/>
    </row>
    <row r="109" spans="1:68" ht="78" customHeight="1" thickBot="1" x14ac:dyDescent="0.25">
      <c r="B109" s="25">
        <v>10</v>
      </c>
      <c r="C109" s="264" t="s">
        <v>1527</v>
      </c>
      <c r="D109" s="265"/>
      <c r="E109" s="265"/>
      <c r="F109" s="265"/>
      <c r="G109" s="265"/>
      <c r="H109" s="266"/>
      <c r="I109" s="246" t="s">
        <v>1533</v>
      </c>
      <c r="J109" s="244"/>
      <c r="K109" s="244"/>
      <c r="L109" s="245"/>
      <c r="M109" s="275" t="s">
        <v>1499</v>
      </c>
      <c r="N109" s="276"/>
      <c r="O109" s="277"/>
    </row>
    <row r="110" spans="1:68" ht="21.75" customHeight="1" thickBot="1" x14ac:dyDescent="0.3">
      <c r="B110" s="134">
        <v>11</v>
      </c>
      <c r="C110" s="253"/>
      <c r="D110" s="254"/>
      <c r="E110" s="254"/>
      <c r="F110" s="254"/>
      <c r="G110" s="254"/>
      <c r="H110" s="254"/>
      <c r="I110" s="255"/>
      <c r="J110" s="256"/>
      <c r="K110" s="256"/>
      <c r="L110" s="257"/>
      <c r="M110" s="258"/>
      <c r="N110" s="259"/>
      <c r="O110" s="260"/>
    </row>
    <row r="111" spans="1:68" ht="15.75" customHeight="1" thickBot="1" x14ac:dyDescent="0.3">
      <c r="B111" s="160">
        <v>12</v>
      </c>
      <c r="C111" s="136"/>
      <c r="D111" s="137"/>
      <c r="E111" s="137"/>
      <c r="F111" s="137"/>
      <c r="G111" s="137"/>
      <c r="H111" s="137"/>
      <c r="I111" s="138"/>
      <c r="J111" s="139"/>
      <c r="K111" s="139"/>
      <c r="L111" s="140"/>
      <c r="M111" s="141"/>
      <c r="N111" s="142"/>
      <c r="O111" s="143"/>
    </row>
    <row r="112" spans="1:68" ht="11.25" customHeight="1" thickBot="1" x14ac:dyDescent="0.3">
      <c r="B112" s="160">
        <v>13</v>
      </c>
      <c r="C112" s="136"/>
      <c r="D112" s="137"/>
      <c r="E112" s="137"/>
      <c r="F112" s="137"/>
      <c r="G112" s="137"/>
      <c r="H112" s="137"/>
      <c r="I112" s="138"/>
      <c r="J112" s="139"/>
      <c r="K112" s="139"/>
      <c r="L112" s="140"/>
      <c r="M112" s="141"/>
      <c r="N112" s="142"/>
      <c r="O112" s="143"/>
    </row>
    <row r="113" spans="2:15" ht="16.5" customHeight="1" thickBot="1" x14ac:dyDescent="0.3">
      <c r="B113" s="160">
        <v>14</v>
      </c>
      <c r="C113" s="136"/>
      <c r="D113" s="137"/>
      <c r="E113" s="137"/>
      <c r="F113" s="137"/>
      <c r="G113" s="137"/>
      <c r="H113" s="137"/>
      <c r="I113" s="138"/>
      <c r="J113" s="139"/>
      <c r="K113" s="139"/>
      <c r="L113" s="140"/>
      <c r="M113" s="141"/>
      <c r="N113" s="142"/>
      <c r="O113" s="143"/>
    </row>
    <row r="114" spans="2:15" s="29" customFormat="1" ht="16.5" customHeight="1" thickBot="1" x14ac:dyDescent="0.3">
      <c r="B114" s="135">
        <v>15</v>
      </c>
      <c r="C114" s="253"/>
      <c r="D114" s="254"/>
      <c r="E114" s="254"/>
      <c r="F114" s="254"/>
      <c r="G114" s="254"/>
      <c r="H114" s="254"/>
      <c r="I114" s="255"/>
      <c r="J114" s="256"/>
      <c r="K114" s="256"/>
      <c r="L114" s="257"/>
      <c r="M114" s="258"/>
      <c r="N114" s="259"/>
      <c r="O114" s="260"/>
    </row>
    <row r="115" spans="2:15" ht="21.75" customHeight="1" thickBot="1" x14ac:dyDescent="0.3">
      <c r="B115" s="249" t="s">
        <v>1062</v>
      </c>
      <c r="C115" s="250"/>
      <c r="D115" s="250"/>
      <c r="E115" s="250"/>
      <c r="F115" s="251"/>
      <c r="G115" s="251"/>
      <c r="H115" s="251"/>
      <c r="I115" s="251"/>
      <c r="J115" s="251"/>
      <c r="K115" s="251"/>
      <c r="L115" s="251"/>
      <c r="M115" s="251"/>
      <c r="N115" s="251"/>
      <c r="O115" s="252"/>
    </row>
    <row r="116" spans="2:15" ht="20.25" customHeight="1" thickBot="1" x14ac:dyDescent="0.3">
      <c r="B116" s="238" t="s">
        <v>745</v>
      </c>
      <c r="C116" s="239"/>
      <c r="D116" s="238" t="s">
        <v>747</v>
      </c>
      <c r="E116" s="239"/>
      <c r="F116" s="240"/>
      <c r="G116" s="236" t="s">
        <v>1445</v>
      </c>
      <c r="H116" s="237"/>
      <c r="I116" s="337" t="s">
        <v>1059</v>
      </c>
      <c r="J116" s="338"/>
      <c r="K116" s="338"/>
      <c r="L116" s="339"/>
      <c r="M116" s="405">
        <v>1395242</v>
      </c>
      <c r="N116" s="405"/>
      <c r="O116" s="405"/>
    </row>
    <row r="117" spans="2:15" ht="12" customHeight="1" thickBot="1" x14ac:dyDescent="0.3">
      <c r="B117" s="34" t="s">
        <v>613</v>
      </c>
      <c r="C117" s="88" t="s">
        <v>588</v>
      </c>
      <c r="D117" s="15" t="s">
        <v>613</v>
      </c>
      <c r="E117" s="15" t="s">
        <v>588</v>
      </c>
      <c r="F117" s="90" t="s">
        <v>746</v>
      </c>
      <c r="G117" s="308">
        <v>1039069747</v>
      </c>
      <c r="H117" s="309"/>
      <c r="I117" s="340"/>
      <c r="J117" s="341"/>
      <c r="K117" s="341"/>
      <c r="L117" s="342"/>
      <c r="M117" s="406"/>
      <c r="N117" s="406"/>
      <c r="O117" s="406"/>
    </row>
    <row r="118" spans="2:15" ht="15" customHeight="1" thickBot="1" x14ac:dyDescent="0.3">
      <c r="B118" s="84">
        <v>2021</v>
      </c>
      <c r="C118" s="84">
        <v>6</v>
      </c>
      <c r="D118" s="84">
        <v>2021</v>
      </c>
      <c r="E118" s="35">
        <v>7</v>
      </c>
      <c r="F118" s="35">
        <v>13</v>
      </c>
      <c r="G118" s="310"/>
      <c r="H118" s="311"/>
      <c r="I118" s="343"/>
      <c r="J118" s="344"/>
      <c r="K118" s="344"/>
      <c r="L118" s="345"/>
      <c r="M118" s="407"/>
      <c r="N118" s="407"/>
      <c r="O118" s="407"/>
    </row>
    <row r="119" spans="2:15" ht="20.25" customHeight="1" thickBot="1" x14ac:dyDescent="0.3">
      <c r="B119" s="412" t="s">
        <v>1060</v>
      </c>
      <c r="C119" s="412"/>
      <c r="D119" s="412"/>
      <c r="E119" s="413"/>
      <c r="F119" s="413"/>
      <c r="G119" s="411" t="str">
        <f>NumLetras(VRCERTAPO)</f>
        <v>UN MILLON TRESCIENTOS NOVENTA Y CINCO MIL DOSCIENTOS CUARENTA Y DOS PESOS</v>
      </c>
      <c r="H119" s="411"/>
      <c r="I119" s="411"/>
      <c r="J119" s="411"/>
      <c r="K119" s="411"/>
      <c r="L119" s="411"/>
      <c r="M119" s="411"/>
      <c r="N119" s="411"/>
      <c r="O119" s="411"/>
    </row>
    <row r="120" spans="2:15" ht="39.950000000000003" customHeight="1" thickBot="1" x14ac:dyDescent="0.3">
      <c r="B120" s="321" t="s">
        <v>1063</v>
      </c>
      <c r="C120" s="321"/>
      <c r="D120" s="321"/>
      <c r="E120" s="321"/>
      <c r="F120" s="322"/>
      <c r="G120" s="408" t="s">
        <v>749</v>
      </c>
      <c r="H120" s="409"/>
      <c r="I120" s="409"/>
      <c r="J120" s="409"/>
      <c r="K120" s="15" t="s">
        <v>12</v>
      </c>
      <c r="L120" s="333" t="s">
        <v>13</v>
      </c>
      <c r="M120" s="334"/>
      <c r="N120" s="326" t="s">
        <v>748</v>
      </c>
      <c r="O120" s="327"/>
    </row>
    <row r="121" spans="2:15" ht="12" customHeight="1" thickBot="1" x14ac:dyDescent="0.3">
      <c r="B121" s="323" t="s">
        <v>14</v>
      </c>
      <c r="C121" s="324"/>
      <c r="D121" s="324"/>
      <c r="E121" s="325"/>
      <c r="F121" s="36" t="s">
        <v>1475</v>
      </c>
      <c r="G121" s="410" t="s">
        <v>1519</v>
      </c>
      <c r="H121" s="401"/>
      <c r="I121" s="401"/>
      <c r="J121" s="401"/>
      <c r="K121" s="458">
        <f>IF(ISERROR(+IF(VRCERTAPO&lt;MTOMIN,MINIMO,ROUND((VRCERTAPO*PORCBASE),0))),"",+IF(VRCERTAPO&lt;MTOMIN,MINIMO,ROUND((VRCERTAPO*PORCBASE),0)))</f>
        <v>908526</v>
      </c>
      <c r="L121" s="335">
        <f>IF(PENSIONADO="","Es pensionado?",IF(VRCERTAPO="","",VRMINPEN))</f>
        <v>145400</v>
      </c>
      <c r="M121" s="336"/>
      <c r="N121" s="423">
        <v>145400</v>
      </c>
      <c r="O121" s="424"/>
    </row>
    <row r="122" spans="2:15" ht="12" customHeight="1" thickBot="1" x14ac:dyDescent="0.3">
      <c r="B122" s="397" t="s">
        <v>15</v>
      </c>
      <c r="C122" s="398"/>
      <c r="D122" s="398"/>
      <c r="E122" s="398"/>
      <c r="F122" s="399"/>
      <c r="G122" s="410" t="s">
        <v>1520</v>
      </c>
      <c r="H122" s="401"/>
      <c r="I122" s="401"/>
      <c r="J122" s="401"/>
      <c r="K122" s="459"/>
      <c r="L122" s="417">
        <f>IF(PENSIONADO="","Es pensionado?",IF(VRCERTAPO="","",VRMINSAL))</f>
        <v>113600</v>
      </c>
      <c r="M122" s="418"/>
      <c r="N122" s="425">
        <v>113600</v>
      </c>
      <c r="O122" s="426"/>
    </row>
    <row r="123" spans="2:15" ht="14.25" customHeight="1" thickBot="1" x14ac:dyDescent="0.3">
      <c r="B123" s="402" t="s">
        <v>16</v>
      </c>
      <c r="C123" s="403"/>
      <c r="D123" s="403"/>
      <c r="E123" s="404"/>
      <c r="F123" s="144">
        <v>3</v>
      </c>
      <c r="G123" s="400" t="s">
        <v>1498</v>
      </c>
      <c r="H123" s="401"/>
      <c r="I123" s="401"/>
      <c r="J123" s="401"/>
      <c r="K123" s="459"/>
      <c r="L123" s="419">
        <f>IF(VRCERTAPO="","",+VRMINARL)</f>
        <v>22100</v>
      </c>
      <c r="M123" s="420"/>
      <c r="N123" s="427">
        <v>22200</v>
      </c>
      <c r="O123" s="428"/>
    </row>
    <row r="124" spans="2:15" ht="12.95" customHeight="1" thickBot="1" x14ac:dyDescent="0.3">
      <c r="B124" s="30" t="s">
        <v>1480</v>
      </c>
      <c r="C124" s="81"/>
      <c r="D124" s="81"/>
      <c r="E124" s="81"/>
      <c r="F124" s="144" t="s">
        <v>1475</v>
      </c>
      <c r="G124" s="400"/>
      <c r="H124" s="401"/>
      <c r="I124" s="401"/>
      <c r="J124" s="401"/>
      <c r="K124" s="460"/>
      <c r="L124" s="394">
        <f>IF(SUM(L121:L123)=0,"",IF(COUNTIF(L121:L123,"&gt;=A"),"falta criterio",+SUM(L121:L123)))</f>
        <v>281100</v>
      </c>
      <c r="M124" s="395"/>
      <c r="N124" s="429">
        <f>+SUM(N121:O123)</f>
        <v>281200</v>
      </c>
      <c r="O124" s="430"/>
    </row>
    <row r="125" spans="2:15" ht="18" customHeight="1" thickBot="1" x14ac:dyDescent="0.3">
      <c r="B125" s="286" t="s">
        <v>1064</v>
      </c>
      <c r="C125" s="287"/>
      <c r="D125" s="287"/>
      <c r="E125" s="287"/>
      <c r="F125" s="288"/>
      <c r="G125" s="288"/>
      <c r="H125" s="288"/>
      <c r="I125" s="288"/>
      <c r="J125" s="288"/>
      <c r="K125" s="288"/>
      <c r="L125" s="288"/>
      <c r="M125" s="288"/>
      <c r="N125" s="288"/>
      <c r="O125" s="289"/>
    </row>
    <row r="126" spans="2:15" ht="15" customHeight="1" thickBot="1" x14ac:dyDescent="0.25">
      <c r="B126" s="415" t="s">
        <v>627</v>
      </c>
      <c r="C126" s="415"/>
      <c r="D126" s="415"/>
      <c r="E126" s="416"/>
      <c r="F126" s="290" t="s">
        <v>617</v>
      </c>
      <c r="G126" s="276"/>
      <c r="H126" s="277"/>
      <c r="I126" s="31" t="s">
        <v>1471</v>
      </c>
      <c r="J126" s="32"/>
      <c r="K126" s="99" t="s">
        <v>1472</v>
      </c>
      <c r="L126" s="414">
        <v>4870407709</v>
      </c>
      <c r="M126" s="276"/>
      <c r="N126" s="276"/>
      <c r="O126" s="277"/>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84" t="str">
        <f>+nombreContratista</f>
        <v>OLGA MENDOZA VARGAS</v>
      </c>
      <c r="G128" s="285"/>
      <c r="H128" s="285"/>
      <c r="I128" s="285"/>
      <c r="J128" s="3"/>
      <c r="K128" s="284" t="str">
        <f>IF(ISNONTEXT(nombreSuper1),nombreSuperCont,nombreSuper1)</f>
        <v xml:space="preserve">JEISON RODRIGO PARRA  TRIANA </v>
      </c>
      <c r="L128" s="285"/>
      <c r="M128" s="285"/>
      <c r="N128" s="285"/>
      <c r="O128" s="9"/>
    </row>
    <row r="129" spans="2:15" ht="15" customHeight="1" x14ac:dyDescent="0.25">
      <c r="B129" s="10"/>
      <c r="C129" s="11"/>
      <c r="D129" s="11"/>
      <c r="E129" s="11"/>
      <c r="F129" s="267" t="s">
        <v>17</v>
      </c>
      <c r="G129" s="396"/>
      <c r="H129" s="396"/>
      <c r="I129" s="396"/>
      <c r="J129" s="3"/>
      <c r="K129" s="267" t="s">
        <v>1493</v>
      </c>
      <c r="L129" s="268"/>
      <c r="M129" s="268"/>
      <c r="N129" s="268"/>
      <c r="O129" s="12"/>
    </row>
    <row r="130" spans="2:15" ht="12.75" customHeight="1" x14ac:dyDescent="0.25">
      <c r="B130" s="5"/>
      <c r="C130" s="6"/>
      <c r="D130" s="6"/>
      <c r="E130" s="6"/>
      <c r="F130" s="421">
        <f>+cedula</f>
        <v>39799558</v>
      </c>
      <c r="G130" s="422"/>
      <c r="H130" s="422"/>
      <c r="I130" s="422"/>
      <c r="J130" s="3"/>
      <c r="K130" s="267" t="str">
        <f>IF(ISNONTEXT(nombreSuper1),perfilSuperCont,CargoSuper1)</f>
        <v>LIDER  DE PROCESO</v>
      </c>
      <c r="L130" s="268"/>
      <c r="M130" s="268"/>
      <c r="N130" s="268"/>
      <c r="O130" s="9"/>
    </row>
    <row r="131" spans="2:15" ht="24.95" customHeight="1" x14ac:dyDescent="0.25">
      <c r="B131" s="13"/>
      <c r="C131" s="89"/>
      <c r="D131" s="89"/>
      <c r="E131" s="89"/>
      <c r="F131" s="267" t="s">
        <v>18</v>
      </c>
      <c r="G131" s="268"/>
      <c r="H131" s="268"/>
      <c r="I131" s="268"/>
      <c r="J131" s="3"/>
      <c r="O131" s="12"/>
    </row>
    <row r="132" spans="2:15" ht="24.95" customHeight="1" x14ac:dyDescent="0.25">
      <c r="B132" s="13"/>
      <c r="C132" s="89"/>
      <c r="D132" s="89"/>
      <c r="E132" s="89"/>
      <c r="F132" s="167"/>
      <c r="G132" s="168"/>
      <c r="H132" s="168"/>
      <c r="I132" s="168"/>
      <c r="J132" s="3"/>
      <c r="O132" s="12"/>
    </row>
    <row r="133" spans="2:15" ht="15" customHeight="1" x14ac:dyDescent="0.25">
      <c r="B133" s="13"/>
      <c r="C133" s="170"/>
      <c r="D133" s="170"/>
      <c r="E133" s="170"/>
      <c r="F133" s="284">
        <f>IF(ISNONTEXT(nombreApoyoTec1),nombreApoyoTec2,nombreApoyoTec1)</f>
        <v>0</v>
      </c>
      <c r="G133" s="285"/>
      <c r="H133" s="285"/>
      <c r="I133" s="285"/>
      <c r="J133" s="3"/>
      <c r="O133" s="12"/>
    </row>
    <row r="134" spans="2:15" ht="12" customHeight="1" x14ac:dyDescent="0.25">
      <c r="B134" s="13"/>
      <c r="C134" s="89"/>
      <c r="D134" s="89"/>
      <c r="E134" s="89"/>
      <c r="F134" s="267" t="s">
        <v>1494</v>
      </c>
      <c r="G134" s="268"/>
      <c r="H134" s="268"/>
      <c r="I134" s="268"/>
      <c r="J134" s="3"/>
      <c r="O134" s="12"/>
    </row>
    <row r="135" spans="2:15" ht="17.100000000000001" customHeight="1" x14ac:dyDescent="0.25">
      <c r="B135" s="13"/>
      <c r="C135" s="89"/>
      <c r="D135" s="89"/>
      <c r="E135" s="89"/>
      <c r="F135" s="267">
        <f>IF(ISNONTEXT(L11),L12,L11)</f>
        <v>0</v>
      </c>
      <c r="G135" s="268"/>
      <c r="H135" s="268"/>
      <c r="I135" s="268"/>
      <c r="J135" s="3"/>
      <c r="K135" s="83"/>
      <c r="L135" s="83"/>
      <c r="M135" s="83"/>
      <c r="N135" s="83"/>
      <c r="O135" s="12"/>
    </row>
    <row r="136" spans="2:15" ht="24" customHeight="1" thickBot="1" x14ac:dyDescent="0.3">
      <c r="B136" s="390">
        <v>44239</v>
      </c>
      <c r="C136" s="391"/>
      <c r="D136" s="391"/>
      <c r="E136" s="391"/>
      <c r="F136" s="392"/>
      <c r="G136" s="392"/>
      <c r="H136" s="392"/>
      <c r="I136" s="392"/>
      <c r="J136" s="392"/>
      <c r="K136" s="392"/>
      <c r="L136" s="392"/>
      <c r="M136" s="392"/>
      <c r="N136" s="392"/>
      <c r="O136" s="393"/>
    </row>
    <row r="137" spans="2:15" ht="24.95" customHeight="1" x14ac:dyDescent="0.25"/>
    <row r="138" spans="2:15" ht="24.95" customHeight="1" x14ac:dyDescent="0.25"/>
    <row r="139" spans="2:15" ht="24.95" customHeight="1" x14ac:dyDescent="0.25"/>
  </sheetData>
  <sheetProtection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J126 G119 J14:O14 B118:F118 G8:G12 L6 L9:M12 O9:O12">
    <cfRule type="containsBlanks" dxfId="54" priority="461" stopIfTrue="1">
      <formula>LEN(TRIM(B6))=0</formula>
    </cfRule>
  </conditionalFormatting>
  <conditionalFormatting sqref="N124">
    <cfRule type="expression" dxfId="53" priority="399" stopIfTrue="1">
      <formula>N124&lt;VRAPOMIN</formula>
    </cfRule>
    <cfRule type="cellIs" dxfId="52" priority="420" stopIfTrue="1" operator="equal">
      <formula>0</formula>
    </cfRule>
  </conditionalFormatting>
  <conditionalFormatting sqref="N122">
    <cfRule type="expression" dxfId="51" priority="401" stopIfTrue="1">
      <formula>N122&lt;APOMINSAL</formula>
    </cfRule>
  </conditionalFormatting>
  <conditionalFormatting sqref="N123">
    <cfRule type="expression" dxfId="50" priority="400" stopIfTrue="1">
      <formula>N123&lt;APOMINARL</formula>
    </cfRule>
  </conditionalFormatting>
  <conditionalFormatting sqref="F128:I128 F130:I130 K128:N128 K130:N130 F77 O21:O23 O25:O27 O29:O31 O33:O35 O37:O39 O41:O43 O45:O47 O49 O58:O61 O66:O68 O70:O72 O74:O76 K80 N80 O54:O56 K121 O51:O52">
    <cfRule type="cellIs" dxfId="49" priority="398" stopIfTrue="1" operator="equal">
      <formula>0</formula>
    </cfRule>
  </conditionalFormatting>
  <conditionalFormatting sqref="K121:L121">
    <cfRule type="expression" dxfId="48" priority="316" stopIfTrue="1">
      <formula>AND(VRCERT="",APOMINPEN="Es pensionado?")</formula>
    </cfRule>
    <cfRule type="cellIs" dxfId="47" priority="321" stopIfTrue="1" operator="equal">
      <formula>"Es pensionado?"</formula>
    </cfRule>
    <cfRule type="containsBlanks" dxfId="46" priority="326" stopIfTrue="1">
      <formula>LEN(TRIM(K121))=0</formula>
    </cfRule>
    <cfRule type="cellIs" dxfId="45" priority="330" stopIfTrue="1" operator="equal">
      <formula>"Sin definir Vr a Cancelar"</formula>
    </cfRule>
  </conditionalFormatting>
  <conditionalFormatting sqref="L122">
    <cfRule type="expression" dxfId="44" priority="315" stopIfTrue="1">
      <formula>AND(VRCERT="",APOMINSAL="Es pensionado?")</formula>
    </cfRule>
    <cfRule type="cellIs" dxfId="43" priority="320" stopIfTrue="1" operator="equal">
      <formula>"Es pensionado?"</formula>
    </cfRule>
    <cfRule type="containsBlanks" dxfId="42" priority="325" stopIfTrue="1">
      <formula>LEN(TRIM(L122))=0</formula>
    </cfRule>
    <cfRule type="cellIs" dxfId="41" priority="329" stopIfTrue="1" operator="equal">
      <formula>"Sin definir Vr a Cancelar"</formula>
    </cfRule>
  </conditionalFormatting>
  <conditionalFormatting sqref="L123">
    <cfRule type="containsBlanks" dxfId="40" priority="324" stopIfTrue="1">
      <formula>LEN(TRIM(L123))=0</formula>
    </cfRule>
    <cfRule type="cellIs" dxfId="39" priority="327" stopIfTrue="1" operator="equal">
      <formula>"Falta Nivel ARL"</formula>
    </cfRule>
    <cfRule type="cellIs" dxfId="38" priority="328" stopIfTrue="1" operator="equal">
      <formula>"Sin definir Vr a Cancelar"</formula>
    </cfRule>
  </conditionalFormatting>
  <conditionalFormatting sqref="L124">
    <cfRule type="containsBlanks" dxfId="37" priority="313" stopIfTrue="1">
      <formula>LEN(TRIM(L124))=0</formula>
    </cfRule>
    <cfRule type="cellIs" dxfId="36" priority="314" stopIfTrue="1" operator="equal">
      <formula>"falta criterio"</formula>
    </cfRule>
  </conditionalFormatting>
  <conditionalFormatting sqref="N121">
    <cfRule type="expression" dxfId="35" priority="473" stopIfTrue="1">
      <formula>B118="SI"</formula>
    </cfRule>
    <cfRule type="expression" dxfId="34" priority="474" stopIfTrue="1">
      <formula>N121&lt;APOMINPEN</formula>
    </cfRule>
    <cfRule type="containsBlanks" dxfId="33" priority="475" stopIfTrue="1">
      <formula>LEN(TRIM(N121))=0</formula>
    </cfRule>
  </conditionalFormatting>
  <conditionalFormatting sqref="M116:O118">
    <cfRule type="cellIs" dxfId="32" priority="203" operator="lessThanOrEqual">
      <formula>0</formula>
    </cfRule>
  </conditionalFormatting>
  <conditionalFormatting sqref="J21">
    <cfRule type="expression" dxfId="31" priority="134">
      <formula>(COUNTA($H21:$I21)=1)</formula>
    </cfRule>
  </conditionalFormatting>
  <conditionalFormatting sqref="J22:J23">
    <cfRule type="expression" dxfId="30" priority="133">
      <formula>(COUNTA($H22:$I22)=1)</formula>
    </cfRule>
  </conditionalFormatting>
  <conditionalFormatting sqref="I21:I23">
    <cfRule type="expression" dxfId="29" priority="521">
      <formula>AND($H21&lt;&gt;"",$I21="")</formula>
    </cfRule>
  </conditionalFormatting>
  <conditionalFormatting sqref="L21:L23 L25:L27 L29:L31 L58:L61 L33:L35 L37:L39 L41:L43 L45:L47 L49 L54:L56 L51:L52">
    <cfRule type="expression" dxfId="28" priority="525">
      <formula>(COUNTA(I21:J21)&lt;2)</formula>
    </cfRule>
  </conditionalFormatting>
  <conditionalFormatting sqref="E79:H79 K79:O79 G124:J124">
    <cfRule type="containsBlanks" dxfId="27" priority="527">
      <formula>LEN(TRIM(E79))=0</formula>
    </cfRule>
  </conditionalFormatting>
  <conditionalFormatting sqref="J96:K96 N96:O96">
    <cfRule type="expression" dxfId="26" priority="28">
      <formula>VRINICTO=0</formula>
    </cfRule>
  </conditionalFormatting>
  <conditionalFormatting sqref="G117:H118 H77:O77">
    <cfRule type="containsBlanks" dxfId="25" priority="26">
      <formula>LEN(TRIM(G77))=0</formula>
    </cfRule>
  </conditionalFormatting>
  <conditionalFormatting sqref="F124">
    <cfRule type="containsBlanks" dxfId="24" priority="20" stopIfTrue="1">
      <formula>LEN(TRIM(F124))=0</formula>
    </cfRule>
  </conditionalFormatting>
  <conditionalFormatting sqref="G124:J124">
    <cfRule type="containsBlanks" dxfId="23" priority="19">
      <formula>LEN(TRIM(G124))=0</formula>
    </cfRule>
  </conditionalFormatting>
  <conditionalFormatting sqref="O62:O64">
    <cfRule type="cellIs" dxfId="22" priority="18" stopIfTrue="1" operator="equal">
      <formula>0</formula>
    </cfRule>
  </conditionalFormatting>
  <conditionalFormatting sqref="F133:I133 F135:I135">
    <cfRule type="cellIs" dxfId="21" priority="17" stopIfTrue="1" operator="equal">
      <formula>0</formula>
    </cfRule>
  </conditionalFormatting>
  <conditionalFormatting sqref="G96:H96">
    <cfRule type="expression" dxfId="20" priority="16">
      <formula>VRINICTO=0</formula>
    </cfRule>
  </conditionalFormatting>
  <conditionalFormatting sqref="O50">
    <cfRule type="cellIs" dxfId="19" priority="14" stopIfTrue="1" operator="equal">
      <formula>0</formula>
    </cfRule>
  </conditionalFormatting>
  <conditionalFormatting sqref="L50">
    <cfRule type="expression" dxfId="18" priority="15">
      <formula>(COUNTA(I50:J50)&lt;2)</formula>
    </cfRule>
  </conditionalFormatting>
  <conditionalFormatting sqref="C96:E96">
    <cfRule type="cellIs" dxfId="17" priority="10" operator="equal">
      <formula>0</formula>
    </cfRule>
  </conditionalFormatting>
  <conditionalFormatting sqref="F126">
    <cfRule type="containsBlanks" dxfId="16" priority="9">
      <formula>LEN(TRIM(F126))=0</formula>
    </cfRule>
  </conditionalFormatting>
  <conditionalFormatting sqref="C100">
    <cfRule type="expression" dxfId="15" priority="6" stopIfTrue="1">
      <formula>AND(XFC100="",C100&lt;&gt;"")</formula>
    </cfRule>
  </conditionalFormatting>
  <conditionalFormatting sqref="C100">
    <cfRule type="expression" dxfId="14" priority="7" stopIfTrue="1">
      <formula>AND(XFC100&lt;&gt;"",C100="")</formula>
    </cfRule>
  </conditionalFormatting>
  <conditionalFormatting sqref="G7">
    <cfRule type="containsBlanks" dxfId="13" priority="5" stopIfTrue="1">
      <formula>LEN(TRIM(G7))=0</formula>
    </cfRule>
  </conditionalFormatting>
  <conditionalFormatting sqref="L7:O7">
    <cfRule type="containsBlanks" dxfId="12" priority="4" stopIfTrue="1">
      <formula>LEN(TRIM(L7))=0</formula>
    </cfRule>
  </conditionalFormatting>
  <conditionalFormatting sqref="L8:O8">
    <cfRule type="containsBlanks" dxfId="11" priority="3" stopIfTrue="1">
      <formula>LEN(TRIM(L8))=0</formula>
    </cfRule>
  </conditionalFormatting>
  <conditionalFormatting sqref="G121:J123">
    <cfRule type="containsBlanks" dxfId="10" priority="2">
      <formula>LEN(TRIM(G121))=0</formula>
    </cfRule>
  </conditionalFormatting>
  <conditionalFormatting sqref="L126:O126">
    <cfRule type="containsBlanks" dxfId="9" priority="1">
      <formula>LEN(TRIM(L126))=0</formula>
    </cfRule>
  </conditionalFormatting>
  <dataValidations xWindow="340" yWindow="667"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31496062992125984" bottom="0.59055118110236227" header="0.31496062992125984" footer="0.31496062992125984"/>
  <pageSetup paperSize="9" scale="65"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340" yWindow="667"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
      <c r="A1" s="44" t="s">
        <v>1394</v>
      </c>
      <c r="B1" s="40" t="s">
        <v>19</v>
      </c>
      <c r="C1" s="40" t="s">
        <v>1072</v>
      </c>
      <c r="D1" s="40" t="s">
        <v>1073</v>
      </c>
      <c r="E1" s="41"/>
      <c r="H1" t="s">
        <v>1394</v>
      </c>
      <c r="I1" t="s">
        <v>19</v>
      </c>
      <c r="L1" t="s">
        <v>19</v>
      </c>
    </row>
    <row r="2" spans="1:12" x14ac:dyDescent="0.2">
      <c r="A2" s="39" t="s">
        <v>1066</v>
      </c>
      <c r="B2" s="43" t="s">
        <v>1055</v>
      </c>
      <c r="C2" s="42" t="s">
        <v>1360</v>
      </c>
      <c r="D2" s="42" t="s">
        <v>1361</v>
      </c>
      <c r="E2" s="41"/>
      <c r="H2" t="s">
        <v>1066</v>
      </c>
      <c r="I2" t="s">
        <v>1055</v>
      </c>
      <c r="L2" t="s">
        <v>1084</v>
      </c>
    </row>
    <row r="3" spans="1:12" x14ac:dyDescent="0.2">
      <c r="A3" s="39" t="s">
        <v>1066</v>
      </c>
      <c r="B3" s="43" t="s">
        <v>1055</v>
      </c>
      <c r="C3" s="42" t="s">
        <v>1056</v>
      </c>
      <c r="D3" s="42" t="s">
        <v>1362</v>
      </c>
      <c r="E3" s="41"/>
      <c r="H3" t="s">
        <v>1336</v>
      </c>
      <c r="I3" t="s">
        <v>1084</v>
      </c>
      <c r="L3" t="s">
        <v>1387</v>
      </c>
    </row>
    <row r="4" spans="1:12" x14ac:dyDescent="0.2">
      <c r="A4" s="39" t="s">
        <v>1336</v>
      </c>
      <c r="B4" s="43" t="s">
        <v>1084</v>
      </c>
      <c r="C4" s="42" t="s">
        <v>288</v>
      </c>
      <c r="D4" s="42" t="s">
        <v>668</v>
      </c>
      <c r="E4" s="41"/>
      <c r="H4" t="s">
        <v>1336</v>
      </c>
      <c r="I4" t="s">
        <v>1118</v>
      </c>
      <c r="L4" t="s">
        <v>1055</v>
      </c>
    </row>
    <row r="5" spans="1:12" x14ac:dyDescent="0.2">
      <c r="A5" s="39" t="s">
        <v>1336</v>
      </c>
      <c r="B5" s="43" t="s">
        <v>1084</v>
      </c>
      <c r="C5" s="42" t="s">
        <v>275</v>
      </c>
      <c r="D5" s="42" t="s">
        <v>1344</v>
      </c>
      <c r="E5" s="41"/>
      <c r="H5" t="s">
        <v>1336</v>
      </c>
      <c r="I5" t="s">
        <v>1131</v>
      </c>
      <c r="L5" t="s">
        <v>1118</v>
      </c>
    </row>
    <row r="6" spans="1:12" x14ac:dyDescent="0.2">
      <c r="A6" s="39" t="s">
        <v>1336</v>
      </c>
      <c r="B6" s="43" t="s">
        <v>1084</v>
      </c>
      <c r="C6" s="42" t="s">
        <v>855</v>
      </c>
      <c r="D6" s="42" t="s">
        <v>1352</v>
      </c>
      <c r="E6" s="41"/>
      <c r="H6" t="s">
        <v>1336</v>
      </c>
      <c r="I6" t="s">
        <v>1124</v>
      </c>
      <c r="L6" t="s">
        <v>1131</v>
      </c>
    </row>
    <row r="7" spans="1:12" x14ac:dyDescent="0.2">
      <c r="A7" s="39" t="s">
        <v>1336</v>
      </c>
      <c r="B7" s="43" t="s">
        <v>1084</v>
      </c>
      <c r="C7" s="42" t="s">
        <v>1355</v>
      </c>
      <c r="D7" s="42" t="s">
        <v>1356</v>
      </c>
      <c r="E7" s="41"/>
      <c r="H7" t="s">
        <v>1336</v>
      </c>
      <c r="I7" t="s">
        <v>1098</v>
      </c>
      <c r="L7" t="s">
        <v>1144</v>
      </c>
    </row>
    <row r="8" spans="1:12" x14ac:dyDescent="0.2">
      <c r="A8" s="39" t="s">
        <v>1336</v>
      </c>
      <c r="B8" s="43" t="s">
        <v>1118</v>
      </c>
      <c r="C8" s="42" t="s">
        <v>1449</v>
      </c>
      <c r="D8" s="42" t="s">
        <v>1450</v>
      </c>
      <c r="E8" s="41"/>
      <c r="H8" t="s">
        <v>1336</v>
      </c>
      <c r="I8" t="s">
        <v>1122</v>
      </c>
      <c r="L8" t="s">
        <v>1124</v>
      </c>
    </row>
    <row r="9" spans="1:12" x14ac:dyDescent="0.2">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
      <c r="A12" s="39" t="s">
        <v>1336</v>
      </c>
      <c r="B12" s="43" t="s">
        <v>1118</v>
      </c>
      <c r="C12" s="42" t="s">
        <v>830</v>
      </c>
      <c r="D12" s="42" t="s">
        <v>1354</v>
      </c>
      <c r="E12" s="41"/>
      <c r="H12" t="s">
        <v>1336</v>
      </c>
      <c r="I12" t="s">
        <v>1145</v>
      </c>
      <c r="L12" t="s">
        <v>1122</v>
      </c>
    </row>
    <row r="13" spans="1:12" x14ac:dyDescent="0.2">
      <c r="A13" s="39" t="s">
        <v>1336</v>
      </c>
      <c r="B13" s="43" t="s">
        <v>1118</v>
      </c>
      <c r="C13" s="42" t="s">
        <v>441</v>
      </c>
      <c r="D13" s="42" t="s">
        <v>440</v>
      </c>
      <c r="E13" s="41"/>
      <c r="H13" t="s">
        <v>1336</v>
      </c>
      <c r="I13" t="s">
        <v>1080</v>
      </c>
      <c r="L13" t="s">
        <v>1100</v>
      </c>
    </row>
    <row r="14" spans="1:12" x14ac:dyDescent="0.2">
      <c r="A14" s="39" t="s">
        <v>1336</v>
      </c>
      <c r="B14" s="43" t="s">
        <v>1118</v>
      </c>
      <c r="C14" s="42" t="s">
        <v>437</v>
      </c>
      <c r="D14" s="42" t="s">
        <v>831</v>
      </c>
      <c r="E14" s="41"/>
      <c r="H14" t="s">
        <v>1336</v>
      </c>
      <c r="I14" t="s">
        <v>1076</v>
      </c>
      <c r="L14" t="s">
        <v>1138</v>
      </c>
    </row>
    <row r="15" spans="1:12" x14ac:dyDescent="0.2">
      <c r="A15" s="39" t="s">
        <v>1336</v>
      </c>
      <c r="B15" s="43" t="s">
        <v>1118</v>
      </c>
      <c r="C15" s="42" t="s">
        <v>439</v>
      </c>
      <c r="D15" s="42" t="s">
        <v>438</v>
      </c>
      <c r="E15" s="41"/>
      <c r="H15" t="s">
        <v>1336</v>
      </c>
      <c r="I15" t="s">
        <v>1116</v>
      </c>
      <c r="L15" t="s">
        <v>1134</v>
      </c>
    </row>
    <row r="16" spans="1:12" x14ac:dyDescent="0.2">
      <c r="A16" s="39" t="s">
        <v>1336</v>
      </c>
      <c r="B16" s="43" t="s">
        <v>1131</v>
      </c>
      <c r="C16" s="42" t="s">
        <v>483</v>
      </c>
      <c r="D16" s="42" t="s">
        <v>1347</v>
      </c>
      <c r="E16" s="41"/>
      <c r="H16" t="s">
        <v>1336</v>
      </c>
      <c r="I16" t="s">
        <v>1095</v>
      </c>
      <c r="L16" t="s">
        <v>1178</v>
      </c>
    </row>
    <row r="17" spans="1:12" x14ac:dyDescent="0.2">
      <c r="A17" s="39" t="s">
        <v>1336</v>
      </c>
      <c r="B17" s="43" t="s">
        <v>1124</v>
      </c>
      <c r="C17" s="42" t="s">
        <v>359</v>
      </c>
      <c r="D17" s="42" t="s">
        <v>358</v>
      </c>
      <c r="E17" s="41"/>
      <c r="H17" t="s">
        <v>1336</v>
      </c>
      <c r="I17" t="s">
        <v>1269</v>
      </c>
      <c r="L17" t="s">
        <v>1259</v>
      </c>
    </row>
    <row r="18" spans="1:12" x14ac:dyDescent="0.2">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
      <c r="A20" s="39" t="s">
        <v>1336</v>
      </c>
      <c r="B20" s="43" t="s">
        <v>1098</v>
      </c>
      <c r="C20" s="42" t="s">
        <v>290</v>
      </c>
      <c r="D20" s="42" t="s">
        <v>289</v>
      </c>
      <c r="E20" s="41"/>
      <c r="H20" t="s">
        <v>1336</v>
      </c>
      <c r="I20" t="s">
        <v>1074</v>
      </c>
      <c r="L20" t="s">
        <v>1080</v>
      </c>
    </row>
    <row r="21" spans="1:12" x14ac:dyDescent="0.2">
      <c r="A21" s="39" t="s">
        <v>1336</v>
      </c>
      <c r="B21" s="43" t="s">
        <v>1098</v>
      </c>
      <c r="C21" s="42" t="s">
        <v>676</v>
      </c>
      <c r="D21" s="42" t="s">
        <v>982</v>
      </c>
      <c r="E21" s="41"/>
      <c r="H21" t="s">
        <v>1336</v>
      </c>
      <c r="I21" t="s">
        <v>1111</v>
      </c>
      <c r="L21" t="s">
        <v>1076</v>
      </c>
    </row>
    <row r="22" spans="1:12" x14ac:dyDescent="0.2">
      <c r="A22" s="39" t="s">
        <v>1336</v>
      </c>
      <c r="B22" s="43" t="s">
        <v>1098</v>
      </c>
      <c r="C22" s="42" t="s">
        <v>277</v>
      </c>
      <c r="D22" s="42" t="s">
        <v>276</v>
      </c>
      <c r="E22" s="41"/>
      <c r="H22" t="s">
        <v>1336</v>
      </c>
      <c r="I22" t="s">
        <v>1082</v>
      </c>
      <c r="L22" t="s">
        <v>1150</v>
      </c>
    </row>
    <row r="23" spans="1:12" x14ac:dyDescent="0.2">
      <c r="A23" s="39" t="s">
        <v>1336</v>
      </c>
      <c r="B23" s="43" t="s">
        <v>1098</v>
      </c>
      <c r="C23" s="42" t="s">
        <v>303</v>
      </c>
      <c r="D23" s="42" t="s">
        <v>302</v>
      </c>
      <c r="E23" s="41"/>
      <c r="H23" t="s">
        <v>1393</v>
      </c>
      <c r="I23" t="s">
        <v>1084</v>
      </c>
      <c r="L23" t="s">
        <v>1103</v>
      </c>
    </row>
    <row r="24" spans="1:12" x14ac:dyDescent="0.2">
      <c r="A24" s="39" t="s">
        <v>1336</v>
      </c>
      <c r="B24" s="43" t="s">
        <v>1098</v>
      </c>
      <c r="C24" s="42" t="s">
        <v>317</v>
      </c>
      <c r="D24" s="42" t="s">
        <v>316</v>
      </c>
      <c r="E24" s="41"/>
      <c r="H24" t="s">
        <v>1393</v>
      </c>
      <c r="I24" t="s">
        <v>1118</v>
      </c>
      <c r="L24" t="s">
        <v>1398</v>
      </c>
    </row>
    <row r="25" spans="1:12" x14ac:dyDescent="0.2">
      <c r="A25" s="39" t="s">
        <v>1336</v>
      </c>
      <c r="B25" s="43" t="s">
        <v>1122</v>
      </c>
      <c r="C25" s="42" t="s">
        <v>361</v>
      </c>
      <c r="D25" s="42" t="s">
        <v>360</v>
      </c>
      <c r="E25" s="41"/>
      <c r="H25" t="s">
        <v>1393</v>
      </c>
      <c r="I25" t="s">
        <v>1131</v>
      </c>
      <c r="L25" t="s">
        <v>1136</v>
      </c>
    </row>
    <row r="26" spans="1:12" x14ac:dyDescent="0.2">
      <c r="A26" s="39" t="s">
        <v>1336</v>
      </c>
      <c r="B26" s="43" t="s">
        <v>1138</v>
      </c>
      <c r="C26" s="42" t="s">
        <v>484</v>
      </c>
      <c r="D26" s="42" t="s">
        <v>1348</v>
      </c>
      <c r="E26" s="41"/>
      <c r="H26" t="s">
        <v>1393</v>
      </c>
      <c r="I26" t="s">
        <v>1144</v>
      </c>
      <c r="L26" t="s">
        <v>1152</v>
      </c>
    </row>
    <row r="27" spans="1:12" x14ac:dyDescent="0.2">
      <c r="A27" s="39" t="s">
        <v>1336</v>
      </c>
      <c r="B27" s="43" t="s">
        <v>1134</v>
      </c>
      <c r="C27" s="42" t="s">
        <v>486</v>
      </c>
      <c r="D27" s="42" t="s">
        <v>485</v>
      </c>
      <c r="E27" s="41"/>
      <c r="H27" t="s">
        <v>1393</v>
      </c>
      <c r="I27" t="s">
        <v>1124</v>
      </c>
      <c r="L27" t="s">
        <v>1142</v>
      </c>
    </row>
    <row r="28" spans="1:12" x14ac:dyDescent="0.2">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
      <c r="A30" s="39" t="s">
        <v>1336</v>
      </c>
      <c r="B30" s="43" t="s">
        <v>1178</v>
      </c>
      <c r="C30" s="42" t="s">
        <v>488</v>
      </c>
      <c r="D30" s="42" t="s">
        <v>487</v>
      </c>
      <c r="E30" s="41"/>
      <c r="H30" t="s">
        <v>1393</v>
      </c>
      <c r="I30" t="s">
        <v>1122</v>
      </c>
      <c r="L30" t="s">
        <v>750</v>
      </c>
    </row>
    <row r="31" spans="1:12" x14ac:dyDescent="0.2">
      <c r="A31" s="39" t="s">
        <v>1336</v>
      </c>
      <c r="B31" s="43" t="s">
        <v>1145</v>
      </c>
      <c r="C31" s="42" t="s">
        <v>489</v>
      </c>
      <c r="D31" s="42" t="s">
        <v>1349</v>
      </c>
      <c r="E31" s="41"/>
      <c r="H31" t="s">
        <v>1393</v>
      </c>
      <c r="I31" t="s">
        <v>1100</v>
      </c>
      <c r="L31" t="s">
        <v>1095</v>
      </c>
    </row>
    <row r="32" spans="1:12" x14ac:dyDescent="0.2">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39.75" x14ac:dyDescent="0.3">
      <c r="B1" s="67" t="s">
        <v>1394</v>
      </c>
      <c r="C1" s="67" t="s">
        <v>19</v>
      </c>
      <c r="D1" s="67" t="s">
        <v>1072</v>
      </c>
      <c r="E1" s="67" t="s">
        <v>1073</v>
      </c>
    </row>
    <row r="2" spans="2:5" x14ac:dyDescent="0.2">
      <c r="B2" s="68" t="s">
        <v>1066</v>
      </c>
      <c r="C2" s="69" t="s">
        <v>1055</v>
      </c>
      <c r="D2" s="70" t="s">
        <v>1360</v>
      </c>
      <c r="E2" s="71" t="s">
        <v>1361</v>
      </c>
    </row>
    <row r="3" spans="2:5" x14ac:dyDescent="0.2">
      <c r="B3" s="68" t="s">
        <v>1066</v>
      </c>
      <c r="C3" s="69" t="s">
        <v>1055</v>
      </c>
      <c r="D3" s="70" t="s">
        <v>1056</v>
      </c>
      <c r="E3" s="71" t="s">
        <v>1362</v>
      </c>
    </row>
    <row r="4" spans="2:5" x14ac:dyDescent="0.2">
      <c r="B4" s="68" t="s">
        <v>1336</v>
      </c>
      <c r="C4" s="69" t="s">
        <v>1084</v>
      </c>
      <c r="D4" s="70" t="s">
        <v>288</v>
      </c>
      <c r="E4" s="71" t="s">
        <v>668</v>
      </c>
    </row>
    <row r="5" spans="2:5" x14ac:dyDescent="0.2">
      <c r="B5" s="68" t="s">
        <v>1336</v>
      </c>
      <c r="C5" s="69" t="s">
        <v>1084</v>
      </c>
      <c r="D5" s="70" t="s">
        <v>275</v>
      </c>
      <c r="E5" s="71" t="s">
        <v>1344</v>
      </c>
    </row>
    <row r="6" spans="2:5" x14ac:dyDescent="0.2">
      <c r="B6" s="68" t="s">
        <v>1336</v>
      </c>
      <c r="C6" s="69" t="s">
        <v>1084</v>
      </c>
      <c r="D6" s="70" t="s">
        <v>855</v>
      </c>
      <c r="E6" s="71" t="s">
        <v>1352</v>
      </c>
    </row>
    <row r="7" spans="2:5" x14ac:dyDescent="0.2">
      <c r="B7" s="68" t="s">
        <v>1336</v>
      </c>
      <c r="C7" s="69" t="s">
        <v>1084</v>
      </c>
      <c r="D7" s="70" t="s">
        <v>1355</v>
      </c>
      <c r="E7" s="71" t="s">
        <v>1356</v>
      </c>
    </row>
    <row r="8" spans="2:5" x14ac:dyDescent="0.2">
      <c r="B8" s="68" t="s">
        <v>1336</v>
      </c>
      <c r="C8" s="69" t="s">
        <v>1118</v>
      </c>
      <c r="D8" s="70" t="s">
        <v>1449</v>
      </c>
      <c r="E8" s="71" t="s">
        <v>1450</v>
      </c>
    </row>
    <row r="9" spans="2:5" x14ac:dyDescent="0.2">
      <c r="B9" s="68" t="s">
        <v>1336</v>
      </c>
      <c r="C9" s="69" t="s">
        <v>1118</v>
      </c>
      <c r="D9" s="70" t="s">
        <v>357</v>
      </c>
      <c r="E9" s="71" t="s">
        <v>1346</v>
      </c>
    </row>
    <row r="10" spans="2:5" x14ac:dyDescent="0.25">
      <c r="B10" s="68" t="s">
        <v>1336</v>
      </c>
      <c r="C10" s="69" t="s">
        <v>1118</v>
      </c>
      <c r="D10" s="70" t="s">
        <v>367</v>
      </c>
      <c r="E10" s="71" t="s">
        <v>366</v>
      </c>
    </row>
    <row r="11" spans="2:5" x14ac:dyDescent="0.2">
      <c r="B11" s="68" t="s">
        <v>1336</v>
      </c>
      <c r="C11" s="69" t="s">
        <v>1118</v>
      </c>
      <c r="D11" s="70" t="s">
        <v>411</v>
      </c>
      <c r="E11" s="71" t="s">
        <v>410</v>
      </c>
    </row>
    <row r="12" spans="2:5" x14ac:dyDescent="0.2">
      <c r="B12" s="68" t="s">
        <v>1336</v>
      </c>
      <c r="C12" s="69" t="s">
        <v>1118</v>
      </c>
      <c r="D12" s="70" t="s">
        <v>830</v>
      </c>
      <c r="E12" s="71" t="s">
        <v>1354</v>
      </c>
    </row>
    <row r="13" spans="2:5" x14ac:dyDescent="0.2">
      <c r="B13" s="68" t="s">
        <v>1336</v>
      </c>
      <c r="C13" s="69" t="s">
        <v>1118</v>
      </c>
      <c r="D13" s="70" t="s">
        <v>441</v>
      </c>
      <c r="E13" s="71" t="s">
        <v>440</v>
      </c>
    </row>
    <row r="14" spans="2:5" x14ac:dyDescent="0.2">
      <c r="B14" s="68" t="s">
        <v>1336</v>
      </c>
      <c r="C14" s="69" t="s">
        <v>1118</v>
      </c>
      <c r="D14" s="70" t="s">
        <v>437</v>
      </c>
      <c r="E14" s="71" t="s">
        <v>831</v>
      </c>
    </row>
    <row r="15" spans="2:5" x14ac:dyDescent="0.2">
      <c r="B15" s="68" t="s">
        <v>1336</v>
      </c>
      <c r="C15" s="69" t="s">
        <v>1118</v>
      </c>
      <c r="D15" s="70" t="s">
        <v>439</v>
      </c>
      <c r="E15" s="71" t="s">
        <v>438</v>
      </c>
    </row>
    <row r="16" spans="2:5" x14ac:dyDescent="0.2">
      <c r="B16" s="68" t="s">
        <v>1336</v>
      </c>
      <c r="C16" s="69" t="s">
        <v>1131</v>
      </c>
      <c r="D16" s="70" t="s">
        <v>483</v>
      </c>
      <c r="E16" s="71" t="s">
        <v>1347</v>
      </c>
    </row>
    <row r="17" spans="2:5" x14ac:dyDescent="0.2">
      <c r="B17" s="68" t="s">
        <v>1336</v>
      </c>
      <c r="C17" s="69" t="s">
        <v>1124</v>
      </c>
      <c r="D17" s="70" t="s">
        <v>359</v>
      </c>
      <c r="E17" s="71" t="s">
        <v>358</v>
      </c>
    </row>
    <row r="18" spans="2:5" x14ac:dyDescent="0.2">
      <c r="B18" s="68" t="s">
        <v>1336</v>
      </c>
      <c r="C18" s="69" t="s">
        <v>1098</v>
      </c>
      <c r="D18" s="70" t="s">
        <v>285</v>
      </c>
      <c r="E18" s="71" t="s">
        <v>987</v>
      </c>
    </row>
    <row r="19" spans="2:5" x14ac:dyDescent="0.25">
      <c r="B19" s="68" t="s">
        <v>1336</v>
      </c>
      <c r="C19" s="69" t="s">
        <v>1098</v>
      </c>
      <c r="D19" s="70" t="s">
        <v>287</v>
      </c>
      <c r="E19" s="71" t="s">
        <v>1337</v>
      </c>
    </row>
    <row r="20" spans="2:5" x14ac:dyDescent="0.2">
      <c r="B20" s="68" t="s">
        <v>1336</v>
      </c>
      <c r="C20" s="69" t="s">
        <v>1098</v>
      </c>
      <c r="D20" s="70" t="s">
        <v>290</v>
      </c>
      <c r="E20" s="71" t="s">
        <v>289</v>
      </c>
    </row>
    <row r="21" spans="2:5" x14ac:dyDescent="0.2">
      <c r="B21" s="68" t="s">
        <v>1336</v>
      </c>
      <c r="C21" s="69" t="s">
        <v>1098</v>
      </c>
      <c r="D21" s="70" t="s">
        <v>676</v>
      </c>
      <c r="E21" s="71" t="s">
        <v>982</v>
      </c>
    </row>
    <row r="22" spans="2:5" x14ac:dyDescent="0.2">
      <c r="B22" s="68" t="s">
        <v>1336</v>
      </c>
      <c r="C22" s="69" t="s">
        <v>1098</v>
      </c>
      <c r="D22" s="70" t="s">
        <v>277</v>
      </c>
      <c r="E22" s="71" t="s">
        <v>276</v>
      </c>
    </row>
    <row r="23" spans="2:5" x14ac:dyDescent="0.2">
      <c r="B23" s="68" t="s">
        <v>1336</v>
      </c>
      <c r="C23" s="69" t="s">
        <v>1098</v>
      </c>
      <c r="D23" s="70" t="s">
        <v>303</v>
      </c>
      <c r="E23" s="71" t="s">
        <v>302</v>
      </c>
    </row>
    <row r="24" spans="2:5" x14ac:dyDescent="0.2">
      <c r="B24" s="68" t="s">
        <v>1336</v>
      </c>
      <c r="C24" s="69" t="s">
        <v>1098</v>
      </c>
      <c r="D24" s="70" t="s">
        <v>317</v>
      </c>
      <c r="E24" s="71" t="s">
        <v>316</v>
      </c>
    </row>
    <row r="25" spans="2:5" x14ac:dyDescent="0.2">
      <c r="B25" s="68" t="s">
        <v>1336</v>
      </c>
      <c r="C25" s="69" t="s">
        <v>1122</v>
      </c>
      <c r="D25" s="70" t="s">
        <v>361</v>
      </c>
      <c r="E25" s="71" t="s">
        <v>360</v>
      </c>
    </row>
    <row r="26" spans="2:5" x14ac:dyDescent="0.2">
      <c r="B26" s="68" t="s">
        <v>1336</v>
      </c>
      <c r="C26" s="69" t="s">
        <v>1138</v>
      </c>
      <c r="D26" s="70" t="s">
        <v>484</v>
      </c>
      <c r="E26" s="71" t="s">
        <v>1348</v>
      </c>
    </row>
    <row r="27" spans="2:5" x14ac:dyDescent="0.2">
      <c r="B27" s="68" t="s">
        <v>1336</v>
      </c>
      <c r="C27" s="69" t="s">
        <v>1134</v>
      </c>
      <c r="D27" s="70" t="s">
        <v>486</v>
      </c>
      <c r="E27" s="71" t="s">
        <v>485</v>
      </c>
    </row>
    <row r="28" spans="2:5" x14ac:dyDescent="0.2">
      <c r="B28" s="68" t="s">
        <v>1336</v>
      </c>
      <c r="C28" s="69" t="s">
        <v>1134</v>
      </c>
      <c r="D28" s="70" t="s">
        <v>540</v>
      </c>
      <c r="E28" s="71" t="s">
        <v>539</v>
      </c>
    </row>
    <row r="29" spans="2:5" x14ac:dyDescent="0.2">
      <c r="B29" s="68" t="s">
        <v>1336</v>
      </c>
      <c r="C29" s="69" t="s">
        <v>1134</v>
      </c>
      <c r="D29" s="70" t="s">
        <v>576</v>
      </c>
      <c r="E29" s="71" t="s">
        <v>575</v>
      </c>
    </row>
    <row r="30" spans="2:5" x14ac:dyDescent="0.2">
      <c r="B30" s="68" t="s">
        <v>1336</v>
      </c>
      <c r="C30" s="69" t="s">
        <v>1178</v>
      </c>
      <c r="D30" s="70" t="s">
        <v>488</v>
      </c>
      <c r="E30" s="71" t="s">
        <v>487</v>
      </c>
    </row>
    <row r="31" spans="2:5" x14ac:dyDescent="0.2">
      <c r="B31" s="68" t="s">
        <v>1336</v>
      </c>
      <c r="C31" s="69" t="s">
        <v>1145</v>
      </c>
      <c r="D31" s="70" t="s">
        <v>489</v>
      </c>
      <c r="E31" s="71" t="s">
        <v>1349</v>
      </c>
    </row>
    <row r="32" spans="2:5" x14ac:dyDescent="0.2">
      <c r="B32" s="68" t="s">
        <v>1336</v>
      </c>
      <c r="C32" s="69" t="s">
        <v>1145</v>
      </c>
      <c r="D32" s="70" t="s">
        <v>542</v>
      </c>
      <c r="E32" s="71" t="s">
        <v>541</v>
      </c>
    </row>
    <row r="33" spans="2:5" x14ac:dyDescent="0.2">
      <c r="B33" s="68" t="s">
        <v>1336</v>
      </c>
      <c r="C33" s="69" t="s">
        <v>1145</v>
      </c>
      <c r="D33" s="70" t="s">
        <v>578</v>
      </c>
      <c r="E33" s="71" t="s">
        <v>577</v>
      </c>
    </row>
    <row r="34" spans="2:5" x14ac:dyDescent="0.2">
      <c r="B34" s="68" t="s">
        <v>1336</v>
      </c>
      <c r="C34" s="69" t="s">
        <v>1080</v>
      </c>
      <c r="D34" s="70" t="s">
        <v>372</v>
      </c>
      <c r="E34" s="71" t="s">
        <v>371</v>
      </c>
    </row>
    <row r="35" spans="2:5" x14ac:dyDescent="0.2">
      <c r="B35" s="68" t="s">
        <v>1336</v>
      </c>
      <c r="C35" s="69" t="s">
        <v>1080</v>
      </c>
      <c r="D35" s="70" t="s">
        <v>375</v>
      </c>
      <c r="E35" s="71" t="s">
        <v>1341</v>
      </c>
    </row>
    <row r="36" spans="2:5" x14ac:dyDescent="0.2">
      <c r="B36" s="68" t="s">
        <v>1336</v>
      </c>
      <c r="C36" s="69" t="s">
        <v>1080</v>
      </c>
      <c r="D36" s="70" t="s">
        <v>362</v>
      </c>
      <c r="E36" s="71" t="s">
        <v>1345</v>
      </c>
    </row>
    <row r="37" spans="2:5" x14ac:dyDescent="0.2">
      <c r="B37" s="68" t="s">
        <v>1336</v>
      </c>
      <c r="C37" s="69" t="s">
        <v>1080</v>
      </c>
      <c r="D37" s="70" t="s">
        <v>433</v>
      </c>
      <c r="E37" s="71" t="s">
        <v>1353</v>
      </c>
    </row>
    <row r="38" spans="2:5" x14ac:dyDescent="0.2">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
      <c r="A1">
        <v>18885204</v>
      </c>
      <c r="B1">
        <f>+A1/3</f>
        <v>6295068</v>
      </c>
    </row>
    <row r="2" spans="1:2" x14ac:dyDescent="0.2">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ht="11.25" x14ac:dyDescent="0.2">
      <c r="A2" s="17">
        <v>1</v>
      </c>
      <c r="B2" s="161"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ht="11.25" x14ac:dyDescent="0.2">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ht="11.25" x14ac:dyDescent="0.2">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ht="11.25" x14ac:dyDescent="0.2">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ht="11.25" x14ac:dyDescent="0.2">
      <c r="A7" s="17">
        <v>6</v>
      </c>
      <c r="B7" s="17" t="s">
        <v>599</v>
      </c>
      <c r="D7" s="18">
        <v>2022</v>
      </c>
      <c r="E7" s="19">
        <v>44562</v>
      </c>
      <c r="F7" s="19">
        <v>44926</v>
      </c>
      <c r="K7" s="18">
        <v>6</v>
      </c>
      <c r="L7" s="18">
        <v>6</v>
      </c>
      <c r="N7" s="17">
        <v>2022</v>
      </c>
      <c r="O7" s="17">
        <v>908526</v>
      </c>
      <c r="Q7" s="17" t="s">
        <v>619</v>
      </c>
      <c r="R7" s="18">
        <v>23</v>
      </c>
      <c r="S7" s="18">
        <v>9</v>
      </c>
      <c r="T7" s="18">
        <v>9</v>
      </c>
    </row>
    <row r="8" spans="1:22" ht="11.25" x14ac:dyDescent="0.2">
      <c r="A8" s="17">
        <v>7</v>
      </c>
      <c r="B8" s="17" t="s">
        <v>600</v>
      </c>
      <c r="D8" s="18"/>
      <c r="E8" s="130"/>
      <c r="F8" s="19"/>
      <c r="K8" s="18">
        <v>7</v>
      </c>
      <c r="L8" s="18">
        <v>7</v>
      </c>
      <c r="Q8" s="17" t="s">
        <v>620</v>
      </c>
      <c r="R8" s="18">
        <v>57</v>
      </c>
      <c r="S8" s="18">
        <v>10</v>
      </c>
      <c r="T8" s="18">
        <v>10</v>
      </c>
    </row>
    <row r="9" spans="1:22" ht="11.25" x14ac:dyDescent="0.2">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ht="11.25" x14ac:dyDescent="0.2">
      <c r="A10" s="17">
        <v>9</v>
      </c>
      <c r="B10" s="17" t="s">
        <v>603</v>
      </c>
      <c r="D10" s="17" t="s">
        <v>604</v>
      </c>
      <c r="E10" s="23">
        <f>+IF(AÑOCTO&lt;&gt;"",+VLOOKUP(AÑOCTO,SMLV,2,0),"")</f>
        <v>908526</v>
      </c>
      <c r="K10" s="18">
        <v>9</v>
      </c>
      <c r="L10" s="18">
        <v>9</v>
      </c>
      <c r="Q10" s="17" t="s">
        <v>622</v>
      </c>
      <c r="R10" s="18">
        <v>7</v>
      </c>
      <c r="S10" s="18">
        <v>11</v>
      </c>
      <c r="T10" s="18">
        <v>11</v>
      </c>
    </row>
    <row r="11" spans="1:22" ht="11.25" x14ac:dyDescent="0.2">
      <c r="A11" s="17">
        <v>10</v>
      </c>
      <c r="B11" s="17" t="s">
        <v>605</v>
      </c>
      <c r="D11" s="17" t="s">
        <v>606</v>
      </c>
      <c r="E11" s="23">
        <f>IF(AÑOCTO&lt;&gt;"",+ROUND(((MINIMO*100)/40),0),"")</f>
        <v>2271315</v>
      </c>
      <c r="H11" s="18" t="s">
        <v>709</v>
      </c>
      <c r="K11" s="18">
        <v>10</v>
      </c>
      <c r="L11" s="18">
        <v>10</v>
      </c>
      <c r="Q11" s="17" t="s">
        <v>623</v>
      </c>
      <c r="R11" s="18">
        <v>54</v>
      </c>
      <c r="S11" s="18">
        <v>12</v>
      </c>
      <c r="T11" s="18">
        <v>12</v>
      </c>
    </row>
    <row r="12" spans="1:22" ht="11.25" x14ac:dyDescent="0.2">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ht="11.25" x14ac:dyDescent="0.2">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ht="11.25" x14ac:dyDescent="0.2">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22100</v>
      </c>
      <c r="H14" s="18" t="s">
        <v>712</v>
      </c>
      <c r="K14" s="18">
        <v>13</v>
      </c>
      <c r="L14" s="18">
        <v>13</v>
      </c>
      <c r="Q14" s="17" t="s">
        <v>631</v>
      </c>
      <c r="R14" s="18">
        <v>14</v>
      </c>
      <c r="S14" s="18">
        <v>9</v>
      </c>
      <c r="T14" s="18">
        <v>9</v>
      </c>
    </row>
    <row r="15" spans="1:22" ht="11.25" x14ac:dyDescent="0.2">
      <c r="D15" s="17" t="s">
        <v>612</v>
      </c>
      <c r="E15" s="17">
        <v>0.4</v>
      </c>
      <c r="F15" s="24">
        <f>+SUM(F12:F14)</f>
        <v>281100</v>
      </c>
      <c r="H15" s="18" t="s">
        <v>713</v>
      </c>
      <c r="K15" s="18">
        <v>14</v>
      </c>
      <c r="L15" s="18">
        <v>14</v>
      </c>
      <c r="Q15" s="26" t="s">
        <v>634</v>
      </c>
      <c r="R15" s="27">
        <v>19</v>
      </c>
      <c r="S15" s="18">
        <v>9</v>
      </c>
      <c r="T15" s="18">
        <v>9</v>
      </c>
    </row>
    <row r="16" spans="1:22" ht="11.25" x14ac:dyDescent="0.2">
      <c r="H16" s="18" t="s">
        <v>714</v>
      </c>
      <c r="K16" s="18">
        <v>15</v>
      </c>
      <c r="L16" s="18">
        <v>15</v>
      </c>
      <c r="Q16" s="17" t="s">
        <v>637</v>
      </c>
      <c r="R16" s="18"/>
      <c r="S16" s="18"/>
      <c r="T16" s="18"/>
    </row>
    <row r="17" spans="8:20" ht="11.25" x14ac:dyDescent="0.2">
      <c r="H17" s="18" t="s">
        <v>715</v>
      </c>
      <c r="K17" s="18">
        <v>16</v>
      </c>
      <c r="L17" s="18">
        <v>16</v>
      </c>
      <c r="Q17" s="17" t="s">
        <v>638</v>
      </c>
      <c r="R17" s="18"/>
      <c r="S17" s="18"/>
      <c r="T17" s="18"/>
    </row>
    <row r="18" spans="8:20" ht="11.25" x14ac:dyDescent="0.2">
      <c r="H18" s="18" t="s">
        <v>716</v>
      </c>
      <c r="K18" s="18">
        <v>17</v>
      </c>
      <c r="L18" s="18">
        <v>17</v>
      </c>
      <c r="Q18" s="17" t="s">
        <v>639</v>
      </c>
      <c r="R18" s="18"/>
      <c r="S18" s="18"/>
      <c r="T18" s="18"/>
    </row>
    <row r="19" spans="8:20" ht="11.25" x14ac:dyDescent="0.2">
      <c r="H19" s="18" t="s">
        <v>717</v>
      </c>
      <c r="K19" s="18">
        <v>18</v>
      </c>
      <c r="L19" s="18">
        <v>18</v>
      </c>
      <c r="Q19" s="17" t="s">
        <v>640</v>
      </c>
      <c r="R19" s="18"/>
      <c r="S19" s="18"/>
      <c r="T19" s="18"/>
    </row>
    <row r="20" spans="8:20" ht="11.25" x14ac:dyDescent="0.2">
      <c r="H20" s="18" t="s">
        <v>718</v>
      </c>
      <c r="K20" s="18">
        <v>19</v>
      </c>
      <c r="L20" s="18">
        <v>19</v>
      </c>
      <c r="Q20" s="17" t="s">
        <v>1491</v>
      </c>
      <c r="R20" s="18"/>
      <c r="S20" s="18"/>
      <c r="T20" s="18"/>
    </row>
    <row r="21" spans="8:20" ht="11.25" x14ac:dyDescent="0.2">
      <c r="H21" s="18" t="s">
        <v>719</v>
      </c>
      <c r="K21" s="18">
        <v>20</v>
      </c>
      <c r="L21" s="18">
        <v>20</v>
      </c>
    </row>
    <row r="22" spans="8:20" ht="11.25" x14ac:dyDescent="0.2">
      <c r="H22" s="18" t="s">
        <v>720</v>
      </c>
      <c r="K22" s="18">
        <v>21</v>
      </c>
      <c r="L22" s="18">
        <v>21</v>
      </c>
    </row>
    <row r="23" spans="8:20" ht="11.25" x14ac:dyDescent="0.2">
      <c r="H23" s="18" t="s">
        <v>721</v>
      </c>
      <c r="K23" s="18">
        <v>22</v>
      </c>
      <c r="L23" s="18">
        <v>22</v>
      </c>
    </row>
    <row r="24" spans="8:20" ht="11.25" x14ac:dyDescent="0.2">
      <c r="H24" s="18" t="s">
        <v>722</v>
      </c>
      <c r="K24" s="18">
        <v>23</v>
      </c>
      <c r="L24" s="18">
        <v>23</v>
      </c>
    </row>
    <row r="25" spans="8:20" ht="11.25" x14ac:dyDescent="0.2">
      <c r="H25" s="18" t="s">
        <v>723</v>
      </c>
      <c r="K25" s="18">
        <v>24</v>
      </c>
      <c r="L25" s="18">
        <v>24</v>
      </c>
    </row>
    <row r="26" spans="8:20" ht="11.25" x14ac:dyDescent="0.2">
      <c r="H26" s="18" t="s">
        <v>724</v>
      </c>
      <c r="K26" s="18">
        <v>25</v>
      </c>
      <c r="L26" s="18">
        <v>25</v>
      </c>
    </row>
    <row r="27" spans="8:20" ht="11.25" x14ac:dyDescent="0.2">
      <c r="H27" s="18" t="s">
        <v>725</v>
      </c>
      <c r="K27" s="18">
        <v>26</v>
      </c>
      <c r="L27" s="18">
        <v>26</v>
      </c>
    </row>
    <row r="28" spans="8:20" ht="11.25" x14ac:dyDescent="0.2">
      <c r="H28" s="18" t="s">
        <v>726</v>
      </c>
      <c r="K28" s="18">
        <v>27</v>
      </c>
      <c r="L28" s="18">
        <v>27</v>
      </c>
    </row>
    <row r="29" spans="8:20" ht="11.25" x14ac:dyDescent="0.2">
      <c r="H29" s="18" t="s">
        <v>727</v>
      </c>
      <c r="K29" s="18">
        <v>28</v>
      </c>
      <c r="L29" s="18">
        <v>28</v>
      </c>
    </row>
    <row r="30" spans="8:20" ht="11.25" x14ac:dyDescent="0.2">
      <c r="H30" s="18" t="s">
        <v>728</v>
      </c>
      <c r="K30" s="18">
        <v>29</v>
      </c>
      <c r="L30" s="18">
        <v>29</v>
      </c>
    </row>
    <row r="31" spans="8:20" ht="11.25" x14ac:dyDescent="0.2">
      <c r="H31" s="18" t="s">
        <v>729</v>
      </c>
      <c r="K31" s="18">
        <v>30</v>
      </c>
      <c r="L31" s="18">
        <v>30</v>
      </c>
    </row>
    <row r="32" spans="8:20" ht="11.25" x14ac:dyDescent="0.2">
      <c r="H32" s="18" t="s">
        <v>730</v>
      </c>
      <c r="K32" s="18">
        <v>31</v>
      </c>
      <c r="L32" s="18">
        <v>31</v>
      </c>
    </row>
    <row r="33" spans="8:11" ht="11.25" x14ac:dyDescent="0.2">
      <c r="H33" s="18" t="s">
        <v>731</v>
      </c>
      <c r="K33" s="18">
        <v>32</v>
      </c>
    </row>
    <row r="34" spans="8:11" ht="11.25" x14ac:dyDescent="0.2">
      <c r="H34" s="18" t="s">
        <v>732</v>
      </c>
      <c r="K34" s="18">
        <v>33</v>
      </c>
    </row>
    <row r="35" spans="8:11" ht="11.25" x14ac:dyDescent="0.2">
      <c r="H35" s="18" t="s">
        <v>733</v>
      </c>
      <c r="K35" s="18">
        <v>34</v>
      </c>
    </row>
    <row r="36" spans="8:11" ht="11.25" x14ac:dyDescent="0.2">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sheet="1" objects="1" scenarios="1"/>
  <pageMargins left="0.7" right="0.7" top="0.75" bottom="0.75" header="0.3" footer="0.3"/>
  <pageSetup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G5"/>
  <sheetViews>
    <sheetView workbookViewId="0">
      <selection activeCell="D5" sqref="D5:G5"/>
    </sheetView>
  </sheetViews>
  <sheetFormatPr baseColWidth="10" defaultColWidth="10.7109375" defaultRowHeight="15" x14ac:dyDescent="0.25"/>
  <sheetData>
    <row r="4" spans="4:7" ht="15.75" thickBot="1" x14ac:dyDescent="0.25"/>
    <row r="5" spans="4:7" ht="15.75" customHeight="1" thickBot="1" x14ac:dyDescent="0.25">
      <c r="D5" s="246" t="s">
        <v>1516</v>
      </c>
      <c r="E5" s="481"/>
      <c r="F5" s="481"/>
      <c r="G5" s="482"/>
    </row>
  </sheetData>
  <mergeCells count="1">
    <mergeCell ref="D5:G5"/>
  </mergeCells>
  <dataValidations count="1">
    <dataValidation allowBlank="1" showInputMessage="1" showErrorMessage="1" promptTitle="ACTIVIDADES REALIZADAS" prompt="Describa bremente las actividades llevadas a cabo para dar cumplimiento a la actividad contractual ..." sqref="D5:G5"/>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174</vt:i4>
      </vt:variant>
    </vt:vector>
  </HeadingPairs>
  <TitlesOfParts>
    <vt:vector size="180" baseType="lpstr">
      <vt:lpstr>INFORME OPS</vt:lpstr>
      <vt:lpstr>CONSOLIDADO POR DIRECCION</vt:lpstr>
      <vt:lpstr>MAPA DE COSTOS</vt:lpstr>
      <vt:lpstr>Hoja1</vt:lpstr>
      <vt:lpstr>MAESTROS</vt:lpstr>
      <vt:lpstr>Hoja2</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familia</cp:lastModifiedBy>
  <cp:revision/>
  <cp:lastPrinted>2021-02-05T21:27:05Z</cp:lastPrinted>
  <dcterms:created xsi:type="dcterms:W3CDTF">2013-07-25T01:01:55Z</dcterms:created>
  <dcterms:modified xsi:type="dcterms:W3CDTF">2021-07-16T00:11:57Z</dcterms:modified>
</cp:coreProperties>
</file>