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ALDIR03\Desktop\HOGAR 2021\CERTIFICACIONES\AGOSTO\"/>
    </mc:Choice>
  </mc:AlternateContent>
  <bookViews>
    <workbookView xWindow="0" yWindow="0" windowWidth="24000" windowHeight="8535"/>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8"/>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5251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O66"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35" i="1"/>
  <c r="F77" i="1" l="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<sst xmlns="http://schemas.openxmlformats.org/spreadsheetml/2006/main" count="6206" uniqueCount="1519">
  <si>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</si>
  <si>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</si>
  <si>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</si>
  <si>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</si>
  <si>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</si>
  <si>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</si>
  <si>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</si>
  <si>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</si>
  <si>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</si>
  <si>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</si>
  <si>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</si>
  <si>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</si>
  <si>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</si>
  <si>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</si>
  <si>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</si>
  <si>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</si>
  <si>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</si>
  <si>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</si>
  <si>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</si>
  <si>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</si>
  <si>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</si>
  <si>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</si>
  <si>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</si>
  <si>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</si>
  <si>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</si>
  <si>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</si>
  <si>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</si>
  <si>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</si>
  <si>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</si>
  <si>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</si>
  <si>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</si>
  <si>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</si>
  <si>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</si>
  <si>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</si>
  <si>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</si>
  <si>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</si>
  <si>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</si>
  <si>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</si>
  <si>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</si>
  <si>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</si>
  <si>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</si>
  <si>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</si>
  <si>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</si>
  <si>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</si>
  <si>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</si>
  <si>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</si>
  <si>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</si>
  <si>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</si>
  <si>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</si>
  <si>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</si>
  <si>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</si>
  <si>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</si>
  <si>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</si>
  <si>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</si>
  <si>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</si>
  <si>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</si>
  <si>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</si>
  <si>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</si>
  <si>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</si>
  <si>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</si>
  <si>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</si>
  <si>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</si>
  <si>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</si>
  <si>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</si>
  <si>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</si>
  <si>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</si>
  <si>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</si>
  <si>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</si>
  <si>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</si>
  <si>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</si>
  <si>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</si>
  <si>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</si>
  <si>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</si>
  <si>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</si>
  <si>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</si>
  <si>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</si>
  <si>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</si>
  <si>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</si>
  <si>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</si>
  <si>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</si>
  <si>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</si>
  <si>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</si>
  <si>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</si>
  <si>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</si>
  <si>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</si>
  <si>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</si>
  <si>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</si>
  <si>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</si>
  <si>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</si>
  <si>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</si>
  <si>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</si>
  <si>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</si>
  <si>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</si>
  <si>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</si>
  <si>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</si>
  <si>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</si>
  <si>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</si>
  <si>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</si>
  <si>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</si>
  <si>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</si>
  <si>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</si>
  <si>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</si>
  <si>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</si>
  <si>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</si>
  <si>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</si>
  <si>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</si>
  <si>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</si>
  <si>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</si>
  <si>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</si>
  <si>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</si>
  <si>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</si>
  <si>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</si>
  <si>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</si>
  <si>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</si>
  <si>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</si>
  <si>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</si>
  <si>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</si>
  <si>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</si>
  <si>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</si>
  <si>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</si>
  <si>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</si>
  <si>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</si>
  <si>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</si>
  <si>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</si>
  <si>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</si>
  <si>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</si>
  <si>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</si>
  <si>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</si>
  <si>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</si>
  <si>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</si>
  <si>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</si>
  <si>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</si>
  <si>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</si>
  <si>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</si>
  <si>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</si>
  <si>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</si>
  <si>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</si>
  <si>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</si>
  <si>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</si>
  <si>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</si>
  <si>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</si>
  <si>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</si>
  <si>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</si>
  <si>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</si>
  <si>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</si>
  <si>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</si>
  <si>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</si>
  <si>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</si>
  <si>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</si>
  <si>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</si>
  <si>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</si>
  <si>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</si>
  <si>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</si>
  <si>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</si>
  <si>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</si>
  <si>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</si>
  <si>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</si>
  <si>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</si>
  <si>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</si>
  <si>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</si>
  <si>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</si>
  <si>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</si>
  <si>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</si>
  <si>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</si>
  <si>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</si>
  <si>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</si>
  <si>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</si>
  <si>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</si>
  <si>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</si>
  <si>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</si>
  <si>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</si>
  <si>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</si>
  <si>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</si>
  <si>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</si>
  <si>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</si>
  <si>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</si>
  <si>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</si>
  <si>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</si>
  <si>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</si>
  <si>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</si>
  <si>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</si>
  <si>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</si>
  <si>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</si>
  <si>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</si>
  <si>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</si>
  <si>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</si>
  <si>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</si>
  <si>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</si>
  <si>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</si>
  <si>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</si>
  <si>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</si>
  <si>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</si>
  <si>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</si>
  <si>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</si>
  <si>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</si>
  <si>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</si>
  <si>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</si>
  <si>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</si>
  <si>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</si>
  <si>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</si>
  <si>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</si>
  <si>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</si>
  <si>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</si>
  <si>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</si>
  <si>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</si>
  <si>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</si>
  <si>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</si>
  <si>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</si>
  <si>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</si>
  <si>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</si>
  <si>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</si>
  <si>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</si>
  <si>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</si>
  <si>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</si>
  <si>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</si>
  <si>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</si>
  <si>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</si>
  <si>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</si>
  <si>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</si>
  <si>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</si>
  <si>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</si>
  <si>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</si>
  <si>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</si>
  <si>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</si>
  <si>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</si>
  <si>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</si>
  <si>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</si>
  <si>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</si>
  <si>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</si>
  <si>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</si>
  <si>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</si>
  <si>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</si>
  <si>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</si>
  <si>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</si>
  <si>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</si>
  <si>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</si>
  <si>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</si>
  <si>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</si>
  <si>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</si>
  <si>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</si>
  <si>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</si>
  <si>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</si>
  <si>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</si>
  <si>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</si>
  <si>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</si>
  <si>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</si>
  <si>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</si>
  <si>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</si>
  <si>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</si>
  <si>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</si>
  <si>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</si>
  <si>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</si>
  <si>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</si>
  <si>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</si>
  <si>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</si>
  <si>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</si>
  <si>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</si>
  <si>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</si>
  <si>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</si>
  <si>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</si>
  <si>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</si>
  <si>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</si>
  <si>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</si>
  <si>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</si>
  <si>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</si>
  <si>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</si>
  <si>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</si>
  <si>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</si>
  <si>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</si>
  <si>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</si>
  <si>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</si>
  <si>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</si>
  <si>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</si>
  <si>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</si>
  <si>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</si>
  <si>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</si>
  <si>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</si>
  <si>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</si>
  <si>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</si>
  <si>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</si>
  <si>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</si>
  <si>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</si>
  <si>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</si>
  <si>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</si>
  <si>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</si>
  <si>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</si>
  <si>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</si>
  <si>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</si>
  <si>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</si>
  <si>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</si>
  <si>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</si>
  <si>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</si>
  <si>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</si>
  <si>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</si>
  <si>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</si>
  <si>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</si>
  <si>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</si>
  <si>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</si>
  <si>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</si>
  <si>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</si>
  <si>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</si>
  <si>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</si>
  <si>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</si>
  <si>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</si>
  <si>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</si>
  <si>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</si>
  <si>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</si>
  <si>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</si>
  <si>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</si>
  <si>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</si>
  <si>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</si>
  <si>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</si>
  <si>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</si>
  <si>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</si>
  <si>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</si>
  <si>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</si>
  <si>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</si>
  <si>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</si>
  <si>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</si>
  <si>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</si>
  <si>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</si>
  <si>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</si>
  <si>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</si>
  <si>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</si>
  <si>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</si>
  <si>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</si>
  <si>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</si>
  <si>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</si>
  <si>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</si>
  <si>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</si>
  <si>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</si>
  <si>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</si>
  <si>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</si>
  <si>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</si>
  <si>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</si>
  <si>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</si>
  <si>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</si>
  <si>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</si>
  <si>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</si>
  <si>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</si>
  <si>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</si>
  <si>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</si>
  <si>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</si>
  <si>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</si>
  <si>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</si>
  <si>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</si>
  <si>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</si>
  <si>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</si>
  <si>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</si>
  <si>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</si>
  <si>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</si>
  <si>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</si>
  <si>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</si>
  <si>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</si>
  <si>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</si>
  <si>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</si>
  <si>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</si>
  <si>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</si>
  <si>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</si>
  <si>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</si>
  <si>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</si>
  <si>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</si>
  <si>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</si>
  <si>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</si>
  <si>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</si>
  <si>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</si>
  <si>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</si>
  <si>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</si>
  <si>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</si>
  <si>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</si>
  <si>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</si>
  <si>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</si>
  <si>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</si>
  <si>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</si>
  <si>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</si>
  <si>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</si>
  <si>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</si>
  <si>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</si>
  <si>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</si>
  <si>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</si>
  <si>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</si>
  <si>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</si>
  <si>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</si>
  <si>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</si>
  <si>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</si>
  <si>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</si>
  <si>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</si>
  <si>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</si>
  <si>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</si>
  <si>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</si>
  <si>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</si>
  <si>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</si>
  <si>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</si>
  <si>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</si>
  <si>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</si>
  <si>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</si>
  <si>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</si>
  <si>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</si>
  <si>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</si>
  <si>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</si>
  <si>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</si>
  <si>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</si>
  <si>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</si>
  <si>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</si>
  <si>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</si>
  <si>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</si>
  <si>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</si>
  <si>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</si>
  <si>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</si>
  <si>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</si>
  <si>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</si>
  <si>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</si>
  <si>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</si>
  <si>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</si>
  <si>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</si>
  <si>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</si>
  <si>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</si>
  <si>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</si>
  <si>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</si>
  <si>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</si>
  <si>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</si>
  <si>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</si>
  <si>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</si>
  <si>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</si>
  <si>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</si>
  <si>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</si>
  <si>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</si>
  <si>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</si>
  <si>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</si>
  <si>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</si>
  <si>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</si>
  <si>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</si>
  <si>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</si>
  <si>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</si>
  <si>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</si>
  <si>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</si>
  <si>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</si>
  <si>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</si>
  <si>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</si>
  <si>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</si>
  <si>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</si>
  <si>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</si>
  <si>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</si>
  <si>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</si>
  <si>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</si>
  <si>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</si>
  <si>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</si>
  <si>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</si>
  <si>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</si>
  <si>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</si>
  <si>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</si>
  <si>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</si>
  <si>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</si>
  <si>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</si>
  <si>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</si>
  <si>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</si>
  <si>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</si>
  <si>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</si>
  <si>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</si>
  <si>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</si>
  <si>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</si>
  <si>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</si>
  <si>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</si>
  <si>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</si>
  <si>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</si>
  <si>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</si>
  <si>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</si>
  <si>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</si>
  <si>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</si>
  <si>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</si>
  <si>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</si>
  <si>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</si>
  <si>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</si>
  <si>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</si>
  <si>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</si>
  <si>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</si>
  <si>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</si>
  <si>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</si>
  <si>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</si>
  <si>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</si>
  <si>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</si>
  <si>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</si>
  <si>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</si>
  <si>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</si>
  <si>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</si>
  <si>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</si>
  <si>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</si>
  <si>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</si>
  <si>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</si>
  <si>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</si>
  <si>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</si>
  <si>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</si>
  <si>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</si>
  <si>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</si>
  <si>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</si>
  <si>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</si>
  <si>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</si>
  <si>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</si>
  <si>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</si>
  <si>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</si>
  <si>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</si>
  <si>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</si>
  <si>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</si>
  <si>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</si>
  <si>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</si>
  <si>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</si>
  <si>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</si>
  <si>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</si>
  <si>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</si>
  <si>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</si>
  <si>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</si>
  <si>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</si>
  <si>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</si>
  <si>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</si>
  <si>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</si>
  <si>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</si>
  <si>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</si>
  <si>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</si>
  <si>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</si>
  <si>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</si>
  <si>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</si>
  <si>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</si>
  <si>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</si>
  <si>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</si>
  <si>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</si>
  <si>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</si>
  <si>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</si>
  <si>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</si>
  <si>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</si>
  <si>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</si>
  <si>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</si>
  <si>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</si>
  <si>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</si>
  <si>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</si>
  <si>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</si>
  <si>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</si>
  <si>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</si>
  <si>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</si>
  <si>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</si>
  <si>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</si>
  <si>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</si>
  <si>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</si>
  <si>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</si>
  <si>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</si>
  <si>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</si>
  <si>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</si>
  <si>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</si>
  <si>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</si>
  <si>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</si>
  <si>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</si>
  <si>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</si>
  <si>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</si>
  <si>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</si>
  <si>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</si>
  <si>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</si>
  <si>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</si>
  <si>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</si>
  <si>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</si>
  <si>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</si>
  <si>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</si>
  <si>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</si>
  <si>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</si>
  <si>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</si>
  <si>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</si>
  <si>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</si>
  <si>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</si>
  <si>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</si>
  <si>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</si>
  <si>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</si>
  <si>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</si>
  <si>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</si>
  <si>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</si>
  <si>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</si>
  <si>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</si>
  <si>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</si>
  <si>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</si>
  <si>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</si>
  <si>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</si>
  <si>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</si>
  <si>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</si>
  <si>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</si>
  <si>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</si>
  <si>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</si>
  <si>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</si>
  <si>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</si>
  <si>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</si>
  <si>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</si>
  <si>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</si>
  <si>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</si>
  <si>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</si>
  <si>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</si>
  <si>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</si>
  <si>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</si>
  <si>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</si>
  <si>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</si>
  <si>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</si>
  <si>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</si>
  <si>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</si>
  <si>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</si>
  <si>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</si>
  <si>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</si>
  <si>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</si>
  <si>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</si>
  <si>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</si>
  <si>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</si>
  <si>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</si>
  <si>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</si>
  <si>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</si>
  <si>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</si>
  <si>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</si>
  <si>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</si>
  <si>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</si>
  <si>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</si>
  <si>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</si>
  <si>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</si>
  <si>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</si>
  <si>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</si>
  <si>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</si>
  <si>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</si>
  <si>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</si>
  <si>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</si>
  <si>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</si>
  <si>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</si>
  <si>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</si>
  <si>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</si>
  <si>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</si>
  <si>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</si>
  <si>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</si>
  <si>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</si>
  <si>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</si>
  <si>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</si>
  <si>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</si>
  <si>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</si>
  <si>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</si>
  <si>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</si>
  <si>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</si>
  <si>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</si>
  <si>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</si>
  <si>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</si>
  <si>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</si>
  <si>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</si>
  <si>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</si>
  <si>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</si>
  <si>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</si>
  <si>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</si>
  <si>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</si>
  <si>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</si>
  <si>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</si>
  <si>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</si>
  <si>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</si>
  <si>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</si>
  <si>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</si>
  <si>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</si>
  <si>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</si>
  <si>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</si>
  <si>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</si>
  <si>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</si>
  <si>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</si>
  <si>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</si>
  <si>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</si>
  <si>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</si>
  <si>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</si>
  <si>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</si>
  <si>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</si>
  <si>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</si>
  <si>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</si>
  <si>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</si>
  <si>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</si>
  <si>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</si>
  <si>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</si>
  <si>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</si>
  <si>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</si>
  <si>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</si>
  <si>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</si>
  <si>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</si>
  <si>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</si>
  <si>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</si>
  <si>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</si>
  <si>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</si>
  <si>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</si>
  <si>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</si>
  <si>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</si>
  <si>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</si>
  <si>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</si>
  <si>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</si>
  <si>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</si>
  <si>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</si>
  <si>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</si>
  <si>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</si>
  <si>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</si>
  <si>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</si>
  <si>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</si>
  <si>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</si>
  <si>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</si>
  <si>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</si>
  <si>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</si>
  <si>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</si>
  <si>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</si>
  <si>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</si>
  <si>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</si>
  <si>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</si>
  <si>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</si>
  <si>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</si>
  <si>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</si>
  <si>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</si>
  <si>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</si>
  <si>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</si>
  <si>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</si>
  <si>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</si>
  <si>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</si>
  <si>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</si>
  <si>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</si>
  <si>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</si>
  <si>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</si>
  <si>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</si>
  <si>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</si>
  <si>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</si>
  <si>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</si>
  <si>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</si>
  <si>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</si>
  <si>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</si>
  <si>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</si>
  <si>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</si>
  <si>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</si>
  <si>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</si>
  <si>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</si>
  <si>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</si>
  <si>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</si>
  <si>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</si>
  <si>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</si>
  <si>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</si>
  <si>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</si>
  <si>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</si>
  <si>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</si>
  <si>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</si>
  <si>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</si>
  <si>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</si>
  <si>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</si>
  <si>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</si>
  <si>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</si>
  <si>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</si>
  <si>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</si>
  <si>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</si>
  <si>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</si>
  <si>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</si>
  <si>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</si>
  <si>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</si>
  <si>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</si>
  <si>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</si>
  <si>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</si>
  <si>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</si>
  <si>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</si>
  <si>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</si>
  <si>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</si>
  <si>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</si>
  <si>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</si>
  <si>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</si>
  <si>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</si>
  <si>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</si>
  <si>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</si>
  <si>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</si>
  <si>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</si>
  <si>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</si>
  <si>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</si>
  <si>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</si>
  <si>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</si>
  <si>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</si>
  <si>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</si>
  <si>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</si>
  <si>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</si>
  <si>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</si>
  <si>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</si>
  <si>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</si>
  <si>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</si>
  <si>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</si>
  <si>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</si>
  <si>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</si>
  <si>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</si>
  <si>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</si>
  <si>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</si>
  <si>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</si>
  <si>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</si>
  <si>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</si>
  <si>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</si>
  <si>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</si>
  <si>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</si>
  <si>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</si>
  <si>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</si>
  <si>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</si>
  <si>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</si>
  <si>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</si>
  <si>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</si>
  <si>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</si>
  <si>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</si>
  <si>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</si>
  <si>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</si>
  <si>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</si>
  <si>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</si>
  <si>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</si>
  <si>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</si>
  <si>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</si>
  <si>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</si>
  <si>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</si>
  <si>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</si>
  <si>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</si>
  <si>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</si>
  <si>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</si>
  <si>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</si>
  <si>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</si>
  <si>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</si>
  <si>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</si>
  <si>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</si>
  <si>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</si>
  <si>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</si>
  <si>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</si>
  <si>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</si>
  <si>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</si>
  <si>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</si>
  <si>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</si>
  <si>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</si>
  <si>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</si>
  <si>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</si>
  <si>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</si>
  <si>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</si>
  <si>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</si>
  <si>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</si>
  <si>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</si>
  <si>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</si>
  <si>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</si>
  <si>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</si>
  <si>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</si>
  <si>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</si>
  <si>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</si>
  <si>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</si>
  <si>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</si>
  <si>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</si>
  <si>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</si>
  <si>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</si>
  <si>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</si>
  <si>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</si>
  <si>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</si>
  <si>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</si>
  <si>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</si>
  <si>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</si>
  <si>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</si>
  <si>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</si>
  <si>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</si>
  <si>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</si>
  <si>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</si>
  <si>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</si>
  <si>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</si>
  <si>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</si>
  <si>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</si>
  <si>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</si>
  <si>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</si>
  <si>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</si>
  <si>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</si>
  <si>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</si>
  <si>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</si>
  <si>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</si>
  <si>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</si>
  <si>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</si>
  <si>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</si>
  <si>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</si>
  <si>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</si>
  <si>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</si>
  <si>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</si>
  <si>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</si>
  <si>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</si>
  <si>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</si>
  <si>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</si>
  <si>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</si>
  <si>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</si>
  <si>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</si>
  <si>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</si>
  <si>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</si>
  <si>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</si>
  <si>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</si>
  <si>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</si>
  <si>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</si>
  <si>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</si>
  <si>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</si>
  <si>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</si>
  <si>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</si>
  <si>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</si>
  <si>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</si>
  <si>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</si>
  <si>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</si>
  <si>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</si>
  <si>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</si>
  <si>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</si>
  <si>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</si>
  <si>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</si>
  <si>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</si>
  <si>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</si>
  <si>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</si>
  <si>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</si>
  <si>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</si>
  <si>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</si>
  <si>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</si>
  <si>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</si>
  <si>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</si>
  <si>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</si>
  <si>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</si>
  <si>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</si>
  <si>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</si>
  <si>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</si>
  <si>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</si>
  <si>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</si>
  <si>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</si>
  <si>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</si>
  <si>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</si>
  <si>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</si>
  <si>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</si>
  <si>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</si>
  <si>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</si>
  <si>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</si>
  <si>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</si>
  <si>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</si>
  <si>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</si>
  <si>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</si>
  <si>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</si>
  <si>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</si>
  <si>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</si>
  <si>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</si>
  <si>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</si>
  <si>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</si>
  <si>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</si>
  <si>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</si>
  <si>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</si>
  <si>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</si>
  <si>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</si>
  <si>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</si>
  <si>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</si>
  <si>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</si>
  <si>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</si>
  <si>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</si>
  <si>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</si>
  <si>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</si>
  <si>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</si>
  <si>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</si>
  <si>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</si>
  <si>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</si>
  <si>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</si>
  <si>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</si>
  <si>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</si>
  <si>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</si>
  <si>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</si>
  <si>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</si>
  <si>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</si>
  <si>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</si>
  <si>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</si>
  <si>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</si>
  <si>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</si>
  <si>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</si>
  <si>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</si>
  <si>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</si>
  <si>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</si>
  <si>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</si>
  <si>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</si>
  <si>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</si>
  <si>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</si>
  <si>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</si>
  <si>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</si>
  <si>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</si>
  <si>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</si>
  <si>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</si>
  <si>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</si>
  <si>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</si>
  <si>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</si>
  <si>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</si>
  <si>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</si>
  <si>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</si>
  <si>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</si>
  <si>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</si>
  <si>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</si>
  <si>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</si>
  <si>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</si>
  <si>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</si>
  <si>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</si>
  <si>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</si>
  <si>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</si>
  <si>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</si>
  <si>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</si>
  <si>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</si>
  <si>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</si>
  <si>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</si>
  <si>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</si>
  <si>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</si>
  <si>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</si>
  <si>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</si>
  <si>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</si>
  <si>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</si>
  <si>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</si>
  <si>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</si>
  <si>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</si>
  <si>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</si>
  <si>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</si>
  <si>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</si>
  <si>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</si>
  <si>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</si>
  <si>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</si>
  <si>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</si>
  <si>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</si>
  <si>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</si>
  <si>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</si>
  <si>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</si>
  <si>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</si>
  <si>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</si>
  <si>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</si>
  <si>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</si>
  <si>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</si>
  <si>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</si>
  <si>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</si>
  <si>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</si>
  <si>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</si>
  <si>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</si>
  <si>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</si>
  <si>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</si>
  <si>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</si>
  <si>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</si>
  <si>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</si>
  <si>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</si>
  <si>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</si>
  <si>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</si>
  <si>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</si>
  <si>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</si>
  <si>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</si>
  <si>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</si>
  <si>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</si>
  <si>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</si>
  <si>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</si>
  <si>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</si>
  <si>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</si>
  <si>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</si>
  <si>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</si>
  <si>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</si>
  <si>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</si>
  <si>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</si>
  <si>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</si>
  <si>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</si>
  <si>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</si>
  <si>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</si>
  <si>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</si>
  <si>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</si>
  <si>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</si>
  <si>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</si>
  <si>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</si>
  <si>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</si>
  <si>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</si>
  <si>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</si>
  <si>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</si>
  <si>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</si>
  <si>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</si>
  <si>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</si>
  <si>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</si>
  <si>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</si>
  <si>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</si>
  <si>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</si>
  <si>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</si>
  <si>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</si>
  <si>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</si>
  <si>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</si>
  <si>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</si>
  <si>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</si>
  <si>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</si>
  <si>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</si>
  <si>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</si>
  <si>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</si>
  <si>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</si>
  <si>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</si>
  <si>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</si>
  <si>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</si>
  <si>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</si>
  <si>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</si>
  <si>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</si>
  <si>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</si>
  <si>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</si>
  <si>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</si>
  <si>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</si>
  <si>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</si>
  <si>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</si>
  <si>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</si>
  <si>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</si>
  <si>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</si>
  <si>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</si>
  <si>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</si>
  <si>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</si>
  <si>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</si>
  <si>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</si>
  <si>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</si>
  <si>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</si>
  <si>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</si>
  <si>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</si>
  <si>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</si>
  <si>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</si>
  <si>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</si>
  <si>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</si>
  <si>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</si>
  <si>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</si>
  <si>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</si>
  <si>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</si>
  <si>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</si>
  <si>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</si>
  <si>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</si>
  <si>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</si>
  <si>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</si>
  <si>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</si>
  <si>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</si>
  <si>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</si>
  <si>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</si>
  <si>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</si>
  <si>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</si>
  <si>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</si>
  <si>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</si>
  <si>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</si>
  <si>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</si>
  <si>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</si>
  <si>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</si>
  <si>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</si>
  <si>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</si>
  <si>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</si>
  <si>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</si>
  <si>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</si>
  <si>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</si>
  <si>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</si>
  <si>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</si>
  <si>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</si>
  <si>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</si>
  <si>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</si>
  <si>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</si>
  <si>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</si>
  <si>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</si>
  <si>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</si>
  <si>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</si>
  <si>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</si>
  <si>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</si>
  <si>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</si>
  <si>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</si>
  <si>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</si>
  <si>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</si>
  <si>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</si>
  <si>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</si>
  <si>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</si>
  <si>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</si>
  <si>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</si>
  <si>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</si>
  <si>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</si>
  <si>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</si>
  <si>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</si>
  <si>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</si>
  <si>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</si>
  <si>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</si>
  <si>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</si>
  <si>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</si>
  <si>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</si>
  <si>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</si>
  <si>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</si>
  <si>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</si>
  <si>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</si>
  <si>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</si>
  <si>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</si>
  <si>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</si>
  <si>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</si>
  <si>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</si>
  <si>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</si>
  <si>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</si>
  <si>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</si>
  <si>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</si>
  <si>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</si>
  <si>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</si>
  <si>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</si>
  <si>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</si>
  <si>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</si>
  <si>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</si>
  <si>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</si>
  <si>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</si>
  <si>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</si>
  <si>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</si>
  <si>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</si>
  <si>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</si>
  <si>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</si>
  <si>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</si>
  <si>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</si>
  <si>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</si>
  <si>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</si>
  <si>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</si>
  <si>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</si>
  <si>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</si>
  <si>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</si>
  <si>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</si>
  <si>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</si>
  <si>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</si>
  <si>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</si>
  <si>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</si>
  <si>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</si>
  <si>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</si>
  <si>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</si>
  <si>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</si>
  <si>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</si>
  <si>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</si>
  <si>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</si>
  <si>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</si>
  <si>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</si>
  <si>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</si>
  <si>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</si>
  <si>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</si>
  <si>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</si>
  <si>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</si>
  <si>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</si>
  <si>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</si>
  <si>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</si>
  <si>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</si>
  <si>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</si>
  <si>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</si>
  <si>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</si>
  <si>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</si>
  <si>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</si>
  <si>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</si>
  <si>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</si>
  <si>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</si>
  <si>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</si>
  <si>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</si>
  <si>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</si>
  <si>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</si>
  <si>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</si>
  <si>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</si>
  <si>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</si>
  <si>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</si>
  <si>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</si>
  <si>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</si>
  <si>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</si>
  <si>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</si>
  <si>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</si>
  <si>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</si>
  <si>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</si>
  <si>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</si>
  <si>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</si>
  <si>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</si>
  <si>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</si>
  <si>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</si>
  <si>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</si>
  <si>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</si>
  <si>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</si>
  <si>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</si>
  <si>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</si>
  <si>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</si>
  <si>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</si>
  <si>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</si>
  <si>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</si>
  <si>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</si>
  <si>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</si>
  <si>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</si>
  <si>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</si>
  <si>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</si>
  <si>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</si>
  <si>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</si>
  <si>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</si>
  <si>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</si>
  <si>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</si>
  <si>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</si>
  <si>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</si>
  <si>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</si>
  <si>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</si>
  <si>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</si>
  <si>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</si>
  <si>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</si>
  <si>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</si>
  <si>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</si>
  <si>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</si>
  <si>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</si>
  <si>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</si>
  <si>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</si>
  <si>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</si>
  <si>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</si>
  <si>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</si>
  <si>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</si>
  <si>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</si>
  <si>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</si>
  <si>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</si>
  <si>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</si>
  <si>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</si>
  <si>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</si>
  <si>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</si>
  <si>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</si>
  <si>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</si>
  <si>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</si>
  <si>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</si>
  <si>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</si>
  <si>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</si>
  <si>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</si>
  <si>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</si>
  <si>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</si>
  <si>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</si>
  <si>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</si>
  <si>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</si>
  <si>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</si>
  <si>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</si>
  <si>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</si>
  <si>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</si>
  <si>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</si>
  <si>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</si>
  <si>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</si>
  <si>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</si>
  <si>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</si>
  <si>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</si>
  <si>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</si>
  <si>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</si>
  <si>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</si>
  <si>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</si>
  <si>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</si>
  <si>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</si>
  <si>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</si>
  <si>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</si>
  <si>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</si>
  <si>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</si>
  <si>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</si>
  <si>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</si>
  <si>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</si>
  <si>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</si>
  <si>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</si>
  <si>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</si>
  <si>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</si>
  <si>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</si>
  <si>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</si>
  <si>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</si>
  <si>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</si>
  <si>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</si>
  <si>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</si>
  <si>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</si>
  <si>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</si>
  <si>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</si>
  <si>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</si>
  <si>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</si>
  <si>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</si>
  <si>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</si>
  <si>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</si>
  <si>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</si>
  <si>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</si>
  <si>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</si>
  <si>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</si>
  <si>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</si>
  <si>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</si>
  <si>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</si>
  <si>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</si>
  <si>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</si>
  <si>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</si>
  <si>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</si>
  <si>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</si>
  <si>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</si>
  <si>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</si>
  <si>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</si>
  <si>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</si>
  <si>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</si>
  <si>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</si>
  <si>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</si>
  <si>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</si>
  <si>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</si>
  <si>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</si>
  <si>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</si>
  <si>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</si>
  <si>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</si>
  <si>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</si>
  <si>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</si>
  <si>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</si>
  <si>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</si>
  <si>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</si>
  <si>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</si>
  <si>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</si>
  <si>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</si>
  <si>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</si>
  <si>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</si>
  <si>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</si>
  <si>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</si>
  <si>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</si>
  <si>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</si>
  <si>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</si>
  <si>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</si>
  <si>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</si>
  <si>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</si>
  <si>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</si>
  <si>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</si>
  <si>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</si>
  <si>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</si>
  <si>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</si>
  <si>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</si>
  <si>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</si>
  <si>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</si>
  <si>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</si>
  <si>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</si>
  <si>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</si>
  <si>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</si>
  <si>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</si>
  <si>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</si>
  <si>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</si>
  <si>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</si>
  <si>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</si>
  <si>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</si>
  <si>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</si>
  <si>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</si>
  <si>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</si>
  <si>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</si>
  <si>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</si>
  <si>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</si>
  <si>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</si>
  <si>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</si>
  <si>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</si>
  <si>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</si>
  <si>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</si>
  <si>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</si>
  <si>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</si>
  <si>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</si>
  <si>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</si>
  <si>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</si>
  <si>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</si>
  <si>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</si>
  <si>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</si>
  <si>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</si>
  <si>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</si>
  <si>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</si>
  <si>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</si>
  <si>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</si>
  <si>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</si>
  <si>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</si>
  <si>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</si>
  <si>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</si>
  <si>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</si>
  <si>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</si>
  <si>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</si>
  <si>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</si>
  <si>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</si>
  <si>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</si>
  <si>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</si>
  <si>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</si>
  <si>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</si>
  <si>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</si>
  <si>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</si>
  <si>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</si>
  <si>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</si>
  <si>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</si>
  <si>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</si>
  <si>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</si>
  <si>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</si>
  <si>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</si>
  <si>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</si>
  <si>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</si>
  <si>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</si>
  <si>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</si>
  <si>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</si>
  <si>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</si>
  <si>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</si>
  <si>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</si>
  <si>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</si>
  <si>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</si>
  <si>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</si>
  <si>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</si>
  <si>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</si>
  <si>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</si>
  <si>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</si>
  <si>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</si>
  <si>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</si>
  <si>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</si>
  <si>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</si>
  <si>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</si>
  <si>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</si>
  <si>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</si>
  <si>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</si>
  <si>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</si>
  <si>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</si>
  <si>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</si>
  <si>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</si>
  <si>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</si>
  <si>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</si>
  <si>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</si>
  <si>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</si>
  <si>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</si>
  <si>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</si>
  <si>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</si>
  <si>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</si>
  <si>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</si>
  <si>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</si>
  <si>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</si>
  <si>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</si>
  <si>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</si>
  <si>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</si>
  <si>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</si>
  <si>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</si>
  <si>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</si>
  <si>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</si>
  <si>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</si>
  <si>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</si>
  <si>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</si>
  <si>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</si>
  <si>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</si>
  <si>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</si>
  <si>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</si>
  <si>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</si>
  <si>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CARLOS ANDRES MOJICA AGUILAR</t>
  </si>
  <si>
    <t>REF GESTION ENTORNO HOGAR</t>
  </si>
  <si>
    <t>ENFERMERA</t>
  </si>
  <si>
    <t>GESTION DEL RIESGO EN SALUD</t>
  </si>
  <si>
    <t>ENTORNO HOGAR</t>
  </si>
  <si>
    <t>PROTECCION</t>
  </si>
  <si>
    <t>COMPENSAR</t>
  </si>
  <si>
    <t>SURA</t>
  </si>
  <si>
    <t>REALIZAR, PLANEACION, IMPLEMENTACION, MONITOREO Y EVALUCION CORRESPONDIENTS A LOS PROCESOS ASIGNADOS DE ACUERDO AL PLAN DE INTERVENCION COLECTIVA Y CONFORMES A LAS CUALIDADES DE LOS LINEAMIiENTOS DEFINIDOS PARA LAS ACTIVIDADES A DESARROLLAR EN CUNMPLIENTO DEL OBJETIVO CONTRACTUAL</t>
  </si>
  <si>
    <t>PRESENTAR INFORMES Y REPORTES EN LA PERIOCIDAD DEFIBIDA CON CALIDAD, VERACIDAD Y CUMPLIMIENTO DE ACUERFO A LA META ACORDADA, PRODUCTIVIDAD Y ACTIVIDADES EJECUTADAS</t>
  </si>
  <si>
    <t>PLANEAR, VERIFICAR Y PRESENTAR PROCESOS DE  AUDITORIA INTERNA Y XTERNA SEGÚN REQUERIMIENTO CUMPLIDO CON CARACTERISTICAS DE CALIDAD, OPORTUNIDAD Y VERACIDAD</t>
  </si>
  <si>
    <t>GARANTIZAR LA CUSTODIA Y PROTECCION DE LOS DOCUMENTOS FISICOS Y MAGNETICOS ENTREGADOS PARA LA EJECUCION DE SUS ACTIVIDADES.</t>
  </si>
  <si>
    <t>Activar los procesos de referencia y contrareferencia dando respuesta a las necesidades identificadas en la comunidad</t>
  </si>
  <si>
    <t>Informar a tiempo cualquier eventualidad que interfiera en el adecuado cumplimiento de los objetivos establecidos.</t>
  </si>
  <si>
    <t>SOPORTAR AUDITORIA CON LA FIRMA INTERVENTORA A CARGO DEL PROCESO</t>
  </si>
  <si>
    <t>CARACTERIZACIONES, IMPLETACIONES Y SEGUIMIENTOS TELEFONICOS A LAS FAMILIAS NOTIFICADAS CON MENORES CON DESNUTRICION, DENTRO DE LAS 184 CONTRATDAS</t>
  </si>
  <si>
    <t>Se realiza la busqueda dando respuesta a cualquier tramite o solicitud requerida por parte del referente del espacio</t>
  </si>
  <si>
    <t>Se mantiene constante comunicación con el referente del espacio a quien se reportan las novedades.</t>
  </si>
  <si>
    <t>APOYO ALISTAMIENTO AUDITORIA</t>
  </si>
  <si>
    <t>VSP, SALUD MENTAL, ETIS Y POBLACION COVID ACTUALIZADA EN EL DRIVE</t>
  </si>
  <si>
    <t>VSP, POBLACION EMERGENCIA COVID 19, ACCIONES FAMILIARES GESI</t>
  </si>
  <si>
    <t>CORREO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</si>
</sst>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63">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0" fontId="3" fillId="2" borderId="6" xfId="0" applyFont="1" applyFill="1" applyBorder="1" applyAlignment="1" applyProtection="1">
      <alignment horizontal="center" vertical="center" wrapText="1"/>
      <protection locked="0" hidden="1"/>
    </xf>
    <xf numFmtId="0" fontId="3" fillId="2" borderId="13" xfId="0" applyFont="1" applyFill="1" applyBorder="1" applyAlignment="1" applyProtection="1">
      <alignment horizontal="center" vertical="center" wrapText="1"/>
      <protection locked="0" hidden="1"/>
    </xf>
    <xf numFmtId="0" fontId="3" fillId="2" borderId="14" xfId="0" applyFont="1" applyFill="1" applyBorder="1" applyAlignment="1" applyProtection="1">
      <alignment horizontal="center" vertical="center" wrapText="1"/>
      <protection locked="0"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cellXfs>
  <cellStyles count="2">
    <cellStyle name="Hipervínculo" xfId="1" builtinId="8"/>
    <cellStyle name="Normal" xfId="0" builtinId="0"/>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115" zoomScaleNormal="115" zoomScaleSheetLayoutView="100" workbookViewId="0">
      <pane xSplit="1" ySplit="5" topLeftCell="B6" activePane="bottomRight" state="frozen"/>
      <selection pane="topRight" activeCell="B1" sqref="B1"/>
      <selection pane="bottomLeft" activeCell="A6" sqref="A6"/>
      <selection pane="bottomRight" activeCell="G7" sqref="G7:J7"/>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0"/>
      <c r="C2" s="351"/>
      <c r="D2" s="351"/>
      <c r="E2" s="351"/>
      <c r="F2" s="352"/>
      <c r="G2" s="356" t="s">
        <v>0</v>
      </c>
      <c r="H2" s="356"/>
      <c r="I2" s="356"/>
      <c r="J2" s="356"/>
      <c r="K2" s="356"/>
      <c r="L2" s="356"/>
      <c r="M2" s="356"/>
      <c r="N2" s="356"/>
      <c r="O2" s="356"/>
    </row>
    <row r="3" spans="2:15" ht="27.95" customHeight="1" thickBot="1" x14ac:dyDescent="0.3">
      <c r="B3" s="353"/>
      <c r="C3" s="354"/>
      <c r="D3" s="354"/>
      <c r="E3" s="354"/>
      <c r="F3" s="355"/>
      <c r="G3" s="359" t="s">
        <v>708</v>
      </c>
      <c r="H3" s="360"/>
      <c r="I3" s="360"/>
      <c r="J3" s="360"/>
      <c r="K3" s="360"/>
      <c r="L3" s="360"/>
      <c r="M3" s="361"/>
      <c r="N3" s="356" t="s">
        <v>1496</v>
      </c>
      <c r="O3" s="358"/>
    </row>
    <row r="4" spans="2:15" ht="3" customHeight="1" thickBot="1" x14ac:dyDescent="0.3">
      <c r="B4" s="28"/>
      <c r="C4" s="3"/>
      <c r="D4" s="3"/>
      <c r="E4" s="3"/>
      <c r="F4" s="3"/>
      <c r="G4" s="3"/>
      <c r="H4" s="3"/>
      <c r="I4" s="3"/>
      <c r="J4" s="3"/>
      <c r="K4" s="3"/>
      <c r="L4" s="3"/>
      <c r="M4" s="3"/>
      <c r="N4" s="3"/>
      <c r="O4" s="4"/>
    </row>
    <row r="5" spans="2:15" ht="22.5" customHeight="1" thickBot="1" x14ac:dyDescent="0.3">
      <c r="B5" s="200" t="s">
        <v>1</v>
      </c>
      <c r="C5" s="200"/>
      <c r="D5" s="200"/>
      <c r="E5" s="200"/>
      <c r="F5" s="200"/>
      <c r="G5" s="200"/>
      <c r="H5" s="200"/>
      <c r="I5" s="200"/>
      <c r="J5" s="200"/>
      <c r="K5" s="200"/>
      <c r="L5" s="200"/>
      <c r="M5" s="200"/>
      <c r="N5" s="200"/>
      <c r="O5" s="200"/>
    </row>
    <row r="6" spans="2:15" ht="12" customHeight="1" x14ac:dyDescent="0.25">
      <c r="B6" s="344" t="s">
        <v>1442</v>
      </c>
      <c r="C6" s="345"/>
      <c r="D6" s="345"/>
      <c r="E6" s="345"/>
      <c r="F6" s="346"/>
      <c r="G6" s="1" t="s">
        <v>2</v>
      </c>
      <c r="H6" s="362">
        <v>44434</v>
      </c>
      <c r="I6" s="363"/>
      <c r="J6" s="363"/>
      <c r="K6" s="1" t="s">
        <v>3</v>
      </c>
      <c r="L6" s="362">
        <v>44439</v>
      </c>
      <c r="M6" s="364"/>
      <c r="N6" s="364"/>
      <c r="O6" s="365"/>
    </row>
    <row r="7" spans="2:15" ht="12" customHeight="1" x14ac:dyDescent="0.25">
      <c r="B7" s="328" t="s">
        <v>4</v>
      </c>
      <c r="C7" s="329"/>
      <c r="D7" s="329"/>
      <c r="E7" s="329"/>
      <c r="F7" s="330"/>
      <c r="G7" s="357"/>
      <c r="H7" s="332"/>
      <c r="I7" s="332"/>
      <c r="J7" s="332"/>
      <c r="K7" s="2" t="s">
        <v>5</v>
      </c>
      <c r="L7" s="333"/>
      <c r="M7" s="334"/>
      <c r="N7" s="334"/>
      <c r="O7" s="335"/>
    </row>
    <row r="8" spans="2:15" ht="12" customHeight="1" x14ac:dyDescent="0.25">
      <c r="B8" s="328" t="s">
        <v>635</v>
      </c>
      <c r="C8" s="329"/>
      <c r="D8" s="329"/>
      <c r="E8" s="329"/>
      <c r="F8" s="330"/>
      <c r="G8" s="331"/>
      <c r="H8" s="332"/>
      <c r="I8" s="332"/>
      <c r="J8" s="332"/>
      <c r="K8" s="2" t="s">
        <v>641</v>
      </c>
      <c r="L8" s="333"/>
      <c r="M8" s="334"/>
      <c r="N8" s="334"/>
      <c r="O8" s="335"/>
    </row>
    <row r="9" spans="2:15" ht="12" customHeight="1" x14ac:dyDescent="0.25">
      <c r="B9" s="328" t="s">
        <v>1483</v>
      </c>
      <c r="C9" s="329"/>
      <c r="D9" s="329"/>
      <c r="E9" s="329"/>
      <c r="F9" s="330"/>
      <c r="G9" s="197"/>
      <c r="H9" s="198"/>
      <c r="I9" s="198"/>
      <c r="J9" s="199"/>
      <c r="K9" s="2" t="s">
        <v>1481</v>
      </c>
      <c r="L9" s="153"/>
      <c r="M9" s="154"/>
      <c r="N9" s="2" t="s">
        <v>1482</v>
      </c>
      <c r="O9" s="156"/>
    </row>
    <row r="10" spans="2:15" ht="12" customHeight="1" x14ac:dyDescent="0.25">
      <c r="B10" s="328" t="s">
        <v>1489</v>
      </c>
      <c r="C10" s="329"/>
      <c r="D10" s="329"/>
      <c r="E10" s="329"/>
      <c r="F10" s="330"/>
      <c r="G10" s="197" t="s">
        <v>1497</v>
      </c>
      <c r="H10" s="198"/>
      <c r="I10" s="198"/>
      <c r="J10" s="199"/>
      <c r="K10" s="2" t="s">
        <v>1485</v>
      </c>
      <c r="L10" s="136" t="s">
        <v>1498</v>
      </c>
      <c r="M10" s="137"/>
      <c r="N10" s="2" t="s">
        <v>1486</v>
      </c>
      <c r="O10" s="138">
        <v>5508</v>
      </c>
    </row>
    <row r="11" spans="2:15" ht="12" customHeight="1" thickBot="1" x14ac:dyDescent="0.3">
      <c r="B11" s="348" t="s">
        <v>1484</v>
      </c>
      <c r="C11" s="349"/>
      <c r="D11" s="349"/>
      <c r="E11" s="349"/>
      <c r="F11" s="349"/>
      <c r="G11" s="197"/>
      <c r="H11" s="198"/>
      <c r="I11" s="198"/>
      <c r="J11" s="199"/>
      <c r="K11" s="2" t="s">
        <v>1481</v>
      </c>
      <c r="L11" s="153"/>
      <c r="M11" s="154"/>
      <c r="N11" s="2" t="s">
        <v>1487</v>
      </c>
      <c r="O11" s="155"/>
    </row>
    <row r="12" spans="2:15" ht="12" customHeight="1" thickBot="1" x14ac:dyDescent="0.3">
      <c r="B12" s="348" t="s">
        <v>1490</v>
      </c>
      <c r="C12" s="349"/>
      <c r="D12" s="349"/>
      <c r="E12" s="349"/>
      <c r="F12" s="349"/>
      <c r="G12" s="439"/>
      <c r="H12" s="440"/>
      <c r="I12" s="440"/>
      <c r="J12" s="441"/>
      <c r="K12" s="2" t="s">
        <v>1485</v>
      </c>
      <c r="L12" s="150"/>
      <c r="M12" s="151"/>
      <c r="N12" s="2" t="s">
        <v>1486</v>
      </c>
      <c r="O12" s="152"/>
    </row>
    <row r="13" spans="2:15" ht="21.75" customHeight="1" thickBot="1" x14ac:dyDescent="0.3">
      <c r="B13" s="200" t="s">
        <v>7</v>
      </c>
      <c r="C13" s="200"/>
      <c r="D13" s="200"/>
      <c r="E13" s="200"/>
      <c r="F13" s="200"/>
      <c r="G13" s="200"/>
      <c r="H13" s="200"/>
      <c r="I13" s="200"/>
      <c r="J13" s="200"/>
      <c r="K13" s="200"/>
      <c r="L13" s="200"/>
      <c r="M13" s="200"/>
      <c r="N13" s="200"/>
      <c r="O13" s="200"/>
    </row>
    <row r="14" spans="2:15" ht="15" customHeight="1" thickBot="1" x14ac:dyDescent="0.3">
      <c r="B14" s="344" t="s">
        <v>8</v>
      </c>
      <c r="C14" s="345"/>
      <c r="D14" s="345"/>
      <c r="E14" s="345"/>
      <c r="F14" s="346"/>
      <c r="G14" s="342">
        <v>6904</v>
      </c>
      <c r="H14" s="343"/>
      <c r="I14" s="1" t="s">
        <v>9</v>
      </c>
      <c r="J14" s="92">
        <v>2021</v>
      </c>
      <c r="K14" s="338" t="s">
        <v>1478</v>
      </c>
      <c r="L14" s="339"/>
      <c r="M14" s="336">
        <v>2195</v>
      </c>
      <c r="N14" s="337"/>
      <c r="O14" s="337"/>
    </row>
    <row r="15" spans="2:15" ht="15" customHeight="1" thickBot="1" x14ac:dyDescent="0.3">
      <c r="B15" s="266" t="s">
        <v>636</v>
      </c>
      <c r="C15" s="267"/>
      <c r="D15" s="267"/>
      <c r="E15" s="267"/>
      <c r="F15" s="267"/>
      <c r="G15" s="268" t="s">
        <v>1499</v>
      </c>
      <c r="H15" s="269"/>
      <c r="I15" s="269"/>
      <c r="J15" s="269"/>
      <c r="K15" s="269"/>
      <c r="L15" s="269"/>
      <c r="M15" s="269"/>
      <c r="N15" s="269"/>
      <c r="O15" s="270"/>
    </row>
    <row r="16" spans="2:15" ht="15" customHeight="1" thickBot="1" x14ac:dyDescent="0.3">
      <c r="B16" s="266" t="s">
        <v>1476</v>
      </c>
      <c r="C16" s="267"/>
      <c r="D16" s="267"/>
      <c r="E16" s="267"/>
      <c r="F16" s="267"/>
      <c r="G16" s="194" t="s">
        <v>1500</v>
      </c>
      <c r="H16" s="195"/>
      <c r="I16" s="195"/>
      <c r="J16" s="195"/>
      <c r="K16" s="195"/>
      <c r="L16" s="195"/>
      <c r="M16" s="195"/>
      <c r="N16" s="195"/>
      <c r="O16" s="196"/>
    </row>
    <row r="17" spans="2:19" ht="15" customHeight="1" thickBot="1" x14ac:dyDescent="0.3">
      <c r="B17" s="266" t="s">
        <v>1477</v>
      </c>
      <c r="C17" s="267"/>
      <c r="D17" s="267"/>
      <c r="E17" s="267"/>
      <c r="F17" s="267"/>
      <c r="G17" s="194" t="s">
        <v>1501</v>
      </c>
      <c r="H17" s="195"/>
      <c r="I17" s="195"/>
      <c r="J17" s="195"/>
      <c r="K17" s="195"/>
      <c r="L17" s="195"/>
      <c r="M17" s="195"/>
      <c r="N17" s="195"/>
      <c r="O17" s="196"/>
    </row>
    <row r="18" spans="2:19" ht="21" customHeight="1" thickBot="1" x14ac:dyDescent="0.3">
      <c r="B18" s="200" t="s">
        <v>1061</v>
      </c>
      <c r="C18" s="200"/>
      <c r="D18" s="200"/>
      <c r="E18" s="200"/>
      <c r="F18" s="200"/>
      <c r="G18" s="200"/>
      <c r="H18" s="200"/>
      <c r="I18" s="200"/>
      <c r="J18" s="200"/>
      <c r="K18" s="200"/>
      <c r="L18" s="200"/>
      <c r="M18" s="200"/>
      <c r="N18" s="200"/>
      <c r="O18" s="200"/>
    </row>
    <row r="19" spans="2:19" ht="33" customHeight="1" thickBot="1" x14ac:dyDescent="0.3">
      <c r="B19" s="340" t="s">
        <v>642</v>
      </c>
      <c r="C19" s="340"/>
      <c r="D19" s="340"/>
      <c r="E19" s="341"/>
      <c r="F19" s="341"/>
      <c r="G19" s="341"/>
      <c r="H19" s="91" t="s">
        <v>1065</v>
      </c>
      <c r="I19" s="91" t="s">
        <v>645</v>
      </c>
      <c r="J19" s="33" t="s">
        <v>1396</v>
      </c>
      <c r="K19" s="33" t="s">
        <v>1473</v>
      </c>
      <c r="L19" s="119" t="s">
        <v>643</v>
      </c>
      <c r="M19" s="201" t="s">
        <v>11</v>
      </c>
      <c r="N19" s="202"/>
      <c r="O19" s="91" t="s">
        <v>644</v>
      </c>
      <c r="Q19" s="14">
        <f>+COUNTIF(TOTPORC,"&gt;0")</f>
        <v>1</v>
      </c>
    </row>
    <row r="20" spans="2:19" ht="18" customHeight="1" thickBot="1" x14ac:dyDescent="0.3">
      <c r="B20" s="57" t="s">
        <v>1393</v>
      </c>
      <c r="C20" s="77"/>
      <c r="D20" s="77"/>
      <c r="E20" s="48"/>
      <c r="F20" s="48"/>
      <c r="G20" s="64" t="s">
        <v>1397</v>
      </c>
      <c r="H20" s="347"/>
      <c r="I20" s="204"/>
      <c r="J20" s="204"/>
      <c r="K20" s="204"/>
      <c r="L20" s="204"/>
      <c r="M20" s="204"/>
      <c r="N20" s="204"/>
      <c r="O20" s="205"/>
      <c r="Q20" s="14">
        <f>+SUM(TOTAMB)</f>
        <v>0</v>
      </c>
      <c r="S20" s="49" t="s">
        <v>1421</v>
      </c>
    </row>
    <row r="21" spans="2:19" ht="15" hidden="1" customHeight="1" x14ac:dyDescent="0.25">
      <c r="B21" s="188" t="str">
        <f>+IF(I21&lt;&gt;"",+VLOOKUP(I21,CENCOS,2,0),"")</f>
        <v/>
      </c>
      <c r="C21" s="189"/>
      <c r="D21" s="189"/>
      <c r="E21" s="190"/>
      <c r="F21" s="190"/>
      <c r="G21" s="190"/>
      <c r="H21" s="51"/>
      <c r="I21" s="53"/>
      <c r="J21" s="122"/>
      <c r="K21" s="123"/>
      <c r="L21" s="118"/>
      <c r="M21" s="206">
        <f>IF(AND(COUNTA(H21:I21)=2,SUM(J21:K21)&gt;0),+(J21+K21)*L21,0)</f>
        <v>0</v>
      </c>
      <c r="N21" s="207"/>
      <c r="O21" s="63">
        <f>+IF(M21&gt;0,+M21/SUM(TOTPORC),0)</f>
        <v>0</v>
      </c>
      <c r="S21" s="49" t="s">
        <v>1422</v>
      </c>
    </row>
    <row r="22" spans="2:19" ht="15" hidden="1" customHeight="1" x14ac:dyDescent="0.25">
      <c r="B22" s="188" t="str">
        <f>+IF(I22&lt;&gt;"",+VLOOKUP(I22,CENCOS,2,0),"")</f>
        <v/>
      </c>
      <c r="C22" s="189"/>
      <c r="D22" s="189"/>
      <c r="E22" s="190"/>
      <c r="F22" s="190"/>
      <c r="G22" s="190"/>
      <c r="H22" s="51"/>
      <c r="I22" s="53"/>
      <c r="J22" s="122"/>
      <c r="K22" s="123"/>
      <c r="L22" s="118"/>
      <c r="M22" s="206">
        <f t="shared" ref="M22" si="0">IF(AND(COUNTA(H22:I22)=2,SUM(J22:K22)&gt;0),+(J22+K22)*L22,0)</f>
        <v>0</v>
      </c>
      <c r="N22" s="207"/>
      <c r="O22" s="63">
        <f>+IF(M22&gt;0,+M22/SUM(TOTPORC),0)</f>
        <v>0</v>
      </c>
    </row>
    <row r="23" spans="2:19" ht="15" hidden="1" customHeight="1" thickBot="1" x14ac:dyDescent="0.3">
      <c r="B23" s="191" t="str">
        <f>+IF(I23&lt;&gt;"",+VLOOKUP(I23,CENCOS,2,0),"")</f>
        <v/>
      </c>
      <c r="C23" s="192"/>
      <c r="D23" s="192"/>
      <c r="E23" s="193"/>
      <c r="F23" s="193"/>
      <c r="G23" s="193"/>
      <c r="H23" s="52"/>
      <c r="I23" s="53"/>
      <c r="J23" s="122"/>
      <c r="K23" s="123"/>
      <c r="L23" s="118"/>
      <c r="M23" s="206">
        <f t="shared" ref="M23" si="1">IF(AND(COUNTA(H23:I23)=2,SUM(J23:K23)&gt;0),+(J23+K23)*L23,0)</f>
        <v>0</v>
      </c>
      <c r="N23" s="207"/>
      <c r="O23" s="63">
        <f>+IF(M23&gt;0,+M23/SUM(TOTPORC),0)</f>
        <v>0</v>
      </c>
    </row>
    <row r="24" spans="2:19" ht="18" customHeight="1" thickBot="1" x14ac:dyDescent="0.3">
      <c r="B24" s="57" t="s">
        <v>1268</v>
      </c>
      <c r="C24" s="77"/>
      <c r="D24" s="77"/>
      <c r="E24" s="48"/>
      <c r="F24" s="48"/>
      <c r="G24" s="64" t="s">
        <v>1397</v>
      </c>
      <c r="H24" s="203"/>
      <c r="I24" s="204"/>
      <c r="J24" s="204"/>
      <c r="K24" s="204"/>
      <c r="L24" s="204"/>
      <c r="M24" s="204"/>
      <c r="N24" s="204"/>
      <c r="O24" s="205"/>
      <c r="Q24" s="14">
        <f>+SUM(TOTURG)</f>
        <v>0</v>
      </c>
      <c r="S24" s="49" t="s">
        <v>1403</v>
      </c>
    </row>
    <row r="25" spans="2:19" ht="15" hidden="1" customHeight="1" x14ac:dyDescent="0.25">
      <c r="B25" s="188" t="str">
        <f>+IF(I25&lt;&gt;"",+VLOOKUP(I25,CENCOS,2,0),"")</f>
        <v/>
      </c>
      <c r="C25" s="189"/>
      <c r="D25" s="189"/>
      <c r="E25" s="190"/>
      <c r="F25" s="190"/>
      <c r="G25" s="190"/>
      <c r="H25" s="51"/>
      <c r="I25" s="55"/>
      <c r="J25" s="123"/>
      <c r="K25" s="123"/>
      <c r="L25" s="118"/>
      <c r="M25" s="206">
        <f>IF(AND(COUNTA(H25:I25)=2,SUM(J25:K25)&gt;0),+(J25+K25)*L25,0)</f>
        <v>0</v>
      </c>
      <c r="N25" s="207"/>
      <c r="O25" s="63">
        <f>+IF(M25&gt;0,+M25/SUM(TOTPORC),0)</f>
        <v>0</v>
      </c>
      <c r="S25" s="49" t="s">
        <v>1404</v>
      </c>
    </row>
    <row r="26" spans="2:19" ht="15" hidden="1" customHeight="1" x14ac:dyDescent="0.25">
      <c r="B26" s="188" t="str">
        <f>+IF(I26&lt;&gt;"",+VLOOKUP(I26,CENCOS,2,0),"")</f>
        <v/>
      </c>
      <c r="C26" s="189"/>
      <c r="D26" s="189"/>
      <c r="E26" s="190"/>
      <c r="F26" s="190"/>
      <c r="G26" s="190"/>
      <c r="H26" s="51"/>
      <c r="I26" s="55"/>
      <c r="J26" s="123"/>
      <c r="K26" s="123"/>
      <c r="L26" s="118"/>
      <c r="M26" s="206">
        <f t="shared" ref="M26:M27" si="2">IF(AND(COUNTA(H26:I26)=2,SUM(J26:K26)&gt;0),+(J26+K26)*L26,0)</f>
        <v>0</v>
      </c>
      <c r="N26" s="207"/>
      <c r="O26" s="63">
        <f>+IF(M26&gt;0,+M26/SUM(TOTPORC),0)</f>
        <v>0</v>
      </c>
    </row>
    <row r="27" spans="2:19" ht="15" hidden="1" customHeight="1" thickBot="1" x14ac:dyDescent="0.3">
      <c r="B27" s="191" t="str">
        <f>+IF(I27&lt;&gt;"",+VLOOKUP(I27,CENCOS,2,0),"")</f>
        <v/>
      </c>
      <c r="C27" s="192"/>
      <c r="D27" s="192"/>
      <c r="E27" s="193"/>
      <c r="F27" s="193"/>
      <c r="G27" s="193"/>
      <c r="H27" s="52"/>
      <c r="I27" s="56"/>
      <c r="J27" s="124"/>
      <c r="K27" s="123"/>
      <c r="L27" s="118"/>
      <c r="M27" s="206">
        <f t="shared" si="2"/>
        <v>0</v>
      </c>
      <c r="N27" s="207"/>
      <c r="O27" s="63">
        <f>+IF(M27&gt;0,+M27/SUM(TOTPORC),0)</f>
        <v>0</v>
      </c>
    </row>
    <row r="28" spans="2:19" ht="18" customHeight="1" thickBot="1" x14ac:dyDescent="0.3">
      <c r="B28" s="57" t="s">
        <v>1281</v>
      </c>
      <c r="C28" s="77"/>
      <c r="D28" s="77"/>
      <c r="E28" s="48"/>
      <c r="F28" s="48"/>
      <c r="G28" s="64" t="s">
        <v>1397</v>
      </c>
      <c r="H28" s="203"/>
      <c r="I28" s="204"/>
      <c r="J28" s="204"/>
      <c r="K28" s="204"/>
      <c r="L28" s="204"/>
      <c r="M28" s="204"/>
      <c r="N28" s="204"/>
      <c r="O28" s="205"/>
      <c r="Q28" s="14">
        <f>+SUM(TOTHOS)</f>
        <v>0</v>
      </c>
      <c r="S28" s="49" t="s">
        <v>1405</v>
      </c>
    </row>
    <row r="29" spans="2:19" ht="15" hidden="1" customHeight="1" x14ac:dyDescent="0.25">
      <c r="B29" s="188" t="str">
        <f>+IF(I29&lt;&gt;"",+VLOOKUP(I29,CENCOS,2,0),"")</f>
        <v/>
      </c>
      <c r="C29" s="189"/>
      <c r="D29" s="189"/>
      <c r="E29" s="190"/>
      <c r="F29" s="190"/>
      <c r="G29" s="190"/>
      <c r="H29" s="51"/>
      <c r="I29" s="53"/>
      <c r="J29" s="123"/>
      <c r="K29" s="123"/>
      <c r="L29" s="118"/>
      <c r="M29" s="206">
        <f>IF(AND(COUNTA(H29:I29)=2,SUM(J29:K29)&gt;0),+(J29+K29)*L29,0)</f>
        <v>0</v>
      </c>
      <c r="N29" s="207"/>
      <c r="O29" s="63">
        <f>+IF(M29&gt;0,+M29/SUM(TOTPORC),0)</f>
        <v>0</v>
      </c>
      <c r="S29" s="49" t="s">
        <v>1406</v>
      </c>
    </row>
    <row r="30" spans="2:19" ht="15" hidden="1" customHeight="1" x14ac:dyDescent="0.25">
      <c r="B30" s="188" t="str">
        <f>+IF(I30&lt;&gt;"",+VLOOKUP(I30,CENCOS,2,0),"")</f>
        <v/>
      </c>
      <c r="C30" s="189"/>
      <c r="D30" s="189"/>
      <c r="E30" s="190"/>
      <c r="F30" s="190"/>
      <c r="G30" s="190"/>
      <c r="H30" s="51"/>
      <c r="I30" s="53"/>
      <c r="J30" s="123"/>
      <c r="K30" s="123"/>
      <c r="L30" s="118"/>
      <c r="M30" s="206">
        <f t="shared" ref="M30:M31" si="3">IF(AND(COUNTA(H30:I30)=2,SUM(J30:K30)&gt;0),+(J30+K30)*L30,0)</f>
        <v>0</v>
      </c>
      <c r="N30" s="207"/>
      <c r="O30" s="63">
        <f>+IF(M30&gt;0,+M30/SUM(TOTPORC),0)</f>
        <v>0</v>
      </c>
    </row>
    <row r="31" spans="2:19" ht="15" hidden="1" customHeight="1" thickBot="1" x14ac:dyDescent="0.3">
      <c r="B31" s="191" t="str">
        <f>+IF(I31&lt;&gt;"",+VLOOKUP(I31,CENCOS,2,0),"")</f>
        <v/>
      </c>
      <c r="C31" s="192"/>
      <c r="D31" s="192"/>
      <c r="E31" s="193"/>
      <c r="F31" s="193"/>
      <c r="G31" s="193"/>
      <c r="H31" s="52"/>
      <c r="I31" s="54"/>
      <c r="J31" s="124"/>
      <c r="K31" s="123"/>
      <c r="L31" s="118"/>
      <c r="M31" s="206">
        <f t="shared" si="3"/>
        <v>0</v>
      </c>
      <c r="N31" s="207"/>
      <c r="O31" s="63">
        <f>+IF(M31&gt;0,+M31/SUM(TOTPORC),0)</f>
        <v>0</v>
      </c>
    </row>
    <row r="32" spans="2:19" ht="18" customHeight="1" thickBot="1" x14ac:dyDescent="0.3">
      <c r="B32" s="57" t="s">
        <v>1331</v>
      </c>
      <c r="C32" s="77"/>
      <c r="D32" s="77"/>
      <c r="E32" s="48"/>
      <c r="F32" s="48"/>
      <c r="G32" s="64" t="s">
        <v>1397</v>
      </c>
      <c r="H32" s="203"/>
      <c r="I32" s="204"/>
      <c r="J32" s="204"/>
      <c r="K32" s="204"/>
      <c r="L32" s="204"/>
      <c r="M32" s="204"/>
      <c r="N32" s="204"/>
      <c r="O32" s="205"/>
      <c r="Q32" s="14">
        <f>+SUM(TOTUCIP)</f>
        <v>0</v>
      </c>
      <c r="S32" s="49" t="s">
        <v>1407</v>
      </c>
    </row>
    <row r="33" spans="2:25" ht="15" hidden="1" customHeight="1" x14ac:dyDescent="0.25">
      <c r="B33" s="188" t="str">
        <f>+IF(I33&lt;&gt;"",+VLOOKUP(I33,CENCOS,2,0),"")</f>
        <v/>
      </c>
      <c r="C33" s="189"/>
      <c r="D33" s="189"/>
      <c r="E33" s="190"/>
      <c r="F33" s="190"/>
      <c r="G33" s="190"/>
      <c r="H33" s="51"/>
      <c r="I33" s="53"/>
      <c r="J33" s="123"/>
      <c r="K33" s="123"/>
      <c r="L33" s="118"/>
      <c r="M33" s="206">
        <f>IF(AND(COUNTA(H33:I33)=2,SUM(J33:K33)&gt;0),+(J33+K33)*L33,0)</f>
        <v>0</v>
      </c>
      <c r="N33" s="207"/>
      <c r="O33" s="63">
        <f>+IF(M33&gt;0,+M33/SUM(TOTPORC),0)</f>
        <v>0</v>
      </c>
      <c r="S33" s="49" t="s">
        <v>1408</v>
      </c>
    </row>
    <row r="34" spans="2:25" ht="15" hidden="1" customHeight="1" x14ac:dyDescent="0.25">
      <c r="B34" s="188" t="str">
        <f>+IF(I34&lt;&gt;"",+VLOOKUP(I34,CENCOS,2,0),"")</f>
        <v/>
      </c>
      <c r="C34" s="189"/>
      <c r="D34" s="189"/>
      <c r="E34" s="190"/>
      <c r="F34" s="190"/>
      <c r="G34" s="190"/>
      <c r="H34" s="51"/>
      <c r="I34" s="53"/>
      <c r="J34" s="123"/>
      <c r="K34" s="123"/>
      <c r="L34" s="118"/>
      <c r="M34" s="206">
        <f t="shared" ref="M34:M35" si="4">IF(AND(COUNTA(H34:I34)=2,SUM(J34:K34)&gt;0),+(J34+K34)*L34,0)</f>
        <v>0</v>
      </c>
      <c r="N34" s="207"/>
      <c r="O34" s="63">
        <f>+IF(M34&gt;0,+M34/SUM(TOTPORC),0)</f>
        <v>0</v>
      </c>
    </row>
    <row r="35" spans="2:25" ht="15" hidden="1" customHeight="1" thickBot="1" x14ac:dyDescent="0.3">
      <c r="B35" s="191" t="str">
        <f>+IF(I35&lt;&gt;"",+VLOOKUP(I35,CENCOS,2,0),"")</f>
        <v/>
      </c>
      <c r="C35" s="192"/>
      <c r="D35" s="192"/>
      <c r="E35" s="193"/>
      <c r="F35" s="193"/>
      <c r="G35" s="193"/>
      <c r="H35" s="52"/>
      <c r="I35" s="54"/>
      <c r="J35" s="124"/>
      <c r="K35" s="123"/>
      <c r="L35" s="118"/>
      <c r="M35" s="206">
        <f t="shared" si="4"/>
        <v>0</v>
      </c>
      <c r="N35" s="207"/>
      <c r="O35" s="63">
        <f>+IF(M35&gt;0,+M35/SUM(TOTPORC),0)</f>
        <v>0</v>
      </c>
    </row>
    <row r="36" spans="2:25" ht="18" customHeight="1" thickBot="1" x14ac:dyDescent="0.3">
      <c r="B36" s="47" t="s">
        <v>1334</v>
      </c>
      <c r="C36" s="78"/>
      <c r="D36" s="78"/>
      <c r="E36" s="45"/>
      <c r="F36" s="45"/>
      <c r="G36" s="65" t="s">
        <v>1397</v>
      </c>
      <c r="H36" s="325"/>
      <c r="I36" s="326"/>
      <c r="J36" s="326"/>
      <c r="K36" s="326"/>
      <c r="L36" s="326"/>
      <c r="M36" s="326"/>
      <c r="N36" s="326"/>
      <c r="O36" s="327"/>
      <c r="Q36" s="14">
        <f>+SUM(TOTUCIN)</f>
        <v>0</v>
      </c>
      <c r="S36" s="49" t="s">
        <v>1409</v>
      </c>
    </row>
    <row r="37" spans="2:25" ht="15" hidden="1" customHeight="1" x14ac:dyDescent="0.25">
      <c r="B37" s="188" t="str">
        <f>+IF(I37&lt;&gt;"",+VLOOKUP(I37,CENCOS,2,0),"")</f>
        <v/>
      </c>
      <c r="C37" s="189"/>
      <c r="D37" s="189"/>
      <c r="E37" s="190"/>
      <c r="F37" s="190"/>
      <c r="G37" s="190"/>
      <c r="H37" s="50"/>
      <c r="I37" s="58"/>
      <c r="J37" s="125"/>
      <c r="K37" s="123"/>
      <c r="L37" s="118"/>
      <c r="M37" s="206">
        <f>IF(AND(COUNTA(H37:I37)=2,SUM(J37:K37)&gt;0),+(J37+K37)*L37,0)</f>
        <v>0</v>
      </c>
      <c r="N37" s="207"/>
      <c r="O37" s="63">
        <f>+IF(M37&gt;0,+M37/SUM(TOTPORC),0)</f>
        <v>0</v>
      </c>
      <c r="S37" s="49" t="s">
        <v>1410</v>
      </c>
    </row>
    <row r="38" spans="2:25" ht="15" hidden="1" customHeight="1" x14ac:dyDescent="0.25">
      <c r="B38" s="188" t="str">
        <f>+IF(I38&lt;&gt;"",+VLOOKUP(I38,CENCOS,2,0),"")</f>
        <v/>
      </c>
      <c r="C38" s="189"/>
      <c r="D38" s="189"/>
      <c r="E38" s="190"/>
      <c r="F38" s="190"/>
      <c r="G38" s="190"/>
      <c r="H38" s="51"/>
      <c r="I38" s="59"/>
      <c r="J38" s="126"/>
      <c r="K38" s="123"/>
      <c r="L38" s="118"/>
      <c r="M38" s="206">
        <f t="shared" ref="M38:M39" si="5">IF(AND(COUNTA(H38:I38)=2,SUM(J38:K38)&gt;0),+(J38+K38)*L38,0)</f>
        <v>0</v>
      </c>
      <c r="N38" s="207"/>
      <c r="O38" s="63">
        <f>+IF(M38&gt;0,+M38/SUM(TOTPORC),0)</f>
        <v>0</v>
      </c>
    </row>
    <row r="39" spans="2:25" ht="15" hidden="1" customHeight="1" thickBot="1" x14ac:dyDescent="0.3">
      <c r="B39" s="191" t="str">
        <f>+IF(I39&lt;&gt;"",+VLOOKUP(I39,CENCOS,2,0),"")</f>
        <v/>
      </c>
      <c r="C39" s="192"/>
      <c r="D39" s="192"/>
      <c r="E39" s="193"/>
      <c r="F39" s="193"/>
      <c r="G39" s="193"/>
      <c r="H39" s="52"/>
      <c r="I39" s="60"/>
      <c r="J39" s="127"/>
      <c r="K39" s="123"/>
      <c r="L39" s="118"/>
      <c r="M39" s="206">
        <f t="shared" si="5"/>
        <v>0</v>
      </c>
      <c r="N39" s="207"/>
      <c r="O39" s="63">
        <f>+IF(M39&gt;0,+M39/SUM(TOTPORC),0)</f>
        <v>0</v>
      </c>
    </row>
    <row r="40" spans="2:25" ht="18" customHeight="1" thickBot="1" x14ac:dyDescent="0.3">
      <c r="B40" s="57" t="s">
        <v>1335</v>
      </c>
      <c r="C40" s="77"/>
      <c r="D40" s="77"/>
      <c r="E40" s="48"/>
      <c r="F40" s="48"/>
      <c r="G40" s="64" t="s">
        <v>1397</v>
      </c>
      <c r="H40" s="203"/>
      <c r="I40" s="204"/>
      <c r="J40" s="204"/>
      <c r="K40" s="204"/>
      <c r="L40" s="204"/>
      <c r="M40" s="204"/>
      <c r="N40" s="204"/>
      <c r="O40" s="205"/>
      <c r="Q40" s="14">
        <f>+SUM(TOTUCIA)</f>
        <v>0</v>
      </c>
      <c r="S40" s="49" t="s">
        <v>1411</v>
      </c>
    </row>
    <row r="41" spans="2:25" ht="15" hidden="1" customHeight="1" x14ac:dyDescent="0.25">
      <c r="B41" s="188" t="str">
        <f>+IF(I41&lt;&gt;"",+VLOOKUP(I41,CENCOS,2,0),"")</f>
        <v/>
      </c>
      <c r="C41" s="189"/>
      <c r="D41" s="189"/>
      <c r="E41" s="190"/>
      <c r="F41" s="190"/>
      <c r="G41" s="190"/>
      <c r="H41" s="51"/>
      <c r="I41" s="53"/>
      <c r="J41" s="123"/>
      <c r="K41" s="123"/>
      <c r="L41" s="118"/>
      <c r="M41" s="206">
        <f>IF(AND(COUNTA(H41:I41)=2,SUM(J41:K41)&gt;0),+(J41+K41)*L41,0)</f>
        <v>0</v>
      </c>
      <c r="N41" s="207"/>
      <c r="O41" s="63">
        <f>+IF(M41&gt;0,+M41/SUM(TOTPORC),0)</f>
        <v>0</v>
      </c>
      <c r="S41" s="49" t="s">
        <v>1412</v>
      </c>
    </row>
    <row r="42" spans="2:25" ht="15" hidden="1" customHeight="1" x14ac:dyDescent="0.25">
      <c r="B42" s="188" t="str">
        <f>+IF(I42&lt;&gt;"",+VLOOKUP(I42,CENCOS,2,0),"")</f>
        <v/>
      </c>
      <c r="C42" s="189"/>
      <c r="D42" s="189"/>
      <c r="E42" s="190"/>
      <c r="F42" s="190"/>
      <c r="G42" s="190"/>
      <c r="H42" s="51"/>
      <c r="I42" s="53"/>
      <c r="J42" s="123"/>
      <c r="K42" s="123"/>
      <c r="L42" s="118"/>
      <c r="M42" s="206">
        <f t="shared" ref="M42:M43" si="6">IF(AND(COUNTA(H42:I42)=2,SUM(J42:K42)&gt;0),+(J42+K42)*L42,0)</f>
        <v>0</v>
      </c>
      <c r="N42" s="207"/>
      <c r="O42" s="63">
        <f>+IF(M42&gt;0,+M42/SUM(TOTPORC),0)</f>
        <v>0</v>
      </c>
    </row>
    <row r="43" spans="2:25" ht="15" hidden="1" customHeight="1" thickBot="1" x14ac:dyDescent="0.3">
      <c r="B43" s="191" t="str">
        <f>+IF(I43&lt;&gt;"",+VLOOKUP(I43,CENCOS,2,0),"")</f>
        <v/>
      </c>
      <c r="C43" s="192"/>
      <c r="D43" s="192"/>
      <c r="E43" s="193"/>
      <c r="F43" s="193"/>
      <c r="G43" s="193"/>
      <c r="H43" s="52"/>
      <c r="I43" s="54"/>
      <c r="J43" s="124"/>
      <c r="K43" s="123"/>
      <c r="L43" s="118"/>
      <c r="M43" s="206">
        <f t="shared" si="6"/>
        <v>0</v>
      </c>
      <c r="N43" s="207"/>
      <c r="O43" s="63">
        <f>+IF(M43&gt;0,+M43/SUM(TOTPORC),0)</f>
        <v>0</v>
      </c>
    </row>
    <row r="44" spans="2:25" ht="18" customHeight="1" thickBot="1" x14ac:dyDescent="0.3">
      <c r="B44" s="57" t="s">
        <v>1336</v>
      </c>
      <c r="C44" s="77"/>
      <c r="D44" s="77"/>
      <c r="E44" s="48"/>
      <c r="F44" s="48"/>
      <c r="G44" s="64" t="s">
        <v>1397</v>
      </c>
      <c r="H44" s="203"/>
      <c r="I44" s="204"/>
      <c r="J44" s="204"/>
      <c r="K44" s="204"/>
      <c r="L44" s="204"/>
      <c r="M44" s="204"/>
      <c r="N44" s="204"/>
      <c r="O44" s="205"/>
      <c r="Q44" s="14">
        <f>+SUM(TOTCOM)</f>
        <v>0</v>
      </c>
      <c r="S44" s="49" t="s">
        <v>1400</v>
      </c>
    </row>
    <row r="45" spans="2:25" ht="15" hidden="1" customHeight="1" x14ac:dyDescent="0.25">
      <c r="B45" s="188" t="str">
        <f>+IF(I45&lt;&gt;"",+VLOOKUP(I45,CENCOS,2,0),"")</f>
        <v/>
      </c>
      <c r="C45" s="189"/>
      <c r="D45" s="189"/>
      <c r="E45" s="190"/>
      <c r="F45" s="190"/>
      <c r="G45" s="190"/>
      <c r="H45" s="51"/>
      <c r="I45" s="53"/>
      <c r="J45" s="123"/>
      <c r="K45" s="123"/>
      <c r="L45" s="118"/>
      <c r="M45" s="206">
        <f>IF(AND(COUNTA(H45:I45)=2,SUM(J45:K45)&gt;0),+(J45+K45)*L45,0)</f>
        <v>0</v>
      </c>
      <c r="N45" s="207"/>
      <c r="O45" s="63">
        <f>+IF(M45&gt;0,+M45/SUM(TOTPORC),0)</f>
        <v>0</v>
      </c>
      <c r="S45" s="49" t="s">
        <v>1413</v>
      </c>
      <c r="Y45" s="49"/>
    </row>
    <row r="46" spans="2:25" ht="15" hidden="1" customHeight="1" x14ac:dyDescent="0.25">
      <c r="B46" s="188" t="str">
        <f>+IF(I46&lt;&gt;"",+VLOOKUP(I46,CENCOS,2,0),"")</f>
        <v/>
      </c>
      <c r="C46" s="189"/>
      <c r="D46" s="189"/>
      <c r="E46" s="190"/>
      <c r="F46" s="190"/>
      <c r="G46" s="190"/>
      <c r="H46" s="51"/>
      <c r="I46" s="53"/>
      <c r="J46" s="123"/>
      <c r="K46" s="123"/>
      <c r="L46" s="118"/>
      <c r="M46" s="206">
        <f t="shared" ref="M46:M47" si="7">IF(AND(COUNTA(H46:I46)=2,SUM(J46:K46)&gt;0),+(J46+K46)*L46,0)</f>
        <v>0</v>
      </c>
      <c r="N46" s="207"/>
      <c r="O46" s="63">
        <f>+IF(M46&gt;0,+M46/SUM(TOTPORC),0)</f>
        <v>0</v>
      </c>
      <c r="S46" s="49"/>
    </row>
    <row r="47" spans="2:25" ht="15" hidden="1" customHeight="1" thickBot="1" x14ac:dyDescent="0.3">
      <c r="B47" s="191" t="str">
        <f>+IF(I47&lt;&gt;"",+VLOOKUP(I47,CENCOS,2,0),"")</f>
        <v/>
      </c>
      <c r="C47" s="192"/>
      <c r="D47" s="192"/>
      <c r="E47" s="193"/>
      <c r="F47" s="193"/>
      <c r="G47" s="193"/>
      <c r="H47" s="52"/>
      <c r="I47" s="54"/>
      <c r="J47" s="124"/>
      <c r="K47" s="123"/>
      <c r="L47" s="118"/>
      <c r="M47" s="206">
        <f t="shared" si="7"/>
        <v>0</v>
      </c>
      <c r="N47" s="207"/>
      <c r="O47" s="63">
        <f>+IF(M47&gt;0,+M47/SUM(TOTPORC),0)</f>
        <v>0</v>
      </c>
      <c r="S47" s="49"/>
    </row>
    <row r="48" spans="2:25" ht="15" customHeight="1" thickBot="1" x14ac:dyDescent="0.3">
      <c r="B48" s="57" t="s">
        <v>1066</v>
      </c>
      <c r="C48" s="77"/>
      <c r="D48" s="77"/>
      <c r="E48" s="48"/>
      <c r="F48" s="48"/>
      <c r="G48" s="64" t="s">
        <v>1397</v>
      </c>
      <c r="H48" s="203"/>
      <c r="I48" s="204"/>
      <c r="J48" s="204"/>
      <c r="K48" s="204"/>
      <c r="L48" s="204"/>
      <c r="M48" s="204"/>
      <c r="N48" s="204"/>
      <c r="O48" s="205"/>
      <c r="Q48" s="14">
        <f>+SUM(TOTAPH)</f>
        <v>0</v>
      </c>
      <c r="S48" s="49" t="s">
        <v>1414</v>
      </c>
      <c r="U48" s="49" t="s">
        <v>1395</v>
      </c>
    </row>
    <row r="49" spans="2:21" ht="15" hidden="1" customHeight="1" x14ac:dyDescent="0.25">
      <c r="B49" s="188" t="str">
        <f>+IF(I49&lt;&gt;"",+VLOOKUP(I49,CENCOS,2,0),"")</f>
        <v/>
      </c>
      <c r="C49" s="189"/>
      <c r="D49" s="189"/>
      <c r="E49" s="190"/>
      <c r="F49" s="190"/>
      <c r="G49" s="190"/>
      <c r="H49" s="51"/>
      <c r="I49" s="53"/>
      <c r="J49" s="128"/>
      <c r="K49" s="123"/>
      <c r="L49" s="118"/>
      <c r="M49" s="206">
        <f>IF(AND(COUNTA(H49:I49)=2,SUM(J49:K49)&gt;0),+(J49+K49)*L49,0)</f>
        <v>0</v>
      </c>
      <c r="N49" s="207"/>
      <c r="O49" s="63">
        <f>+IF(M49&gt;0,+M49/SUM(TOTPORC),0)</f>
        <v>0</v>
      </c>
      <c r="S49" s="49" t="s">
        <v>1415</v>
      </c>
      <c r="U49" s="49"/>
    </row>
    <row r="50" spans="2:21" ht="15" hidden="1" customHeight="1" thickBot="1" x14ac:dyDescent="0.3">
      <c r="B50" s="188" t="str">
        <f>+IF(I50&lt;&gt;"",+VLOOKUP(I50,CENCOS,2,0),"")</f>
        <v/>
      </c>
      <c r="C50" s="189"/>
      <c r="D50" s="189"/>
      <c r="E50" s="190"/>
      <c r="F50" s="190"/>
      <c r="G50" s="190"/>
      <c r="H50" s="52"/>
      <c r="I50" s="54"/>
      <c r="J50" s="129"/>
      <c r="K50" s="124"/>
      <c r="L50" s="120"/>
      <c r="M50" s="176">
        <f t="shared" ref="M50" si="8">IF(AND(COUNTA(H50:I50)=2,SUM(J50:K50)&gt;0),+(J50+K50)*L50,0)</f>
        <v>0</v>
      </c>
      <c r="N50" s="177"/>
      <c r="O50" s="66">
        <f>+IF(M50&gt;0,+M50/SUM(TOTPORC),0)</f>
        <v>0</v>
      </c>
      <c r="S50" s="49"/>
      <c r="U50" s="49"/>
    </row>
    <row r="51" spans="2:21" ht="15" hidden="1" customHeight="1" thickBot="1" x14ac:dyDescent="0.3">
      <c r="B51" s="188" t="str">
        <f>+IF(I51&lt;&gt;"",+VLOOKUP(I51,CENCOS,2,0),"")</f>
        <v/>
      </c>
      <c r="C51" s="189"/>
      <c r="D51" s="189"/>
      <c r="E51" s="190"/>
      <c r="F51" s="190"/>
      <c r="G51" s="190"/>
      <c r="H51" s="52"/>
      <c r="I51" s="54"/>
      <c r="J51" s="129"/>
      <c r="K51" s="124"/>
      <c r="L51" s="120"/>
      <c r="M51" s="176">
        <f t="shared" ref="M51:M52" si="9">IF(AND(COUNTA(H51:I51)=2,SUM(J51:K51)&gt;0),+(J51+K51)*L51,0)</f>
        <v>0</v>
      </c>
      <c r="N51" s="177"/>
      <c r="O51" s="66">
        <f>+IF(M51&gt;0,+M51/SUM(TOTPORC),0)</f>
        <v>0</v>
      </c>
      <c r="S51" s="49"/>
      <c r="U51" s="49"/>
    </row>
    <row r="52" spans="2:21" ht="15" customHeight="1" thickBot="1" x14ac:dyDescent="0.3">
      <c r="B52" s="57" t="s">
        <v>1067</v>
      </c>
      <c r="C52" s="79"/>
      <c r="D52" s="79"/>
      <c r="E52" s="45"/>
      <c r="F52" s="45"/>
      <c r="G52" s="45"/>
      <c r="H52" s="61"/>
      <c r="I52" s="62"/>
      <c r="J52" s="130"/>
      <c r="K52" s="131"/>
      <c r="L52" s="121"/>
      <c r="M52" s="206">
        <f t="shared" si="9"/>
        <v>0</v>
      </c>
      <c r="N52" s="207"/>
      <c r="O52" s="98">
        <f>+IF(M52&gt;0,+M52/SUM(TOTPORC),0)</f>
        <v>0</v>
      </c>
      <c r="S52" s="49" t="s">
        <v>1423</v>
      </c>
      <c r="U52" s="49" t="s">
        <v>1424</v>
      </c>
    </row>
    <row r="53" spans="2:21" ht="15" customHeight="1" thickBot="1" x14ac:dyDescent="0.3">
      <c r="B53" s="57" t="s">
        <v>1068</v>
      </c>
      <c r="C53" s="77"/>
      <c r="D53" s="77"/>
      <c r="E53" s="48"/>
      <c r="F53" s="48"/>
      <c r="G53" s="64" t="s">
        <v>1397</v>
      </c>
      <c r="H53" s="203"/>
      <c r="I53" s="204"/>
      <c r="J53" s="204"/>
      <c r="K53" s="204"/>
      <c r="L53" s="204"/>
      <c r="M53" s="204"/>
      <c r="N53" s="204"/>
      <c r="O53" s="205"/>
      <c r="Q53" s="14">
        <f>+SUM(TOTRUR)</f>
        <v>0</v>
      </c>
      <c r="S53" s="49" t="s">
        <v>1401</v>
      </c>
    </row>
    <row r="54" spans="2:21" ht="15" hidden="1" customHeight="1" thickBot="1" x14ac:dyDescent="0.3">
      <c r="B54" s="188" t="str">
        <f>+IF(I54&lt;&gt;"",+VLOOKUP(I54,CENCOS,2,0),"")</f>
        <v/>
      </c>
      <c r="C54" s="189"/>
      <c r="D54" s="189"/>
      <c r="E54" s="190"/>
      <c r="F54" s="190"/>
      <c r="G54" s="190"/>
      <c r="H54" s="51"/>
      <c r="I54" s="53"/>
      <c r="J54" s="123"/>
      <c r="K54" s="123"/>
      <c r="L54" s="118"/>
      <c r="M54" s="206">
        <f>IF(AND(COUNTA(H54:I54)=2,SUM(J54:K54)&gt;0),+(J54+K54)*L54,0)</f>
        <v>0</v>
      </c>
      <c r="N54" s="207"/>
      <c r="O54" s="98">
        <f>+IF(M54&gt;0,+M54/SUM(TOTPORC),0)</f>
        <v>0</v>
      </c>
      <c r="S54" s="49" t="s">
        <v>1402</v>
      </c>
    </row>
    <row r="55" spans="2:21" ht="15" hidden="1" customHeight="1" x14ac:dyDescent="0.25">
      <c r="B55" s="188" t="str">
        <f>+IF(I55&lt;&gt;"",+VLOOKUP(I55,CENCOS,2,0),"")</f>
        <v/>
      </c>
      <c r="C55" s="189"/>
      <c r="D55" s="189"/>
      <c r="E55" s="190"/>
      <c r="F55" s="190"/>
      <c r="G55" s="190"/>
      <c r="H55" s="51"/>
      <c r="I55" s="53"/>
      <c r="J55" s="123"/>
      <c r="K55" s="123"/>
      <c r="L55" s="118"/>
      <c r="M55" s="206">
        <f t="shared" ref="M55:M56" si="10">IF(AND(COUNTA(H55:I55)=2,SUM(J55:K55)&gt;0),+(J55+K55)*L55,0)</f>
        <v>0</v>
      </c>
      <c r="N55" s="207"/>
      <c r="O55" s="63"/>
      <c r="S55" s="49"/>
    </row>
    <row r="56" spans="2:21" ht="15" hidden="1" customHeight="1" thickBot="1" x14ac:dyDescent="0.3">
      <c r="B56" s="191" t="str">
        <f>+IF(I56&lt;&gt;"",+VLOOKUP(I56,CENCOS,2,0),"")</f>
        <v/>
      </c>
      <c r="C56" s="192"/>
      <c r="D56" s="192"/>
      <c r="E56" s="193"/>
      <c r="F56" s="193"/>
      <c r="G56" s="193"/>
      <c r="H56" s="52"/>
      <c r="I56" s="54"/>
      <c r="J56" s="124"/>
      <c r="K56" s="123"/>
      <c r="L56" s="118"/>
      <c r="M56" s="206">
        <f t="shared" si="10"/>
        <v>0</v>
      </c>
      <c r="N56" s="207"/>
      <c r="O56" s="66"/>
      <c r="S56" s="49"/>
    </row>
    <row r="57" spans="2:21" ht="39.950000000000003" customHeight="1" thickBot="1" x14ac:dyDescent="0.3">
      <c r="B57" s="410" t="s">
        <v>1363</v>
      </c>
      <c r="C57" s="411"/>
      <c r="D57" s="411"/>
      <c r="E57" s="412"/>
      <c r="F57" s="412"/>
      <c r="G57" s="64" t="s">
        <v>1397</v>
      </c>
      <c r="H57" s="203"/>
      <c r="I57" s="204"/>
      <c r="J57" s="204"/>
      <c r="K57" s="204"/>
      <c r="L57" s="204"/>
      <c r="M57" s="204"/>
      <c r="N57" s="204"/>
      <c r="O57" s="205"/>
      <c r="Q57" s="14">
        <f>+SUM(TOTPAR)</f>
        <v>0</v>
      </c>
      <c r="S57" s="49" t="s">
        <v>1416</v>
      </c>
    </row>
    <row r="58" spans="2:21" ht="15" hidden="1" customHeight="1" x14ac:dyDescent="0.25">
      <c r="B58" s="188" t="str">
        <f>+IF(I58&lt;&gt;"",+VLOOKUP(I58,CENCOS,2,0),"")</f>
        <v/>
      </c>
      <c r="C58" s="189"/>
      <c r="D58" s="189"/>
      <c r="E58" s="190"/>
      <c r="F58" s="190"/>
      <c r="G58" s="190"/>
      <c r="H58" s="51"/>
      <c r="I58" s="53"/>
      <c r="J58" s="128"/>
      <c r="K58" s="123"/>
      <c r="L58" s="118"/>
      <c r="M58" s="206">
        <f>IF(AND(COUNTA(H58:I58)=2,SUM(J58:K58)&gt;0),+(J58+K58)*L58,0)</f>
        <v>0</v>
      </c>
      <c r="N58" s="207"/>
      <c r="O58" s="63">
        <f>+IF(M58&gt;0,+M58/SUM(TOTPORC),0)</f>
        <v>0</v>
      </c>
      <c r="S58" s="49" t="s">
        <v>1425</v>
      </c>
    </row>
    <row r="59" spans="2:21" ht="15" hidden="1" customHeight="1" x14ac:dyDescent="0.25">
      <c r="B59" s="188" t="str">
        <f>+IF(I59&lt;&gt;"",+VLOOKUP(I59,CENCOS,2,0),"")</f>
        <v/>
      </c>
      <c r="C59" s="189"/>
      <c r="D59" s="189"/>
      <c r="E59" s="190"/>
      <c r="F59" s="190"/>
      <c r="G59" s="190"/>
      <c r="H59" s="51"/>
      <c r="I59" s="55"/>
      <c r="J59" s="128"/>
      <c r="K59" s="123"/>
      <c r="L59" s="118"/>
      <c r="M59" s="206">
        <f t="shared" ref="M59:M60" si="11">IF(AND(COUNTA(H59:I59)=2,SUM(J59:K59)&gt;0),+(J59+K59)*L59,0)</f>
        <v>0</v>
      </c>
      <c r="N59" s="207"/>
      <c r="O59" s="63">
        <f>+IF(M59&gt;0,+M59/SUM(TOTPORC),0)</f>
        <v>0</v>
      </c>
      <c r="S59" s="49"/>
    </row>
    <row r="60" spans="2:21" ht="15" hidden="1" customHeight="1" thickBot="1" x14ac:dyDescent="0.3">
      <c r="B60" s="191" t="str">
        <f>+IF(I60&lt;&gt;"",+VLOOKUP(I60,CENCOS,2,0),"")</f>
        <v/>
      </c>
      <c r="C60" s="192"/>
      <c r="D60" s="192"/>
      <c r="E60" s="193"/>
      <c r="F60" s="193"/>
      <c r="G60" s="193"/>
      <c r="H60" s="52"/>
      <c r="I60" s="56"/>
      <c r="J60" s="129"/>
      <c r="K60" s="123"/>
      <c r="L60" s="118"/>
      <c r="M60" s="206">
        <f t="shared" si="11"/>
        <v>0</v>
      </c>
      <c r="N60" s="207"/>
      <c r="O60" s="63">
        <f>+IF(M60&gt;0,+M60/SUM(TOTPORC),0)</f>
        <v>0</v>
      </c>
      <c r="S60" s="49"/>
    </row>
    <row r="61" spans="2:21" ht="15" customHeight="1" thickBot="1" x14ac:dyDescent="0.3">
      <c r="B61" s="47" t="s">
        <v>1488</v>
      </c>
      <c r="C61" s="78"/>
      <c r="D61" s="78"/>
      <c r="E61" s="45"/>
      <c r="F61" s="45"/>
      <c r="G61" s="64" t="s">
        <v>1397</v>
      </c>
      <c r="H61" s="157"/>
      <c r="I61" s="158"/>
      <c r="J61" s="159"/>
      <c r="K61" s="160"/>
      <c r="L61" s="161"/>
      <c r="M61" s="162"/>
      <c r="N61" s="163"/>
      <c r="O61" s="164"/>
      <c r="S61" s="49"/>
    </row>
    <row r="62" spans="2:21" ht="15" hidden="1" customHeight="1" x14ac:dyDescent="0.25">
      <c r="B62" s="413" t="str">
        <f>+IF(I62&lt;&gt;"",+VLOOKUP(I62,CENCOS,2,0),"")</f>
        <v/>
      </c>
      <c r="C62" s="414"/>
      <c r="D62" s="414"/>
      <c r="E62" s="409"/>
      <c r="F62" s="409"/>
      <c r="G62" s="409"/>
      <c r="H62" s="95"/>
      <c r="I62" s="96"/>
      <c r="J62" s="178"/>
      <c r="K62" s="179"/>
      <c r="L62" s="180"/>
      <c r="M62" s="186">
        <v>0</v>
      </c>
      <c r="N62" s="187"/>
      <c r="O62" s="97">
        <f>+IF(M62&gt;0,+M62/SUM(TOTPORC),0)</f>
        <v>0</v>
      </c>
      <c r="S62" s="49" t="s">
        <v>1418</v>
      </c>
    </row>
    <row r="63" spans="2:21" ht="15" hidden="1" customHeight="1" x14ac:dyDescent="0.25">
      <c r="B63" s="188" t="str">
        <f>+IF(I63&lt;&gt;"",+VLOOKUP(I63,CENCOS,2,0),"")</f>
        <v/>
      </c>
      <c r="C63" s="189"/>
      <c r="D63" s="189"/>
      <c r="E63" s="190"/>
      <c r="F63" s="190"/>
      <c r="G63" s="190"/>
      <c r="H63" s="51"/>
      <c r="I63" s="53"/>
      <c r="J63" s="181"/>
      <c r="K63" s="182"/>
      <c r="L63" s="180"/>
      <c r="M63" s="186">
        <v>0</v>
      </c>
      <c r="N63" s="187"/>
      <c r="O63" s="63">
        <f>+IF(M63&gt;0,+M63/SUM(TOTPORC),0)</f>
        <v>0</v>
      </c>
      <c r="S63" s="49"/>
    </row>
    <row r="64" spans="2:21" ht="15" hidden="1" customHeight="1" thickBot="1" x14ac:dyDescent="0.3">
      <c r="B64" s="191" t="str">
        <f>+IF(I64&lt;&gt;"",+VLOOKUP(I64,CENCOS,2,0),"")</f>
        <v/>
      </c>
      <c r="C64" s="192"/>
      <c r="D64" s="192"/>
      <c r="E64" s="193"/>
      <c r="F64" s="193"/>
      <c r="G64" s="193"/>
      <c r="H64" s="51"/>
      <c r="I64" s="53"/>
      <c r="J64" s="183"/>
      <c r="K64" s="184"/>
      <c r="L64" s="185"/>
      <c r="M64" s="186">
        <v>0</v>
      </c>
      <c r="N64" s="187"/>
      <c r="O64" s="63">
        <f>+IF(M64&gt;0,+M64/SUM(TOTPORC),0)</f>
        <v>0</v>
      </c>
      <c r="S64" s="49"/>
    </row>
    <row r="65" spans="2:19" ht="15" customHeight="1" thickBot="1" x14ac:dyDescent="0.3">
      <c r="B65" s="47" t="s">
        <v>1069</v>
      </c>
      <c r="C65" s="78"/>
      <c r="D65" s="78"/>
      <c r="E65" s="45"/>
      <c r="F65" s="45"/>
      <c r="G65" s="64" t="s">
        <v>1495</v>
      </c>
      <c r="H65" s="433"/>
      <c r="I65" s="434"/>
      <c r="J65" s="434"/>
      <c r="K65" s="434"/>
      <c r="L65" s="434"/>
      <c r="M65" s="434"/>
      <c r="N65" s="434"/>
      <c r="O65" s="435"/>
      <c r="Q65" s="14">
        <f>+SUM(TOTPIC)</f>
        <v>604614</v>
      </c>
      <c r="S65" s="49" t="s">
        <v>1417</v>
      </c>
    </row>
    <row r="66" spans="2:19" ht="15" customHeight="1" x14ac:dyDescent="0.25">
      <c r="B66" s="413" t="str">
        <f>+IF(I66&lt;&gt;"",+VLOOKUP(I66,CENCOS,2,0),"")</f>
        <v>PIC ESPACIO VIVIENDA SALUD PUBLICA</v>
      </c>
      <c r="C66" s="414"/>
      <c r="D66" s="414"/>
      <c r="E66" s="409"/>
      <c r="F66" s="409"/>
      <c r="G66" s="409"/>
      <c r="H66" s="95" t="s">
        <v>750</v>
      </c>
      <c r="I66" s="96" t="s">
        <v>760</v>
      </c>
      <c r="J66" s="178"/>
      <c r="K66" s="179"/>
      <c r="L66" s="180"/>
      <c r="M66" s="186">
        <v>604614</v>
      </c>
      <c r="N66" s="187"/>
      <c r="O66" s="97">
        <f>+IF(M66&gt;0,+M66/SUM(TOTPORC),0)</f>
        <v>1</v>
      </c>
      <c r="S66" s="49" t="s">
        <v>1418</v>
      </c>
    </row>
    <row r="67" spans="2:19" ht="15" customHeight="1" x14ac:dyDescent="0.25">
      <c r="B67" s="188" t="str">
        <f>+IF(I67&lt;&gt;"",+VLOOKUP(I67,CENCOS,2,0),"")</f>
        <v/>
      </c>
      <c r="C67" s="189"/>
      <c r="D67" s="189"/>
      <c r="E67" s="190"/>
      <c r="F67" s="190"/>
      <c r="G67" s="190"/>
      <c r="H67" s="51"/>
      <c r="I67" s="53"/>
      <c r="J67" s="181"/>
      <c r="K67" s="182"/>
      <c r="L67" s="180"/>
      <c r="M67" s="186">
        <v>0</v>
      </c>
      <c r="N67" s="187"/>
      <c r="O67" s="63">
        <f>+IF(M67&gt;0,+M67/SUM(TOTPORC),0)</f>
        <v>0</v>
      </c>
      <c r="S67" s="49"/>
    </row>
    <row r="68" spans="2:19" ht="15" customHeight="1" thickBot="1" x14ac:dyDescent="0.3">
      <c r="B68" s="191" t="str">
        <f>+IF(I68&lt;&gt;"",+VLOOKUP(I68,CENCOS,2,0),"")</f>
        <v/>
      </c>
      <c r="C68" s="192"/>
      <c r="D68" s="192"/>
      <c r="E68" s="193"/>
      <c r="F68" s="193"/>
      <c r="G68" s="193"/>
      <c r="H68" s="51"/>
      <c r="I68" s="53"/>
      <c r="J68" s="183"/>
      <c r="K68" s="184"/>
      <c r="L68" s="185"/>
      <c r="M68" s="186">
        <v>0</v>
      </c>
      <c r="N68" s="187"/>
      <c r="O68" s="63">
        <f>+IF(M68&gt;0,+M68/SUM(TOTPORC),0)</f>
        <v>0</v>
      </c>
      <c r="S68" s="49"/>
    </row>
    <row r="69" spans="2:19" ht="15" customHeight="1" thickBot="1" x14ac:dyDescent="0.3">
      <c r="B69" s="57" t="s">
        <v>1070</v>
      </c>
      <c r="C69" s="79"/>
      <c r="D69" s="79"/>
      <c r="E69" s="45"/>
      <c r="F69" s="45"/>
      <c r="G69" s="64" t="s">
        <v>1397</v>
      </c>
      <c r="H69" s="305"/>
      <c r="I69" s="306"/>
      <c r="J69" s="306"/>
      <c r="K69" s="306"/>
      <c r="L69" s="306"/>
      <c r="M69" s="306"/>
      <c r="N69" s="306"/>
      <c r="O69" s="307"/>
      <c r="Q69" s="14">
        <f>+SUM(TOTHON)</f>
        <v>0</v>
      </c>
      <c r="S69" s="49" t="s">
        <v>1419</v>
      </c>
    </row>
    <row r="70" spans="2:19" ht="15" hidden="1" customHeight="1" x14ac:dyDescent="0.25">
      <c r="B70" s="188"/>
      <c r="C70" s="189"/>
      <c r="D70" s="189"/>
      <c r="E70" s="190"/>
      <c r="F70" s="190"/>
      <c r="G70" s="409"/>
      <c r="H70" s="95"/>
      <c r="I70" s="96"/>
      <c r="J70" s="178"/>
      <c r="K70" s="179"/>
      <c r="L70" s="180"/>
      <c r="M70" s="186"/>
      <c r="N70" s="187"/>
      <c r="O70" s="97">
        <f>+IF(M70&gt;0,+M70/SUM(TOTPORC),0)</f>
        <v>0</v>
      </c>
      <c r="S70" s="49" t="s">
        <v>1420</v>
      </c>
    </row>
    <row r="71" spans="2:19" ht="15" hidden="1" customHeight="1" x14ac:dyDescent="0.25">
      <c r="B71" s="188" t="str">
        <f>+IF(I71&lt;&gt;"",+VLOOKUP(I71,CENCOS,2,0),"")</f>
        <v/>
      </c>
      <c r="C71" s="189"/>
      <c r="D71" s="189"/>
      <c r="E71" s="190"/>
      <c r="F71" s="190"/>
      <c r="G71" s="190"/>
      <c r="H71" s="51"/>
      <c r="I71" s="53"/>
      <c r="J71" s="181"/>
      <c r="K71" s="182"/>
      <c r="L71" s="180"/>
      <c r="M71" s="186">
        <v>0</v>
      </c>
      <c r="N71" s="187"/>
      <c r="O71" s="63">
        <f>+IF(M71&gt;0,+M71/SUM(TOTPORC),0)</f>
        <v>0</v>
      </c>
      <c r="S71" s="49"/>
    </row>
    <row r="72" spans="2:19" ht="15" hidden="1" customHeight="1" thickBot="1" x14ac:dyDescent="0.3">
      <c r="B72" s="191" t="str">
        <f>+IF(I72&lt;&gt;"",+VLOOKUP(I72,CENCOS,2,0),"")</f>
        <v/>
      </c>
      <c r="C72" s="192"/>
      <c r="D72" s="192"/>
      <c r="E72" s="193"/>
      <c r="F72" s="193"/>
      <c r="G72" s="193"/>
      <c r="H72" s="51"/>
      <c r="I72" s="53"/>
      <c r="J72" s="183"/>
      <c r="K72" s="184"/>
      <c r="L72" s="185"/>
      <c r="M72" s="186">
        <v>0</v>
      </c>
      <c r="N72" s="187"/>
      <c r="O72" s="63">
        <f>+IF(M72&gt;0,+M72/SUM(TOTPORC),0)</f>
        <v>0</v>
      </c>
      <c r="S72" s="49"/>
    </row>
    <row r="73" spans="2:19" ht="15" customHeight="1" thickBot="1" x14ac:dyDescent="0.3">
      <c r="B73" s="174" t="s">
        <v>1071</v>
      </c>
      <c r="C73" s="78"/>
      <c r="D73" s="78"/>
      <c r="E73" s="45"/>
      <c r="F73" s="45"/>
      <c r="G73" s="64" t="s">
        <v>1397</v>
      </c>
      <c r="H73" s="305"/>
      <c r="I73" s="306"/>
      <c r="J73" s="306"/>
      <c r="K73" s="306"/>
      <c r="L73" s="306"/>
      <c r="M73" s="306"/>
      <c r="N73" s="306"/>
      <c r="O73" s="307"/>
      <c r="Q73" s="14">
        <f>+SUM(TOTREM)</f>
        <v>0</v>
      </c>
      <c r="S73" s="49" t="s">
        <v>1426</v>
      </c>
    </row>
    <row r="74" spans="2:19" ht="15" hidden="1" customHeight="1" x14ac:dyDescent="0.25">
      <c r="B74" s="188" t="str">
        <f>+IF(I74&lt;&gt;"",+VLOOKUP(I74,CENCOS,2,0),"")</f>
        <v/>
      </c>
      <c r="C74" s="189"/>
      <c r="D74" s="189"/>
      <c r="E74" s="190"/>
      <c r="F74" s="190"/>
      <c r="G74" s="190"/>
      <c r="H74" s="95"/>
      <c r="I74" s="96"/>
      <c r="J74" s="178"/>
      <c r="K74" s="179"/>
      <c r="L74" s="180"/>
      <c r="M74" s="186">
        <v>0</v>
      </c>
      <c r="N74" s="187"/>
      <c r="O74" s="97">
        <f>+IF(M74&gt;0,+M74/SUM(TOTPORC),0)</f>
        <v>0</v>
      </c>
      <c r="S74" s="49" t="s">
        <v>1427</v>
      </c>
    </row>
    <row r="75" spans="2:19" ht="15" hidden="1" customHeight="1" x14ac:dyDescent="0.25">
      <c r="B75" s="188" t="str">
        <f>+IF(I75&lt;&gt;"",+VLOOKUP(I75,CENCOS,2,0),"")</f>
        <v/>
      </c>
      <c r="C75" s="189"/>
      <c r="D75" s="189"/>
      <c r="E75" s="190"/>
      <c r="F75" s="190"/>
      <c r="G75" s="190"/>
      <c r="H75" s="51"/>
      <c r="I75" s="53"/>
      <c r="J75" s="181"/>
      <c r="K75" s="179"/>
      <c r="L75" s="180"/>
      <c r="M75" s="308">
        <v>0</v>
      </c>
      <c r="N75" s="309"/>
      <c r="O75" s="63">
        <f>+IF(M75&gt;0,+M75/SUM(TOTPORC),0)</f>
        <v>0</v>
      </c>
      <c r="S75" s="49"/>
    </row>
    <row r="76" spans="2:19" ht="15" hidden="1" customHeight="1" thickBot="1" x14ac:dyDescent="0.3">
      <c r="B76" s="191" t="str">
        <f>+IF(I76&lt;&gt;"",+VLOOKUP(I76,CENCOS,2,0),"")</f>
        <v/>
      </c>
      <c r="C76" s="192"/>
      <c r="D76" s="192"/>
      <c r="E76" s="193"/>
      <c r="F76" s="193"/>
      <c r="G76" s="193"/>
      <c r="H76" s="52"/>
      <c r="I76" s="54"/>
      <c r="J76" s="183"/>
      <c r="K76" s="184"/>
      <c r="L76" s="185"/>
      <c r="M76" s="308">
        <v>0</v>
      </c>
      <c r="N76" s="309"/>
      <c r="O76" s="63">
        <f>+IF(M76&gt;0,+M76/SUM(TOTPORC),0)</f>
        <v>0</v>
      </c>
      <c r="S76" s="49"/>
    </row>
    <row r="77" spans="2:19" ht="30" customHeight="1" thickBot="1" x14ac:dyDescent="0.3">
      <c r="B77" s="444" t="s">
        <v>614</v>
      </c>
      <c r="C77" s="445"/>
      <c r="D77" s="445"/>
      <c r="E77" s="446"/>
      <c r="F77" s="447">
        <f>IF(SUM(TOTPORC)=0,0,+SUM(TOTPORC))</f>
        <v>604614</v>
      </c>
      <c r="G77" s="448"/>
      <c r="H77" s="449" t="str">
        <f>NumLetras(VRMENCTO)</f>
        <v>SEISCIENTOS CUATRO MIL SEISCIENTOS CATORCE PESOS</v>
      </c>
      <c r="I77" s="450"/>
      <c r="J77" s="450"/>
      <c r="K77" s="450"/>
      <c r="L77" s="450"/>
      <c r="M77" s="450"/>
      <c r="N77" s="450"/>
      <c r="O77" s="451"/>
    </row>
    <row r="78" spans="2:19" ht="22.5" customHeight="1" thickBot="1" x14ac:dyDescent="0.3">
      <c r="B78" s="424" t="s">
        <v>1438</v>
      </c>
      <c r="C78" s="424"/>
      <c r="D78" s="424"/>
      <c r="E78" s="424"/>
      <c r="F78" s="424"/>
      <c r="G78" s="424"/>
      <c r="H78" s="424"/>
      <c r="I78" s="424"/>
      <c r="J78" s="424"/>
      <c r="K78" s="424"/>
      <c r="L78" s="424"/>
      <c r="M78" s="424"/>
      <c r="N78" s="424"/>
      <c r="O78" s="424"/>
      <c r="Q78" s="86"/>
    </row>
    <row r="79" spans="2:19" ht="22.5" customHeight="1" thickBot="1" x14ac:dyDescent="0.3">
      <c r="B79" s="427" t="s">
        <v>1441</v>
      </c>
      <c r="C79" s="428"/>
      <c r="D79" s="429"/>
      <c r="E79" s="430">
        <v>44434</v>
      </c>
      <c r="F79" s="431"/>
      <c r="G79" s="431"/>
      <c r="H79" s="432"/>
      <c r="I79" s="277" t="s">
        <v>1446</v>
      </c>
      <c r="J79" s="278"/>
      <c r="K79" s="430">
        <v>44500</v>
      </c>
      <c r="L79" s="431"/>
      <c r="M79" s="431"/>
      <c r="N79" s="431"/>
      <c r="O79" s="432"/>
    </row>
    <row r="80" spans="2:19" ht="36" customHeight="1" thickBot="1" x14ac:dyDescent="0.3">
      <c r="B80" s="420" t="s">
        <v>1447</v>
      </c>
      <c r="C80" s="421"/>
      <c r="D80" s="94" t="s">
        <v>1430</v>
      </c>
      <c r="E80" s="76" t="s">
        <v>1431</v>
      </c>
      <c r="F80" s="76" t="s">
        <v>1448</v>
      </c>
      <c r="G80" s="72" t="s">
        <v>1429</v>
      </c>
      <c r="H80" s="93" t="s">
        <v>1428</v>
      </c>
      <c r="I80" s="279" t="s">
        <v>1479</v>
      </c>
      <c r="J80" s="280"/>
      <c r="K80" s="452" t="s">
        <v>1432</v>
      </c>
      <c r="L80" s="453"/>
      <c r="M80" s="454"/>
      <c r="N80" s="418" t="s">
        <v>1433</v>
      </c>
      <c r="O80" s="419"/>
    </row>
    <row r="81" spans="2:15" ht="12.95" customHeight="1" x14ac:dyDescent="0.25">
      <c r="B81" s="422"/>
      <c r="C81" s="423"/>
      <c r="D81" s="106"/>
      <c r="E81" s="109"/>
      <c r="F81" s="110"/>
      <c r="G81" s="115"/>
      <c r="H81" s="132"/>
      <c r="I81" s="281">
        <v>1</v>
      </c>
      <c r="J81" s="282"/>
      <c r="K81" s="455"/>
      <c r="L81" s="456"/>
      <c r="M81" s="457"/>
      <c r="N81" s="425"/>
      <c r="O81" s="426"/>
    </row>
    <row r="82" spans="2:15" ht="12.95" customHeight="1" x14ac:dyDescent="0.25">
      <c r="B82" s="221"/>
      <c r="C82" s="222"/>
      <c r="D82" s="107"/>
      <c r="E82" s="111"/>
      <c r="F82" s="112"/>
      <c r="G82" s="116"/>
      <c r="H82" s="133"/>
      <c r="I82" s="283">
        <v>2</v>
      </c>
      <c r="J82" s="284"/>
      <c r="K82" s="415"/>
      <c r="L82" s="416"/>
      <c r="M82" s="417"/>
      <c r="N82" s="227"/>
      <c r="O82" s="228"/>
    </row>
    <row r="83" spans="2:15" ht="12.95" customHeight="1" x14ac:dyDescent="0.25">
      <c r="B83" s="221"/>
      <c r="C83" s="222"/>
      <c r="D83" s="107"/>
      <c r="E83" s="111"/>
      <c r="F83" s="112"/>
      <c r="G83" s="116"/>
      <c r="H83" s="133"/>
      <c r="I83" s="283">
        <v>3</v>
      </c>
      <c r="J83" s="284"/>
      <c r="K83" s="415"/>
      <c r="L83" s="416"/>
      <c r="M83" s="417"/>
      <c r="N83" s="227"/>
      <c r="O83" s="228"/>
    </row>
    <row r="84" spans="2:15" ht="12.95" customHeight="1" x14ac:dyDescent="0.25">
      <c r="B84" s="221"/>
      <c r="C84" s="222"/>
      <c r="D84" s="107"/>
      <c r="E84" s="111"/>
      <c r="F84" s="112"/>
      <c r="G84" s="116"/>
      <c r="H84" s="133"/>
      <c r="I84" s="283">
        <v>4</v>
      </c>
      <c r="J84" s="284"/>
      <c r="K84" s="415"/>
      <c r="L84" s="416"/>
      <c r="M84" s="417"/>
      <c r="N84" s="227"/>
      <c r="O84" s="228"/>
    </row>
    <row r="85" spans="2:15" ht="12.95" customHeight="1" x14ac:dyDescent="0.25">
      <c r="B85" s="221"/>
      <c r="C85" s="222"/>
      <c r="D85" s="107"/>
      <c r="E85" s="111"/>
      <c r="F85" s="112"/>
      <c r="G85" s="116"/>
      <c r="H85" s="133"/>
      <c r="I85" s="283">
        <v>5</v>
      </c>
      <c r="J85" s="284"/>
      <c r="K85" s="415"/>
      <c r="L85" s="416"/>
      <c r="M85" s="417"/>
      <c r="N85" s="227"/>
      <c r="O85" s="228"/>
    </row>
    <row r="86" spans="2:15" ht="12.95" customHeight="1" x14ac:dyDescent="0.25">
      <c r="B86" s="221"/>
      <c r="C86" s="222"/>
      <c r="D86" s="107"/>
      <c r="E86" s="111"/>
      <c r="F86" s="112"/>
      <c r="G86" s="116"/>
      <c r="H86" s="133"/>
      <c r="I86" s="283">
        <v>6</v>
      </c>
      <c r="J86" s="284"/>
      <c r="K86" s="415"/>
      <c r="L86" s="416"/>
      <c r="M86" s="417"/>
      <c r="N86" s="227"/>
      <c r="O86" s="228"/>
    </row>
    <row r="87" spans="2:15" ht="12.95" customHeight="1" x14ac:dyDescent="0.25">
      <c r="B87" s="221"/>
      <c r="C87" s="222"/>
      <c r="D87" s="107"/>
      <c r="E87" s="111"/>
      <c r="F87" s="112"/>
      <c r="G87" s="116"/>
      <c r="H87" s="133"/>
      <c r="I87" s="283">
        <v>7</v>
      </c>
      <c r="J87" s="284"/>
      <c r="K87" s="415"/>
      <c r="L87" s="416"/>
      <c r="M87" s="417"/>
      <c r="N87" s="227"/>
      <c r="O87" s="228"/>
    </row>
    <row r="88" spans="2:15" ht="12.95" customHeight="1" x14ac:dyDescent="0.25">
      <c r="B88" s="221"/>
      <c r="C88" s="222"/>
      <c r="D88" s="107"/>
      <c r="E88" s="111"/>
      <c r="F88" s="112"/>
      <c r="G88" s="116"/>
      <c r="H88" s="133"/>
      <c r="I88" s="283">
        <v>8</v>
      </c>
      <c r="J88" s="284"/>
      <c r="K88" s="415" t="s">
        <v>601</v>
      </c>
      <c r="L88" s="416"/>
      <c r="M88" s="417"/>
      <c r="N88" s="227">
        <v>604614</v>
      </c>
      <c r="O88" s="228"/>
    </row>
    <row r="89" spans="2:15" ht="12.95" customHeight="1" x14ac:dyDescent="0.25">
      <c r="B89" s="221"/>
      <c r="C89" s="222"/>
      <c r="D89" s="108"/>
      <c r="E89" s="113"/>
      <c r="F89" s="114"/>
      <c r="G89" s="117"/>
      <c r="H89" s="134"/>
      <c r="I89" s="283">
        <v>9</v>
      </c>
      <c r="J89" s="284"/>
      <c r="K89" s="415"/>
      <c r="L89" s="416"/>
      <c r="M89" s="417"/>
      <c r="N89" s="227"/>
      <c r="O89" s="228"/>
    </row>
    <row r="90" spans="2:15" ht="12.95" customHeight="1" x14ac:dyDescent="0.25">
      <c r="B90" s="221"/>
      <c r="C90" s="222"/>
      <c r="D90" s="107"/>
      <c r="E90" s="111"/>
      <c r="F90" s="112"/>
      <c r="G90" s="116"/>
      <c r="H90" s="133"/>
      <c r="I90" s="283">
        <v>10</v>
      </c>
      <c r="J90" s="284"/>
      <c r="K90" s="415"/>
      <c r="L90" s="416"/>
      <c r="M90" s="417"/>
      <c r="N90" s="227"/>
      <c r="O90" s="228"/>
    </row>
    <row r="91" spans="2:15" ht="12.95" customHeight="1" x14ac:dyDescent="0.25">
      <c r="B91" s="221"/>
      <c r="C91" s="222"/>
      <c r="D91" s="107"/>
      <c r="E91" s="111"/>
      <c r="F91" s="112"/>
      <c r="G91" s="116"/>
      <c r="H91" s="133"/>
      <c r="I91" s="283">
        <v>11</v>
      </c>
      <c r="J91" s="284"/>
      <c r="K91" s="415"/>
      <c r="L91" s="416"/>
      <c r="M91" s="417"/>
      <c r="N91" s="227"/>
      <c r="O91" s="228"/>
    </row>
    <row r="92" spans="2:15" ht="12.95" customHeight="1" x14ac:dyDescent="0.25">
      <c r="B92" s="323"/>
      <c r="C92" s="324"/>
      <c r="D92" s="167"/>
      <c r="E92" s="111"/>
      <c r="F92" s="112"/>
      <c r="G92" s="116"/>
      <c r="H92" s="133"/>
      <c r="I92" s="442">
        <v>12</v>
      </c>
      <c r="J92" s="443"/>
      <c r="K92" s="250"/>
      <c r="L92" s="251"/>
      <c r="M92" s="251"/>
      <c r="N92" s="227"/>
      <c r="O92" s="228"/>
    </row>
    <row r="93" spans="2:15" ht="12.95" customHeight="1" thickBot="1" x14ac:dyDescent="0.3">
      <c r="B93" s="208"/>
      <c r="C93" s="209"/>
      <c r="D93" s="168"/>
      <c r="E93" s="168"/>
      <c r="F93" s="169"/>
      <c r="G93" s="170"/>
      <c r="H93" s="171"/>
      <c r="I93" s="210">
        <v>13</v>
      </c>
      <c r="J93" s="211"/>
      <c r="K93" s="214"/>
      <c r="L93" s="215"/>
      <c r="M93" s="215"/>
      <c r="N93" s="212"/>
      <c r="O93" s="213"/>
    </row>
    <row r="94" spans="2:15" ht="15" customHeight="1" thickBot="1" x14ac:dyDescent="0.3">
      <c r="B94" s="223"/>
      <c r="C94" s="224"/>
      <c r="D94" s="224"/>
      <c r="E94" s="224"/>
      <c r="F94" s="225"/>
      <c r="G94" s="225"/>
      <c r="H94" s="224"/>
      <c r="I94" s="225"/>
      <c r="J94" s="225"/>
      <c r="K94" s="225"/>
      <c r="L94" s="225"/>
      <c r="M94" s="225"/>
      <c r="N94" s="225"/>
      <c r="O94" s="226"/>
    </row>
    <row r="95" spans="2:15" ht="30" customHeight="1" thickBot="1" x14ac:dyDescent="0.3">
      <c r="B95" s="82"/>
      <c r="C95" s="216" t="s">
        <v>1434</v>
      </c>
      <c r="D95" s="276"/>
      <c r="E95" s="217"/>
      <c r="F95" s="74"/>
      <c r="G95" s="216" t="s">
        <v>1435</v>
      </c>
      <c r="H95" s="217"/>
      <c r="I95" s="75"/>
      <c r="J95" s="216" t="s">
        <v>1436</v>
      </c>
      <c r="K95" s="217"/>
      <c r="L95" s="82"/>
      <c r="M95" s="87"/>
      <c r="N95" s="271" t="s">
        <v>1437</v>
      </c>
      <c r="O95" s="272"/>
    </row>
    <row r="96" spans="2:15" ht="30" customHeight="1" thickBot="1" x14ac:dyDescent="0.3">
      <c r="B96" s="82"/>
      <c r="C96" s="273">
        <v>8101828</v>
      </c>
      <c r="D96" s="274"/>
      <c r="E96" s="275"/>
      <c r="F96" s="74"/>
      <c r="G96" s="218">
        <f>+VRINICTO+SUM(G81:G93)</f>
        <v>8101828</v>
      </c>
      <c r="H96" s="219"/>
      <c r="I96" s="73"/>
      <c r="J96" s="218">
        <f>N81+N82+N83+N84+N85+N86+N87+N88+N89+N90+N91+N92+N93</f>
        <v>604614</v>
      </c>
      <c r="K96" s="219"/>
      <c r="L96" s="220"/>
      <c r="M96" s="220"/>
      <c r="N96" s="218">
        <f>+G96-J96</f>
        <v>7497214</v>
      </c>
      <c r="O96" s="219"/>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0" t="s">
        <v>1439</v>
      </c>
      <c r="V97" s="290"/>
      <c r="W97" s="290"/>
      <c r="X97" s="291"/>
      <c r="Y97" s="292" t="s">
        <v>1440</v>
      </c>
      <c r="Z97" s="292"/>
      <c r="AA97" s="292"/>
      <c r="AB97" s="292"/>
      <c r="AC97" s="102"/>
      <c r="AD97" s="102"/>
      <c r="AE97" s="293" t="s">
        <v>3</v>
      </c>
      <c r="AF97" s="293"/>
      <c r="AG97" s="293"/>
      <c r="AH97" s="294"/>
      <c r="AI97" s="295" t="s">
        <v>1440</v>
      </c>
      <c r="AJ97" s="296"/>
      <c r="AK97" s="296"/>
      <c r="AL97" s="296"/>
      <c r="AM97" s="297"/>
      <c r="AN97" s="102"/>
      <c r="AO97" s="102"/>
      <c r="AP97" s="102"/>
      <c r="AQ97" s="102"/>
      <c r="AR97" s="102"/>
      <c r="AS97" s="102"/>
      <c r="AT97" s="102"/>
      <c r="AU97" s="102"/>
      <c r="AV97" s="102"/>
      <c r="AW97" s="103"/>
      <c r="AX97" s="289"/>
      <c r="AY97" s="289"/>
      <c r="AZ97" s="289"/>
      <c r="BA97" s="289"/>
      <c r="BB97" s="289"/>
      <c r="BC97" s="289"/>
      <c r="BD97" s="289"/>
      <c r="BE97" s="289"/>
      <c r="BF97" s="289"/>
      <c r="BG97" s="289"/>
      <c r="BH97" s="289"/>
      <c r="BI97" s="289"/>
      <c r="BJ97" s="289"/>
      <c r="BK97" s="289"/>
      <c r="BL97" s="289"/>
      <c r="BM97" s="289"/>
      <c r="BN97" s="289"/>
      <c r="BO97" s="289"/>
      <c r="BP97" s="104"/>
    </row>
    <row r="98" spans="1:68" ht="18" customHeight="1" thickBot="1" x14ac:dyDescent="0.3">
      <c r="B98" s="200" t="s">
        <v>10</v>
      </c>
      <c r="C98" s="200"/>
      <c r="D98" s="200"/>
      <c r="E98" s="200"/>
      <c r="F98" s="200"/>
      <c r="G98" s="200"/>
      <c r="H98" s="200"/>
      <c r="I98" s="200"/>
      <c r="J98" s="200"/>
      <c r="K98" s="200"/>
      <c r="L98" s="200"/>
      <c r="M98" s="200"/>
      <c r="N98" s="200"/>
      <c r="O98" s="200"/>
    </row>
    <row r="99" spans="1:68" ht="27" customHeight="1" thickBot="1" x14ac:dyDescent="0.3">
      <c r="B99" s="46"/>
      <c r="C99" s="80"/>
      <c r="D99" s="80"/>
      <c r="E99" s="234" t="s">
        <v>1443</v>
      </c>
      <c r="F99" s="239"/>
      <c r="G99" s="239"/>
      <c r="H99" s="240"/>
      <c r="I99" s="234" t="s">
        <v>1474</v>
      </c>
      <c r="J99" s="234"/>
      <c r="K99" s="234"/>
      <c r="L99" s="235"/>
      <c r="M99" s="254" t="s">
        <v>1444</v>
      </c>
      <c r="N99" s="255"/>
      <c r="O99" s="256"/>
    </row>
    <row r="100" spans="1:68" ht="53.25" customHeight="1" thickBot="1" x14ac:dyDescent="0.3">
      <c r="B100" s="85">
        <v>1</v>
      </c>
      <c r="C100" s="458" t="s">
        <v>1505</v>
      </c>
      <c r="D100" s="459"/>
      <c r="E100" s="459"/>
      <c r="F100" s="459"/>
      <c r="G100" s="459"/>
      <c r="H100" s="460"/>
      <c r="I100" s="248" t="s">
        <v>1512</v>
      </c>
      <c r="J100" s="248"/>
      <c r="K100" s="248"/>
      <c r="L100" s="249"/>
      <c r="M100" s="247" t="s">
        <v>1516</v>
      </c>
      <c r="N100" s="248"/>
      <c r="O100" s="249"/>
    </row>
    <row r="101" spans="1:68" ht="44.25" customHeight="1" thickBot="1" x14ac:dyDescent="0.3">
      <c r="B101" s="25">
        <v>2</v>
      </c>
      <c r="C101" s="461" t="s">
        <v>1506</v>
      </c>
      <c r="D101" s="462"/>
      <c r="E101" s="462"/>
      <c r="F101" s="462"/>
      <c r="G101" s="462"/>
      <c r="H101" s="462"/>
      <c r="I101" s="247" t="s">
        <v>1512</v>
      </c>
      <c r="J101" s="248"/>
      <c r="K101" s="248"/>
      <c r="L101" s="249"/>
      <c r="M101" s="247" t="s">
        <v>1517</v>
      </c>
      <c r="N101" s="248"/>
      <c r="O101" s="249"/>
    </row>
    <row r="102" spans="1:68" ht="41.25" customHeight="1" thickBot="1" x14ac:dyDescent="0.3">
      <c r="B102" s="25">
        <v>3</v>
      </c>
      <c r="C102" s="461" t="s">
        <v>1507</v>
      </c>
      <c r="D102" s="462"/>
      <c r="E102" s="462"/>
      <c r="F102" s="462"/>
      <c r="G102" s="462"/>
      <c r="H102" s="462"/>
      <c r="I102" s="247" t="s">
        <v>1512</v>
      </c>
      <c r="J102" s="248"/>
      <c r="K102" s="248"/>
      <c r="L102" s="249"/>
      <c r="M102" s="247" t="s">
        <v>1517</v>
      </c>
      <c r="N102" s="248"/>
      <c r="O102" s="249"/>
    </row>
    <row r="103" spans="1:68" ht="42" customHeight="1" thickBot="1" x14ac:dyDescent="0.3">
      <c r="B103" s="25">
        <v>4</v>
      </c>
      <c r="C103" s="461" t="s">
        <v>1508</v>
      </c>
      <c r="D103" s="462"/>
      <c r="E103" s="462"/>
      <c r="F103" s="462"/>
      <c r="G103" s="462"/>
      <c r="H103" s="462"/>
      <c r="I103" s="247" t="s">
        <v>1512</v>
      </c>
      <c r="J103" s="248"/>
      <c r="K103" s="248"/>
      <c r="L103" s="249"/>
      <c r="M103" s="247" t="s">
        <v>1517</v>
      </c>
      <c r="N103" s="248"/>
      <c r="O103" s="249"/>
    </row>
    <row r="104" spans="1:68" ht="46.5" customHeight="1" thickBot="1" x14ac:dyDescent="0.3">
      <c r="B104" s="25">
        <v>5</v>
      </c>
      <c r="C104" s="245" t="s">
        <v>1509</v>
      </c>
      <c r="D104" s="246"/>
      <c r="E104" s="246"/>
      <c r="F104" s="246"/>
      <c r="G104" s="246"/>
      <c r="H104" s="246"/>
      <c r="I104" s="236" t="s">
        <v>1513</v>
      </c>
      <c r="J104" s="237"/>
      <c r="K104" s="237"/>
      <c r="L104" s="238"/>
      <c r="M104" s="247" t="s">
        <v>1517</v>
      </c>
      <c r="N104" s="248"/>
      <c r="O104" s="249"/>
    </row>
    <row r="105" spans="1:68" ht="33.75" customHeight="1" thickBot="1" x14ac:dyDescent="0.3">
      <c r="B105" s="25">
        <v>6</v>
      </c>
      <c r="C105" s="245" t="s">
        <v>1510</v>
      </c>
      <c r="D105" s="246"/>
      <c r="E105" s="246"/>
      <c r="F105" s="246"/>
      <c r="G105" s="246"/>
      <c r="H105" s="246"/>
      <c r="I105" s="236" t="s">
        <v>1514</v>
      </c>
      <c r="J105" s="237"/>
      <c r="K105" s="237"/>
      <c r="L105" s="238"/>
      <c r="M105" s="247" t="s">
        <v>1518</v>
      </c>
      <c r="N105" s="248"/>
      <c r="O105" s="249"/>
    </row>
    <row r="106" spans="1:68" ht="30" customHeight="1" thickBot="1" x14ac:dyDescent="0.3">
      <c r="B106" s="25">
        <v>7</v>
      </c>
      <c r="C106" s="245" t="s">
        <v>1511</v>
      </c>
      <c r="D106" s="246"/>
      <c r="E106" s="246"/>
      <c r="F106" s="246"/>
      <c r="G106" s="246"/>
      <c r="H106" s="246"/>
      <c r="I106" s="236" t="s">
        <v>1515</v>
      </c>
      <c r="J106" s="237"/>
      <c r="K106" s="237"/>
      <c r="L106" s="238"/>
      <c r="M106" s="247" t="s">
        <v>1518</v>
      </c>
      <c r="N106" s="248"/>
      <c r="O106" s="249"/>
    </row>
    <row r="107" spans="1:68" ht="20.25" customHeight="1" thickBot="1" x14ac:dyDescent="0.3">
      <c r="B107" s="25">
        <v>8</v>
      </c>
      <c r="C107" s="245"/>
      <c r="D107" s="246"/>
      <c r="E107" s="246"/>
      <c r="F107" s="246"/>
      <c r="G107" s="246"/>
      <c r="H107" s="246"/>
      <c r="I107" s="236"/>
      <c r="J107" s="237"/>
      <c r="K107" s="237"/>
      <c r="L107" s="238"/>
      <c r="M107" s="247"/>
      <c r="N107" s="248"/>
      <c r="O107" s="249"/>
    </row>
    <row r="108" spans="1:68" ht="20.25" customHeight="1" thickBot="1" x14ac:dyDescent="0.3">
      <c r="B108" s="25">
        <v>9</v>
      </c>
      <c r="C108" s="245"/>
      <c r="D108" s="246"/>
      <c r="E108" s="246"/>
      <c r="F108" s="246"/>
      <c r="G108" s="246"/>
      <c r="H108" s="246"/>
      <c r="I108" s="236"/>
      <c r="J108" s="237"/>
      <c r="K108" s="237"/>
      <c r="L108" s="238"/>
      <c r="M108" s="247"/>
      <c r="N108" s="248"/>
      <c r="O108" s="249"/>
    </row>
    <row r="109" spans="1:68" ht="20.25" customHeight="1" thickBot="1" x14ac:dyDescent="0.3">
      <c r="B109" s="25">
        <v>10</v>
      </c>
      <c r="C109" s="245"/>
      <c r="D109" s="246"/>
      <c r="E109" s="246"/>
      <c r="F109" s="246"/>
      <c r="G109" s="246"/>
      <c r="H109" s="246"/>
      <c r="I109" s="236"/>
      <c r="J109" s="237"/>
      <c r="K109" s="237"/>
      <c r="L109" s="238"/>
      <c r="M109" s="247"/>
      <c r="N109" s="248"/>
      <c r="O109" s="249"/>
    </row>
    <row r="110" spans="1:68" ht="20.25" customHeight="1" thickBot="1" x14ac:dyDescent="0.3">
      <c r="B110" s="139">
        <v>11</v>
      </c>
      <c r="C110" s="245"/>
      <c r="D110" s="246"/>
      <c r="E110" s="246"/>
      <c r="F110" s="246"/>
      <c r="G110" s="246"/>
      <c r="H110" s="246"/>
      <c r="I110" s="236"/>
      <c r="J110" s="237"/>
      <c r="K110" s="237"/>
      <c r="L110" s="238"/>
      <c r="M110" s="247"/>
      <c r="N110" s="248"/>
      <c r="O110" s="249"/>
    </row>
    <row r="111" spans="1:68" ht="20.25" customHeight="1" thickBot="1" x14ac:dyDescent="0.3">
      <c r="B111" s="165">
        <v>12</v>
      </c>
      <c r="C111" s="141"/>
      <c r="D111" s="142"/>
      <c r="E111" s="142"/>
      <c r="F111" s="142"/>
      <c r="G111" s="142"/>
      <c r="H111" s="142"/>
      <c r="I111" s="143"/>
      <c r="J111" s="144"/>
      <c r="K111" s="144"/>
      <c r="L111" s="145"/>
      <c r="M111" s="146"/>
      <c r="N111" s="147"/>
      <c r="O111" s="148"/>
    </row>
    <row r="112" spans="1:68" ht="20.25" customHeight="1" thickBot="1" x14ac:dyDescent="0.3">
      <c r="B112" s="165">
        <v>13</v>
      </c>
      <c r="C112" s="141"/>
      <c r="D112" s="142"/>
      <c r="E112" s="142"/>
      <c r="F112" s="142"/>
      <c r="G112" s="142"/>
      <c r="H112" s="142"/>
      <c r="I112" s="143"/>
      <c r="J112" s="144"/>
      <c r="K112" s="144"/>
      <c r="L112" s="145"/>
      <c r="M112" s="146"/>
      <c r="N112" s="147"/>
      <c r="O112" s="148"/>
    </row>
    <row r="113" spans="2:15" ht="20.25" customHeight="1" thickBot="1" x14ac:dyDescent="0.3">
      <c r="B113" s="165">
        <v>14</v>
      </c>
      <c r="C113" s="141"/>
      <c r="D113" s="142"/>
      <c r="E113" s="142"/>
      <c r="F113" s="142"/>
      <c r="G113" s="142"/>
      <c r="H113" s="142"/>
      <c r="I113" s="143"/>
      <c r="J113" s="144"/>
      <c r="K113" s="144"/>
      <c r="L113" s="145"/>
      <c r="M113" s="146"/>
      <c r="N113" s="147"/>
      <c r="O113" s="148"/>
    </row>
    <row r="114" spans="2:15" s="29" customFormat="1" ht="20.25" customHeight="1" thickBot="1" x14ac:dyDescent="0.3">
      <c r="B114" s="140">
        <v>15</v>
      </c>
      <c r="C114" s="245"/>
      <c r="D114" s="246"/>
      <c r="E114" s="246"/>
      <c r="F114" s="246"/>
      <c r="G114" s="246"/>
      <c r="H114" s="246"/>
      <c r="I114" s="236"/>
      <c r="J114" s="237"/>
      <c r="K114" s="237"/>
      <c r="L114" s="238"/>
      <c r="M114" s="247"/>
      <c r="N114" s="248"/>
      <c r="O114" s="249"/>
    </row>
    <row r="115" spans="2:15" ht="21.75" customHeight="1" thickBot="1" x14ac:dyDescent="0.3">
      <c r="B115" s="241" t="s">
        <v>1062</v>
      </c>
      <c r="C115" s="242"/>
      <c r="D115" s="242"/>
      <c r="E115" s="242"/>
      <c r="F115" s="243"/>
      <c r="G115" s="243"/>
      <c r="H115" s="243"/>
      <c r="I115" s="243"/>
      <c r="J115" s="243"/>
      <c r="K115" s="243"/>
      <c r="L115" s="243"/>
      <c r="M115" s="243"/>
      <c r="N115" s="243"/>
      <c r="O115" s="244"/>
    </row>
    <row r="116" spans="2:15" ht="20.25" customHeight="1" thickBot="1" x14ac:dyDescent="0.3">
      <c r="B116" s="231" t="s">
        <v>745</v>
      </c>
      <c r="C116" s="232"/>
      <c r="D116" s="231" t="s">
        <v>747</v>
      </c>
      <c r="E116" s="232"/>
      <c r="F116" s="233"/>
      <c r="G116" s="229" t="s">
        <v>1445</v>
      </c>
      <c r="H116" s="230"/>
      <c r="I116" s="314" t="s">
        <v>1059</v>
      </c>
      <c r="J116" s="315"/>
      <c r="K116" s="315"/>
      <c r="L116" s="316"/>
      <c r="M116" s="381"/>
      <c r="N116" s="381"/>
      <c r="O116" s="381"/>
    </row>
    <row r="117" spans="2:15" ht="12" customHeight="1" thickBot="1" x14ac:dyDescent="0.3">
      <c r="B117" s="34" t="s">
        <v>613</v>
      </c>
      <c r="C117" s="88" t="s">
        <v>588</v>
      </c>
      <c r="D117" s="15" t="s">
        <v>613</v>
      </c>
      <c r="E117" s="15" t="s">
        <v>588</v>
      </c>
      <c r="F117" s="90" t="s">
        <v>746</v>
      </c>
      <c r="G117" s="285"/>
      <c r="H117" s="286"/>
      <c r="I117" s="317"/>
      <c r="J117" s="318"/>
      <c r="K117" s="318"/>
      <c r="L117" s="319"/>
      <c r="M117" s="382"/>
      <c r="N117" s="382"/>
      <c r="O117" s="382"/>
    </row>
    <row r="118" spans="2:15" ht="15" customHeight="1" thickBot="1" x14ac:dyDescent="0.3">
      <c r="B118" s="84"/>
      <c r="C118" s="84"/>
      <c r="D118" s="84"/>
      <c r="E118" s="35"/>
      <c r="F118" s="35"/>
      <c r="G118" s="287"/>
      <c r="H118" s="288"/>
      <c r="I118" s="320"/>
      <c r="J118" s="321"/>
      <c r="K118" s="321"/>
      <c r="L118" s="322"/>
      <c r="M118" s="383"/>
      <c r="N118" s="383"/>
      <c r="O118" s="383"/>
    </row>
    <row r="119" spans="2:15" ht="20.25" customHeight="1" thickBot="1" x14ac:dyDescent="0.3">
      <c r="B119" s="388" t="s">
        <v>1060</v>
      </c>
      <c r="C119" s="388"/>
      <c r="D119" s="388"/>
      <c r="E119" s="389"/>
      <c r="F119" s="389"/>
      <c r="G119" s="387" t="str">
        <f>NumLetras(VRCERTAPO)</f>
        <v xml:space="preserve"> PESOS</v>
      </c>
      <c r="H119" s="387"/>
      <c r="I119" s="387"/>
      <c r="J119" s="387"/>
      <c r="K119" s="387"/>
      <c r="L119" s="387"/>
      <c r="M119" s="387"/>
      <c r="N119" s="387"/>
      <c r="O119" s="387"/>
    </row>
    <row r="120" spans="2:15" ht="39.950000000000003" customHeight="1" thickBot="1" x14ac:dyDescent="0.3">
      <c r="B120" s="298" t="s">
        <v>1063</v>
      </c>
      <c r="C120" s="298"/>
      <c r="D120" s="298"/>
      <c r="E120" s="298"/>
      <c r="F120" s="299"/>
      <c r="G120" s="384" t="s">
        <v>749</v>
      </c>
      <c r="H120" s="385"/>
      <c r="I120" s="385"/>
      <c r="J120" s="385"/>
      <c r="K120" s="15" t="s">
        <v>12</v>
      </c>
      <c r="L120" s="310" t="s">
        <v>13</v>
      </c>
      <c r="M120" s="311"/>
      <c r="N120" s="303" t="s">
        <v>748</v>
      </c>
      <c r="O120" s="304"/>
    </row>
    <row r="121" spans="2:15" ht="12" customHeight="1" thickBot="1" x14ac:dyDescent="0.3">
      <c r="B121" s="300" t="s">
        <v>14</v>
      </c>
      <c r="C121" s="301"/>
      <c r="D121" s="301"/>
      <c r="E121" s="302"/>
      <c r="F121" s="36" t="s">
        <v>1475</v>
      </c>
      <c r="G121" s="386" t="s">
        <v>1502</v>
      </c>
      <c r="H121" s="377"/>
      <c r="I121" s="377"/>
      <c r="J121" s="377"/>
      <c r="K121" s="436">
        <f>IF(ISERROR(+IF(VRCERTAPO&lt;MTOMIN,MINIMO,ROUND((VRCERTAPO*PORCBASE),0))),"",+IF(VRCERTAPO&lt;MTOMIN,MINIMO,ROUND((VRCERTAPO*PORCBASE),0)))</f>
        <v>908526</v>
      </c>
      <c r="L121" s="312" t="str">
        <f>IF(PENSIONADO="","Es pensionado?",IF(VRCERTAPO="","",VRMINPEN))</f>
        <v/>
      </c>
      <c r="M121" s="313"/>
      <c r="N121" s="401"/>
      <c r="O121" s="402"/>
    </row>
    <row r="122" spans="2:15" ht="12" customHeight="1" thickBot="1" x14ac:dyDescent="0.3">
      <c r="B122" s="373" t="s">
        <v>15</v>
      </c>
      <c r="C122" s="374"/>
      <c r="D122" s="374"/>
      <c r="E122" s="374"/>
      <c r="F122" s="375"/>
      <c r="G122" s="386" t="s">
        <v>1503</v>
      </c>
      <c r="H122" s="377"/>
      <c r="I122" s="377"/>
      <c r="J122" s="377"/>
      <c r="K122" s="437"/>
      <c r="L122" s="395" t="str">
        <f>IF(PENSIONADO="","Es pensionado?",IF(VRCERTAPO="","",VRMINSAL))</f>
        <v/>
      </c>
      <c r="M122" s="396"/>
      <c r="N122" s="403"/>
      <c r="O122" s="404"/>
    </row>
    <row r="123" spans="2:15" ht="14.25" customHeight="1" thickBot="1" x14ac:dyDescent="0.3">
      <c r="B123" s="378" t="s">
        <v>16</v>
      </c>
      <c r="C123" s="379"/>
      <c r="D123" s="379"/>
      <c r="E123" s="380"/>
      <c r="F123" s="149">
        <v>3</v>
      </c>
      <c r="G123" s="376" t="s">
        <v>1504</v>
      </c>
      <c r="H123" s="377"/>
      <c r="I123" s="377"/>
      <c r="J123" s="377"/>
      <c r="K123" s="437"/>
      <c r="L123" s="397" t="str">
        <f>IF(VRCERTAPO="","",+VRMINARL)</f>
        <v/>
      </c>
      <c r="M123" s="398"/>
      <c r="N123" s="405"/>
      <c r="O123" s="406"/>
    </row>
    <row r="124" spans="2:15" ht="12.95" customHeight="1" thickBot="1" x14ac:dyDescent="0.3">
      <c r="B124" s="30" t="s">
        <v>1480</v>
      </c>
      <c r="C124" s="81"/>
      <c r="D124" s="81"/>
      <c r="E124" s="81"/>
      <c r="F124" s="149" t="s">
        <v>1475</v>
      </c>
      <c r="G124" s="376"/>
      <c r="H124" s="377"/>
      <c r="I124" s="377"/>
      <c r="J124" s="377"/>
      <c r="K124" s="438"/>
      <c r="L124" s="370" t="str">
        <f>IF(SUM(L121:L123)=0,"",IF(COUNTIF(L121:L123,"&gt;=A"),"falta criterio",+SUM(L121:L123)))</f>
        <v/>
      </c>
      <c r="M124" s="371"/>
      <c r="N124" s="407">
        <f>+SUM(N121:O123)</f>
        <v>0</v>
      </c>
      <c r="O124" s="408"/>
    </row>
    <row r="125" spans="2:15" ht="18" customHeight="1" thickBot="1" x14ac:dyDescent="0.3">
      <c r="B125" s="259" t="s">
        <v>1064</v>
      </c>
      <c r="C125" s="260"/>
      <c r="D125" s="260"/>
      <c r="E125" s="260"/>
      <c r="F125" s="261"/>
      <c r="G125" s="261"/>
      <c r="H125" s="261"/>
      <c r="I125" s="261"/>
      <c r="J125" s="261"/>
      <c r="K125" s="261"/>
      <c r="L125" s="261"/>
      <c r="M125" s="261"/>
      <c r="N125" s="261"/>
      <c r="O125" s="262"/>
    </row>
    <row r="126" spans="2:15" ht="15" customHeight="1" thickBot="1" x14ac:dyDescent="0.3">
      <c r="B126" s="393" t="s">
        <v>627</v>
      </c>
      <c r="C126" s="393"/>
      <c r="D126" s="393"/>
      <c r="E126" s="394"/>
      <c r="F126" s="263" t="s">
        <v>624</v>
      </c>
      <c r="G126" s="264"/>
      <c r="H126" s="265"/>
      <c r="I126" s="31" t="s">
        <v>1471</v>
      </c>
      <c r="J126" s="32" t="s">
        <v>629</v>
      </c>
      <c r="K126" s="99" t="s">
        <v>1472</v>
      </c>
      <c r="L126" s="390">
        <v>959032079</v>
      </c>
      <c r="M126" s="391"/>
      <c r="N126" s="391"/>
      <c r="O126" s="392"/>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7">
        <f>+nombreContratista</f>
        <v>0</v>
      </c>
      <c r="G128" s="258"/>
      <c r="H128" s="258"/>
      <c r="I128" s="258"/>
      <c r="J128" s="3"/>
      <c r="K128" s="257" t="str">
        <f>IF(ISNONTEXT(nombreSuper1),nombreSuperCont,nombreSuper1)</f>
        <v>CARLOS ANDRES MOJICA AGUILAR</v>
      </c>
      <c r="L128" s="258"/>
      <c r="M128" s="258"/>
      <c r="N128" s="258"/>
      <c r="O128" s="9"/>
    </row>
    <row r="129" spans="2:15" ht="15" customHeight="1" x14ac:dyDescent="0.25">
      <c r="B129" s="10"/>
      <c r="C129" s="11"/>
      <c r="D129" s="11"/>
      <c r="E129" s="11"/>
      <c r="F129" s="252" t="s">
        <v>17</v>
      </c>
      <c r="G129" s="372"/>
      <c r="H129" s="372"/>
      <c r="I129" s="372"/>
      <c r="J129" s="3"/>
      <c r="K129" s="252" t="s">
        <v>1493</v>
      </c>
      <c r="L129" s="253"/>
      <c r="M129" s="253"/>
      <c r="N129" s="253"/>
      <c r="O129" s="12"/>
    </row>
    <row r="130" spans="2:15" ht="12.75" customHeight="1" x14ac:dyDescent="0.25">
      <c r="B130" s="5"/>
      <c r="C130" s="6"/>
      <c r="D130" s="6"/>
      <c r="E130" s="6"/>
      <c r="F130" s="399">
        <f>+cedula</f>
        <v>0</v>
      </c>
      <c r="G130" s="400"/>
      <c r="H130" s="400"/>
      <c r="I130" s="400"/>
      <c r="J130" s="3"/>
      <c r="K130" s="252" t="str">
        <f>IF(ISNONTEXT(nombreSuper1),perfilSuperCont,CargoSuper1)</f>
        <v>REF GESTION ENTORNO HOGAR</v>
      </c>
      <c r="L130" s="253"/>
      <c r="M130" s="253"/>
      <c r="N130" s="253"/>
      <c r="O130" s="9"/>
    </row>
    <row r="131" spans="2:15" ht="24.95" customHeight="1" x14ac:dyDescent="0.25">
      <c r="B131" s="13"/>
      <c r="C131" s="89"/>
      <c r="D131" s="89"/>
      <c r="E131" s="89"/>
      <c r="F131" s="252" t="s">
        <v>18</v>
      </c>
      <c r="G131" s="253"/>
      <c r="H131" s="253"/>
      <c r="I131" s="253"/>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257">
        <f>IF(ISNONTEXT(nombreApoyoTec1),nombreApoyoTec2,nombreApoyoTec1)</f>
        <v>0</v>
      </c>
      <c r="G133" s="258"/>
      <c r="H133" s="258"/>
      <c r="I133" s="258"/>
      <c r="J133" s="3"/>
      <c r="O133" s="12"/>
    </row>
    <row r="134" spans="2:15" ht="12" customHeight="1" x14ac:dyDescent="0.25">
      <c r="B134" s="13"/>
      <c r="C134" s="89"/>
      <c r="D134" s="89"/>
      <c r="E134" s="89"/>
      <c r="F134" s="252" t="s">
        <v>1494</v>
      </c>
      <c r="G134" s="253"/>
      <c r="H134" s="253"/>
      <c r="I134" s="253"/>
      <c r="J134" s="3"/>
      <c r="O134" s="12"/>
    </row>
    <row r="135" spans="2:15" ht="17.100000000000001" customHeight="1" x14ac:dyDescent="0.25">
      <c r="B135" s="13"/>
      <c r="C135" s="89"/>
      <c r="D135" s="89"/>
      <c r="E135" s="89"/>
      <c r="F135" s="252">
        <f>IF(ISNONTEXT(L11),L12,L11)</f>
        <v>0</v>
      </c>
      <c r="G135" s="253"/>
      <c r="H135" s="253"/>
      <c r="I135" s="253"/>
      <c r="J135" s="3"/>
      <c r="K135" s="83"/>
      <c r="L135" s="83"/>
      <c r="M135" s="83"/>
      <c r="N135" s="83"/>
      <c r="O135" s="12"/>
    </row>
    <row r="136" spans="2:15" ht="24" customHeight="1" thickBot="1" x14ac:dyDescent="0.3">
      <c r="B136" s="366">
        <v>44239</v>
      </c>
      <c r="C136" s="367"/>
      <c r="D136" s="367"/>
      <c r="E136" s="367"/>
      <c r="F136" s="368"/>
      <c r="G136" s="368"/>
      <c r="H136" s="368"/>
      <c r="I136" s="368"/>
      <c r="J136" s="368"/>
      <c r="K136" s="368"/>
      <c r="L136" s="368"/>
      <c r="M136" s="368"/>
      <c r="N136" s="368"/>
      <c r="O136" s="369"/>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6" priority="448" stopIfTrue="1">
      <formula>LEN(TRIM(B6))=0</formula>
    </cfRule>
  </conditionalFormatting>
  <conditionalFormatting sqref="N124">
    <cfRule type="expression" dxfId="45" priority="386" stopIfTrue="1">
      <formula>N124&lt;VRAPOMIN</formula>
    </cfRule>
    <cfRule type="cellIs" dxfId="44" priority="407" stopIfTrue="1" operator="equal">
      <formula>0</formula>
    </cfRule>
  </conditionalFormatting>
  <conditionalFormatting sqref="N122">
    <cfRule type="expression" dxfId="43" priority="388" stopIfTrue="1">
      <formula>N122&lt;APOMINSAL</formula>
    </cfRule>
  </conditionalFormatting>
  <conditionalFormatting sqref="N123">
    <cfRule type="expression" dxfId="42" priority="387" stopIfTrue="1">
      <formula>N123&lt;APOMINARL</formula>
    </cfRule>
  </conditionalFormatting>
  <conditionalFormatting sqref="F128:I128 F130:I130 K128:N128 K130:N130 F77 O21:O23 O25:O27 O29:O31 O33:O35 O37:O39 O41:O43 O45:O47 O49 O58:O61 O66:O68 O70:O72 O74:O76 K80 N80 O54:O56 K121 O51:O52">
    <cfRule type="cellIs" dxfId="41" priority="385" stopIfTrue="1" operator="equal">
      <formula>0</formula>
    </cfRule>
  </conditionalFormatting>
  <conditionalFormatting sqref="K121:L121">
    <cfRule type="expression" dxfId="40" priority="303" stopIfTrue="1">
      <formula>AND(VRCERT="",APOMINPEN="Es pensionado?")</formula>
    </cfRule>
    <cfRule type="cellIs" dxfId="39" priority="308" stopIfTrue="1" operator="equal">
      <formula>"Es pensionado?"</formula>
    </cfRule>
    <cfRule type="containsBlanks" dxfId="38" priority="313" stopIfTrue="1">
      <formula>LEN(TRIM(K121))=0</formula>
    </cfRule>
    <cfRule type="cellIs" dxfId="37" priority="317" stopIfTrue="1" operator="equal">
      <formula>"Sin definir Vr a Cancelar"</formula>
    </cfRule>
  </conditionalFormatting>
  <conditionalFormatting sqref="L122">
    <cfRule type="expression" dxfId="36" priority="302" stopIfTrue="1">
      <formula>AND(VRCERT="",APOMINSAL="Es pensionado?")</formula>
    </cfRule>
    <cfRule type="cellIs" dxfId="35" priority="307" stopIfTrue="1" operator="equal">
      <formula>"Es pensionado?"</formula>
    </cfRule>
    <cfRule type="containsBlanks" dxfId="34" priority="312" stopIfTrue="1">
      <formula>LEN(TRIM(L122))=0</formula>
    </cfRule>
    <cfRule type="cellIs" dxfId="33" priority="316" stopIfTrue="1" operator="equal">
      <formula>"Sin definir Vr a Cancelar"</formula>
    </cfRule>
  </conditionalFormatting>
  <conditionalFormatting sqref="L123">
    <cfRule type="containsBlanks" dxfId="32" priority="311" stopIfTrue="1">
      <formula>LEN(TRIM(L123))=0</formula>
    </cfRule>
    <cfRule type="cellIs" dxfId="31" priority="314" stopIfTrue="1" operator="equal">
      <formula>"Falta Nivel ARL"</formula>
    </cfRule>
    <cfRule type="cellIs" dxfId="30" priority="315" stopIfTrue="1" operator="equal">
      <formula>"Sin definir Vr a Cancelar"</formula>
    </cfRule>
  </conditionalFormatting>
  <conditionalFormatting sqref="L124">
    <cfRule type="containsBlanks" dxfId="29" priority="300" stopIfTrue="1">
      <formula>LEN(TRIM(L124))=0</formula>
    </cfRule>
    <cfRule type="cellIs" dxfId="28" priority="301" stopIfTrue="1" operator="equal">
      <formula>"falta criterio"</formula>
    </cfRule>
  </conditionalFormatting>
  <conditionalFormatting sqref="N121">
    <cfRule type="expression" dxfId="27" priority="460" stopIfTrue="1">
      <formula>B118="SI"</formula>
    </cfRule>
    <cfRule type="expression" dxfId="26" priority="461" stopIfTrue="1">
      <formula>N121&lt;APOMINPEN</formula>
    </cfRule>
    <cfRule type="containsBlanks" dxfId="25" priority="462" stopIfTrue="1">
      <formula>LEN(TRIM(N121))=0</formula>
    </cfRule>
  </conditionalFormatting>
  <conditionalFormatting sqref="M116:O118">
    <cfRule type="cellIs" dxfId="24" priority="190" operator="lessThanOrEqual">
      <formula>0</formula>
    </cfRule>
  </conditionalFormatting>
  <conditionalFormatting sqref="J21">
    <cfRule type="expression" dxfId="23" priority="121">
      <formula>(COUNTA($H21:$I21)=1)</formula>
    </cfRule>
  </conditionalFormatting>
  <conditionalFormatting sqref="J22:J23">
    <cfRule type="expression" dxfId="22" priority="120">
      <formula>(COUNTA($H22:$I22)=1)</formula>
    </cfRule>
  </conditionalFormatting>
  <conditionalFormatting sqref="I21:I23">
    <cfRule type="expression" dxfId="21" priority="508">
      <formula>AND($H21&lt;&gt;"",$I21="")</formula>
    </cfRule>
  </conditionalFormatting>
  <conditionalFormatting sqref="L21:L23 L25:L27 L29:L31 L58:L61 L33:L35 L37:L39 L41:L43 L45:L47 L49 L54:L56 L51:L52">
    <cfRule type="expression" dxfId="20" priority="512">
      <formula>(COUNTA(I21:J21)&lt;2)</formula>
    </cfRule>
  </conditionalFormatting>
  <conditionalFormatting sqref="E79:H79 K79:O79 G121:J124">
    <cfRule type="containsBlanks" dxfId="19" priority="514">
      <formula>LEN(TRIM(E79))=0</formula>
    </cfRule>
  </conditionalFormatting>
  <conditionalFormatting sqref="C96:E96">
    <cfRule type="cellIs" dxfId="18" priority="17" operator="equal">
      <formula>0</formula>
    </cfRule>
  </conditionalFormatting>
  <conditionalFormatting sqref="J96:K96 N96:O96">
    <cfRule type="expression" dxfId="17" priority="15">
      <formula>VRINICTO=0</formula>
    </cfRule>
  </conditionalFormatting>
  <conditionalFormatting sqref="G117:H118 H77:O77">
    <cfRule type="containsBlanks" dxfId="16" priority="13">
      <formula>LEN(TRIM(G77))=0</formula>
    </cfRule>
  </conditionalFormatting>
  <conditionalFormatting sqref="F124">
    <cfRule type="containsBlanks" dxfId="15" priority="7" stopIfTrue="1">
      <formula>LEN(TRIM(F124))=0</formula>
    </cfRule>
  </conditionalFormatting>
  <conditionalFormatting sqref="G124:J124">
    <cfRule type="containsBlanks" dxfId="14" priority="6">
      <formula>LEN(TRIM(G124))=0</formula>
    </cfRule>
  </conditionalFormatting>
  <conditionalFormatting sqref="O62:O64">
    <cfRule type="cellIs" dxfId="13" priority="5" stopIfTrue="1" operator="equal">
      <formula>0</formula>
    </cfRule>
  </conditionalFormatting>
  <conditionalFormatting sqref="F133:I133 F135:I135">
    <cfRule type="cellIs" dxfId="12" priority="4" stopIfTrue="1" operator="equal">
      <formula>0</formula>
    </cfRule>
  </conditionalFormatting>
  <conditionalFormatting sqref="G96:H96">
    <cfRule type="expression" dxfId="11" priority="3">
      <formula>VRINICTO=0</formula>
    </cfRule>
  </conditionalFormatting>
  <conditionalFormatting sqref="O50">
    <cfRule type="cellIs" dxfId="10" priority="1" stopIfTrue="1" operator="equal">
      <formula>0</formula>
    </cfRule>
  </conditionalFormatting>
  <conditionalFormatting sqref="L50">
    <cfRule type="expression" dxfId="9" priority="2">
      <formula>(COUNTA(I50:J50)&lt;2)</formula>
    </cfRule>
  </conditionalFormatting>
  <dataValidations xWindow="295" yWindow="442"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31496062992125984" bottom="0.59055118110236227" header="0.31496062992125984" footer="0.31496062992125984"/>
  <pageSetup paperSize="9" scale="61"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t="str">
        <f>IF(VRCERTAPO=0,"Sin definir Vr a Cancelar",IF(ISERROR(IF(VRCERTAPO&gt;0,+IF(VRCERTAPO&lt;MTOMIN,+ROUND((MINIMO*SALUD),-2),ROUND(ROUND(VRCERTAPO*PORCBASE,0)*SALUD,-2)),"")),"Sin definir Vr a Cancelar",IF(VRCERTAPO&gt;0,+IF(VRCERTAPO&lt;MTOMIN,+ROUND((MINIMO*SALUD),-2),ROUND(ROUND(VRCERTAPO*PORCBASE,0)*SALUD,-2)),"")))</f>
        <v>Sin definir Vr a Cancelar</v>
      </c>
      <c r="H12" s="18" t="s">
        <v>710</v>
      </c>
      <c r="K12" s="18">
        <v>11</v>
      </c>
      <c r="L12" s="18">
        <v>11</v>
      </c>
      <c r="Q12" s="17" t="s">
        <v>624</v>
      </c>
      <c r="R12" s="18">
        <v>13</v>
      </c>
      <c r="S12" s="18">
        <v>16</v>
      </c>
      <c r="T12" s="18">
        <v>9</v>
      </c>
    </row>
    <row r="13" spans="1:22" x14ac:dyDescent="0.25">
      <c r="A13" s="17">
        <v>12</v>
      </c>
      <c r="B13" s="17" t="s">
        <v>609</v>
      </c>
      <c r="D13" s="17" t="s">
        <v>610</v>
      </c>
      <c r="E13" s="17">
        <v>0.16</v>
      </c>
      <c r="F13" s="24" t="str">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Sin definir Vr a Cancelar</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t="str">
        <f>IF(NIVRIE="","Falta Nivel ARL",IF(NIVRIE&gt;3,0,IF(ISERROR(IF(VRCERTAPO&gt;0,+IF(VRCERTAPO&lt;MTOMIN,+ROUND((MINIMO*ARL),-2),ROUND(ROUND(VRCERTAPO*PORCBASE,0)*ARL,-2)),"")),"Sin definir Vr a Cancelar",IF(VRCERTAPO&gt;0,+IF(VRCERTAPO&lt;MTOMIN,+ROUND((MINIMO*ARL),-2),ROUND(ROUND(VRCERTAPO*PORCBASE,0)*ARL,-2)),""))))</f>
        <v/>
      </c>
      <c r="H14" s="18" t="s">
        <v>712</v>
      </c>
      <c r="K14" s="18">
        <v>13</v>
      </c>
      <c r="L14" s="18">
        <v>13</v>
      </c>
      <c r="Q14" s="17" t="s">
        <v>631</v>
      </c>
      <c r="R14" s="18">
        <v>14</v>
      </c>
      <c r="S14" s="18">
        <v>9</v>
      </c>
      <c r="T14" s="18">
        <v>9</v>
      </c>
    </row>
    <row r="15" spans="1:22" x14ac:dyDescent="0.25">
      <c r="D15" s="17" t="s">
        <v>612</v>
      </c>
      <c r="E15" s="17">
        <v>0.4</v>
      </c>
      <c r="F15" s="24">
        <f>+SUM(F12:F14)</f>
        <v>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SALDIR03</cp:lastModifiedBy>
  <cp:revision/>
  <cp:lastPrinted>2021-08-09T16:39:57Z</cp:lastPrinted>
  <dcterms:created xsi:type="dcterms:W3CDTF">2013-07-25T01:01:55Z</dcterms:created>
  <dcterms:modified xsi:type="dcterms:W3CDTF">2021-08-27T15:51:15Z</dcterms:modified>
</cp:coreProperties>
</file>