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D:\ROSA ELISA GOMEZ TORO\ROSA ELISA GOMEZ TORO\d\CONTRATOS VIGENCIA 2018 SECOP II\18001144_H4_Manto cerramiento estaciones\"/>
    </mc:Choice>
  </mc:AlternateContent>
  <bookViews>
    <workbookView xWindow="0" yWindow="0" windowWidth="20745" windowHeight="11760" activeTab="6"/>
  </bookViews>
  <sheets>
    <sheet name="PAG 1" sheetId="1" r:id="rId1"/>
    <sheet name="PAG 2" sheetId="3" r:id="rId2"/>
    <sheet name="PAG 3" sheetId="4" r:id="rId3"/>
    <sheet name="pag 4" sheetId="5" r:id="rId4"/>
    <sheet name="pag 5" sheetId="16" r:id="rId5"/>
    <sheet name="PAG 6" sheetId="6" r:id="rId6"/>
    <sheet name="PAG 7" sheetId="7" r:id="rId7"/>
    <sheet name="resumen" sheetId="8" state="hidden" r:id="rId8"/>
    <sheet name="1" sheetId="9" state="hidden" r:id="rId9"/>
    <sheet name="2" sheetId="10" state="hidden" r:id="rId10"/>
    <sheet name="3" sheetId="11" state="hidden" r:id="rId11"/>
    <sheet name="4" sheetId="12" state="hidden" r:id="rId12"/>
    <sheet name="5" sheetId="13" state="hidden" r:id="rId13"/>
    <sheet name="6" sheetId="14" state="hidden" r:id="rId14"/>
    <sheet name="7" sheetId="15" state="hidden" r:id="rId15"/>
  </sheets>
  <externalReferences>
    <externalReference r:id="rId16"/>
  </externalReferences>
  <definedNames>
    <definedName name="_xlnm.Print_Area" localSheetId="8">'1'!$A$1:$P$24</definedName>
    <definedName name="_xlnm.Print_Area" localSheetId="9">'2'!$A$1:$P$37</definedName>
    <definedName name="_xlnm.Print_Area" localSheetId="10">'3'!$A$1:$P$33</definedName>
    <definedName name="_xlnm.Print_Area" localSheetId="11">'4'!$A$1:$P$34</definedName>
    <definedName name="_xlnm.Print_Area" localSheetId="12">'5'!$A$1:$P$35</definedName>
    <definedName name="_xlnm.Print_Area" localSheetId="13">'6'!$A$1:$R$35</definedName>
    <definedName name="_xlnm.Print_Area" localSheetId="14">'7'!$A$1:$R$35</definedName>
    <definedName name="_xlnm.Print_Area" localSheetId="0">'PAG 1'!$A$1:$K$28</definedName>
    <definedName name="_xlnm.Print_Area" localSheetId="1">'PAG 2'!$A$1:$AH$15</definedName>
    <definedName name="_xlnm.Print_Area" localSheetId="2">'PAG 3'!$A$1:$AH$12</definedName>
    <definedName name="_xlnm.Print_Area" localSheetId="3">'pag 4'!$A$1:$Z$6</definedName>
    <definedName name="_xlnm.Print_Area" localSheetId="4">'pag 5'!$A$1:$R$28</definedName>
    <definedName name="_xlnm.Print_Area" localSheetId="5">'PAG 6'!$A$1:$K$20</definedName>
    <definedName name="_xlnm.Print_Area" localSheetId="6">'PAG 7'!$A$1:$J$22</definedName>
    <definedName name="_xlnm.Print_Area" localSheetId="7">resumen!$A$1:$K$38</definedName>
    <definedName name="_xlnm.Print_Titles" localSheetId="7">resumen!$1:$9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 i="6" l="1"/>
  <c r="K20" i="6" s="1"/>
  <c r="J18" i="6"/>
  <c r="J20" i="6" s="1"/>
  <c r="K2" i="6"/>
  <c r="J2" i="6"/>
  <c r="Q3" i="16"/>
  <c r="Q17" i="16" s="1"/>
  <c r="O3" i="16"/>
  <c r="O17" i="16" s="1"/>
  <c r="X3" i="5"/>
  <c r="U3" i="5"/>
  <c r="AA10" i="4"/>
  <c r="AE3" i="4"/>
  <c r="AE10" i="4" s="1"/>
  <c r="AA3" i="4"/>
  <c r="M26" i="16" l="1"/>
  <c r="H2" i="6"/>
  <c r="O5" i="5"/>
  <c r="S7" i="4"/>
  <c r="S6" i="4"/>
  <c r="I26" i="16"/>
  <c r="G25" i="16"/>
  <c r="L6" i="5"/>
  <c r="K9" i="4"/>
  <c r="G9" i="4"/>
  <c r="G27" i="16"/>
  <c r="G23" i="16"/>
  <c r="G20" i="16"/>
  <c r="G14" i="16"/>
  <c r="G11" i="16"/>
  <c r="G7" i="16"/>
  <c r="I6" i="5"/>
  <c r="I5" i="5"/>
  <c r="E16" i="9" l="1"/>
  <c r="E15" i="9"/>
  <c r="D23" i="15" l="1"/>
  <c r="F23" i="15" s="1"/>
  <c r="E17" i="15"/>
  <c r="L17" i="15"/>
  <c r="E16" i="15"/>
  <c r="E15" i="15"/>
  <c r="E16" i="14"/>
  <c r="E15" i="14"/>
  <c r="E17" i="12" l="1"/>
  <c r="D23" i="12" s="1"/>
  <c r="F23" i="12" s="1"/>
  <c r="L17" i="12"/>
  <c r="E16" i="12"/>
  <c r="E15" i="12"/>
  <c r="D23" i="11"/>
  <c r="E17" i="11"/>
  <c r="E16" i="11"/>
  <c r="D22" i="11" s="1"/>
  <c r="E15" i="11"/>
  <c r="D21" i="11" s="1"/>
  <c r="E21" i="11" l="1"/>
  <c r="E17" i="10"/>
  <c r="E15" i="10"/>
  <c r="D21" i="9" l="1"/>
  <c r="L16" i="9"/>
  <c r="N24" i="15" l="1"/>
  <c r="C23" i="15"/>
  <c r="C22" i="15"/>
  <c r="C21" i="15"/>
  <c r="L16" i="15"/>
  <c r="D22" i="15"/>
  <c r="F22" i="15" s="1"/>
  <c r="S15" i="15"/>
  <c r="L15" i="15"/>
  <c r="D21" i="15"/>
  <c r="N12" i="15"/>
  <c r="M12" i="15"/>
  <c r="N11" i="15"/>
  <c r="M11" i="15"/>
  <c r="N10" i="15"/>
  <c r="M10" i="15"/>
  <c r="D7" i="15"/>
  <c r="D9" i="15" s="1"/>
  <c r="L5" i="15"/>
  <c r="J2" i="15"/>
  <c r="J3" i="15" s="1"/>
  <c r="J4" i="15" s="1"/>
  <c r="A2" i="15"/>
  <c r="M1" i="15"/>
  <c r="N24" i="14"/>
  <c r="C23" i="14"/>
  <c r="C22" i="14"/>
  <c r="C21" i="14"/>
  <c r="L16" i="14"/>
  <c r="D22" i="14"/>
  <c r="F22" i="14" s="1"/>
  <c r="S15" i="14"/>
  <c r="L15" i="14"/>
  <c r="D21" i="14"/>
  <c r="N12" i="14"/>
  <c r="M12" i="14"/>
  <c r="L12" i="14"/>
  <c r="N11" i="14"/>
  <c r="M11" i="14"/>
  <c r="L11" i="14"/>
  <c r="N10" i="14"/>
  <c r="M10" i="14"/>
  <c r="L10" i="14"/>
  <c r="D7" i="14"/>
  <c r="D9" i="14" s="1"/>
  <c r="L5" i="14"/>
  <c r="J2" i="14"/>
  <c r="J3" i="14" s="1"/>
  <c r="J4" i="14" s="1"/>
  <c r="A2" i="14"/>
  <c r="M1" i="14"/>
  <c r="N24" i="13"/>
  <c r="C22" i="13"/>
  <c r="N21" i="13"/>
  <c r="D21" i="13"/>
  <c r="C21" i="13"/>
  <c r="N20" i="13"/>
  <c r="L17" i="13"/>
  <c r="L16" i="13"/>
  <c r="D22" i="13"/>
  <c r="L15" i="13"/>
  <c r="N12" i="13"/>
  <c r="M12" i="13"/>
  <c r="L12" i="13"/>
  <c r="N11" i="13"/>
  <c r="M11" i="13"/>
  <c r="L11" i="13"/>
  <c r="D10" i="13"/>
  <c r="L10" i="13" s="1"/>
  <c r="J7" i="13"/>
  <c r="D7" i="13"/>
  <c r="J5" i="13"/>
  <c r="L5" i="13" s="1"/>
  <c r="J2" i="13"/>
  <c r="J3" i="13" s="1"/>
  <c r="J4" i="13" s="1"/>
  <c r="M1" i="13"/>
  <c r="C23" i="12"/>
  <c r="D22" i="12"/>
  <c r="C22" i="12"/>
  <c r="N21" i="12"/>
  <c r="D21" i="12"/>
  <c r="C21" i="12"/>
  <c r="N20" i="12"/>
  <c r="L16" i="12"/>
  <c r="L15" i="12"/>
  <c r="N12" i="12"/>
  <c r="M12" i="12"/>
  <c r="N11" i="12"/>
  <c r="M11" i="12"/>
  <c r="N10" i="12"/>
  <c r="M10" i="12"/>
  <c r="I7" i="12"/>
  <c r="D7" i="12"/>
  <c r="H17" i="12" s="1"/>
  <c r="L12" i="12" s="1"/>
  <c r="J5" i="12"/>
  <c r="L5" i="12" s="1"/>
  <c r="J2" i="12"/>
  <c r="J3" i="12" s="1"/>
  <c r="J4" i="12" s="1"/>
  <c r="M1" i="12"/>
  <c r="C23" i="11"/>
  <c r="C22" i="11"/>
  <c r="N21" i="11"/>
  <c r="C21" i="11"/>
  <c r="N20" i="11"/>
  <c r="L17" i="11"/>
  <c r="F23" i="11" s="1"/>
  <c r="L16" i="11"/>
  <c r="F22" i="11" s="1"/>
  <c r="L15" i="11"/>
  <c r="F21" i="11" s="1"/>
  <c r="N12" i="11"/>
  <c r="M12" i="11"/>
  <c r="N11" i="11"/>
  <c r="M11" i="11"/>
  <c r="N10" i="11"/>
  <c r="M10" i="11"/>
  <c r="J7" i="11"/>
  <c r="I7" i="11"/>
  <c r="J5" i="11"/>
  <c r="L5" i="11" s="1"/>
  <c r="J3" i="11"/>
  <c r="J4" i="11" s="1"/>
  <c r="J2" i="11"/>
  <c r="M1" i="11"/>
  <c r="D24" i="10"/>
  <c r="C24" i="10"/>
  <c r="N23" i="10"/>
  <c r="D23" i="10"/>
  <c r="C23" i="10"/>
  <c r="N22" i="10"/>
  <c r="N26" i="10" s="1"/>
  <c r="H18" i="10"/>
  <c r="L17" i="10"/>
  <c r="H16" i="10"/>
  <c r="L15" i="10"/>
  <c r="N12" i="10"/>
  <c r="M12" i="10"/>
  <c r="L12" i="10"/>
  <c r="N11" i="10"/>
  <c r="M11" i="10"/>
  <c r="L11" i="10"/>
  <c r="L10" i="10"/>
  <c r="J7" i="10"/>
  <c r="D7" i="10"/>
  <c r="D9" i="10" s="1"/>
  <c r="J5" i="10"/>
  <c r="L5" i="10" s="1"/>
  <c r="J2" i="10"/>
  <c r="J3" i="10" s="1"/>
  <c r="J4" i="10" s="1"/>
  <c r="M1" i="10"/>
  <c r="N24" i="9"/>
  <c r="D23" i="9"/>
  <c r="C23" i="9"/>
  <c r="D22" i="9"/>
  <c r="F22" i="9" s="1"/>
  <c r="C22" i="9"/>
  <c r="C21" i="9"/>
  <c r="S15" i="9"/>
  <c r="L15" i="9"/>
  <c r="F21" i="9" s="1"/>
  <c r="N12" i="9"/>
  <c r="M12" i="9"/>
  <c r="N11" i="9"/>
  <c r="M11" i="9"/>
  <c r="N10" i="9"/>
  <c r="M10" i="9"/>
  <c r="D7" i="9"/>
  <c r="D9" i="9" s="1"/>
  <c r="L5" i="9"/>
  <c r="J3" i="9"/>
  <c r="J4" i="9" s="1"/>
  <c r="A2" i="9"/>
  <c r="A2" i="13" s="1"/>
  <c r="J32" i="8"/>
  <c r="I32" i="8"/>
  <c r="G32" i="8"/>
  <c r="F32" i="8"/>
  <c r="E32" i="8"/>
  <c r="D32" i="8"/>
  <c r="C32" i="8"/>
  <c r="B32" i="8"/>
  <c r="J31" i="8"/>
  <c r="I31" i="8"/>
  <c r="G31" i="8"/>
  <c r="F31" i="8"/>
  <c r="E31" i="8"/>
  <c r="D31" i="8"/>
  <c r="C31" i="8"/>
  <c r="B31" i="8"/>
  <c r="J30" i="8"/>
  <c r="I30" i="8"/>
  <c r="G30" i="8"/>
  <c r="F30" i="8"/>
  <c r="D30" i="8"/>
  <c r="C30" i="8"/>
  <c r="B30" i="8"/>
  <c r="J29" i="8"/>
  <c r="I29" i="8"/>
  <c r="G29" i="8"/>
  <c r="F29" i="8"/>
  <c r="C29" i="8"/>
  <c r="B29" i="8"/>
  <c r="J28" i="8"/>
  <c r="I28" i="8"/>
  <c r="G28" i="8"/>
  <c r="F28" i="8"/>
  <c r="E28" i="8"/>
  <c r="D28" i="8"/>
  <c r="C28" i="8"/>
  <c r="B28" i="8"/>
  <c r="J26" i="8"/>
  <c r="I26" i="8"/>
  <c r="G26" i="8"/>
  <c r="F26" i="8"/>
  <c r="E26" i="8"/>
  <c r="D26" i="8"/>
  <c r="C26" i="8"/>
  <c r="B26" i="8"/>
  <c r="J25" i="8"/>
  <c r="I25" i="8"/>
  <c r="G25" i="8"/>
  <c r="F25" i="8"/>
  <c r="E25" i="8"/>
  <c r="D25" i="8"/>
  <c r="C25" i="8"/>
  <c r="B25" i="8"/>
  <c r="J24" i="8"/>
  <c r="I24" i="8"/>
  <c r="G24" i="8"/>
  <c r="F24" i="8"/>
  <c r="E24" i="8"/>
  <c r="D24" i="8"/>
  <c r="C24" i="8"/>
  <c r="B24" i="8"/>
  <c r="J23" i="8"/>
  <c r="I23" i="8"/>
  <c r="G23" i="8"/>
  <c r="F23" i="8"/>
  <c r="E23" i="8"/>
  <c r="D23" i="8"/>
  <c r="C23" i="8"/>
  <c r="B23" i="8"/>
  <c r="J22" i="8"/>
  <c r="I22" i="8"/>
  <c r="G22" i="8"/>
  <c r="F22" i="8"/>
  <c r="E22" i="8"/>
  <c r="D22" i="8"/>
  <c r="C22" i="8"/>
  <c r="B22" i="8"/>
  <c r="J21" i="8"/>
  <c r="I21" i="8"/>
  <c r="G21" i="8"/>
  <c r="F21" i="8"/>
  <c r="E21" i="8"/>
  <c r="D21" i="8"/>
  <c r="C21" i="8"/>
  <c r="B21" i="8"/>
  <c r="J20" i="8"/>
  <c r="I20" i="8"/>
  <c r="G20" i="8"/>
  <c r="F20" i="8"/>
  <c r="E20" i="8"/>
  <c r="D20" i="8"/>
  <c r="C20" i="8"/>
  <c r="B20" i="8"/>
  <c r="J19" i="8"/>
  <c r="I19" i="8"/>
  <c r="G19" i="8"/>
  <c r="F19" i="8"/>
  <c r="E19" i="8"/>
  <c r="D19" i="8"/>
  <c r="C19" i="8"/>
  <c r="B19" i="8"/>
  <c r="J18" i="8"/>
  <c r="I18" i="8"/>
  <c r="G18" i="8"/>
  <c r="F18" i="8"/>
  <c r="E18" i="8"/>
  <c r="D18" i="8"/>
  <c r="C18" i="8"/>
  <c r="B18" i="8"/>
  <c r="J17" i="8"/>
  <c r="I17" i="8"/>
  <c r="G17" i="8"/>
  <c r="F17" i="8"/>
  <c r="D17" i="8"/>
  <c r="C17" i="8"/>
  <c r="B17" i="8"/>
  <c r="J16" i="8"/>
  <c r="I16" i="8"/>
  <c r="G16" i="8"/>
  <c r="F16" i="8"/>
  <c r="E16" i="8"/>
  <c r="D16" i="8"/>
  <c r="C16" i="8"/>
  <c r="B16" i="8"/>
  <c r="B15" i="8"/>
  <c r="B14" i="8"/>
  <c r="I13" i="8"/>
  <c r="C13" i="8"/>
  <c r="B13" i="8"/>
  <c r="I12" i="8"/>
  <c r="E12" i="8"/>
  <c r="D12" i="8"/>
  <c r="C12" i="8"/>
  <c r="B12" i="8"/>
  <c r="I11" i="8"/>
  <c r="E11" i="8"/>
  <c r="D11" i="8"/>
  <c r="C11" i="8"/>
  <c r="B11" i="8"/>
  <c r="I10" i="8"/>
  <c r="E10" i="8"/>
  <c r="D10" i="8"/>
  <c r="C10" i="8"/>
  <c r="B10" i="8"/>
  <c r="A7" i="8"/>
  <c r="A5" i="8"/>
  <c r="I18" i="6"/>
  <c r="I20" i="6" s="1"/>
  <c r="H18" i="6"/>
  <c r="H20" i="6" s="1"/>
  <c r="G18" i="6"/>
  <c r="G20" i="6" s="1"/>
  <c r="F18" i="6"/>
  <c r="F20" i="6" s="1"/>
  <c r="E18" i="6"/>
  <c r="E20" i="6" s="1"/>
  <c r="D18" i="6"/>
  <c r="D20" i="6" s="1"/>
  <c r="I2" i="6"/>
  <c r="G2" i="6"/>
  <c r="F2" i="6"/>
  <c r="E2" i="6"/>
  <c r="D2" i="6"/>
  <c r="M3" i="16"/>
  <c r="M17" i="16" s="1"/>
  <c r="K3" i="16"/>
  <c r="K17" i="16" s="1"/>
  <c r="I3" i="16"/>
  <c r="I17" i="16" s="1"/>
  <c r="G3" i="16"/>
  <c r="G17" i="16" s="1"/>
  <c r="E3" i="16"/>
  <c r="E17" i="16" s="1"/>
  <c r="C3" i="16"/>
  <c r="C17" i="16" s="1"/>
  <c r="R3" i="5"/>
  <c r="O3" i="5"/>
  <c r="L3" i="5"/>
  <c r="I3" i="5"/>
  <c r="F3" i="5"/>
  <c r="C3" i="5"/>
  <c r="W3" i="4"/>
  <c r="W10" i="4" s="1"/>
  <c r="S3" i="4"/>
  <c r="S10" i="4" s="1"/>
  <c r="O3" i="4"/>
  <c r="O10" i="4" s="1"/>
  <c r="K3" i="4"/>
  <c r="G3" i="4"/>
  <c r="G10" i="4" s="1"/>
  <c r="C3" i="4"/>
  <c r="C10" i="4" s="1"/>
  <c r="N24" i="11" l="1"/>
  <c r="D7" i="11"/>
  <c r="D9" i="11" s="1"/>
  <c r="K10" i="4"/>
  <c r="N24" i="12"/>
  <c r="E21" i="15"/>
  <c r="H16" i="15"/>
  <c r="K10" i="15" s="1"/>
  <c r="H17" i="15"/>
  <c r="L9" i="15" s="1"/>
  <c r="F21" i="13"/>
  <c r="A2" i="10"/>
  <c r="D9" i="13"/>
  <c r="K11" i="13" s="1"/>
  <c r="H15" i="9"/>
  <c r="I13" i="9"/>
  <c r="F21" i="14"/>
  <c r="G21" i="14" s="1"/>
  <c r="G24" i="14" s="1"/>
  <c r="E21" i="14"/>
  <c r="F21" i="15"/>
  <c r="G21" i="15" s="1"/>
  <c r="G24" i="15" s="1"/>
  <c r="F22" i="13"/>
  <c r="E21" i="13"/>
  <c r="E24" i="13" s="1"/>
  <c r="K12" i="13"/>
  <c r="K10" i="13"/>
  <c r="I13" i="14"/>
  <c r="H16" i="14"/>
  <c r="H15" i="14"/>
  <c r="N9" i="14" s="1"/>
  <c r="F15" i="8" s="1"/>
  <c r="L9" i="14"/>
  <c r="J11" i="13"/>
  <c r="J12" i="13"/>
  <c r="J10" i="13"/>
  <c r="A2" i="11"/>
  <c r="A2" i="12"/>
  <c r="I13" i="15"/>
  <c r="F23" i="10"/>
  <c r="G23" i="10" s="1"/>
  <c r="G26" i="10" s="1"/>
  <c r="L11" i="12"/>
  <c r="H15" i="15"/>
  <c r="D9" i="12"/>
  <c r="L10" i="12"/>
  <c r="F22" i="12"/>
  <c r="E21" i="12"/>
  <c r="E24" i="12" s="1"/>
  <c r="F21" i="12"/>
  <c r="G21" i="11"/>
  <c r="G24" i="11" s="1"/>
  <c r="E24" i="11"/>
  <c r="F24" i="10"/>
  <c r="E23" i="10"/>
  <c r="E26" i="10" s="1"/>
  <c r="H17" i="10"/>
  <c r="H15" i="10"/>
  <c r="I13" i="10"/>
  <c r="L9" i="10"/>
  <c r="M8" i="9"/>
  <c r="O12" i="9" s="1"/>
  <c r="J6" i="9"/>
  <c r="N8" i="9" s="1"/>
  <c r="P10" i="9" s="1"/>
  <c r="J6" i="13"/>
  <c r="N8" i="13" s="1"/>
  <c r="M8" i="13"/>
  <c r="J6" i="15"/>
  <c r="N8" i="15" s="1"/>
  <c r="E24" i="15"/>
  <c r="M8" i="15"/>
  <c r="M8" i="10"/>
  <c r="J6" i="10"/>
  <c r="N8" i="10" s="1"/>
  <c r="J6" i="14"/>
  <c r="N8" i="14" s="1"/>
  <c r="E24" i="14"/>
  <c r="M8" i="14"/>
  <c r="M8" i="12"/>
  <c r="J6" i="12"/>
  <c r="N8" i="12" s="1"/>
  <c r="J6" i="11"/>
  <c r="N8" i="11" s="1"/>
  <c r="M8" i="11"/>
  <c r="G21" i="9"/>
  <c r="G24" i="9" s="1"/>
  <c r="E21" i="9"/>
  <c r="E24" i="9" s="1"/>
  <c r="H15" i="11" l="1"/>
  <c r="K11" i="15"/>
  <c r="K12" i="15"/>
  <c r="K9" i="15"/>
  <c r="J9" i="13"/>
  <c r="M9" i="13"/>
  <c r="O9" i="13" s="1"/>
  <c r="L9" i="13"/>
  <c r="M9" i="14"/>
  <c r="G15" i="8" s="1"/>
  <c r="M9" i="15"/>
  <c r="O9" i="15" s="1"/>
  <c r="L10" i="15"/>
  <c r="L11" i="15"/>
  <c r="L12" i="15"/>
  <c r="G21" i="13"/>
  <c r="G24" i="13" s="1"/>
  <c r="N9" i="13"/>
  <c r="P9" i="13" s="1"/>
  <c r="K9" i="13"/>
  <c r="I13" i="13"/>
  <c r="J11" i="11"/>
  <c r="J10" i="11"/>
  <c r="J9" i="11"/>
  <c r="J12" i="11"/>
  <c r="N9" i="15"/>
  <c r="P9" i="15" s="1"/>
  <c r="J9" i="14"/>
  <c r="J12" i="14"/>
  <c r="J11" i="14"/>
  <c r="J10" i="14"/>
  <c r="J11" i="15"/>
  <c r="J10" i="15"/>
  <c r="J9" i="15"/>
  <c r="J12" i="15"/>
  <c r="H16" i="11"/>
  <c r="I13" i="11"/>
  <c r="H17" i="11"/>
  <c r="K12" i="14"/>
  <c r="K11" i="14"/>
  <c r="K10" i="14"/>
  <c r="K9" i="14"/>
  <c r="H16" i="9"/>
  <c r="J11" i="9"/>
  <c r="J9" i="9"/>
  <c r="J10" i="9"/>
  <c r="J12" i="9"/>
  <c r="H16" i="12"/>
  <c r="H15" i="12"/>
  <c r="I13" i="12"/>
  <c r="L9" i="12"/>
  <c r="G21" i="12"/>
  <c r="G24" i="12" s="1"/>
  <c r="N9" i="10"/>
  <c r="P9" i="10" s="1"/>
  <c r="J12" i="10"/>
  <c r="J10" i="10"/>
  <c r="J11" i="10"/>
  <c r="J9" i="10"/>
  <c r="M9" i="10"/>
  <c r="K11" i="10"/>
  <c r="K9" i="10"/>
  <c r="K12" i="10"/>
  <c r="K10" i="10"/>
  <c r="P10" i="10"/>
  <c r="P11" i="10"/>
  <c r="P12" i="10"/>
  <c r="P11" i="15"/>
  <c r="P12" i="15"/>
  <c r="P10" i="15"/>
  <c r="O10" i="12"/>
  <c r="O11" i="12"/>
  <c r="O12" i="12"/>
  <c r="P10" i="11"/>
  <c r="P11" i="11"/>
  <c r="P12" i="11"/>
  <c r="P12" i="14"/>
  <c r="P9" i="14"/>
  <c r="P10" i="14"/>
  <c r="P11" i="14"/>
  <c r="O10" i="15"/>
  <c r="O11" i="15"/>
  <c r="O12" i="15"/>
  <c r="P12" i="13"/>
  <c r="P10" i="13"/>
  <c r="P11" i="13"/>
  <c r="P12" i="9"/>
  <c r="P11" i="9"/>
  <c r="P11" i="12"/>
  <c r="P12" i="12"/>
  <c r="P10" i="12"/>
  <c r="O11" i="14"/>
  <c r="O12" i="14"/>
  <c r="O10" i="14"/>
  <c r="O12" i="11"/>
  <c r="O10" i="11"/>
  <c r="O11" i="11"/>
  <c r="O12" i="10"/>
  <c r="O10" i="10"/>
  <c r="O11" i="10"/>
  <c r="O11" i="13"/>
  <c r="O12" i="13"/>
  <c r="O10" i="13"/>
  <c r="O11" i="9"/>
  <c r="O10" i="9"/>
  <c r="O9" i="14" l="1"/>
  <c r="M9" i="11"/>
  <c r="G12" i="8" s="1"/>
  <c r="N9" i="12"/>
  <c r="F13" i="8" s="1"/>
  <c r="N9" i="11"/>
  <c r="F12" i="8" s="1"/>
  <c r="M9" i="12"/>
  <c r="K10" i="9"/>
  <c r="K11" i="9"/>
  <c r="K9" i="9"/>
  <c r="K12" i="9"/>
  <c r="N9" i="9"/>
  <c r="M9" i="9"/>
  <c r="K10" i="11"/>
  <c r="K9" i="11"/>
  <c r="K12" i="11"/>
  <c r="K11" i="11"/>
  <c r="L12" i="11"/>
  <c r="L11" i="11"/>
  <c r="L10" i="11"/>
  <c r="L9" i="11"/>
  <c r="K11" i="12"/>
  <c r="K9" i="12"/>
  <c r="K12" i="12"/>
  <c r="K10" i="12"/>
  <c r="J12" i="12"/>
  <c r="J10" i="12"/>
  <c r="J11" i="12"/>
  <c r="J9" i="12"/>
  <c r="F11" i="8"/>
  <c r="O9" i="10"/>
  <c r="G11" i="8"/>
  <c r="P9" i="11" l="1"/>
  <c r="P9" i="12"/>
  <c r="O9" i="11"/>
  <c r="G13" i="8"/>
  <c r="O9" i="12"/>
  <c r="O9" i="9"/>
  <c r="G10" i="8"/>
  <c r="P9" i="9"/>
  <c r="F10" i="8"/>
  <c r="L12" i="9"/>
  <c r="L10" i="9"/>
  <c r="L11" i="9"/>
  <c r="L9" i="9"/>
</calcChain>
</file>

<file path=xl/sharedStrings.xml><?xml version="1.0" encoding="utf-8"?>
<sst xmlns="http://schemas.openxmlformats.org/spreadsheetml/2006/main" count="846" uniqueCount="285">
  <si>
    <t>UNIDAD ADMINISTRATIVA ESPECIAL DE LA AERONAUTICA CIVIL</t>
  </si>
  <si>
    <t>OBJETO:</t>
  </si>
  <si>
    <t>RECURSOS FINANCIEROS Y PRESUPUESTO OFICIAL</t>
  </si>
  <si>
    <t>MANIFESTACIÓN DE INTERÉS PARA PARTICIPAR EN EL PROCESO</t>
  </si>
  <si>
    <t>REQUISITOS TÉCNICOS</t>
  </si>
  <si>
    <t>REQUESITOS HABILITANTES</t>
  </si>
  <si>
    <t>DOCUMENTOS DE LA PROPUESTA</t>
  </si>
  <si>
    <t>DOCUMENTO</t>
  </si>
  <si>
    <t>NÚMERO DE PROPUESTAS</t>
  </si>
  <si>
    <t>FORMATO DE PRESENTACIÓN DE LA OFERTA (FORMATO 1)</t>
  </si>
  <si>
    <t>MANIFESTACIÓN DE INTERÉS</t>
  </si>
  <si>
    <t>CERTIFICADO CUMPLIMIENTO ESPECIFICACIONES TÉCNICAS (FORMATO ANEXO No.2)</t>
  </si>
  <si>
    <t>PRESENTACIÓN DE FORMATO No. 6 APOYO A LA INDUSTRIA NACIONAL</t>
  </si>
  <si>
    <t>EXPERIENCIA DEL PROPONENTE</t>
  </si>
  <si>
    <t>NUMERO DE PROPUESTAS</t>
  </si>
  <si>
    <t>REGISTRO ÚNICO DE PROPONENTES RUP</t>
  </si>
  <si>
    <t>Cumple</t>
  </si>
  <si>
    <t xml:space="preserve">Cumple </t>
  </si>
  <si>
    <t>CONCLUSIONES Y RECOMENDACIONES</t>
  </si>
  <si>
    <t>Cordialmente,</t>
  </si>
  <si>
    <t>Aerocivil-Regional Antioquia</t>
  </si>
  <si>
    <t>NUMERO DE PERSONAS AFILIADAS AL SGSSS</t>
  </si>
  <si>
    <t>DESDE</t>
  </si>
  <si>
    <t>HASTA</t>
  </si>
  <si>
    <t>PUNTOS</t>
  </si>
  <si>
    <t>EQUIPOS</t>
  </si>
  <si>
    <t xml:space="preserve">PUNTAJE TOTAL CAPACIDAD PERSONAL </t>
  </si>
  <si>
    <t xml:space="preserve">PUNTAJE TOTAL CAPACIDAD DE EQUIPOS </t>
  </si>
  <si>
    <t>PUNTAJE TOTAL EVALUACION TÉCNICA</t>
  </si>
  <si>
    <t>PUNTAJE APOYO A LA INDUSTRIA NACIONAL</t>
  </si>
  <si>
    <t>PUNTAJE  EVALUACION TÉCNICA</t>
  </si>
  <si>
    <t xml:space="preserve"> </t>
  </si>
  <si>
    <t xml:space="preserve"> EVALUACIÓN TÉCNICA ECONÓMICA DE LAS PROPUESTAS</t>
  </si>
  <si>
    <t>En la página del SECOP ll se encuentra publicado el listado de los oferentes que manifestaron interés de participar en el proceso, el cual fue verificado.</t>
  </si>
  <si>
    <t>SI</t>
  </si>
  <si>
    <t>Adjunta</t>
  </si>
  <si>
    <t>CARTA DE DISPONIBILIDAD</t>
  </si>
  <si>
    <t>VALOR INGRESADO EN EL SECOP II</t>
  </si>
  <si>
    <t>PRESENTACIÓN DE LA OFERTA,  (FORMULARIO No. 1)</t>
  </si>
  <si>
    <t>REPÚBLICA DE COLOMBIA</t>
  </si>
  <si>
    <t>MINISTERIO DE TRANSPORTE</t>
  </si>
  <si>
    <t>AERONAUTICA CIVIL</t>
  </si>
  <si>
    <t>SELECCIÓN ABREVIADA DE MENOR CUANTÍA</t>
  </si>
  <si>
    <t>DIRECCION DE REGIONAL ANTIOQUIA</t>
  </si>
  <si>
    <t>NUMERO DE PROPONENTE</t>
  </si>
  <si>
    <t>NOMBRE DEL PROPONENTE</t>
  </si>
  <si>
    <t>CONTRATO 1</t>
  </si>
  <si>
    <t>CONTRATO 2</t>
  </si>
  <si>
    <t>CONTRATO 3</t>
  </si>
  <si>
    <t>PUNTAJE TOTAL</t>
  </si>
  <si>
    <t>EVALUACION FINAL</t>
  </si>
  <si>
    <t>OBSERVACIONES</t>
  </si>
  <si>
    <t>Cuando en la verificación aritmética de las propuestas económicas presentadas por los proponentes. Se presenten correcciones aritméticas del ofrecimiento económico, mayor o igual al UNO por ciento (1%), por exceso o defecto, con respecto al valor registrado en el formulario No.1 el día del cierre del proceso.  Presenta un error matematico de $24.363.407.</t>
  </si>
  <si>
    <t>N/P</t>
  </si>
  <si>
    <t>NP</t>
  </si>
  <si>
    <t xml:space="preserve">UNIDAD ADMINISTRATIVA ESPECIAL DE AERONAUTICA CIVIL
DIRECCION DE REGIONAL ANTIOQUIA
</t>
  </si>
  <si>
    <t xml:space="preserve">AÑO </t>
  </si>
  <si>
    <t>VALOR (COP)</t>
  </si>
  <si>
    <t>PRESUPUESTO OFICIAL (PO)</t>
  </si>
  <si>
    <t>PO</t>
  </si>
  <si>
    <t>2 veces el PRESUPUESTO OFICIAL (PO)</t>
  </si>
  <si>
    <t>PRESUPUESTO OFICIAL SMMLV</t>
  </si>
  <si>
    <t>PO SMMLV</t>
  </si>
  <si>
    <t>TIEMPO DE EJECUCION</t>
  </si>
  <si>
    <t>meses</t>
  </si>
  <si>
    <t>DIAS</t>
  </si>
  <si>
    <t>POM en SMMLV/mes</t>
  </si>
  <si>
    <t>SMMLV/MES</t>
  </si>
  <si>
    <t>PROPONENTE</t>
  </si>
  <si>
    <t>EL INTEGRANTE QUE APORTE LA EXPERIENCIA DEBERA TENER COMO MINIMO EL 50% DE PARTICIPACION EN EL CONSORCIO O UNION TEMPORAL</t>
  </si>
  <si>
    <t>VALOR REQUERIDO DE VTE (60%)</t>
  </si>
  <si>
    <t>VALOR REQUERIDO DE PFMT (60%)</t>
  </si>
  <si>
    <t>VTE</t>
  </si>
  <si>
    <t>PFMT</t>
  </si>
  <si>
    <t>INTEGRANTES</t>
  </si>
  <si>
    <t>INTEGRANTE 1</t>
  </si>
  <si>
    <t>INTEGRANTE 2</t>
  </si>
  <si>
    <t>INTEGRANTE 3</t>
  </si>
  <si>
    <t>INTEGRANTE 4</t>
  </si>
  <si>
    <t>EVALUACION DE LA EXPERIENCIA</t>
  </si>
  <si>
    <t xml:space="preserve"> # INTEGRANTES</t>
  </si>
  <si>
    <t>CTO INSCRITO EN EL RUP SI/NO</t>
  </si>
  <si>
    <t>CTO</t>
  </si>
  <si>
    <t>ENTIDAD CONTRATANTE</t>
  </si>
  <si>
    <t># CTO</t>
  </si>
  <si>
    <t>VALOR EJECUTADO EN SMMLV</t>
  </si>
  <si>
    <t>CUMPLE CON OBJETO - EXP CTO SI/NO</t>
  </si>
  <si>
    <t>% PARTICIPACION EN EL CTO</t>
  </si>
  <si>
    <t>INTEGRANTE QUE APORTA LA EXPERIENCIA</t>
  </si>
  <si>
    <t>Fecha de Iniciacion
(DD-MM-AA)</t>
  </si>
  <si>
    <t>Tiempo de Suspensión
(Meses)</t>
  </si>
  <si>
    <t>Fecha de Terminacion
(DD-MM-AA)</t>
  </si>
  <si>
    <t xml:space="preserve">TIEMPO TOTAL </t>
  </si>
  <si>
    <t>CUMPLE/NO CUMPLE</t>
  </si>
  <si>
    <t>CUMPLE</t>
  </si>
  <si>
    <t>RESUMEN</t>
  </si>
  <si>
    <t>VLR SEGÚN PARTICIPACION ACTUALIZADO VFA</t>
  </si>
  <si>
    <t>PFM</t>
  </si>
  <si>
    <t>APOYO A LA INDUSTRIA NACIONAL</t>
  </si>
  <si>
    <t>FACTOR DE CALIDAD</t>
  </si>
  <si>
    <t>CAPACIDAD DE PERSONAL</t>
  </si>
  <si>
    <t>CAPACIDAD DE EQUIPOS</t>
  </si>
  <si>
    <t>EVALUACION VTE</t>
  </si>
  <si>
    <t>EVALUACION PFMT</t>
  </si>
  <si>
    <t>HABIL</t>
  </si>
  <si>
    <t>PUNTAJE</t>
  </si>
  <si>
    <t>CONDICIONES GENERALES</t>
  </si>
  <si>
    <t>CODIGOS - EXPERENCIA</t>
  </si>
  <si>
    <t>EL INTEGRANTE QUE APORTE LA EXPERIENCIA DEBERA TENER COMO MINIMO EL 25% DE PARTICIPACION EN EL CONSORCIO O UNION TEMPORAL</t>
  </si>
  <si>
    <t>CONFORMACIÓN CONSORCIO O UNION TEMPORAL</t>
  </si>
  <si>
    <t>NO APLICA</t>
  </si>
  <si>
    <t>INTEGRANTES CONSORCIO</t>
  </si>
  <si>
    <t>No aplica</t>
  </si>
  <si>
    <t>NO HABIL</t>
  </si>
  <si>
    <t>NO CUMPLE</t>
  </si>
  <si>
    <t>Alvaro Hernán Restrepo Guzmán</t>
  </si>
  <si>
    <t>Profesional Aeronáutico</t>
  </si>
  <si>
    <t xml:space="preserve"> Conclusiones:  </t>
  </si>
  <si>
    <r>
      <t xml:space="preserve">PFMT MIN
</t>
    </r>
    <r>
      <rPr>
        <b/>
        <sz val="11"/>
        <rFont val="Calibri"/>
        <family val="2"/>
      </rPr>
      <t>120,16</t>
    </r>
  </si>
  <si>
    <r>
      <t xml:space="preserve">VTE MIN
</t>
    </r>
    <r>
      <rPr>
        <b/>
        <sz val="11"/>
        <rFont val="Calibri"/>
        <family val="2"/>
      </rPr>
      <t>480,65</t>
    </r>
  </si>
  <si>
    <r>
      <t xml:space="preserve">APOYO A LA IND NACIONAL 
</t>
    </r>
    <r>
      <rPr>
        <b/>
        <sz val="10"/>
        <rFont val="Calibri"/>
        <family val="2"/>
      </rPr>
      <t>MAX 10 PTS</t>
    </r>
  </si>
  <si>
    <t>AEROCIVIL</t>
  </si>
  <si>
    <t>FONADE</t>
  </si>
  <si>
    <t>13000176 OH 2013</t>
  </si>
  <si>
    <t>FISCALIA GENERAL DE LA NACION - SECCIONAL BOLIVAR</t>
  </si>
  <si>
    <t xml:space="preserve">
- Residente de obra: – Tiempo Completo 
Se requiere proponer un Residente de obra que acredite como mínimo ser profesional en: ingeniería civil o Arquitectura y debe poseer la siguiente experiencia: 
Experiencia General. Tener experiencia profesional mínima de dos (2) años, contados a partir de la fecha de expedición de la matrícula profesional o su equivalente y hasta el cierre de la presente invitación, la cual debe estar debidamente certificada y demostrada con documentos soporte; 
</t>
  </si>
  <si>
    <t>Hoja de vida.</t>
  </si>
  <si>
    <t>Copia del título otorgado por la institución educativa.</t>
  </si>
  <si>
    <t>Copia tarjeta profesional (para las profesiones que así lo requieran) o licencia</t>
  </si>
  <si>
    <t>Certificado de vigencia de la tarjeta profesional o su equivalente (vigente).</t>
  </si>
  <si>
    <t>El personal mínimo propuesto debe adjuntar carta de intención  (incluir)</t>
  </si>
  <si>
    <r>
      <rPr>
        <b/>
        <sz val="7"/>
        <color theme="1"/>
        <rFont val="Arial"/>
        <family val="2"/>
      </rPr>
      <t xml:space="preserve"> 
3.15.1  PERSONAL MÍNIMO REQUERIDO
</t>
    </r>
    <r>
      <rPr>
        <sz val="7"/>
        <color theme="1"/>
        <rFont val="Arial"/>
        <family val="2"/>
      </rPr>
      <t xml:space="preserve">La entidad verificará el personal mínimo requerido señalado en los presentes pliegos de condiciones, quien cumpla con el personal y con la idoneidad requerida para la presente convocatoria su propuesta será considera como hábil. 
</t>
    </r>
  </si>
  <si>
    <t>No adjunta</t>
  </si>
  <si>
    <t>No Presenta</t>
  </si>
  <si>
    <t>No presenta</t>
  </si>
  <si>
    <t>PERSONAL MÍNIMO REQUERIDO</t>
  </si>
  <si>
    <t>GRUPO S Y C SAS</t>
  </si>
  <si>
    <t>17 igual o en adelante</t>
  </si>
  <si>
    <t xml:space="preserve">
Director de obra –  Treinta por ciento del Tiempo (30%)
Se requiere proponer un Director de obra para la prestación del servicio con las siguientes condiciones: Que represente al Contratista en los aspectos técnicos y administrativos y también será la persona en la cual la organización delegue la responsabilidad general de la ejecución del proyecto; el profesional ofrecido como Director de obra debe ser Ingeniero Civil o Arquitecto y poseer la siguiente experiencia: 
Experiencia general: Tener experiencia profesional mínima de seis (6) años, contados a partir de la fecha de expedición de la matrícula profesional y hasta el cierre de la presente convocatoria, la cual debe estar debidamente certificada y demostrada con documentos soportes; 
 Se debe adjuntar carta de intención 
</t>
  </si>
  <si>
    <t xml:space="preserve">
- Inspector en seguridad y salud en el trabajo: – Cincuenta por ciento del Tiempo (50%)
Se requiere proponer un inspector en seguridad y salud en el trabajo que acredite como mínimo ser tecnólogo en salud ocupacional y debe poseer la siguiente experiencia: 
Experiencia General. Tener experiencia mínima de dos (2) años, contados a partir de la fecha de expedición de la matrícula o licencia y hasta el cierre de la presente invitación, la cual debe estar debidamente certificada y demostrada con documentos soporte;
</t>
  </si>
  <si>
    <t>Ingeniero Civil UNIVERSIDAD NACIONAL 1991</t>
  </si>
  <si>
    <t>Clínica Odontológica Nueva Imagen Oral</t>
  </si>
  <si>
    <t>OM-01-2011</t>
  </si>
  <si>
    <t>SENA REGIONAL QUIBDO</t>
  </si>
  <si>
    <t>484 DE 2015</t>
  </si>
  <si>
    <t>MUNICIPIO DE CHIRIGUANA</t>
  </si>
  <si>
    <t>002-10</t>
  </si>
  <si>
    <t xml:space="preserve">1. Numero del consecutivo RUP del contrato reportado N ° 84  participación en 100%, OBJETO:  Ejecucion de obras para la terminacion para la segunda etapa de la E.S.E. Hospital Cesar Uribe Piedrahita del municipio de Caucasia   Contratante E.S.E. HOSPITAL CESAR URIBE PIEDRAHITA DEL MUNICIPIO DE CAUCASIA  valor a reportar: $ 25.328.075.382   (34.332,61 SMML). CUMPLE.
</t>
  </si>
  <si>
    <t>OP-67 DE 2016</t>
  </si>
  <si>
    <t>058 DEL 2013</t>
  </si>
  <si>
    <t>081 DEL 2015</t>
  </si>
  <si>
    <t xml:space="preserve">E.S.E. HOSPITAL CESAR URIBE PIEDRAHITA DEL MUNICIPIO DE CAUCASIA </t>
  </si>
  <si>
    <t xml:space="preserve">E.S.E HOSPITAL MARCO FIDEL SUAREZ DE BELLO </t>
  </si>
  <si>
    <t>E.S.E. HOSPITAL SAN JUAN DE DIOS DE EL SANTUARIO</t>
  </si>
  <si>
    <t>Ingeniero Civil UNIVERSIDAD NACIONAL 2003</t>
  </si>
  <si>
    <t>Se realiza verificacion a las planilla 30620693 abril 2016 presenta más 18 personas afiladas que esta de forma continua y la planilla 30973076 de mayo de 2016 presenta más 18 personas afiladas que esta de forma continua, encontrando que  un promedio de 18 personas afiladas que estan de forma continua en los 2 meses.</t>
  </si>
  <si>
    <t>COLOMBIANA DE LA INGENIERIA Y DE LA ARQUITECTURA S.A.S – COLINAR SAS</t>
  </si>
  <si>
    <t>Se realiza verificacion a las planillas del oferente, encontrando que en la PLANILLAS No. 36998457 de mayo 2018 presenta 1 persona a que esta de forma continua y la planilla PLANILLAS No. 37270564 junio marzo presenta 1 persona que esta de forma continua, para un promedio de 1 persona  que estan de forma continua en los 2 meses.</t>
  </si>
  <si>
    <t>PROCESO 18000964 H4 A de 2018</t>
  </si>
  <si>
    <t>055-00-ICACOM-6-GRUAL-2015</t>
  </si>
  <si>
    <t>POLICIA
NACIONAL</t>
  </si>
  <si>
    <t>96-6-10057-16</t>
  </si>
  <si>
    <t>20-6-10013-17</t>
  </si>
  <si>
    <t>DEPARTAMENTO POLICIA DE CAQUETA</t>
  </si>
  <si>
    <t>POLICIA METROPOLITANA DE NEIVA</t>
  </si>
  <si>
    <t>00-249-2016</t>
  </si>
  <si>
    <t>UNIDAD ADMINISTRATIVA ESPECIAL DIRECCION DE IMPUESTOS Y ADUANAS NACIONALES - DIAN</t>
  </si>
  <si>
    <t>00-231-2016</t>
  </si>
  <si>
    <t>SELECCIÓN ABREVIADA DE MENOR CUANTIA No. 18001144 H4 de 2018</t>
  </si>
  <si>
    <t xml:space="preserve">CONTRATAR EL MANTENIMIENTO Y MEJORAMIENTO DEL CERRAMIENTO PERIMETRAL DE LAS ESTACIONES VOR MARINILLA, OTU-REMEDIOS EN ANTIOQUIA Y QUIBDÓ EN CHOCÓ </t>
  </si>
  <si>
    <t>Obra constancia que al cierre de la presentación de propuesta para la selección abreviada de Menor Cuantía No. 18001144 H4 el día 9 de Octubre de 2018 a las 2:00 pm, por tanto se elaboró el acta de cierre de las mismas y se constató los certificados de la respectiva documentación allegada para cada uno de los proponentes.</t>
  </si>
  <si>
    <t>Se recibieron propuestas de los siguientes oferentes: COLOMBIANA DE LA INGENIERIA Y DE LA ARQUITECTURA S.A.S – COLINAR SA, CONSTRUYENDO AMBIENTE SAS, GRUPO SYC SAs, INGENIERIA RH, ORGANIZACIÓN HAR SAS, USCOM SAS, ALCALA Y ESPINOSA, CONSTRUCCIONES EULER MEDINA GARCIA Y CIA LTDA. propuestas que fueron el soporte para adelantar la respectiva evaluación por parte del comité técnico.</t>
  </si>
  <si>
    <t>La Aeronáutica Civil, Regional Antioquia cubrirá los costos de la contratación a realizar con recursos correspondiente a la vigencia fiscal de 2018, de conformidad con el certificado de disponibilidad presupuestal SIIF Nación No.9218 de fecha 27 de agosto de 2018, por valor de$ 196.612.941</t>
  </si>
  <si>
    <t>Adjunta Pero no ofrece contratar personal  y adquirir material 100% Colombiano para el desarrollo de la obra</t>
  </si>
  <si>
    <r>
      <rPr>
        <b/>
        <sz val="10"/>
        <color theme="1"/>
        <rFont val="Calibri"/>
        <family val="2"/>
        <scheme val="minor"/>
      </rPr>
      <t>ACTIVIDADES Y CLASIFICACIÓN SEGÚN LA UNSPSC.</t>
    </r>
    <r>
      <rPr>
        <sz val="10"/>
        <color theme="1"/>
        <rFont val="Calibri"/>
        <family val="2"/>
        <scheme val="minor"/>
      </rPr>
      <t xml:space="preserve"> El Proponente deberá tener al menos uno los siguientes códigos inscritos en el RUP:  721015 Servicios de apoyo a la construcción </t>
    </r>
    <r>
      <rPr>
        <b/>
        <sz val="10"/>
        <color theme="1"/>
        <rFont val="Calibri"/>
        <family val="2"/>
        <scheme val="minor"/>
      </rPr>
      <t>721029 Servicios de mantenimiento y reparación de instalaciones y 721214 Servicios de construcción de edificios públicos especializados</t>
    </r>
  </si>
  <si>
    <r>
      <rPr>
        <b/>
        <sz val="10"/>
        <color theme="1"/>
        <rFont val="Calibri"/>
        <family val="2"/>
        <scheme val="minor"/>
      </rPr>
      <t xml:space="preserve"> EXPERIENCIA GENERAL.</t>
    </r>
    <r>
      <rPr>
        <sz val="10"/>
        <color theme="1"/>
        <rFont val="Calibri"/>
        <family val="2"/>
        <scheme val="minor"/>
      </rPr>
      <t xml:space="preserve">  Para la acreditación de la EXPERIENCIA REQUERIDA, además de consignarse en el formulario de experiencia toda la información solicitada, según corresponda, el proponente deberá cumplir los siguientes requisitos:
• El proponente deberá acreditar hasta (03) contratos terminados que cumplan lo requerido en el pliego, contratos de obra pública o prestación de servicios, con entidades públicas y/o privadas, cuyo valor sea igual o mayor a dos (2) veces el presupuesto oficial expresado en salarios mínimos, los cuales deben encontrarse inscritos en el Registro Único de Proponentes- RUP, deberán contemplar por lo menos una (1) clasificación de bienes y servicios de Naciones Unidas hasta el tercer nivel clasificación solicitada en el presente proceso:  721015 Servicios de apoyo a la construcción 721029 Servicios de mantenimiento y reparación de instalaciones y 721214 Servicios de construcción de edificios públicos especializados</t>
    </r>
  </si>
  <si>
    <r>
      <rPr>
        <b/>
        <sz val="7.5"/>
        <color theme="1"/>
        <rFont val="Arial"/>
        <family val="2"/>
      </rPr>
      <t xml:space="preserve"> EXPERIENCIA ESPECIFICA.</t>
    </r>
    <r>
      <rPr>
        <sz val="7.5"/>
        <color theme="1"/>
        <rFont val="Arial"/>
        <family val="2"/>
      </rPr>
      <t xml:space="preserve">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t>
    </r>
  </si>
  <si>
    <t>MUNICIPIO DE RIONEGRO</t>
  </si>
  <si>
    <t>041 DE 2014</t>
  </si>
  <si>
    <t>MUNICIPIO DE GIRALDO</t>
  </si>
  <si>
    <t>LP 003 de 2009</t>
  </si>
  <si>
    <t>JORGE ARTURO FLOREZ ADAVE Ingeniero Civil</t>
  </si>
  <si>
    <t>05202-42870 ANT 18/6/1992</t>
  </si>
  <si>
    <t>Copnia 18/6/1992</t>
  </si>
  <si>
    <t>Oscar Dario Londoño Ingeniero Civil</t>
  </si>
  <si>
    <t>Ingeniero Civil UNIVERSIDAD COOPERATIVA DE COLOMBIA 2012</t>
  </si>
  <si>
    <t>0520237749 ANT 18/10/2012</t>
  </si>
  <si>
    <t>Copnia 18/10/2012</t>
  </si>
  <si>
    <t>Ana María Buelva Tecnologa de Salud Ocupacional</t>
  </si>
  <si>
    <t>Tecnologa de Salud Ocupacional SENA 2010</t>
  </si>
  <si>
    <t>Licencia -Resolución 0108823 (20 de sept de 2010)</t>
  </si>
  <si>
    <t>Mezcladora de concreto</t>
  </si>
  <si>
    <t>Rana vibrocompactadora</t>
  </si>
  <si>
    <t>Equipos de soldadura</t>
  </si>
  <si>
    <t>Vibradores para concreto</t>
  </si>
  <si>
    <t xml:space="preserve"> EXPERIENCIA ESPECIFICA.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t>
  </si>
  <si>
    <t>CONSTRUYENDO AMBIENTE SAS</t>
  </si>
  <si>
    <t xml:space="preserve">1. Numero del consecutivo del contrato reportado N ° 21  %participación: en 100%, Objeto: Estudios tecnicos, ajuste a Diseños y CONSTRUCCION DE INFRAESTRUCTURA DEL CENTRO DE DESARROLLO  INFANTIL SECTOR EL LAGO MINICIPIO DE RIONEGRO ANTIOQUIA Contratante MUNICIPIO DE RIONEGRO Valor ejecutado: $ 658.467.600   (1.068,94 SMML). CUMPLE.
2. Numero del consecutivo RUP del contrato reportado N ° 3, participación en 100%, OBJETO:  Construccion del Relleno Sanitario del Municipio de Giraldo - Primera Etapa. Contratante  MUNICIPIO DE GIRALDO  valor a reportar: $ 408.520.206 (793,24 SMML). CUMPLE.
</t>
  </si>
  <si>
    <t xml:space="preserve">1. Numero del consecutivo RUP del contrato reportado N ° 45  participación en 100%, OBJETO:  OBRA PÚBLICA EN LAS INSTALACIONES DE LA SEDE POBALDO DEL POLITECNICO COLOMBIANO JAIME ISAZA CADAVID l contratante POLITECNICO COLOMBIANO JAIME ISAZA CADAVID valor a reportar: $ 914.329.783,00   (1326.061,09 SMML).     CUMPLE.                                                                                                                                                                                                                                             
</t>
  </si>
  <si>
    <t>DIEGO LEON CORTES CORDOBA Ingeniero Civil</t>
  </si>
  <si>
    <t>Ingeniero Civil Universidad de Medellín 1997</t>
  </si>
  <si>
    <t>0520269769 ANT  29/1/1998</t>
  </si>
  <si>
    <t>Juan Carlos Montoya Lopéz Arquitecto</t>
  </si>
  <si>
    <t>Aquitecto Universidad Pontificia Bolivariana 1990</t>
  </si>
  <si>
    <t xml:space="preserve">0570039069 ANT </t>
  </si>
  <si>
    <t>Liliana Esneda Garcia Garcia Tecnologa en seguridad e higiene Ocupacional</t>
  </si>
  <si>
    <t>Tecnologa en seguridad e higiene Ocupacional Politecnico Colombiano Jaime Isaza Cadavid 2005</t>
  </si>
  <si>
    <t>Licencia -Resolución 298538 de 29/09/2015</t>
  </si>
  <si>
    <t>JUAN PABLO ESCOBAR VALDERRAMA. Arquitecto</t>
  </si>
  <si>
    <t>Arquitecto UNIVERSIDAD PONTIFICA BOLIVARIANA 1997</t>
  </si>
  <si>
    <t>0570078667 ANT 23/07/98</t>
  </si>
  <si>
    <t>Consejo Profesional Nacional de Arquitectura y sus profesiones auxiliares 23/07/98</t>
  </si>
  <si>
    <t>Hugo Andrés Cuartas Jimenez Ingeniero Civil</t>
  </si>
  <si>
    <t>05202115264 ANT  02/17/2005</t>
  </si>
  <si>
    <t>Copnia 17/02/2005</t>
  </si>
  <si>
    <t xml:space="preserve"> CUMPLE</t>
  </si>
  <si>
    <t>Cristian Andrés Espinosa Puerta Tecnnólogo en Seguridsad Industrial, Salud Ocupacional y Medio Ambiente en la construcción</t>
  </si>
  <si>
    <t>Tecnnólogo en Seguridsad Industrial, Salud Ocupacional y Medio Ambiente en la construcción SENA 2012</t>
  </si>
  <si>
    <t>Licencia -Resolución 093570 de 02/09/2013</t>
  </si>
  <si>
    <t>INGENIERIA RH SAS</t>
  </si>
  <si>
    <t>no presenta</t>
  </si>
  <si>
    <t xml:space="preserve">1. Numero del consecutivo RUP del contrato reportado N ° 5  participación en 100%, OBJETO:  CONSTRUCCIÓN DE LA SEDE SOCIAL CAMPESTRE ISEC S.A. EN LA CIUDAD DE FUSAGASUGÁ  Contratante: ISEC S.A valor a reportar: $ 380.275.000  (671,03 SMML).
</t>
  </si>
  <si>
    <t>2. Nombre del consecutivo RUP del contrato reportado N° 27 articipación en 100%, OBJETO:  CONSTRUCCIÓN Y/O ADECUACIÓN DE TRES ESTACIONES PARA EL MONTAJE DE LA RED CANAL DE TELEVISIÓN IV ETAPA, UBICADAS EN LOS MUNICIPIOS DE YARUMAL (ANTIOQUIA), GUARNE (ANTIOQUIA) Y ZIPAQUIRA (CUNDINAMARCA) Contratante: CONSORCIO CANALES NACIONALES PRIVADOS valor a reportar: $ 107.446.007,94  (323,63 SMML),  CUMPLE.</t>
  </si>
  <si>
    <t>MANUEL OSWALDO MEDINA RUIZ. Arquitecto</t>
  </si>
  <si>
    <t>Arquitecto UNIVERSIDAD PILOTO DE COLOMBIA 1994</t>
  </si>
  <si>
    <t>2570053193CND 01/12/94</t>
  </si>
  <si>
    <t>Consejo Profesional Nacional de Arquitectura y sus profesiones auxiliares 01/12/94</t>
  </si>
  <si>
    <t>Miguel Angel Moya Patiño. Arquitecto</t>
  </si>
  <si>
    <t>Arquitecto UNIVERSIDAD PILOTO DE COLOMBIA 1997</t>
  </si>
  <si>
    <t>2570068213CND 16/10/1997</t>
  </si>
  <si>
    <t>Consejo Profesional Nacional de Arquitectura y sus profesiones auxiliares 16/10/1997</t>
  </si>
  <si>
    <t>Javier Alexander Valbuena Saldaña. Tecnologo en Higiene y Seguridad Industrial.</t>
  </si>
  <si>
    <t>Tecnologo en Higiene y Seguridad Industrial. Corporacion Instituto Tecnologico de la Seguridad 1998</t>
  </si>
  <si>
    <t>Licencia -Resolución 6156 (09 de Junio de 2011)</t>
  </si>
  <si>
    <t>ORGANIZACIÓN HAR SAS</t>
  </si>
  <si>
    <t>1. Numero del consecutivo RUP del contrato reportado N ° 11  participación en 50%, OBJETO:  CONSTRUCCIÓN DEL CERRAMIENTO EN MAMPOSTERIA EN ATEPECHO Y MALLA ESLABONADA DEL PREDIO TANQUE CASABKLANCA PROPIEDAD DE LA EMPRESA DE ACUEDUCTO Y ALCANTARILLADO DE BOGOTA-ESP Contratante: UNIDAD ADMINISTRATIVA ESPECIAL DE AERONAUTICA CIVIL valor a reportar: $ 847.962.632  (1.182,57 SMML). CUMPLE</t>
  </si>
  <si>
    <t>Se realiza verificacion a las planilla 10472080 abril 2016 presenta más 18 personas afiladas que esta de forma continua y la planilla 10539775 de mayo de 2016 presenta  18 personas afiladas que esta de forma continua en los 2 meses.</t>
  </si>
  <si>
    <t>USCOM SAS</t>
  </si>
  <si>
    <t>No se puede evaluar, porque no presenta el N° contrato del RUP</t>
  </si>
  <si>
    <t>1. Numero del consecutivo RUP del contrato reportado N ° 11  Contratante: UNIDAD ADMINISTRATIVA ESPECIAL DE AERONAUTICA CIVIL, OBJETO:  CONSTRUCCIÓN DEL CERRAMIENTO EN MAMPOSTERIA EN ATEPECHO Y MALLA ESLABONADA DEL PREDIO TANQUE CASABLANCA PROPIEDAD DE LA EMPRESA DE ACUEDUCTO Y ALCANTARILLADO DE BOGOTA-ESP  valor a reportar: $ 847.962.632  (1.182,57 SMML). plazo: 5 meses Fecha incio: 18 Febrero 2014, Fecha terminación: 17 Julio 2014, % Participación: 50%, PRESENTA ACTIVIDADES DE CERRAMIENTO EN MALLA. CUMPLE</t>
  </si>
  <si>
    <t>LUIS FELIPE GUAYACAN VIANCHA. Ingeniero Civil</t>
  </si>
  <si>
    <t>25202123767 CND 20/10/2005</t>
  </si>
  <si>
    <t>Copnia 20/10/2005</t>
  </si>
  <si>
    <t>Mariela Torrado Calderon. Ingeniera Civil</t>
  </si>
  <si>
    <t>Ingeniero Civil UNIVERSIDAD FRANCISCO DE PAULA SANTANDER  22/03/2002</t>
  </si>
  <si>
    <t>54202100961NTS 18/09/2003</t>
  </si>
  <si>
    <t>Copnia 18/07/2003</t>
  </si>
  <si>
    <t>Luis Fernando Lozada Castro. Seguridad y Salud en el Trabajo</t>
  </si>
  <si>
    <t>Licencia -Resolución 15403  (26 de Diciembre de 2016)</t>
  </si>
  <si>
    <t>Seguridad y Salud en el Trabajo SENA 2005</t>
  </si>
  <si>
    <t>No Adjunta Planillas</t>
  </si>
  <si>
    <t>ALCALA &amp; ESPINOSA DISEÑO Y CONSTRUCCION LTDA</t>
  </si>
  <si>
    <t>CONSTRUCCIONES EULER MEDINA GARCIA Y CIA LTDA</t>
  </si>
  <si>
    <t xml:space="preserve">No presenta aceptación y cumplimiento </t>
  </si>
  <si>
    <t>No Cumple  No presenta el Formulario No 1 Valor = $0</t>
  </si>
  <si>
    <t>$208.019.700,74 Valor mayor al presupuesto oficial</t>
  </si>
  <si>
    <t>Rechazado</t>
  </si>
  <si>
    <t xml:space="preserve">1. Numero del consecutivo RUP del contrato reportado N ° 14  participación en 100%, OBJETO:  CONTRATAR EL SERVICIO DE CONSTRUCCION Y ADECUACIONES DE LAS CASAS DEL PROYECTO SENDEROS DE SAN ANDRES UBICADO EN EL MUNICIPIO DE FUNZA CUNDINAMARCA) QUE INCLUYE: OBRAS EXTERIORES Y DE URBANISMO, CONSTRUCCION DE POLIDEPORTIVO, ESTRUCTURA, MAMPOSTERIAS, OBRAS HUMEDAS, SUMINISTRO DE APARATOS SANITARIOS, ADECUACIONES DE BAÑOS Y COCINAS, ENCHAPES DE PISOS Y PAREDES, CUBIERTAS Y LOS DEMAS ACABADOS QUE SE REQUIERAN, COMO TAMBIEN LA DEMOLICION DE LA CASA MODELO. valor a reportar: $ 631.150.0021   (1070,65 SMML). Contratante VIP CONSTRUCTIONS S.A.S.. no presenta el contrato con VIP CONSTRUCTIONS S.A.S. NO CUMPLE.                        </t>
  </si>
  <si>
    <t xml:space="preserve">  2. Numero del consecutivo RUP del contrato reportado N ° 17, participación en 50%, OBJETO:  REALIZAR LA ORGANIZACIÓN DE ESPACIOS INTERNOS Y EXTERNOS ASI COMO BRINDAR EL MANTENIMIENTO PREVENTIVO Y CORRECTIVO DE LOS BIENES MUEBLES E INMUEBLES DEL INS. Contratante  INSTITUTO NACIONAL DE SALUD  valor a reportar: $ 380.000 (294,87 SMML). CUMPLE.  3. Numero del consecutivo RUP del contrato reportado N ° 11, participación en 50%, OBJETO:  CONTRATAR EL SERVICIO DE MANTENIMIENTO LOCATIVO PARA LOS DISTINTOS CENTROS DE LA REGIONAL DISTRITO CAPITAL ZONA NORTE. Contratante  SENA  valor a reportar: $ 226.326.908 (175,625 SMML). CUMPLE. CUMPLE.
</t>
  </si>
  <si>
    <t xml:space="preserve">2. Numero del consecutivo RUP del contrato reportado N ° 11, Contratante: SENA. Contrato 00-231-2016, Objeto: CONTRATAR EL SERVICIO DE MANTENIMIENTO LOCATIVO PARA LOS DISTINTOS CENTROS DE LA REGIONAL DISTRITO CAPITAL ZONA NORTE. Valor ejecutado: 226.326.908   (175,625 SMML). Plazo: 3 meses, Fecha incio: 10-oct.-14, Fecha terminación: 15-ene-15, % Participación: 50%, Información contacto contratante: SENA. CUMPLE                       NO CUMPLE CON LO SOLICITADO DE HASTA 3 CERTIFICACIONES QUE SUMADOS SUS VALORES SEAN IGUAL O MAYOR A 2 VECES EL PRESUPUESTO OFICIAL. NO HABILITADO.      
</t>
  </si>
  <si>
    <t>Octubre 12 de 2018</t>
  </si>
  <si>
    <r>
      <t xml:space="preserve">* El proponente  </t>
    </r>
    <r>
      <rPr>
        <b/>
        <sz val="8"/>
        <rFont val="Calibri"/>
        <family val="2"/>
        <scheme val="minor"/>
      </rPr>
      <t>COLOMBIANA DE LA INGENIERIA Y DE LA ARQUITECTURA S.A.S – COLINAR SAS,</t>
    </r>
    <r>
      <rPr>
        <sz val="8"/>
        <rFont val="Calibri"/>
        <family val="2"/>
        <scheme val="minor"/>
      </rPr>
      <t xml:space="preserve"> el pliego de condiciones dice en el numeral 4.21 EXPERIENCIA REQUERIDA. B.EXPERIENCIA ESPECIFICA.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NO CUMPLE NO PRESENTA ACTIVIDADES DE CERRAMIENTO EN MALLA.</t>
    </r>
    <r>
      <rPr>
        <b/>
        <u/>
        <sz val="8"/>
        <rFont val="Calibri"/>
        <family val="2"/>
        <scheme val="minor"/>
      </rPr>
      <t>NO HABILITADO. Evaluada la parte tecnica suma 34 puntos. NO HABILITADO debe presentar la documentación requerida antes del 18 de octubre de 2018.</t>
    </r>
  </si>
  <si>
    <r>
      <t xml:space="preserve">* El proponente  </t>
    </r>
    <r>
      <rPr>
        <b/>
        <sz val="8"/>
        <rFont val="Calibri"/>
        <family val="2"/>
        <scheme val="minor"/>
      </rPr>
      <t>CONSTRUYENDO AMBIENTE SAS,</t>
    </r>
    <r>
      <rPr>
        <sz val="8"/>
        <rFont val="Calibri"/>
        <family val="2"/>
        <scheme val="minor"/>
      </rPr>
      <t xml:space="preserve"> Evaluada la parte tecnica suma 30 puntos. El pliego de condiciones dice en el numeral 5.2.3 OTORGAMIENTO DE PUNTAJE POR FACTOR DE CALIDAD. Capacidad de personal. Número (n°) de personas vinculadas mediante una relación contractual con el proponente, se asignará un puntaje máximo de doscientos (20) puntos. Para la evaluación de este factor de escogencia, se tomará las fotocopias de la(s) planilla(s) de pago EPS, ARP y PENSIÓN con el promedio de dos meses continuos cualquiera de los años 2016, 2017 y 2018. Se realiza verificacion a las planillas del oferente, encontrando que en la PLANILLAS No. 8993176619 2016-08 y 8994481049 de 2016-09, En las cuales </t>
    </r>
    <r>
      <rPr>
        <u/>
        <sz val="8"/>
        <rFont val="Calibri"/>
        <family val="2"/>
        <scheme val="minor"/>
      </rPr>
      <t>No se puede verificar en los formatos de planillas que presento,  porque se requiere revisar los dias laborados por cada afiliado, que esten continuos en los dos meses</t>
    </r>
    <r>
      <rPr>
        <sz val="8"/>
        <rFont val="Calibri"/>
        <family val="2"/>
        <scheme val="minor"/>
      </rPr>
      <t xml:space="preserve">. No es posible evaluar. Puntaje cero (0). </t>
    </r>
    <r>
      <rPr>
        <b/>
        <u/>
        <sz val="8"/>
        <rFont val="Calibri"/>
        <family val="2"/>
        <scheme val="minor"/>
      </rPr>
      <t>NO HABILITADO.</t>
    </r>
    <r>
      <rPr>
        <sz val="8"/>
        <rFont val="Calibri"/>
        <family val="2"/>
        <scheme val="minor"/>
      </rPr>
      <t xml:space="preserve"> El pliego de condiciones dice en el numeral 7.7 PERSONAL MÍNIMO REQUERIDO La entidad verificará el personal mínimo requerido señalado en los presentes pliegos de condiciones, quien cumpla con el personal y con la idoneidad requerida para la presente convocatoria su propuesta será considera como hábil. Los profesionales o tecnólogos propuestos al presente proceso de selección deberán adjuntar la siguiente documentación:  Hoja de vida;  Copia del título otorgado por la institución educativa;  Copia tarjeta profesional (para las profesiones que así lo requieran) o licencia;  Certificado de vigencia de la tarjeta profesional o su equivalente (vigente);  El personal mínimo propuesto debe adjuntar carta de intención. </t>
    </r>
    <r>
      <rPr>
        <u/>
        <sz val="8"/>
        <rFont val="Calibri"/>
        <family val="2"/>
        <scheme val="minor"/>
      </rPr>
      <t>El proponente no presenta lo requerido en el numeral 7,7 personal minimo requerido, no presenta Certificado de vigencia de la tarjeta profesional o su equivalente (vigente) del Director de Obra y el Residente de Obra.  NO HABILITADO.</t>
    </r>
    <r>
      <rPr>
        <sz val="8"/>
        <rFont val="Calibri"/>
        <family val="2"/>
        <scheme val="minor"/>
      </rPr>
      <t xml:space="preserve"> En la plataforma del SECOP II </t>
    </r>
    <r>
      <rPr>
        <b/>
        <u/>
        <sz val="8"/>
        <rFont val="Calibri"/>
        <family val="2"/>
        <scheme val="minor"/>
      </rPr>
      <t>presenta un oferta economica por valor de $192.009.261,6 y en el formulario No 1  de propuesta economica presenta un valor de $192.009.263,6.</t>
    </r>
    <r>
      <rPr>
        <sz val="8"/>
        <rFont val="Calibri"/>
        <family val="2"/>
        <scheme val="minor"/>
      </rPr>
      <t xml:space="preserve"> El numeral 5.2.1 OTORGAMIENTO DE PUNTAJE POR VALOR DE LA PROPUESTA dice: El valor de la propuesta consignado en el formulario No 1 debe ser exactamente igual a la lista de precios del SECOP II, en el caso de presentarse una diferencia la propuesta será RECHAZADA. </t>
    </r>
    <r>
      <rPr>
        <u/>
        <sz val="8"/>
        <rFont val="Calibri"/>
        <family val="2"/>
        <scheme val="minor"/>
      </rPr>
      <t>NO HABILITADO. El Pliego en el numeral 4.21 EXPERIENCIA REQUERIDA. B.EXPERIENCIA ESPECIFICA.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NO CUMPLE NO PRESENTA ACTIVIDADES DE CERRAMIENTO EN MALLA</t>
    </r>
    <r>
      <rPr>
        <b/>
        <u/>
        <sz val="8"/>
        <rFont val="Calibri"/>
        <family val="2"/>
        <scheme val="minor"/>
      </rPr>
      <t>.NO HABILITADO</t>
    </r>
    <r>
      <rPr>
        <u/>
        <sz val="8"/>
        <rFont val="Calibri"/>
        <family val="2"/>
        <scheme val="minor"/>
      </rPr>
      <t>.</t>
    </r>
  </si>
  <si>
    <r>
      <t xml:space="preserve">* El proponente  </t>
    </r>
    <r>
      <rPr>
        <b/>
        <sz val="9"/>
        <rFont val="Calibri"/>
        <family val="2"/>
        <scheme val="minor"/>
      </rPr>
      <t>GRUPO S Y C SAS,</t>
    </r>
    <r>
      <rPr>
        <sz val="9"/>
        <rFont val="Calibri"/>
        <family val="2"/>
        <scheme val="minor"/>
      </rPr>
      <t xml:space="preserve"> Cumple con todos los requisitos habilitantes técnicos, evaluada la parte tecnica suma 50 puntos.  </t>
    </r>
    <r>
      <rPr>
        <b/>
        <sz val="9"/>
        <rFont val="Calibri"/>
        <family val="2"/>
        <scheme val="minor"/>
      </rPr>
      <t>HABILITADO</t>
    </r>
  </si>
  <si>
    <r>
      <t xml:space="preserve">* El proponente </t>
    </r>
    <r>
      <rPr>
        <b/>
        <sz val="9"/>
        <rFont val="Calibri"/>
        <family val="2"/>
        <scheme val="minor"/>
      </rPr>
      <t xml:space="preserve"> INGENIERIA RH SAS</t>
    </r>
    <r>
      <rPr>
        <sz val="9"/>
        <rFont val="Calibri"/>
        <family val="2"/>
        <scheme val="minor"/>
      </rPr>
      <t>,  evaluada la parte tecnica suma 30 puntos.   El pliego de condiciones dice en el numeral 5.2.3 OTORGAMIENTO DE PUNTAJE POR FACTOR DE CALIDAD. Capacidad de personal. Número (n°) de personas vinculadas mediante una relación contractual con el proponente, se asignará un puntaje máximo de doscientos (20) puntos. Para la evaluación de este factor de escogencia, se tomará las fotocopias de la(s) planilla(s) de pago EPS, ARP y PENSIÓN con el promedio de dos meses continuos cualquiera de los años 2016, 2017 y 2018. Se realiza verificacion a las planillas del oferente, encontrando que en la PLANILLAS No. 10096666 2017-11 y 1010344601 de 2017-12, En las cuales</t>
    </r>
    <r>
      <rPr>
        <u/>
        <sz val="9"/>
        <rFont val="Calibri"/>
        <family val="2"/>
        <scheme val="minor"/>
      </rPr>
      <t xml:space="preserve"> No se puede verificar en los formatos de planillas que presento,  porque se requiere revisar los dias laborados por cada afiliado y el nombre del afiliado, que esten continuos en los dos meses</t>
    </r>
    <r>
      <rPr>
        <sz val="9"/>
        <rFont val="Calibri"/>
        <family val="2"/>
        <scheme val="minor"/>
      </rPr>
      <t>. No es posible evaluar.</t>
    </r>
    <r>
      <rPr>
        <b/>
        <u/>
        <sz val="9"/>
        <rFont val="Calibri"/>
        <family val="2"/>
        <scheme val="minor"/>
      </rPr>
      <t xml:space="preserve"> Puntaje cero (0).</t>
    </r>
  </si>
  <si>
    <r>
      <t xml:space="preserve">* El proponente  </t>
    </r>
    <r>
      <rPr>
        <b/>
        <sz val="9"/>
        <rFont val="Calibri"/>
        <family val="2"/>
        <scheme val="minor"/>
      </rPr>
      <t>ORGANIZACIÓN HAR SAS,</t>
    </r>
    <r>
      <rPr>
        <sz val="9"/>
        <rFont val="Calibri"/>
        <family val="2"/>
        <scheme val="minor"/>
      </rPr>
      <t xml:space="preserve"> evaluada la parte tecnica suma 50 puntos. El pliego de condiciones dice en el numeral 7.7 PERSONAL MÍNIMO REQUERIDO La entidad verificará el personal mínimo requerido señalado en los presentes pliegos de condiciones, quien cumpla con el personal y con la idoneidad requerida para la presente convocatoria su propuesta será considera como hábil. Los profesionales o tecnólogos propuestos al presente proceso de selección deberán adjuntar la siguiente documentación:  Hoja de vida;  Copia del título otorgado por la institución educativa;  Copia tarjeta profesional (para las profesiones que así lo requieran) o licencia;  Certificado de vigencia de la tarjeta profesional o su equivalente (vigente);  El personal mínimo propuesto debe adjuntar carta de intención. </t>
    </r>
    <r>
      <rPr>
        <u/>
        <sz val="9"/>
        <rFont val="Calibri"/>
        <family val="2"/>
        <scheme val="minor"/>
      </rPr>
      <t>El proponente no presenta lo requerido en el numeral 7,7 personal minimo requerido.</t>
    </r>
    <r>
      <rPr>
        <sz val="9"/>
        <rFont val="Calibri"/>
        <family val="2"/>
        <scheme val="minor"/>
      </rPr>
      <t xml:space="preserve">  </t>
    </r>
    <r>
      <rPr>
        <b/>
        <u/>
        <sz val="9"/>
        <rFont val="Calibri"/>
        <family val="2"/>
        <scheme val="minor"/>
      </rPr>
      <t xml:space="preserve">NO HABILITADO.  En la plataforma del SECOP II presenta un oferta economica por valor de $192.322.371,01 y en el formulario No 1  de propuesta economica presenta un valor de $192.322.370,01. El numeral 5.2.1 OTORGAMIENTO DE PUNTAJE POR VALOR DE LA PROPUESTA dice: El valor de la propuesta consignado en el formulario No 1 debe ser exactamente igual a la lista de precios del SECOP II, en el caso de presentarse una diferencia la propuesta será RECHAZADA. NO HABILITADO. </t>
    </r>
  </si>
  <si>
    <r>
      <t xml:space="preserve">* El proponente  </t>
    </r>
    <r>
      <rPr>
        <b/>
        <sz val="8"/>
        <rFont val="Calibri"/>
        <family val="2"/>
        <scheme val="minor"/>
      </rPr>
      <t>USCOM SAS ,</t>
    </r>
    <r>
      <rPr>
        <sz val="8"/>
        <rFont val="Calibri"/>
        <family val="2"/>
        <scheme val="minor"/>
      </rPr>
      <t xml:space="preserve"> Evaluada la parte tecnica suma 10 puntos. El pliego de condiciones dice  En la plataforma del SECOP II </t>
    </r>
    <r>
      <rPr>
        <b/>
        <u/>
        <sz val="8"/>
        <rFont val="Calibri"/>
        <family val="2"/>
        <scheme val="minor"/>
      </rPr>
      <t>presenta un oferta economica por valor de $188.233.474 y en el formulario No 1  de propuesta economica presenta un valor de $188.234.352,40.</t>
    </r>
    <r>
      <rPr>
        <sz val="8"/>
        <rFont val="Calibri"/>
        <family val="2"/>
        <scheme val="minor"/>
      </rPr>
      <t xml:space="preserve"> El numeral 5.2.1 OTORGAMIENTO DE PUNTAJE POR VALOR DE LA PROPUESTA dice: El valor de la propuesta consignado en el formulario No 1 debe ser exactamente igual a la lista de precios del SECOP II, en el caso de presentarse una diferencia la propuesta será RECHAZADA. </t>
    </r>
    <r>
      <rPr>
        <b/>
        <u/>
        <sz val="8"/>
        <rFont val="Calibri"/>
        <family val="2"/>
        <scheme val="minor"/>
      </rPr>
      <t>NO HABILITADO</t>
    </r>
    <r>
      <rPr>
        <u/>
        <sz val="8"/>
        <rFont val="Calibri"/>
        <family val="2"/>
        <scheme val="minor"/>
      </rPr>
      <t xml:space="preserve">. </t>
    </r>
    <r>
      <rPr>
        <sz val="8"/>
        <rFont val="Calibri"/>
        <family val="2"/>
        <scheme val="minor"/>
      </rPr>
      <t>Adjunta el Anexo 2. Pero no ofrece contratar personal  y adquirir material 100% Colombiano para el desarrollo de la obra APOYO A LA INDUSTRIA NACIONAL El Pliego en el numeral 4.21 EXPERIENCIA REQUERIDA. B.EXPERIENCIA ESPECIFICA.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NO CUMPLE</t>
    </r>
    <r>
      <rPr>
        <u/>
        <sz val="8"/>
        <rFont val="Calibri"/>
        <family val="2"/>
        <scheme val="minor"/>
      </rPr>
      <t xml:space="preserve"> No se puede evaluar, porque no presenta el N° contrato del RUP.</t>
    </r>
    <r>
      <rPr>
        <b/>
        <u/>
        <sz val="8"/>
        <rFont val="Calibri"/>
        <family val="2"/>
        <scheme val="minor"/>
      </rPr>
      <t>NO HABILITADO</t>
    </r>
    <r>
      <rPr>
        <u/>
        <sz val="8"/>
        <rFont val="Calibri"/>
        <family val="2"/>
        <scheme val="minor"/>
      </rPr>
      <t>.</t>
    </r>
    <r>
      <rPr>
        <sz val="8"/>
        <rFont val="Calibri"/>
        <family val="2"/>
        <scheme val="minor"/>
      </rPr>
      <t xml:space="preserve"> El pliego de condiciones dice en el numeral 5.2.3 OTORGAMIENTO DE PUNTAJE POR FACTOR DE CALIDAD. Capacidad de personal. Número (n°) de personas vinculadas mediante una relación contractual con el proponente, se asignará un puntaje máximo de doscientos (20) puntos. Para la evaluación de este factor de escogencia, se tomará las fotocopias de la(s) planilla(s) de pago EPS, ARP y PENSIÓN con el promedio de dos meses continuos cualquiera de los años 2016, 2017 y 2018.</t>
    </r>
    <r>
      <rPr>
        <u/>
        <sz val="8"/>
        <rFont val="Calibri"/>
        <family val="2"/>
        <scheme val="minor"/>
      </rPr>
      <t xml:space="preserve"> no presenta plantillas. Puntaje cero (0). </t>
    </r>
    <r>
      <rPr>
        <b/>
        <u/>
        <sz val="8"/>
        <rFont val="Calibri"/>
        <family val="2"/>
        <scheme val="minor"/>
      </rPr>
      <t>NO HABILITADO</t>
    </r>
    <r>
      <rPr>
        <u/>
        <sz val="8"/>
        <rFont val="Calibri"/>
        <family val="2"/>
        <scheme val="minor"/>
      </rPr>
      <t xml:space="preserve">. no presenta Equipos.Puntaje cero (0) </t>
    </r>
    <r>
      <rPr>
        <b/>
        <u/>
        <sz val="8"/>
        <rFont val="Calibri"/>
        <family val="2"/>
        <scheme val="minor"/>
      </rPr>
      <t xml:space="preserve">NO HABILITADO, </t>
    </r>
  </si>
  <si>
    <r>
      <t xml:space="preserve">* El proponente  </t>
    </r>
    <r>
      <rPr>
        <b/>
        <sz val="8"/>
        <rFont val="Calibri"/>
        <family val="2"/>
        <scheme val="minor"/>
      </rPr>
      <t>ALCALA &amp; ESPINOSA DISEÑO Y CONSTRUCCION LTDA,</t>
    </r>
    <r>
      <rPr>
        <sz val="8"/>
        <rFont val="Calibri"/>
        <family val="2"/>
        <scheme val="minor"/>
      </rPr>
      <t xml:space="preserve"> el pliego de condiciones dice  El pliego de condiciones dice en el numeral 7.7 PERSONAL MÍNIMO REQUERIDO La entidad verificará el personal mínimo requerido señalado en los presentes pliegos de condiciones, quien cumpla con el personal y con la idoneidad requerida para la presente convocatoria su propuesta será considera como hábil. Los profesionales o tecnólogos propuestos al presente proceso de selección deberán adjuntar la siguiente documentación:  Hoja de vida;  Copia del título otorgado por la institución educativa;  Copia tarjeta profesional (para las profesiones que así lo requieran) o licencia;  Certificado de vigencia de la tarjeta profesional o su equivalente (vigente);  El personal mínimo propuesto debe adjuntar carta de intención. El proponente no presenta lo requerido en el numeral 7,7 personal minimo requerido, no presenta Certificado de vigencia de la tarjeta profesional o su equivalente (vigente) del Director de Obra y el Residente de Obra.  NO HABILITADO. El Pliego en el numeral 4.21 EXPERIENCIA REQUERIDA. B.EXPERIENCIA ESPECIFICA.  Personas Naturales Si el proponente es persona natural deberá acreditar una experiencia probable de tres (3) años mediante la presentación de la copia legible de la tarjeta de matrícula profesional y certificación de vigencia, expedida por el Consejo Profesional Nacional de Ingeniería Arquitectura y sus Profesiones Auxiliares – COPNIA o por la entidad correspondiente según la profesión, con una vigencia de seis (6) meses.  Personas Jurídicas Si el proponente es persona jurídica deberá acreditar su existencia y representación legal con una experiencia probable de por lo menos tres (3) años verificable con la copia del Certificado de la Cámara de Comercio de su jurisdicción, expedido con una antelación no mayor a los treinta (30) días calendario, previos a la fecha de cierre del proceso. En caso de consorcio o uniones temporales la exigencia de los tres (3) años de experiencia probable, deberá ser acreditada por cada uno de los integrantes de forma separada. El proponente deberá aportar hasta tres (3) certificaciones de contratos de obra pública con entidades públicas y/o privadas,  que sumados sus valores sean igual o mayor a dos (2) veces el presupuesto oficial, expresado en salarios mínimos legales mensuales. Adicionalmente el proponente deberá acreditar mediante: certificado de obra ó acta de recibo de obra o acta de liquidación, que el contrato previó en uno de sus ítems presente  alguna de las siguientes actividades: 1.     CERRAMIENTOS EN MALLA NO CUMPLE NO PRESENTA ACTIVIDADES DE CERRAMIENTO EN MALLA.NO HABILITADO.      
</t>
    </r>
  </si>
  <si>
    <r>
      <t xml:space="preserve">* El proponente  </t>
    </r>
    <r>
      <rPr>
        <b/>
        <sz val="9"/>
        <rFont val="Calibri"/>
        <family val="2"/>
        <scheme val="minor"/>
      </rPr>
      <t>CONSTRUCCIONES EULER MEDINA GARCIA Y CIA LTDA,</t>
    </r>
    <r>
      <rPr>
        <sz val="9"/>
        <rFont val="Calibri"/>
        <family val="2"/>
        <scheme val="minor"/>
      </rPr>
      <t xml:space="preserve"> el pliego de condiciones dice en el numeral 6.3 RECHAZO DE LAS PROPUESTAS Son causales de rechazo las siguientes: 
12). Exceder el valor de la oferta el presupuesto oficial para el proceso, al cual se presenta. ( En el SECOPII presenta un Valor de 208.019.700, 74, valor que excede elpresupuesto oficial)
13). No incluir la propuesta económica para el proceso, o no estar debidamente firmada por el representante legal del proponente. (NO entegro el Formulario No 1 de propuesta ecoómica)
</t>
    </r>
    <r>
      <rPr>
        <b/>
        <u/>
        <sz val="9"/>
        <rFont val="Calibri"/>
        <family val="2"/>
        <scheme val="minor"/>
      </rPr>
      <t>RECHAZADA.</t>
    </r>
    <r>
      <rPr>
        <sz val="9"/>
        <rFont val="Calibri"/>
        <family val="2"/>
        <scheme val="minor"/>
      </rPr>
      <t xml:space="preserve">
</t>
    </r>
  </si>
  <si>
    <r>
      <t>Cumple  Valor = $</t>
    </r>
    <r>
      <rPr>
        <b/>
        <sz val="11"/>
        <rFont val="Calibri"/>
        <family val="2"/>
        <scheme val="minor"/>
      </rPr>
      <t>192.142.858</t>
    </r>
  </si>
  <si>
    <r>
      <t>NO Cumple  Valor = $</t>
    </r>
    <r>
      <rPr>
        <b/>
        <sz val="11"/>
        <rFont val="Calibri"/>
        <family val="2"/>
        <scheme val="minor"/>
      </rPr>
      <t>192.009.261,6</t>
    </r>
  </si>
  <si>
    <r>
      <t>Cumple Valor= $</t>
    </r>
    <r>
      <rPr>
        <b/>
        <sz val="11"/>
        <rFont val="Calibri"/>
        <family val="2"/>
        <scheme val="minor"/>
      </rPr>
      <t>192.676.598,36</t>
    </r>
  </si>
  <si>
    <r>
      <t>Cumple  Valor = $</t>
    </r>
    <r>
      <rPr>
        <b/>
        <sz val="11"/>
        <rFont val="Calibri"/>
        <family val="2"/>
        <scheme val="minor"/>
      </rPr>
      <t xml:space="preserve">190.962.432 </t>
    </r>
  </si>
  <si>
    <r>
      <t>NO Cumple  Valor = $</t>
    </r>
    <r>
      <rPr>
        <b/>
        <sz val="11"/>
        <rFont val="Calibri"/>
        <family val="2"/>
        <scheme val="minor"/>
      </rPr>
      <t>192.322.371,01</t>
    </r>
  </si>
  <si>
    <r>
      <t>NO Cumple  Valor = $</t>
    </r>
    <r>
      <rPr>
        <b/>
        <sz val="11"/>
        <rFont val="Calibri"/>
        <family val="2"/>
        <scheme val="minor"/>
      </rPr>
      <t>188.234.352,40</t>
    </r>
  </si>
  <si>
    <r>
      <t>Cumple Valor= $</t>
    </r>
    <r>
      <rPr>
        <b/>
        <sz val="11"/>
        <rFont val="Calibri"/>
        <family val="2"/>
        <scheme val="minor"/>
      </rPr>
      <t>191.188.223</t>
    </r>
  </si>
  <si>
    <r>
      <t xml:space="preserve">1. Numero del consecutivo RUP del contrato reportado N ° 3, Contratante: Municipio de Giraldo. Contrato Lp 003 de 2009, Objeto: Construccion del Relleno Sanitario del Municipio de Giraldo - Primera Etapa. Valor ejecutado: $ 408.520.206 (793,24 SMML). Plazo: 120 dias calendario, Fecha incio: 27-octubre-2009, Fecha terminación: 27-feb-2010, % Participación: 100%, Información contacto contratante: Municipio de Giraldo. </t>
    </r>
    <r>
      <rPr>
        <b/>
        <u/>
        <sz val="8"/>
        <rFont val="Calibri"/>
        <family val="2"/>
        <scheme val="minor"/>
      </rPr>
      <t xml:space="preserve">NO CUMPLE NO PRESENTA ACTIVIDADES DE CERRAMIENTO EN MALLA.
</t>
    </r>
    <r>
      <rPr>
        <sz val="8"/>
        <rFont val="Calibri"/>
        <family val="2"/>
        <scheme val="minor"/>
      </rPr>
      <t xml:space="preserve">
</t>
    </r>
  </si>
  <si>
    <r>
      <t xml:space="preserve">1. Numero del consecutivo RUP del contrato reportado N ° 45, Contratante: POLITECNICO COLOMBIANO JAIME ISAZA CADAVI. Contrato OM-01-2011, Objeto: OBRA PÚBLICA EN LAS INSTALACIONES DE LA SEDE POBALDO DEL POLITECNICO COLOMBIANO JAIME ISAZA CADAVID. Valor ejecutado:  914.329.783,00   (1326.061,09 SMML). Plazo: 150 dias calendario, Fecha incio: 8-agosto-16, Fecha terminación: 31-diciembre-16, % Participación: 100%, Información contacto contratante: POLITECNICO COLOMBIANO JAIME ISAZA CADAVID. </t>
    </r>
    <r>
      <rPr>
        <b/>
        <u/>
        <sz val="8"/>
        <rFont val="Calibri"/>
        <family val="2"/>
        <scheme val="minor"/>
      </rPr>
      <t xml:space="preserve">NO CUMPLE NO PRESENTA ACTIVIDADES DE CERRAMIENTO EN MALLA.
</t>
    </r>
    <r>
      <rPr>
        <sz val="8"/>
        <rFont val="Calibri"/>
        <family val="2"/>
        <scheme val="minor"/>
      </rPr>
      <t xml:space="preserve">
</t>
    </r>
  </si>
  <si>
    <r>
      <t>1. Numero del consecutivo RUP del contrato reportado N ° 84, Contratante: E.S.E. HOSPITAL CESAR URIBE PIEDRAHITA DEL MUNICIPIO DE CAUCASIA . Contrato OP-67 de 2016, Objeto: Ejecucion de obras para la terminacion para la segunda etapa de la E.S.E. Hospital Cesar Uribe Piedrahita del municipio de Caucasia. Valor ejecutado: 25.328.075.382   (34.332,61 SMML). Plazo: 18 MESES 9 DIAS , Fecha incio: 2-mayo-16, Fecha terminación: 10-nov.-17, % Participación: 100%, Información contacto contratante: E.S.E. HOSPITAL CESAR URIBE PIEDRAHITA DEL MUNICIPIO DE CAUCASIAL.</t>
    </r>
    <r>
      <rPr>
        <b/>
        <u/>
        <sz val="8"/>
        <rFont val="Calibri"/>
        <family val="2"/>
        <scheme val="minor"/>
      </rPr>
      <t xml:space="preserve"> CUMPLE PRESENTA ACTIVIDADES DE CERRAMIENTO EN MALLA EN O.E.52.</t>
    </r>
    <r>
      <rPr>
        <sz val="8"/>
        <rFont val="Calibri"/>
        <family val="2"/>
        <scheme val="minor"/>
      </rPr>
      <t xml:space="preserve">
</t>
    </r>
  </si>
  <si>
    <r>
      <t xml:space="preserve">1. Numero del consecutivo RUP del contrato reportado N ° 5  Contratante: ISEC S.A , OBJETO:  CONSTRUCCIÓN DE LA SEDE SOCIAL CAMPESTRE ISEC S.A. EN LA CIUDAD DE FUSAGASUGÁ valor a reportar: $ 380.275.000  (671,03 SMML), plazo: 3 meses Fecha incio: 20-Mayo-2012, Fecha terminación: 20-Agosto-2012, % Participación: 100%, </t>
    </r>
    <r>
      <rPr>
        <b/>
        <u/>
        <sz val="8"/>
        <rFont val="Calibri"/>
        <family val="2"/>
        <scheme val="minor"/>
      </rPr>
      <t>PRESENTA ACTIVIDADES DE CERRAMIENTO EN MALLA.</t>
    </r>
  </si>
  <si>
    <r>
      <t xml:space="preserve">1. Numero del consecutivo RUP del contrato reportado N ° 17, Contratante: INSTITUTO NACIONAL DE SALUD. Contrato 00-249-2016, Objeto: REALIZAR LA ORGANIZACIÓN DE ESPACIOS INTERNOS Y EXTERNOS ASI COMO BRINDAR EL MANTENIMIENTO PREVENTIVO Y CORRECTIVO DE LOS BIENES MUEBLES E INMUEBLES DEL INS. Contratante  INSTITUTO NACIONAL DE SALUD. Valor ejecutado:  380.000 (294,87 SMML). Plazo: 2 MESES, Fecha incio: 13-OCT.-15, Fecha terminación: 15-dic.-15, % Participación: 50%, Información contacto contratante: INSTITUTO NACIONAL DE SALUD. 
</t>
    </r>
    <r>
      <rPr>
        <b/>
        <u/>
        <sz val="8"/>
        <rFont val="Calibri"/>
        <family val="2"/>
        <scheme val="minor"/>
      </rPr>
      <t>NO CUMPLE NO PRESENTA ACTIVIDADES DE CERRAMIENTO EN MALLA.</t>
    </r>
    <r>
      <rPr>
        <sz val="8"/>
        <rFont val="Calibri"/>
        <family val="2"/>
        <scheme val="minor"/>
      </rPr>
      <t xml:space="preserve">
</t>
    </r>
  </si>
  <si>
    <r>
      <t xml:space="preserve"> 2.Nombre del consecutivo RUP del contrato reportado N° 27 articipación en 100%, Contratante: CONSORCIO CANALES NACIONALES Objeto:  CONSTRUCCIÓN Y/O ADECUACIÓN DE TRES ESTACIONES PARA EL MONTAJE DE LA RED CANAL DE TELEVISIÓN IV ETAPA, UBICADAS EN LOS MUNICIPIOS DE YARUMAL (ANTIOQUIA), GUARNE (ANTIOQUIA) Y ZIPAQUIRA (CUNDINAMARCA) valor a reportar: $ 107.446.007,94  (323,63 SMML), Fecha incio: 21-Febrero-2003, Fecha terminación: 28- Junio-2003, % Participación: 100%, PRESENTA ACTIVIDADES DE CERRAMIENTO EN MALLA </t>
    </r>
    <r>
      <rPr>
        <b/>
        <u/>
        <sz val="9"/>
        <rFont val="Calibri"/>
        <family val="2"/>
        <scheme val="minor"/>
      </rPr>
      <t>CUMPLE</t>
    </r>
  </si>
  <si>
    <r>
      <t xml:space="preserve">Se realiza verificacion a las planillas del oferente, encontrando que en la PLANILLAS No. 8993176619 2016-08 y 8994481049 de 2016-09, En las cuales No se puede verificar en los formatos de planillas que presento,  porque se requiere revisar los </t>
    </r>
    <r>
      <rPr>
        <b/>
        <u/>
        <sz val="10"/>
        <rFont val="Calibri"/>
        <family val="2"/>
        <scheme val="minor"/>
      </rPr>
      <t>dias laborados por cada afiliado</t>
    </r>
    <r>
      <rPr>
        <sz val="10"/>
        <rFont val="Calibri"/>
        <family val="2"/>
        <scheme val="minor"/>
      </rPr>
      <t>, que esten continuos en los dos meses. No es posible evaluar. Puntaje cero (0)</t>
    </r>
  </si>
  <si>
    <r>
      <t xml:space="preserve">Se realiza verificacion a las planillas del oferente, encontrando que en la PLANILLAS No. 10096666 2017-11 y 1010344601 de 2017-12, En las cuales No se puede verificar en los formatos de planillas que presento,  porque se requiere revisar los </t>
    </r>
    <r>
      <rPr>
        <b/>
        <u/>
        <sz val="9"/>
        <rFont val="Calibri"/>
        <family val="2"/>
        <scheme val="minor"/>
      </rPr>
      <t>dias laborados por cada afiliado y el nombre del afiliado,</t>
    </r>
    <r>
      <rPr>
        <sz val="9"/>
        <rFont val="Calibri"/>
        <family val="2"/>
        <scheme val="minor"/>
      </rPr>
      <t xml:space="preserve"> que esten continuos en los dos meses. No es posible evaluar. Puntaje cero (0)</t>
    </r>
  </si>
  <si>
    <r>
      <t xml:space="preserve">Solo debe presentar 2 planillas consecutivas, el proponente es el que debe indicar cuales son las planillas a evaluar. No se puede verificar en los formatos de planillas que presento,  porque se requiere revisar los </t>
    </r>
    <r>
      <rPr>
        <b/>
        <u/>
        <sz val="9"/>
        <rFont val="Calibri"/>
        <family val="2"/>
        <scheme val="minor"/>
      </rPr>
      <t>dias laborados por cada afiliado</t>
    </r>
    <r>
      <rPr>
        <sz val="9"/>
        <rFont val="Calibri"/>
        <family val="2"/>
        <scheme val="minor"/>
      </rPr>
      <t>, que esten continuos en los dos meses  Puntaje cero (0)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</si>
</sst>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quot;$&quot;#,##0.00;[Red]\-&quot;$&quot;#,##0.00"/>
    <numFmt numFmtId="44" formatCode="_-&quot;$&quot;* #,##0.00_-;\-&quot;$&quot;* #,##0.00_-;_-&quot;$&quot;* &quot;-&quot;??_-;_-@_-"/>
    <numFmt numFmtId="164" formatCode="0.0000"/>
    <numFmt numFmtId="165" formatCode="_-&quot;$&quot;* #,##0_-;\-&quot;$&quot;* #,##0_-;_-&quot;$&quot;* &quot;-&quot;??_-;_-@_-"/>
    <numFmt numFmtId="166" formatCode="&quot; &quot;#,##0.00&quot; &quot;;&quot; (&quot;#,##0.00&quot;)&quot;;&quot; -&quot;00&quot; &quot;;&quot; &quot;@&quot; &quot;"/>
    <numFmt numFmtId="167" formatCode="&quot; $ &quot;#,##0.00&quot; &quot;;&quot; $ (&quot;#,##0.00&quot;)&quot;;&quot; $ -&quot;00&quot; &quot;;&quot; &quot;@&quot; &quot;"/>
    <numFmt numFmtId="168" formatCode="&quot; &quot;[$$-409]#,##0.00&quot; &quot;;&quot; &quot;[$$-409]&quot;-&quot;#,##0.00&quot; &quot;;&quot; &quot;[$$-409]&quot;-&quot;00&quot; &quot;;&quot; &quot;@&quot; &quot;"/>
    <numFmt numFmtId="169" formatCode="_-&quot;$&quot;* #,##0.0_-;\-&quot;$&quot;* #,##0.0_-;_-&quot;$&quot;* &quot;-&quot;??_-;_-@_-"/>
  </numFmts>
  <fonts count="92" x14ac:knownFonts="1">
    <font>
      <sz val="11"/>
      <color theme="1"/>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sz val="10"/>
      <color theme="1"/>
      <name val="Calibri"/>
      <family val="2"/>
      <scheme val="minor"/>
    </font>
    <font>
      <sz val="11"/>
      <name val="Calibri"/>
      <family val="2"/>
      <scheme val="minor"/>
    </font>
    <font>
      <sz val="11"/>
      <color theme="1"/>
      <name val="Calibri"/>
      <family val="2"/>
      <scheme val="minor"/>
    </font>
    <font>
      <sz val="11"/>
      <color rgb="FF000000"/>
      <name val="Calibri"/>
      <family val="2"/>
    </font>
    <font>
      <b/>
      <sz val="11"/>
      <color rgb="FF000000"/>
      <name val="Calibri"/>
      <family val="2"/>
    </font>
    <font>
      <b/>
      <sz val="11"/>
      <color rgb="FF002060"/>
      <name val="Calibri"/>
      <family val="2"/>
    </font>
    <font>
      <b/>
      <sz val="12"/>
      <color rgb="FF000000"/>
      <name val="Calibri"/>
      <family val="2"/>
    </font>
    <font>
      <b/>
      <sz val="10"/>
      <color rgb="FF000000"/>
      <name val="Calibri"/>
      <family val="2"/>
    </font>
    <font>
      <b/>
      <sz val="16"/>
      <color rgb="FF002060"/>
      <name val="Calibri"/>
      <family val="2"/>
    </font>
    <font>
      <sz val="10"/>
      <color rgb="FF000000"/>
      <name val="Calibri"/>
      <family val="2"/>
    </font>
    <font>
      <b/>
      <sz val="11"/>
      <color rgb="FFFFFFFF"/>
      <name val="Calibri"/>
      <family val="2"/>
    </font>
    <font>
      <b/>
      <sz val="11"/>
      <color rgb="FFFF0000"/>
      <name val="Calibri"/>
      <family val="2"/>
    </font>
    <font>
      <b/>
      <sz val="10"/>
      <color rgb="FFFF0000"/>
      <name val="Calibri"/>
      <family val="2"/>
    </font>
    <font>
      <sz val="11"/>
      <color rgb="FFFF0000"/>
      <name val="Calibri"/>
      <family val="2"/>
    </font>
    <font>
      <u/>
      <sz val="8"/>
      <color rgb="FF2F75B5"/>
      <name val="Calibri"/>
      <family val="2"/>
    </font>
    <font>
      <b/>
      <sz val="14"/>
      <color rgb="FF002060"/>
      <name val="Calibri"/>
      <family val="2"/>
    </font>
    <font>
      <sz val="11"/>
      <color rgb="FFFFFFFF"/>
      <name val="Calibri"/>
      <family val="2"/>
    </font>
    <font>
      <sz val="11"/>
      <color rgb="FFFFFFFF"/>
      <name val="Arial"/>
      <family val="2"/>
    </font>
    <font>
      <b/>
      <sz val="14"/>
      <color rgb="FF000000"/>
      <name val="Calibri"/>
      <family val="2"/>
    </font>
    <font>
      <b/>
      <i/>
      <sz val="11"/>
      <color rgb="FF000000"/>
      <name val="Calibri"/>
      <family val="2"/>
    </font>
    <font>
      <b/>
      <i/>
      <sz val="10"/>
      <color rgb="FFFFFFFF"/>
      <name val="Calibri"/>
      <family val="2"/>
    </font>
    <font>
      <sz val="11"/>
      <color rgb="FF000000"/>
      <name val="Arial"/>
      <family val="2"/>
    </font>
    <font>
      <b/>
      <sz val="11"/>
      <color rgb="FFD9D9D9"/>
      <name val="Calibri"/>
      <family val="2"/>
    </font>
    <font>
      <sz val="12"/>
      <color rgb="FF000000"/>
      <name val="Calibri"/>
      <family val="2"/>
    </font>
    <font>
      <b/>
      <sz val="22"/>
      <color rgb="FF203764"/>
      <name val="Calibri"/>
      <family val="2"/>
    </font>
    <font>
      <sz val="18"/>
      <color rgb="FF000000"/>
      <name val="Calibri"/>
      <family val="2"/>
    </font>
    <font>
      <b/>
      <sz val="8"/>
      <color rgb="FFFF0000"/>
      <name val="Calibri"/>
      <family val="2"/>
    </font>
    <font>
      <sz val="10"/>
      <color rgb="FF000000"/>
      <name val="Arial"/>
      <family val="2"/>
    </font>
    <font>
      <b/>
      <sz val="9"/>
      <color rgb="FFFFFFFF"/>
      <name val="Calibri"/>
      <family val="2"/>
    </font>
    <font>
      <b/>
      <sz val="16"/>
      <color rgb="FFFFFFFF"/>
      <name val="Calibri"/>
      <family val="2"/>
    </font>
    <font>
      <i/>
      <sz val="12"/>
      <color rgb="FF000000"/>
      <name val="Calibri"/>
      <family val="2"/>
    </font>
    <font>
      <b/>
      <i/>
      <sz val="8"/>
      <color rgb="FFAEAAAA"/>
      <name val="Calibri"/>
      <family val="2"/>
    </font>
    <font>
      <sz val="11"/>
      <color rgb="FF9C0006"/>
      <name val="Calibri"/>
      <family val="2"/>
    </font>
    <font>
      <sz val="10"/>
      <color rgb="FF9C0006"/>
      <name val="Calibri"/>
      <family val="2"/>
    </font>
    <font>
      <b/>
      <sz val="11"/>
      <color rgb="FF00B050"/>
      <name val="Calibri"/>
      <family val="2"/>
    </font>
    <font>
      <b/>
      <sz val="9"/>
      <color rgb="FF000000"/>
      <name val="Calibri"/>
      <family val="2"/>
    </font>
    <font>
      <sz val="8"/>
      <color rgb="FF000000"/>
      <name val="Arial"/>
      <family val="2"/>
    </font>
    <font>
      <sz val="22"/>
      <color rgb="FFFFFFFF"/>
      <name val="Calibri"/>
      <family val="2"/>
    </font>
    <font>
      <b/>
      <sz val="12"/>
      <color rgb="FFFFFFFF"/>
      <name val="Calibri"/>
      <family val="2"/>
    </font>
    <font>
      <i/>
      <sz val="11"/>
      <color rgb="FF000000"/>
      <name val="Calibri"/>
      <family val="2"/>
    </font>
    <font>
      <b/>
      <sz val="16"/>
      <color rgb="FFFFFF00"/>
      <name val="Calibri"/>
      <family val="2"/>
    </font>
    <font>
      <sz val="16"/>
      <color rgb="FF9C0006"/>
      <name val="Calibri"/>
      <family val="2"/>
    </font>
    <font>
      <sz val="11"/>
      <color rgb="FFFFFF00"/>
      <name val="Calibri"/>
      <family val="2"/>
    </font>
    <font>
      <b/>
      <sz val="7"/>
      <color rgb="FF000000"/>
      <name val="Calibri"/>
      <family val="2"/>
    </font>
    <font>
      <sz val="8"/>
      <color rgb="FF0070C0"/>
      <name val="Calibri"/>
      <family val="2"/>
    </font>
    <font>
      <b/>
      <sz val="11"/>
      <color rgb="FFFFFF00"/>
      <name val="Calibri"/>
      <family val="2"/>
    </font>
    <font>
      <i/>
      <sz val="10"/>
      <color rgb="FF000000"/>
      <name val="Arial"/>
      <family val="2"/>
    </font>
    <font>
      <b/>
      <sz val="11"/>
      <color rgb="FF000000"/>
      <name val="Arial"/>
      <family val="2"/>
    </font>
    <font>
      <sz val="16"/>
      <color rgb="FF000000"/>
      <name val="Calibri"/>
      <family val="2"/>
    </font>
    <font>
      <b/>
      <sz val="8"/>
      <color rgb="FF000000"/>
      <name val="Calibri"/>
      <family val="2"/>
    </font>
    <font>
      <b/>
      <sz val="18"/>
      <color rgb="FF203764"/>
      <name val="Calibri"/>
      <family val="2"/>
    </font>
    <font>
      <b/>
      <sz val="10"/>
      <color rgb="FF000000"/>
      <name val="Arial"/>
      <family val="2"/>
    </font>
    <font>
      <sz val="14"/>
      <color rgb="FF000000"/>
      <name val="Calibri"/>
      <family val="2"/>
    </font>
    <font>
      <sz val="11"/>
      <color theme="1"/>
      <name val="Arial"/>
      <family val="2"/>
    </font>
    <font>
      <b/>
      <sz val="11"/>
      <name val="Calibri"/>
      <family val="2"/>
      <scheme val="minor"/>
    </font>
    <font>
      <sz val="10"/>
      <name val="Calibri"/>
      <family val="2"/>
      <scheme val="minor"/>
    </font>
    <font>
      <b/>
      <sz val="10"/>
      <name val="Calibri"/>
      <family val="2"/>
      <scheme val="minor"/>
    </font>
    <font>
      <b/>
      <sz val="14"/>
      <name val="Calibri"/>
      <family val="2"/>
      <scheme val="minor"/>
    </font>
    <font>
      <sz val="10"/>
      <name val="Calibri"/>
      <family val="2"/>
    </font>
    <font>
      <b/>
      <sz val="11"/>
      <name val="Calibri"/>
      <family val="2"/>
    </font>
    <font>
      <sz val="11"/>
      <name val="Calibri"/>
      <family val="2"/>
    </font>
    <font>
      <b/>
      <sz val="10"/>
      <name val="Calibri"/>
      <family val="2"/>
    </font>
    <font>
      <sz val="9"/>
      <name val="Calibri"/>
      <family val="2"/>
    </font>
    <font>
      <u/>
      <sz val="11"/>
      <color theme="10"/>
      <name val="Calibri"/>
      <family val="2"/>
      <scheme val="minor"/>
    </font>
    <font>
      <u/>
      <sz val="11"/>
      <color theme="11"/>
      <name val="Calibri"/>
      <family val="2"/>
      <scheme val="minor"/>
    </font>
    <font>
      <sz val="10"/>
      <color theme="1"/>
      <name val="Arial"/>
      <family val="2"/>
    </font>
    <font>
      <sz val="9"/>
      <name val="Calibri"/>
      <family val="2"/>
      <scheme val="minor"/>
    </font>
    <font>
      <b/>
      <sz val="9"/>
      <name val="Calibri"/>
      <family val="2"/>
      <scheme val="minor"/>
    </font>
    <font>
      <sz val="7"/>
      <color theme="1"/>
      <name val="Arial"/>
      <family val="2"/>
    </font>
    <font>
      <b/>
      <sz val="7"/>
      <color theme="1"/>
      <name val="Arial"/>
      <family val="2"/>
    </font>
    <font>
      <sz val="8"/>
      <color theme="1"/>
      <name val="Arial"/>
      <family val="2"/>
    </font>
    <font>
      <b/>
      <u/>
      <sz val="10"/>
      <name val="Calibri"/>
      <family val="2"/>
      <scheme val="minor"/>
    </font>
    <font>
      <sz val="10"/>
      <name val="Arial"/>
      <family val="2"/>
    </font>
    <font>
      <sz val="10"/>
      <name val="Arial Narrow"/>
      <family val="2"/>
    </font>
    <font>
      <sz val="8"/>
      <name val="Calibri"/>
      <family val="2"/>
      <scheme val="minor"/>
    </font>
    <font>
      <sz val="8"/>
      <color theme="1"/>
      <name val="Calibri"/>
      <family val="2"/>
      <scheme val="minor"/>
    </font>
    <font>
      <sz val="11"/>
      <color rgb="FFFF0000"/>
      <name val="Calibri"/>
      <family val="2"/>
      <scheme val="minor"/>
    </font>
    <font>
      <sz val="7.5"/>
      <color theme="1"/>
      <name val="Arial"/>
      <family val="2"/>
    </font>
    <font>
      <b/>
      <sz val="7.5"/>
      <color theme="1"/>
      <name val="Arial"/>
      <family val="2"/>
    </font>
    <font>
      <sz val="8"/>
      <color rgb="FFFF0000"/>
      <name val="Calibri"/>
      <family val="2"/>
      <scheme val="minor"/>
    </font>
    <font>
      <sz val="8"/>
      <name val="Arial"/>
      <family val="2"/>
    </font>
    <font>
      <b/>
      <sz val="11"/>
      <color theme="1"/>
      <name val="Arial"/>
      <family val="2"/>
    </font>
    <font>
      <b/>
      <sz val="8"/>
      <name val="Calibri"/>
      <family val="2"/>
      <scheme val="minor"/>
    </font>
    <font>
      <b/>
      <u/>
      <sz val="8"/>
      <name val="Calibri"/>
      <family val="2"/>
      <scheme val="minor"/>
    </font>
    <font>
      <u/>
      <sz val="8"/>
      <name val="Calibri"/>
      <family val="2"/>
      <scheme val="minor"/>
    </font>
    <font>
      <u/>
      <sz val="9"/>
      <name val="Calibri"/>
      <family val="2"/>
      <scheme val="minor"/>
    </font>
    <font>
      <b/>
      <u/>
      <sz val="9"/>
      <name val="Calibri"/>
      <family val="2"/>
      <scheme val="minor"/>
    </font>
    <font>
      <sz val="7"/>
      <name val="Calibri"/>
      <family val="2"/>
      <scheme val="minor"/>
    </font>
  </fonts>
  <fills count="19">
    <fill>
      <patternFill patternType="none"/>
    </fill>
    <fill>
      <patternFill patternType="gray125"/>
    </fill>
    <fill>
      <patternFill patternType="solid">
        <fgColor rgb="FFFFFFFF"/>
        <bgColor rgb="FFFFFFFF"/>
      </patternFill>
    </fill>
    <fill>
      <patternFill patternType="solid">
        <fgColor rgb="FF8EA9DB"/>
        <bgColor rgb="FF8EA9DB"/>
      </patternFill>
    </fill>
    <fill>
      <patternFill patternType="solid">
        <fgColor rgb="FF305496"/>
        <bgColor rgb="FF305496"/>
      </patternFill>
    </fill>
    <fill>
      <patternFill patternType="solid">
        <fgColor rgb="FFC65911"/>
        <bgColor rgb="FFC65911"/>
      </patternFill>
    </fill>
    <fill>
      <patternFill patternType="solid">
        <fgColor rgb="FF808080"/>
        <bgColor rgb="FF808080"/>
      </patternFill>
    </fill>
    <fill>
      <patternFill patternType="solid">
        <fgColor rgb="FFFFFF00"/>
        <bgColor rgb="FFFFFF00"/>
      </patternFill>
    </fill>
    <fill>
      <patternFill patternType="solid">
        <fgColor rgb="FFFFC7CE"/>
        <bgColor rgb="FFFFC7CE"/>
      </patternFill>
    </fill>
    <fill>
      <patternFill patternType="solid">
        <fgColor rgb="FF000000"/>
        <bgColor rgb="FF000000"/>
      </patternFill>
    </fill>
    <fill>
      <patternFill patternType="solid">
        <fgColor rgb="FF8497B0"/>
        <bgColor rgb="FF8497B0"/>
      </patternFill>
    </fill>
    <fill>
      <patternFill patternType="solid">
        <fgColor rgb="FF00FF00"/>
        <bgColor rgb="FF00FF00"/>
      </patternFill>
    </fill>
    <fill>
      <patternFill patternType="solid">
        <fgColor rgb="FFDDEBF7"/>
        <bgColor rgb="FFDDEBF7"/>
      </patternFill>
    </fill>
    <fill>
      <patternFill patternType="solid">
        <fgColor rgb="FF2F75B5"/>
        <bgColor rgb="FF2F75B5"/>
      </patternFill>
    </fill>
    <fill>
      <patternFill patternType="solid">
        <fgColor rgb="FFFFC000"/>
        <bgColor rgb="FFFFC000"/>
      </patternFill>
    </fill>
    <fill>
      <patternFill patternType="solid">
        <fgColor rgb="FF9BC2E6"/>
        <bgColor rgb="FF9BC2E6"/>
      </patternFill>
    </fill>
    <fill>
      <patternFill patternType="solid">
        <fgColor rgb="FF00B050"/>
        <bgColor rgb="FF00B050"/>
      </patternFill>
    </fill>
    <fill>
      <patternFill patternType="solid">
        <fgColor rgb="FFA9D08E"/>
        <bgColor rgb="FFA9D08E"/>
      </patternFill>
    </fill>
    <fill>
      <patternFill patternType="solid">
        <fgColor rgb="FFFFFFFF"/>
        <bgColor indexed="64"/>
      </patternFill>
    </fill>
  </fills>
  <borders count="5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medium">
        <color indexed="64"/>
      </left>
      <right style="thick">
        <color indexed="64"/>
      </right>
      <top/>
      <bottom/>
      <diagonal/>
    </border>
    <border>
      <left style="medium">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style="thin">
        <color indexed="64"/>
      </top>
      <bottom style="thin">
        <color indexed="64"/>
      </bottom>
      <diagonal/>
    </border>
    <border>
      <left/>
      <right/>
      <top style="thin">
        <color auto="1"/>
      </top>
      <bottom/>
      <diagonal/>
    </border>
    <border>
      <left style="thin">
        <color auto="1"/>
      </left>
      <right/>
      <top/>
      <bottom/>
      <diagonal/>
    </border>
  </borders>
  <cellStyleXfs count="15">
    <xf numFmtId="0" fontId="0" fillId="0" borderId="0"/>
    <xf numFmtId="44" fontId="6" fillId="0" borderId="0" applyFont="0" applyFill="0" applyBorder="0" applyAlignment="0" applyProtection="0"/>
    <xf numFmtId="0" fontId="7" fillId="0" borderId="0"/>
    <xf numFmtId="166" fontId="7" fillId="0" borderId="0" applyFont="0" applyFill="0" applyBorder="0" applyAlignment="0" applyProtection="0"/>
    <xf numFmtId="0" fontId="20" fillId="3" borderId="0" applyNumberFormat="0" applyBorder="0" applyAlignment="0" applyProtection="0"/>
    <xf numFmtId="167" fontId="7" fillId="0" borderId="0" applyFont="0" applyFill="0" applyBorder="0" applyAlignment="0" applyProtection="0"/>
    <xf numFmtId="0" fontId="7" fillId="0" borderId="0" applyNumberFormat="0" applyFont="0" applyBorder="0" applyProtection="0"/>
    <xf numFmtId="0" fontId="31" fillId="0" borderId="0" applyNumberFormat="0" applyBorder="0" applyProtection="0"/>
    <xf numFmtId="9" fontId="7" fillId="0" borderId="0" applyFont="0" applyFill="0" applyBorder="0" applyAlignment="0" applyProtection="0"/>
    <xf numFmtId="0" fontId="36" fillId="8" borderId="0" applyNumberFormat="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76" fillId="0" borderId="0"/>
  </cellStyleXfs>
  <cellXfs count="401">
    <xf numFmtId="0" fontId="0" fillId="0" borderId="0" xfId="0"/>
    <xf numFmtId="0" fontId="1" fillId="0" borderId="0" xfId="0" applyFont="1"/>
    <xf numFmtId="0" fontId="0" fillId="0" borderId="0" xfId="0" applyBorder="1"/>
    <xf numFmtId="0" fontId="0" fillId="0" borderId="1" xfId="0" applyBorder="1"/>
    <xf numFmtId="0" fontId="0" fillId="0" borderId="0" xfId="0" applyFont="1"/>
    <xf numFmtId="164" fontId="0" fillId="0" borderId="0" xfId="0" applyNumberFormat="1"/>
    <xf numFmtId="0" fontId="7" fillId="0" borderId="0" xfId="2"/>
    <xf numFmtId="0" fontId="13" fillId="0" borderId="12" xfId="2" applyFont="1" applyFill="1" applyBorder="1" applyAlignment="1">
      <alignment horizontal="center" vertical="center" wrapText="1"/>
    </xf>
    <xf numFmtId="0" fontId="7" fillId="0" borderId="11" xfId="2" applyBorder="1" applyAlignment="1">
      <alignment vertical="center"/>
    </xf>
    <xf numFmtId="0" fontId="7" fillId="0" borderId="11" xfId="2" applyBorder="1" applyAlignment="1">
      <alignment horizontal="center" vertical="center"/>
    </xf>
    <xf numFmtId="0" fontId="7" fillId="0" borderId="11" xfId="2" applyBorder="1" applyAlignment="1">
      <alignment vertical="center" wrapText="1"/>
    </xf>
    <xf numFmtId="2" fontId="7" fillId="0" borderId="11" xfId="3" applyNumberFormat="1" applyBorder="1" applyAlignment="1">
      <alignment vertical="center"/>
    </xf>
    <xf numFmtId="166" fontId="7" fillId="0" borderId="11" xfId="3" applyBorder="1" applyAlignment="1">
      <alignment vertical="center"/>
    </xf>
    <xf numFmtId="0" fontId="7" fillId="0" borderId="11" xfId="2" applyBorder="1" applyAlignment="1">
      <alignment horizontal="justify" vertical="center" wrapText="1"/>
    </xf>
    <xf numFmtId="0" fontId="15" fillId="0" borderId="11" xfId="2" applyFont="1" applyBorder="1" applyAlignment="1">
      <alignment horizontal="center" vertical="center"/>
    </xf>
    <xf numFmtId="0" fontId="15" fillId="0" borderId="11" xfId="2" applyFont="1" applyBorder="1" applyAlignment="1">
      <alignment vertical="center" wrapText="1"/>
    </xf>
    <xf numFmtId="0" fontId="15" fillId="0" borderId="11" xfId="2" applyFont="1" applyBorder="1" applyAlignment="1">
      <alignment vertical="center"/>
    </xf>
    <xf numFmtId="2" fontId="15" fillId="0" borderId="11" xfId="3" applyNumberFormat="1" applyFont="1" applyBorder="1" applyAlignment="1">
      <alignment vertical="center"/>
    </xf>
    <xf numFmtId="166" fontId="15" fillId="0" borderId="11" xfId="3" applyFont="1" applyBorder="1" applyAlignment="1">
      <alignment vertical="center"/>
    </xf>
    <xf numFmtId="0" fontId="16" fillId="0" borderId="11" xfId="2" applyFont="1" applyBorder="1" applyAlignment="1">
      <alignment horizontal="justify" vertical="center" wrapText="1"/>
    </xf>
    <xf numFmtId="0" fontId="8" fillId="0" borderId="0" xfId="2" applyFont="1"/>
    <xf numFmtId="0" fontId="8" fillId="0" borderId="11" xfId="2" applyFont="1" applyBorder="1" applyAlignment="1">
      <alignment vertical="center" wrapText="1"/>
    </xf>
    <xf numFmtId="0" fontId="18" fillId="0" borderId="7" xfId="2" applyFont="1" applyFill="1" applyBorder="1" applyAlignment="1">
      <alignment horizontal="center" vertical="center" wrapText="1"/>
    </xf>
    <xf numFmtId="0" fontId="18" fillId="0" borderId="0" xfId="2" applyFont="1" applyFill="1" applyAlignment="1">
      <alignment horizontal="center" vertical="center" wrapText="1"/>
    </xf>
    <xf numFmtId="0" fontId="7" fillId="0" borderId="0" xfId="2" applyAlignment="1">
      <alignment horizontal="center" vertical="center"/>
    </xf>
    <xf numFmtId="0" fontId="7" fillId="0" borderId="0" xfId="2" applyAlignment="1">
      <alignment vertical="center" wrapText="1"/>
    </xf>
    <xf numFmtId="0" fontId="7" fillId="0" borderId="0" xfId="2" applyAlignment="1">
      <alignment vertical="center"/>
    </xf>
    <xf numFmtId="166" fontId="7" fillId="0" borderId="0" xfId="3" applyAlignment="1">
      <alignment vertical="center"/>
    </xf>
    <xf numFmtId="0" fontId="7" fillId="0" borderId="0" xfId="3" applyNumberFormat="1" applyAlignment="1">
      <alignment vertical="center"/>
    </xf>
    <xf numFmtId="0" fontId="7" fillId="0" borderId="0" xfId="2" applyAlignment="1">
      <alignment wrapText="1"/>
    </xf>
    <xf numFmtId="0" fontId="7" fillId="0" borderId="13" xfId="2" applyBorder="1"/>
    <xf numFmtId="0" fontId="7" fillId="0" borderId="0" xfId="2"/>
    <xf numFmtId="0" fontId="21" fillId="4" borderId="16" xfId="4" applyFont="1" applyFill="1" applyBorder="1" applyAlignment="1">
      <alignment horizontal="center" vertical="center"/>
    </xf>
    <xf numFmtId="0" fontId="21" fillId="4" borderId="17" xfId="4" applyFont="1" applyFill="1" applyBorder="1" applyAlignment="1">
      <alignment horizontal="center" vertical="center"/>
    </xf>
    <xf numFmtId="0" fontId="24" fillId="5" borderId="6" xfId="2" applyFont="1" applyFill="1" applyBorder="1" applyAlignment="1">
      <alignment horizontal="center" vertical="center" wrapText="1"/>
    </xf>
    <xf numFmtId="0" fontId="21" fillId="4" borderId="19" xfId="4" applyFont="1" applyFill="1" applyBorder="1" applyAlignment="1">
      <alignment horizontal="center" vertical="center"/>
    </xf>
    <xf numFmtId="0" fontId="21" fillId="4" borderId="20" xfId="4" applyFont="1" applyFill="1" applyBorder="1" applyAlignment="1">
      <alignment horizontal="center" vertical="center"/>
    </xf>
    <xf numFmtId="0" fontId="24" fillId="5" borderId="7" xfId="2" applyFont="1" applyFill="1" applyBorder="1" applyAlignment="1">
      <alignment horizontal="center" vertical="center" wrapText="1"/>
    </xf>
    <xf numFmtId="0" fontId="25" fillId="2" borderId="19" xfId="6" applyFont="1" applyFill="1" applyBorder="1" applyAlignment="1">
      <alignment horizontal="center" vertical="center"/>
    </xf>
    <xf numFmtId="168" fontId="25" fillId="2" borderId="20" xfId="6" applyNumberFormat="1" applyFont="1" applyFill="1" applyBorder="1" applyAlignment="1">
      <alignment vertical="center"/>
    </xf>
    <xf numFmtId="0" fontId="15" fillId="0" borderId="11" xfId="2" applyFont="1" applyBorder="1" applyAlignment="1">
      <alignment horizontal="center"/>
    </xf>
    <xf numFmtId="0" fontId="8" fillId="0" borderId="11" xfId="2" applyFont="1" applyBorder="1" applyAlignment="1">
      <alignment horizontal="center"/>
    </xf>
    <xf numFmtId="0" fontId="26" fillId="0" borderId="11" xfId="2" applyFont="1" applyBorder="1" applyAlignment="1">
      <alignment horizontal="center"/>
    </xf>
    <xf numFmtId="0" fontId="25" fillId="2" borderId="16" xfId="6" applyFont="1" applyFill="1" applyBorder="1" applyAlignment="1">
      <alignment horizontal="center" vertical="center"/>
    </xf>
    <xf numFmtId="168" fontId="25" fillId="2" borderId="17" xfId="6" applyNumberFormat="1" applyFont="1" applyFill="1" applyBorder="1" applyAlignment="1">
      <alignment vertical="center"/>
    </xf>
    <xf numFmtId="0" fontId="23" fillId="0" borderId="11" xfId="2" applyFont="1" applyBorder="1" applyAlignment="1">
      <alignment horizontal="right"/>
    </xf>
    <xf numFmtId="0" fontId="24" fillId="5" borderId="8" xfId="2" applyFont="1" applyFill="1" applyBorder="1" applyAlignment="1">
      <alignment horizontal="center" vertical="center" wrapText="1"/>
    </xf>
    <xf numFmtId="0" fontId="32" fillId="4" borderId="11" xfId="7" applyFont="1" applyFill="1" applyBorder="1" applyAlignment="1">
      <alignment horizontal="center" vertical="center" wrapText="1"/>
    </xf>
    <xf numFmtId="166" fontId="14" fillId="4" borderId="11" xfId="3" applyFont="1" applyFill="1" applyBorder="1" applyAlignment="1">
      <alignment vertical="center" wrapText="1"/>
    </xf>
    <xf numFmtId="0" fontId="34" fillId="0" borderId="11" xfId="2" applyFont="1" applyBorder="1" applyAlignment="1">
      <alignment horizontal="right" vertical="center"/>
    </xf>
    <xf numFmtId="9" fontId="7" fillId="0" borderId="11" xfId="8" applyBorder="1" applyAlignment="1">
      <alignment vertical="center"/>
    </xf>
    <xf numFmtId="0" fontId="35" fillId="0" borderId="11" xfId="2" applyFont="1" applyBorder="1" applyAlignment="1">
      <alignment horizontal="center" vertical="center" wrapText="1"/>
    </xf>
    <xf numFmtId="1" fontId="7" fillId="0" borderId="11" xfId="2" applyNumberFormat="1" applyBorder="1"/>
    <xf numFmtId="0" fontId="37" fillId="8" borderId="11" xfId="9" applyFont="1" applyFill="1" applyBorder="1" applyAlignment="1">
      <alignment horizontal="center"/>
    </xf>
    <xf numFmtId="0" fontId="37" fillId="8" borderId="17" xfId="9" applyFont="1" applyFill="1" applyBorder="1" applyAlignment="1">
      <alignment horizontal="center"/>
    </xf>
    <xf numFmtId="2" fontId="7" fillId="0" borderId="11" xfId="2" applyNumberFormat="1" applyBorder="1"/>
    <xf numFmtId="0" fontId="7" fillId="0" borderId="11" xfId="2" applyBorder="1"/>
    <xf numFmtId="0" fontId="15" fillId="9" borderId="11" xfId="2" applyFont="1" applyFill="1" applyBorder="1" applyAlignment="1">
      <alignment horizontal="center"/>
    </xf>
    <xf numFmtId="0" fontId="7" fillId="9" borderId="0" xfId="2" applyFill="1"/>
    <xf numFmtId="0" fontId="7" fillId="9" borderId="21" xfId="2" applyFill="1" applyBorder="1"/>
    <xf numFmtId="0" fontId="39" fillId="10" borderId="18" xfId="7" applyFont="1" applyFill="1" applyBorder="1" applyAlignment="1">
      <alignment horizontal="center" vertical="center" wrapText="1"/>
    </xf>
    <xf numFmtId="0" fontId="39" fillId="10" borderId="11" xfId="7" applyFont="1" applyFill="1" applyBorder="1" applyAlignment="1">
      <alignment horizontal="center" vertical="center" wrapText="1"/>
    </xf>
    <xf numFmtId="0" fontId="7" fillId="0" borderId="18" xfId="2" applyBorder="1" applyAlignment="1">
      <alignment horizontal="center"/>
    </xf>
    <xf numFmtId="0" fontId="7" fillId="0" borderId="11" xfId="2" applyBorder="1" applyAlignment="1">
      <alignment horizontal="justify" vertical="center"/>
    </xf>
    <xf numFmtId="15" fontId="40" fillId="11" borderId="11" xfId="7" applyNumberFormat="1" applyFont="1" applyFill="1" applyBorder="1" applyAlignment="1">
      <alignment horizontal="center" vertical="center" wrapText="1"/>
    </xf>
    <xf numFmtId="0" fontId="11" fillId="0" borderId="11" xfId="2" applyFont="1" applyBorder="1" applyAlignment="1">
      <alignment horizontal="center" vertical="center"/>
    </xf>
    <xf numFmtId="2" fontId="39" fillId="2" borderId="11" xfId="7" applyNumberFormat="1" applyFont="1" applyFill="1" applyBorder="1" applyAlignment="1">
      <alignment horizontal="center" vertical="center" wrapText="1"/>
    </xf>
    <xf numFmtId="0" fontId="43" fillId="0" borderId="11" xfId="2" applyFont="1" applyBorder="1" applyAlignment="1">
      <alignment horizontal="right" vertical="center"/>
    </xf>
    <xf numFmtId="166" fontId="7" fillId="0" borderId="11" xfId="2" applyNumberFormat="1" applyBorder="1" applyAlignment="1">
      <alignment vertical="center"/>
    </xf>
    <xf numFmtId="2" fontId="7" fillId="0" borderId="11" xfId="2" applyNumberFormat="1" applyBorder="1" applyAlignment="1">
      <alignment vertical="center"/>
    </xf>
    <xf numFmtId="0" fontId="23" fillId="14" borderId="9" xfId="2" applyFont="1" applyFill="1" applyBorder="1" applyAlignment="1">
      <alignment horizontal="right"/>
    </xf>
    <xf numFmtId="0" fontId="36" fillId="8" borderId="9" xfId="9" applyFont="1" applyFill="1" applyBorder="1" applyAlignment="1">
      <alignment horizontal="center"/>
    </xf>
    <xf numFmtId="0" fontId="23" fillId="15" borderId="9" xfId="2" applyFont="1" applyFill="1" applyBorder="1" applyAlignment="1">
      <alignment horizontal="right"/>
    </xf>
    <xf numFmtId="0" fontId="42" fillId="3" borderId="24" xfId="4" applyFont="1" applyFill="1" applyBorder="1" applyAlignment="1">
      <alignment horizontal="center" vertical="center"/>
    </xf>
    <xf numFmtId="0" fontId="25" fillId="2" borderId="18" xfId="6" applyFont="1" applyFill="1" applyBorder="1" applyAlignment="1">
      <alignment horizontal="center" vertical="center"/>
    </xf>
    <xf numFmtId="0" fontId="47" fillId="10" borderId="11" xfId="7" applyFont="1" applyFill="1" applyBorder="1" applyAlignment="1">
      <alignment horizontal="center" vertical="center" wrapText="1"/>
    </xf>
    <xf numFmtId="0" fontId="7" fillId="2" borderId="11" xfId="2" applyFill="1" applyBorder="1" applyAlignment="1">
      <alignment vertical="center"/>
    </xf>
    <xf numFmtId="0" fontId="7" fillId="2" borderId="11" xfId="2" applyFill="1" applyBorder="1" applyAlignment="1">
      <alignment horizontal="justify" vertical="center"/>
    </xf>
    <xf numFmtId="2" fontId="7" fillId="2" borderId="11" xfId="2" applyNumberFormat="1" applyFill="1" applyBorder="1" applyAlignment="1">
      <alignment vertical="center"/>
    </xf>
    <xf numFmtId="0" fontId="8" fillId="2" borderId="11" xfId="2" applyFont="1" applyFill="1" applyBorder="1" applyAlignment="1">
      <alignment horizontal="center" vertical="center"/>
    </xf>
    <xf numFmtId="0" fontId="8" fillId="2" borderId="0" xfId="2" applyFont="1" applyFill="1" applyAlignment="1">
      <alignment horizontal="center"/>
    </xf>
    <xf numFmtId="0" fontId="46" fillId="2" borderId="0" xfId="2" applyFont="1" applyFill="1"/>
    <xf numFmtId="0" fontId="25" fillId="17" borderId="23" xfId="6" applyFont="1" applyFill="1" applyBorder="1" applyAlignment="1">
      <alignment horizontal="center" vertical="center"/>
    </xf>
    <xf numFmtId="168" fontId="25" fillId="17" borderId="25" xfId="6" applyNumberFormat="1" applyFont="1" applyFill="1" applyBorder="1" applyAlignment="1">
      <alignment vertical="center"/>
    </xf>
    <xf numFmtId="0" fontId="31" fillId="0" borderId="29" xfId="2" applyFont="1" applyBorder="1" applyAlignment="1">
      <alignment vertical="center" wrapText="1"/>
    </xf>
    <xf numFmtId="0" fontId="31" fillId="0" borderId="30" xfId="2" applyFont="1" applyBorder="1" applyAlignment="1">
      <alignment vertical="center" wrapText="1"/>
    </xf>
    <xf numFmtId="0" fontId="31" fillId="0" borderId="31" xfId="2" applyFont="1" applyBorder="1" applyAlignment="1">
      <alignment horizontal="justify" vertical="center" wrapText="1"/>
    </xf>
    <xf numFmtId="0" fontId="7" fillId="0" borderId="11" xfId="2" applyBorder="1" applyAlignment="1"/>
    <xf numFmtId="0" fontId="25" fillId="2" borderId="11" xfId="2" applyFont="1" applyFill="1" applyBorder="1" applyAlignment="1">
      <alignment horizontal="justify" vertical="center" wrapText="1"/>
    </xf>
    <xf numFmtId="0" fontId="25" fillId="2" borderId="11" xfId="2" applyFont="1" applyFill="1" applyBorder="1" applyAlignment="1">
      <alignment horizontal="center" wrapText="1"/>
    </xf>
    <xf numFmtId="0" fontId="50" fillId="0" borderId="0" xfId="2" applyFont="1" applyAlignment="1">
      <alignment horizontal="justify" vertical="center"/>
    </xf>
    <xf numFmtId="0" fontId="7" fillId="0" borderId="11" xfId="2" applyBorder="1" applyAlignment="1">
      <alignment horizontal="center"/>
    </xf>
    <xf numFmtId="0" fontId="50" fillId="0" borderId="32" xfId="2" applyFont="1" applyBorder="1" applyAlignment="1">
      <alignment horizontal="center" vertical="center" wrapText="1"/>
    </xf>
    <xf numFmtId="0" fontId="50" fillId="0" borderId="30" xfId="2" applyFont="1" applyBorder="1" applyAlignment="1">
      <alignment horizontal="center" vertical="center" wrapText="1"/>
    </xf>
    <xf numFmtId="0" fontId="50" fillId="0" borderId="30" xfId="2" applyFont="1" applyBorder="1" applyAlignment="1">
      <alignment horizontal="justify" vertical="center" wrapText="1"/>
    </xf>
    <xf numFmtId="0" fontId="50" fillId="0" borderId="33" xfId="2" applyFont="1" applyBorder="1" applyAlignment="1">
      <alignment horizontal="justify" vertical="center" wrapText="1"/>
    </xf>
    <xf numFmtId="0" fontId="52" fillId="0" borderId="0" xfId="2" applyFont="1" applyAlignment="1">
      <alignment horizontal="justify" vertical="center"/>
    </xf>
    <xf numFmtId="0" fontId="31" fillId="0" borderId="30" xfId="2" applyFont="1" applyBorder="1" applyAlignment="1">
      <alignment horizontal="justify" vertical="center" wrapText="1"/>
    </xf>
    <xf numFmtId="49" fontId="7" fillId="0" borderId="11" xfId="2" applyNumberFormat="1" applyBorder="1" applyAlignment="1">
      <alignment horizontal="justify" vertical="center"/>
    </xf>
    <xf numFmtId="0" fontId="7" fillId="0" borderId="11" xfId="2" applyFill="1" applyBorder="1" applyAlignment="1">
      <alignment horizontal="center" vertical="center"/>
    </xf>
    <xf numFmtId="0" fontId="7" fillId="0" borderId="11" xfId="2" applyBorder="1" applyAlignment="1">
      <alignment horizontal="justify"/>
    </xf>
    <xf numFmtId="0" fontId="50" fillId="0" borderId="34" xfId="2" applyFont="1" applyBorder="1" applyAlignment="1">
      <alignment horizontal="center" vertical="center" wrapText="1"/>
    </xf>
    <xf numFmtId="0" fontId="50" fillId="0" borderId="26" xfId="2" applyFont="1" applyBorder="1" applyAlignment="1">
      <alignment horizontal="center" vertical="center" wrapText="1"/>
    </xf>
    <xf numFmtId="0" fontId="50" fillId="0" borderId="27" xfId="2" applyFont="1" applyBorder="1" applyAlignment="1">
      <alignment horizontal="justify" vertical="center" wrapText="1"/>
    </xf>
    <xf numFmtId="0" fontId="50" fillId="0" borderId="29" xfId="2" applyFont="1" applyBorder="1" applyAlignment="1">
      <alignment horizontal="justify" vertical="center" wrapText="1"/>
    </xf>
    <xf numFmtId="0" fontId="31" fillId="0" borderId="27" xfId="2" applyFont="1" applyBorder="1" applyAlignment="1">
      <alignment vertical="center" wrapText="1"/>
    </xf>
    <xf numFmtId="0" fontId="31" fillId="0" borderId="27" xfId="2" applyFont="1" applyBorder="1" applyAlignment="1">
      <alignment horizontal="justify" vertical="center" wrapText="1"/>
    </xf>
    <xf numFmtId="49" fontId="7" fillId="0" borderId="11" xfId="2" applyNumberFormat="1" applyFill="1" applyBorder="1" applyAlignment="1">
      <alignment horizontal="justify" vertical="center"/>
    </xf>
    <xf numFmtId="0" fontId="31" fillId="0" borderId="29" xfId="2" applyFont="1" applyBorder="1" applyAlignment="1">
      <alignment horizontal="justify" vertical="center" wrapText="1"/>
    </xf>
    <xf numFmtId="0" fontId="7" fillId="0" borderId="18" xfId="2" applyBorder="1" applyAlignment="1">
      <alignment horizontal="center" vertical="center"/>
    </xf>
    <xf numFmtId="0" fontId="7" fillId="0" borderId="11" xfId="2" applyFill="1" applyBorder="1" applyAlignment="1">
      <alignment horizontal="justify" vertical="center"/>
    </xf>
    <xf numFmtId="9" fontId="7" fillId="0" borderId="11" xfId="8" applyBorder="1" applyAlignment="1">
      <alignment horizontal="center" vertical="center"/>
    </xf>
    <xf numFmtId="14" fontId="11" fillId="0" borderId="11" xfId="2" applyNumberFormat="1" applyFont="1" applyBorder="1" applyAlignment="1">
      <alignment horizontal="center" vertical="center"/>
    </xf>
    <xf numFmtId="0" fontId="47" fillId="2" borderId="11" xfId="7" applyFont="1" applyFill="1" applyBorder="1" applyAlignment="1">
      <alignment horizontal="center" vertical="center" wrapText="1"/>
    </xf>
    <xf numFmtId="0" fontId="17" fillId="2" borderId="0" xfId="2" applyFont="1" applyFill="1" applyAlignment="1">
      <alignment horizontal="center"/>
    </xf>
    <xf numFmtId="0" fontId="7" fillId="2" borderId="11" xfId="2" applyFill="1" applyBorder="1"/>
    <xf numFmtId="0" fontId="7" fillId="0" borderId="0" xfId="2" applyAlignment="1">
      <alignment horizontal="center"/>
    </xf>
    <xf numFmtId="0" fontId="55" fillId="0" borderId="11" xfId="2" applyFont="1" applyBorder="1" applyAlignment="1">
      <alignment horizontal="center" vertical="center"/>
    </xf>
    <xf numFmtId="0" fontId="7" fillId="2" borderId="0" xfId="2" applyFill="1" applyAlignment="1">
      <alignment horizontal="center"/>
    </xf>
    <xf numFmtId="0" fontId="49" fillId="2" borderId="0" xfId="2" applyFont="1" applyFill="1" applyAlignment="1">
      <alignment horizontal="center"/>
    </xf>
    <xf numFmtId="0" fontId="53" fillId="0" borderId="11" xfId="2" applyFont="1" applyBorder="1" applyAlignment="1">
      <alignment vertical="center" wrapText="1"/>
    </xf>
    <xf numFmtId="0" fontId="7" fillId="2" borderId="0" xfId="2" applyFill="1"/>
    <xf numFmtId="14" fontId="7" fillId="0" borderId="0" xfId="2" applyNumberFormat="1"/>
    <xf numFmtId="0" fontId="43" fillId="0" borderId="11" xfId="2" applyFont="1" applyBorder="1" applyAlignment="1">
      <alignment horizontal="justify" vertical="center"/>
    </xf>
    <xf numFmtId="0" fontId="7" fillId="0" borderId="0" xfId="2"/>
    <xf numFmtId="0" fontId="7" fillId="0" borderId="11" xfId="2" applyFill="1" applyBorder="1" applyAlignment="1">
      <alignment horizontal="center" vertical="center"/>
    </xf>
    <xf numFmtId="0" fontId="25" fillId="2" borderId="11" xfId="2" applyFont="1" applyFill="1" applyBorder="1" applyAlignment="1">
      <alignment horizontal="center" wrapText="1"/>
    </xf>
    <xf numFmtId="0" fontId="7" fillId="0" borderId="11" xfId="2" applyFill="1" applyBorder="1" applyAlignment="1">
      <alignment horizontal="justify" vertical="center"/>
    </xf>
    <xf numFmtId="4" fontId="47" fillId="10" borderId="11" xfId="7" applyNumberFormat="1" applyFont="1" applyFill="1" applyBorder="1" applyAlignment="1">
      <alignment horizontal="center" vertical="center" wrapText="1"/>
    </xf>
    <xf numFmtId="0" fontId="5" fillId="0" borderId="1" xfId="0" applyFont="1" applyBorder="1" applyAlignment="1">
      <alignment vertical="center"/>
    </xf>
    <xf numFmtId="0" fontId="62" fillId="0" borderId="11" xfId="2" applyFont="1" applyBorder="1" applyAlignment="1">
      <alignment horizontal="center" vertical="center" wrapText="1"/>
    </xf>
    <xf numFmtId="0" fontId="64" fillId="0" borderId="11" xfId="2" applyFont="1" applyBorder="1" applyAlignment="1">
      <alignment horizontal="center" vertical="center" wrapText="1"/>
    </xf>
    <xf numFmtId="0" fontId="64" fillId="0" borderId="11" xfId="2" applyFont="1" applyBorder="1" applyAlignment="1">
      <alignment horizontal="center" vertical="center"/>
    </xf>
    <xf numFmtId="0" fontId="64" fillId="0" borderId="11" xfId="2" applyFont="1" applyBorder="1" applyAlignment="1">
      <alignment vertical="center" wrapText="1"/>
    </xf>
    <xf numFmtId="0" fontId="64" fillId="0" borderId="11" xfId="2" applyFont="1" applyBorder="1" applyAlignment="1">
      <alignment vertical="center"/>
    </xf>
    <xf numFmtId="2" fontId="64" fillId="0" borderId="11" xfId="3" applyNumberFormat="1" applyFont="1" applyBorder="1" applyAlignment="1">
      <alignment vertical="center"/>
    </xf>
    <xf numFmtId="166" fontId="64" fillId="0" borderId="11" xfId="3" applyFont="1" applyBorder="1" applyAlignment="1">
      <alignment vertical="center"/>
    </xf>
    <xf numFmtId="0" fontId="66" fillId="0" borderId="11" xfId="2" applyFont="1" applyBorder="1" applyAlignment="1">
      <alignment horizontal="justify" vertical="center" wrapText="1"/>
    </xf>
    <xf numFmtId="0" fontId="64" fillId="0" borderId="11" xfId="2" applyFont="1" applyBorder="1" applyAlignment="1">
      <alignment horizontal="justify" vertical="center" wrapText="1"/>
    </xf>
    <xf numFmtId="0" fontId="63" fillId="0" borderId="11" xfId="2" applyFont="1" applyBorder="1" applyAlignment="1">
      <alignment vertical="center"/>
    </xf>
    <xf numFmtId="0" fontId="62" fillId="0" borderId="11" xfId="2" applyFont="1" applyBorder="1" applyAlignment="1">
      <alignment horizontal="justify" vertical="center" wrapText="1"/>
    </xf>
    <xf numFmtId="0" fontId="7" fillId="0" borderId="0" xfId="2"/>
    <xf numFmtId="0" fontId="17" fillId="0" borderId="11" xfId="2" applyFont="1" applyBorder="1" applyAlignment="1">
      <alignment horizontal="center" vertical="center"/>
    </xf>
    <xf numFmtId="0" fontId="17" fillId="0" borderId="11" xfId="2" applyFont="1" applyBorder="1" applyAlignment="1">
      <alignment vertical="center" wrapText="1"/>
    </xf>
    <xf numFmtId="0" fontId="17" fillId="0" borderId="11" xfId="2" applyFont="1" applyBorder="1" applyAlignment="1">
      <alignment vertical="center"/>
    </xf>
    <xf numFmtId="2" fontId="17" fillId="0" borderId="11" xfId="3" applyNumberFormat="1" applyFont="1" applyBorder="1" applyAlignment="1">
      <alignment vertical="center"/>
    </xf>
    <xf numFmtId="166" fontId="17" fillId="0" borderId="11" xfId="3" applyFont="1" applyBorder="1" applyAlignment="1">
      <alignment vertical="center"/>
    </xf>
    <xf numFmtId="0" fontId="7" fillId="0" borderId="6" xfId="2" applyFill="1" applyBorder="1" applyAlignment="1">
      <alignment horizontal="justify" vertical="center"/>
    </xf>
    <xf numFmtId="0" fontId="7" fillId="0" borderId="6" xfId="2" applyBorder="1" applyAlignment="1">
      <alignment horizontal="center" vertical="center"/>
    </xf>
    <xf numFmtId="0" fontId="5" fillId="0" borderId="0" xfId="0" applyFont="1"/>
    <xf numFmtId="0" fontId="0" fillId="0" borderId="0" xfId="0" applyAlignment="1">
      <alignment vertical="center"/>
    </xf>
    <xf numFmtId="0" fontId="0" fillId="0" borderId="1" xfId="0" applyBorder="1" applyAlignment="1">
      <alignment vertical="center"/>
    </xf>
    <xf numFmtId="0" fontId="58" fillId="0" borderId="1" xfId="0" applyFont="1" applyBorder="1" applyAlignment="1">
      <alignment vertical="center"/>
    </xf>
    <xf numFmtId="0" fontId="1" fillId="0" borderId="38" xfId="0" applyFont="1" applyBorder="1" applyAlignment="1">
      <alignment horizontal="center" vertical="center"/>
    </xf>
    <xf numFmtId="0" fontId="61" fillId="0" borderId="1" xfId="0" applyFont="1" applyBorder="1" applyAlignment="1">
      <alignment vertical="center"/>
    </xf>
    <xf numFmtId="0" fontId="1" fillId="0" borderId="1" xfId="0" applyFont="1" applyBorder="1" applyAlignment="1">
      <alignment horizontal="center" vertical="center"/>
    </xf>
    <xf numFmtId="0" fontId="69" fillId="18" borderId="1" xfId="0" applyFont="1" applyFill="1" applyBorder="1" applyAlignment="1">
      <alignment horizontal="center" vertical="center" wrapText="1"/>
    </xf>
    <xf numFmtId="0" fontId="57" fillId="0" borderId="40" xfId="0" applyFont="1" applyBorder="1" applyAlignment="1">
      <alignment vertical="center" wrapText="1"/>
    </xf>
    <xf numFmtId="0" fontId="7" fillId="0" borderId="6" xfId="2" applyFill="1" applyBorder="1" applyAlignment="1">
      <alignment horizontal="justify" vertical="center"/>
    </xf>
    <xf numFmtId="0" fontId="7" fillId="0" borderId="6" xfId="2" applyBorder="1" applyAlignment="1">
      <alignment horizontal="center" vertical="center"/>
    </xf>
    <xf numFmtId="0" fontId="77" fillId="0" borderId="46" xfId="14" applyFont="1" applyBorder="1" applyAlignment="1">
      <alignment horizontal="justify" vertical="center"/>
    </xf>
    <xf numFmtId="0" fontId="77" fillId="0" borderId="47" xfId="14" applyFont="1" applyBorder="1" applyAlignment="1">
      <alignment horizontal="justify" vertical="center"/>
    </xf>
    <xf numFmtId="0" fontId="77" fillId="0" borderId="48" xfId="14" applyFont="1" applyBorder="1" applyAlignment="1">
      <alignment horizontal="center" wrapText="1"/>
    </xf>
    <xf numFmtId="0" fontId="77" fillId="0" borderId="49" xfId="14" applyFont="1" applyBorder="1" applyAlignment="1">
      <alignment horizontal="center" vertical="center" wrapText="1"/>
    </xf>
    <xf numFmtId="0" fontId="77" fillId="0" borderId="48" xfId="14" applyFont="1" applyBorder="1" applyAlignment="1">
      <alignment horizontal="center" vertical="center" wrapText="1"/>
    </xf>
    <xf numFmtId="0" fontId="7" fillId="2" borderId="11" xfId="2" applyFill="1" applyBorder="1" applyAlignment="1">
      <alignment horizontal="justify" vertical="center" wrapText="1"/>
    </xf>
    <xf numFmtId="0" fontId="64" fillId="2" borderId="11" xfId="2" applyFont="1" applyFill="1" applyBorder="1" applyAlignment="1">
      <alignment horizontal="justify" vertical="center"/>
    </xf>
    <xf numFmtId="0" fontId="64" fillId="0" borderId="11" xfId="2" applyFont="1" applyBorder="1" applyAlignment="1">
      <alignment horizontal="justify" vertical="center"/>
    </xf>
    <xf numFmtId="9" fontId="64" fillId="0" borderId="11" xfId="8" applyFont="1" applyBorder="1" applyAlignment="1">
      <alignment horizontal="center" vertical="center"/>
    </xf>
    <xf numFmtId="15" fontId="84" fillId="11" borderId="11" xfId="7" applyNumberFormat="1" applyFont="1" applyFill="1" applyBorder="1" applyAlignment="1">
      <alignment horizontal="center" vertical="center" wrapText="1"/>
    </xf>
    <xf numFmtId="0" fontId="65" fillId="0" borderId="11" xfId="2" applyFont="1" applyBorder="1" applyAlignment="1">
      <alignment horizontal="center" vertical="center"/>
    </xf>
    <xf numFmtId="0" fontId="62" fillId="0" borderId="11" xfId="2" applyFont="1" applyBorder="1" applyAlignment="1">
      <alignment horizontal="justify" vertical="center"/>
    </xf>
    <xf numFmtId="0" fontId="85" fillId="0" borderId="1" xfId="0" applyFont="1" applyBorder="1" applyAlignment="1">
      <alignment vertical="center" wrapText="1"/>
    </xf>
    <xf numFmtId="0" fontId="83" fillId="0" borderId="2" xfId="0" applyFont="1" applyBorder="1" applyAlignment="1">
      <alignment horizontal="justify" vertical="center" wrapText="1"/>
    </xf>
    <xf numFmtId="0" fontId="58" fillId="0" borderId="1" xfId="0" applyFont="1" applyBorder="1" applyAlignment="1">
      <alignment horizontal="center" vertical="center"/>
    </xf>
    <xf numFmtId="0" fontId="58" fillId="0" borderId="1" xfId="0" applyFont="1" applyBorder="1" applyAlignment="1">
      <alignment horizontal="justify" vertical="center" wrapText="1"/>
    </xf>
    <xf numFmtId="0" fontId="70" fillId="0" borderId="1" xfId="0" applyFont="1" applyBorder="1" applyAlignment="1">
      <alignment vertical="center" wrapText="1"/>
    </xf>
    <xf numFmtId="0" fontId="80" fillId="0" borderId="0" xfId="0" applyFont="1"/>
    <xf numFmtId="0" fontId="0" fillId="0" borderId="0" xfId="0" applyAlignment="1">
      <alignment horizontal="justify" vertical="center"/>
    </xf>
    <xf numFmtId="0" fontId="1" fillId="0" borderId="0" xfId="0" applyFont="1" applyAlignment="1">
      <alignment horizontal="justify" vertical="center"/>
    </xf>
    <xf numFmtId="0" fontId="5" fillId="0" borderId="1" xfId="0" applyFont="1" applyBorder="1" applyAlignment="1">
      <alignment horizontal="center" vertical="center"/>
    </xf>
    <xf numFmtId="8" fontId="5" fillId="0" borderId="2"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165" fontId="5" fillId="0" borderId="2" xfId="1" applyNumberFormat="1" applyFont="1" applyBorder="1" applyAlignment="1">
      <alignment vertical="center" wrapText="1"/>
    </xf>
    <xf numFmtId="165" fontId="5" fillId="0" borderId="4" xfId="1" applyNumberFormat="1" applyFont="1" applyBorder="1" applyAlignment="1">
      <alignment vertical="center" wrapText="1"/>
    </xf>
    <xf numFmtId="165" fontId="5" fillId="0" borderId="3" xfId="1" applyNumberFormat="1"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169" fontId="5" fillId="0" borderId="2" xfId="1" applyNumberFormat="1" applyFont="1" applyBorder="1" applyAlignment="1">
      <alignment vertical="center" wrapText="1"/>
    </xf>
    <xf numFmtId="169" fontId="5" fillId="0" borderId="4" xfId="1" applyNumberFormat="1" applyFont="1" applyBorder="1" applyAlignment="1">
      <alignment vertical="center" wrapText="1"/>
    </xf>
    <xf numFmtId="169" fontId="5" fillId="0" borderId="3" xfId="1" applyNumberFormat="1" applyFont="1" applyBorder="1" applyAlignment="1">
      <alignmen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 fillId="0" borderId="1" xfId="0" applyFont="1" applyBorder="1" applyAlignment="1">
      <alignment horizontal="justify" vertical="center" wrapText="1"/>
    </xf>
    <xf numFmtId="0" fontId="59" fillId="0" borderId="1" xfId="0" applyFont="1" applyBorder="1" applyAlignment="1">
      <alignment horizontal="justify" vertical="center"/>
    </xf>
    <xf numFmtId="0" fontId="0" fillId="0" borderId="2" xfId="0" applyBorder="1" applyAlignment="1">
      <alignment horizontal="justify" vertical="center" wrapText="1"/>
    </xf>
    <xf numFmtId="0" fontId="0" fillId="0" borderId="3" xfId="0" applyBorder="1" applyAlignment="1">
      <alignment horizontal="justify" vertical="center" wrapText="1"/>
    </xf>
    <xf numFmtId="44" fontId="5" fillId="0" borderId="2" xfId="1" applyNumberFormat="1" applyFont="1" applyBorder="1" applyAlignment="1">
      <alignment vertical="center" wrapText="1"/>
    </xf>
    <xf numFmtId="44" fontId="5" fillId="0" borderId="4" xfId="1" applyNumberFormat="1" applyFont="1" applyBorder="1" applyAlignment="1">
      <alignment vertical="center" wrapText="1"/>
    </xf>
    <xf numFmtId="44" fontId="5" fillId="0" borderId="3" xfId="1" applyNumberFormat="1" applyFont="1" applyBorder="1" applyAlignment="1">
      <alignment vertical="center" wrapText="1"/>
    </xf>
    <xf numFmtId="0" fontId="5" fillId="0" borderId="1" xfId="0" applyFont="1" applyBorder="1" applyAlignment="1">
      <alignment horizontal="justify" vertical="center"/>
    </xf>
    <xf numFmtId="0" fontId="78" fillId="0" borderId="2" xfId="0" applyFont="1" applyBorder="1" applyAlignment="1">
      <alignment horizontal="left" vertical="center" wrapText="1"/>
    </xf>
    <xf numFmtId="0" fontId="78" fillId="0" borderId="4" xfId="0" applyFont="1" applyBorder="1" applyAlignment="1">
      <alignment horizontal="left" vertical="center" wrapText="1"/>
    </xf>
    <xf numFmtId="0" fontId="78" fillId="0" borderId="3" xfId="0" applyFont="1" applyBorder="1" applyAlignment="1">
      <alignment horizontal="left" vertical="center" wrapText="1"/>
    </xf>
    <xf numFmtId="0" fontId="78" fillId="0" borderId="2" xfId="0" applyFont="1" applyBorder="1" applyAlignment="1">
      <alignment horizontal="center" vertical="center" wrapText="1"/>
    </xf>
    <xf numFmtId="0" fontId="78" fillId="0" borderId="4" xfId="0" applyFont="1" applyBorder="1" applyAlignment="1">
      <alignment horizontal="center" vertical="center" wrapText="1"/>
    </xf>
    <xf numFmtId="0" fontId="78" fillId="0" borderId="3" xfId="0" applyFont="1" applyBorder="1" applyAlignment="1">
      <alignment horizontal="center" vertical="center" wrapText="1"/>
    </xf>
    <xf numFmtId="0" fontId="78" fillId="0" borderId="2" xfId="0" applyFont="1" applyBorder="1" applyAlignment="1">
      <alignment horizontal="justify" vertical="center" wrapText="1"/>
    </xf>
    <xf numFmtId="0" fontId="78" fillId="0" borderId="4" xfId="0" applyFont="1" applyBorder="1" applyAlignment="1">
      <alignment horizontal="justify" vertical="center" wrapText="1"/>
    </xf>
    <xf numFmtId="0" fontId="78" fillId="0" borderId="3" xfId="0" applyFont="1" applyBorder="1" applyAlignment="1">
      <alignment horizontal="justify" vertical="center" wrapText="1"/>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78" fillId="0" borderId="43" xfId="0" applyFont="1" applyBorder="1" applyAlignment="1">
      <alignment horizontal="center" vertical="top" wrapText="1"/>
    </xf>
    <xf numFmtId="0" fontId="78" fillId="0" borderId="50" xfId="0" applyFont="1" applyBorder="1" applyAlignment="1">
      <alignment horizontal="center" vertical="top" wrapText="1"/>
    </xf>
    <xf numFmtId="0" fontId="78" fillId="0" borderId="44" xfId="0" applyFont="1" applyBorder="1" applyAlignment="1">
      <alignment horizontal="center" vertical="top" wrapText="1"/>
    </xf>
    <xf numFmtId="0" fontId="78" fillId="0" borderId="45" xfId="0" applyFont="1" applyBorder="1" applyAlignment="1">
      <alignment horizontal="center" vertical="top" wrapText="1"/>
    </xf>
    <xf numFmtId="0" fontId="78" fillId="0" borderId="5" xfId="0" applyFont="1" applyBorder="1" applyAlignment="1">
      <alignment horizontal="center" vertical="top" wrapText="1"/>
    </xf>
    <xf numFmtId="0" fontId="78" fillId="0" borderId="42" xfId="0" applyFont="1" applyBorder="1" applyAlignment="1">
      <alignment horizontal="center" vertical="top" wrapText="1"/>
    </xf>
    <xf numFmtId="0" fontId="91" fillId="0" borderId="2" xfId="0" applyFont="1" applyBorder="1" applyAlignment="1">
      <alignment horizontal="justify" vertical="center" wrapText="1"/>
    </xf>
    <xf numFmtId="0" fontId="91" fillId="0" borderId="4" xfId="0" applyFont="1" applyBorder="1" applyAlignment="1">
      <alignment horizontal="justify" vertical="center" wrapText="1"/>
    </xf>
    <xf numFmtId="0" fontId="91" fillId="0" borderId="3" xfId="0" applyFont="1" applyBorder="1" applyAlignment="1">
      <alignment horizontal="justify" vertical="center" wrapText="1"/>
    </xf>
    <xf numFmtId="0" fontId="78" fillId="0" borderId="1" xfId="0" applyFont="1" applyBorder="1" applyAlignment="1">
      <alignment horizontal="justify" vertical="center" wrapText="1"/>
    </xf>
    <xf numFmtId="0" fontId="60" fillId="0" borderId="1" xfId="0" applyFont="1" applyBorder="1" applyAlignment="1">
      <alignment horizontal="justify" vertical="center" wrapText="1"/>
    </xf>
    <xf numFmtId="0" fontId="60" fillId="0" borderId="2" xfId="0" applyFont="1" applyBorder="1" applyAlignment="1">
      <alignment horizontal="justify" vertical="center" wrapText="1"/>
    </xf>
    <xf numFmtId="0" fontId="60" fillId="0" borderId="4" xfId="0" applyFont="1" applyBorder="1" applyAlignment="1">
      <alignment horizontal="justify" vertical="center" wrapText="1"/>
    </xf>
    <xf numFmtId="0" fontId="60" fillId="0" borderId="3" xfId="0" applyFont="1" applyBorder="1" applyAlignment="1">
      <alignment horizontal="justify" vertical="center" wrapText="1"/>
    </xf>
    <xf numFmtId="0" fontId="58" fillId="0" borderId="1" xfId="0" applyFont="1" applyBorder="1" applyAlignment="1">
      <alignment horizontal="center" vertical="center"/>
    </xf>
    <xf numFmtId="0" fontId="71" fillId="0" borderId="1" xfId="0" applyFont="1" applyBorder="1" applyAlignment="1">
      <alignment horizontal="center" vertical="center"/>
    </xf>
    <xf numFmtId="0" fontId="58" fillId="0" borderId="2" xfId="0" applyFont="1" applyBorder="1" applyAlignment="1">
      <alignment horizontal="center" vertical="center"/>
    </xf>
    <xf numFmtId="0" fontId="58" fillId="0" borderId="4" xfId="0" applyFont="1" applyBorder="1" applyAlignment="1">
      <alignment horizontal="center" vertical="center"/>
    </xf>
    <xf numFmtId="0" fontId="58" fillId="0" borderId="3" xfId="0" applyFont="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0" fillId="0" borderId="0" xfId="0" applyBorder="1" applyAlignment="1">
      <alignment horizontal="center"/>
    </xf>
    <xf numFmtId="0" fontId="1" fillId="0" borderId="1" xfId="0" applyFont="1" applyBorder="1" applyAlignment="1">
      <alignment horizontal="center" vertical="center"/>
    </xf>
    <xf numFmtId="0" fontId="81" fillId="0" borderId="2" xfId="0" applyFont="1" applyFill="1" applyBorder="1" applyAlignment="1">
      <alignment horizontal="justify" vertical="top" wrapText="1"/>
    </xf>
    <xf numFmtId="0" fontId="81" fillId="0" borderId="3" xfId="0" applyFont="1" applyFill="1" applyBorder="1" applyAlignment="1">
      <alignment horizontal="justify" vertical="top" wrapText="1"/>
    </xf>
    <xf numFmtId="0" fontId="0" fillId="0" borderId="0" xfId="0" applyBorder="1" applyAlignment="1">
      <alignment horizontal="left"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78" fillId="0" borderId="1" xfId="0" applyFont="1" applyFill="1" applyBorder="1" applyAlignment="1">
      <alignment horizontal="justify" vertical="center" wrapText="1"/>
    </xf>
    <xf numFmtId="0" fontId="0" fillId="0" borderId="2" xfId="0" applyBorder="1" applyAlignment="1">
      <alignment horizontal="justify"/>
    </xf>
    <xf numFmtId="0" fontId="0" fillId="0" borderId="3" xfId="0" applyBorder="1" applyAlignment="1">
      <alignment horizontal="justify"/>
    </xf>
    <xf numFmtId="0" fontId="0" fillId="0" borderId="2" xfId="0" applyBorder="1" applyAlignment="1">
      <alignment horizontal="justify" vertical="center"/>
    </xf>
    <xf numFmtId="0" fontId="0" fillId="0" borderId="3" xfId="0" applyBorder="1" applyAlignment="1">
      <alignment horizontal="justify" vertical="center"/>
    </xf>
    <xf numFmtId="0" fontId="2" fillId="0" borderId="1" xfId="0" applyFont="1" applyBorder="1" applyAlignment="1">
      <alignment horizontal="justify" vertical="center" wrapText="1"/>
    </xf>
    <xf numFmtId="0" fontId="70" fillId="0" borderId="2" xfId="0" applyFont="1" applyBorder="1" applyAlignment="1">
      <alignment horizontal="center" vertical="center" wrapText="1"/>
    </xf>
    <xf numFmtId="0" fontId="70" fillId="0" borderId="3" xfId="0" applyFont="1" applyBorder="1" applyAlignment="1">
      <alignment horizontal="center" vertical="center" wrapText="1"/>
    </xf>
    <xf numFmtId="0" fontId="79" fillId="0" borderId="43" xfId="0" applyFont="1" applyFill="1" applyBorder="1" applyAlignment="1">
      <alignment horizontal="justify" vertical="top" wrapText="1"/>
    </xf>
    <xf numFmtId="0" fontId="79" fillId="0" borderId="44" xfId="0" applyFont="1" applyFill="1" applyBorder="1" applyAlignment="1">
      <alignment horizontal="justify" vertical="top" wrapText="1"/>
    </xf>
    <xf numFmtId="0" fontId="79" fillId="0" borderId="45" xfId="0" applyFont="1" applyFill="1" applyBorder="1" applyAlignment="1">
      <alignment horizontal="justify" vertical="top" wrapText="1"/>
    </xf>
    <xf numFmtId="0" fontId="79" fillId="0" borderId="42" xfId="0" applyFont="1" applyFill="1" applyBorder="1" applyAlignment="1">
      <alignment horizontal="justify" vertical="top" wrapText="1"/>
    </xf>
    <xf numFmtId="0" fontId="0" fillId="0" borderId="2" xfId="0" applyBorder="1" applyAlignment="1">
      <alignment horizontal="center"/>
    </xf>
    <xf numFmtId="0" fontId="0" fillId="0" borderId="3" xfId="0" applyBorder="1" applyAlignment="1">
      <alignment horizontal="center"/>
    </xf>
    <xf numFmtId="0" fontId="70" fillId="0" borderId="1" xfId="0" applyFont="1" applyBorder="1" applyAlignment="1">
      <alignment horizontal="justify" vertical="center" wrapText="1"/>
    </xf>
    <xf numFmtId="0" fontId="70" fillId="0" borderId="2" xfId="0" applyFont="1" applyBorder="1" applyAlignment="1">
      <alignment horizontal="justify" vertical="center" wrapText="1"/>
    </xf>
    <xf numFmtId="0" fontId="70" fillId="0" borderId="4" xfId="0" applyFont="1" applyBorder="1" applyAlignment="1">
      <alignment horizontal="justify" vertical="center" wrapText="1"/>
    </xf>
    <xf numFmtId="0" fontId="70" fillId="0" borderId="3" xfId="0" applyFont="1" applyBorder="1" applyAlignment="1">
      <alignment horizontal="justify" vertical="center" wrapText="1"/>
    </xf>
    <xf numFmtId="0" fontId="59" fillId="0" borderId="1"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3" xfId="0" applyFont="1" applyBorder="1" applyAlignment="1">
      <alignment horizontal="center" vertical="center" wrapText="1"/>
    </xf>
    <xf numFmtId="0" fontId="59" fillId="0" borderId="1" xfId="0" applyFont="1" applyBorder="1" applyAlignment="1">
      <alignment horizontal="justify" vertical="center" wrapText="1"/>
    </xf>
    <xf numFmtId="0" fontId="59" fillId="0" borderId="1" xfId="0" applyFont="1" applyBorder="1" applyAlignment="1">
      <alignment vertical="center" wrapText="1"/>
    </xf>
    <xf numFmtId="0" fontId="58" fillId="0" borderId="1" xfId="0" applyFont="1" applyBorder="1" applyAlignment="1">
      <alignment horizontal="center"/>
    </xf>
    <xf numFmtId="0" fontId="60"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2" fillId="0" borderId="1" xfId="0" applyFont="1" applyFill="1" applyBorder="1" applyAlignment="1">
      <alignment horizontal="justify" vertical="center" wrapText="1"/>
    </xf>
    <xf numFmtId="0" fontId="58" fillId="0" borderId="1" xfId="0" applyFont="1" applyBorder="1" applyAlignment="1">
      <alignment horizontal="justify" vertical="center" wrapText="1"/>
    </xf>
    <xf numFmtId="0" fontId="74" fillId="0" borderId="1" xfId="0" applyFont="1" applyFill="1" applyBorder="1" applyAlignment="1">
      <alignment horizontal="justify" vertical="center" wrapText="1"/>
    </xf>
    <xf numFmtId="0" fontId="74" fillId="0" borderId="1" xfId="0" applyFont="1" applyFill="1" applyBorder="1" applyAlignment="1">
      <alignment horizontal="center" vertical="center" wrapText="1"/>
    </xf>
    <xf numFmtId="0" fontId="0" fillId="0" borderId="1" xfId="0" applyBorder="1" applyAlignment="1">
      <alignment horizontal="center" vertical="center"/>
    </xf>
    <xf numFmtId="0" fontId="59" fillId="0" borderId="43" xfId="0" applyFont="1" applyBorder="1" applyAlignment="1">
      <alignment horizontal="center" vertical="center" wrapText="1"/>
    </xf>
    <xf numFmtId="0" fontId="59" fillId="0" borderId="44" xfId="0" applyFont="1" applyBorder="1" applyAlignment="1">
      <alignment horizontal="center" vertical="center" wrapText="1"/>
    </xf>
    <xf numFmtId="0" fontId="59" fillId="0" borderId="51" xfId="0" applyFont="1" applyBorder="1" applyAlignment="1">
      <alignment horizontal="center" vertical="center" wrapText="1"/>
    </xf>
    <xf numFmtId="0" fontId="59" fillId="0" borderId="41" xfId="0" applyFont="1" applyBorder="1" applyAlignment="1">
      <alignment horizontal="center" vertical="center" wrapText="1"/>
    </xf>
    <xf numFmtId="0" fontId="59" fillId="0" borderId="45" xfId="0" applyFont="1" applyBorder="1" applyAlignment="1">
      <alignment horizontal="center" vertical="center" wrapText="1"/>
    </xf>
    <xf numFmtId="0" fontId="59" fillId="0" borderId="42" xfId="0" applyFont="1" applyBorder="1" applyAlignment="1">
      <alignment horizontal="center" vertical="center" wrapText="1"/>
    </xf>
    <xf numFmtId="0" fontId="2" fillId="0" borderId="1" xfId="0" applyFont="1" applyBorder="1" applyAlignment="1">
      <alignment horizontal="justify" vertical="center"/>
    </xf>
    <xf numFmtId="0" fontId="2" fillId="0" borderId="2" xfId="0" applyFont="1" applyBorder="1" applyAlignment="1">
      <alignment horizontal="justify" vertical="center"/>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2" xfId="0" applyBorder="1" applyAlignment="1">
      <alignment horizontal="center" vertical="center"/>
    </xf>
    <xf numFmtId="0" fontId="2" fillId="0" borderId="4" xfId="0" applyFont="1" applyBorder="1" applyAlignment="1">
      <alignment horizontal="justify" vertical="center"/>
    </xf>
    <xf numFmtId="0" fontId="0" fillId="0" borderId="4" xfId="0" applyFill="1" applyBorder="1" applyAlignment="1">
      <alignment horizontal="center" vertical="center"/>
    </xf>
    <xf numFmtId="0" fontId="59" fillId="0" borderId="38" xfId="0" applyFont="1" applyBorder="1" applyAlignment="1">
      <alignment horizontal="justify" vertical="center" wrapText="1"/>
    </xf>
    <xf numFmtId="0" fontId="59" fillId="0" borderId="39" xfId="0" applyFont="1" applyBorder="1" applyAlignment="1">
      <alignment horizontal="justify" vertical="center" wrapText="1"/>
    </xf>
    <xf numFmtId="0" fontId="59" fillId="0" borderId="40" xfId="0" applyFont="1" applyBorder="1" applyAlignment="1">
      <alignment horizontal="justify" vertical="center" wrapText="1"/>
    </xf>
    <xf numFmtId="0" fontId="3" fillId="0" borderId="1" xfId="0" applyFont="1" applyBorder="1" applyAlignment="1">
      <alignment horizontal="justify" vertical="center"/>
    </xf>
    <xf numFmtId="0" fontId="3" fillId="0" borderId="2" xfId="0" applyFont="1" applyBorder="1" applyAlignment="1">
      <alignment horizontal="justify" vertical="center"/>
    </xf>
    <xf numFmtId="0" fontId="1" fillId="0" borderId="5" xfId="0" applyFont="1" applyBorder="1" applyAlignment="1">
      <alignment horizontal="center" vertical="center"/>
    </xf>
    <xf numFmtId="0" fontId="2" fillId="0" borderId="5" xfId="0" applyFont="1" applyBorder="1" applyAlignment="1">
      <alignment horizontal="justify" vertical="center"/>
    </xf>
    <xf numFmtId="0" fontId="70" fillId="0" borderId="38" xfId="0" applyFont="1" applyBorder="1" applyAlignment="1">
      <alignment horizontal="justify" vertical="center" wrapText="1"/>
    </xf>
    <xf numFmtId="0" fontId="70" fillId="0" borderId="39" xfId="0" applyFont="1" applyBorder="1" applyAlignment="1">
      <alignment horizontal="justify" vertical="center" wrapText="1"/>
    </xf>
    <xf numFmtId="0" fontId="70" fillId="0" borderId="40" xfId="0" applyFont="1" applyBorder="1" applyAlignment="1">
      <alignment horizontal="justify" vertical="center" wrapText="1"/>
    </xf>
    <xf numFmtId="0" fontId="0" fillId="0" borderId="3" xfId="0" applyFill="1" applyBorder="1" applyAlignment="1">
      <alignment horizontal="center" vertical="center"/>
    </xf>
    <xf numFmtId="0" fontId="70" fillId="0" borderId="41" xfId="0" applyFont="1" applyBorder="1" applyAlignment="1">
      <alignment horizontal="justify" vertical="center" wrapText="1"/>
    </xf>
    <xf numFmtId="0" fontId="70" fillId="0" borderId="42" xfId="0" applyFont="1" applyBorder="1" applyAlignment="1">
      <alignment horizontal="justify" vertical="center" wrapText="1"/>
    </xf>
    <xf numFmtId="0" fontId="70" fillId="0" borderId="38" xfId="0" applyFont="1" applyFill="1" applyBorder="1" applyAlignment="1">
      <alignment horizontal="justify" vertical="center" wrapText="1"/>
    </xf>
    <xf numFmtId="0" fontId="70" fillId="0" borderId="41" xfId="0" applyFont="1" applyFill="1" applyBorder="1" applyAlignment="1">
      <alignment horizontal="justify" vertical="center" wrapText="1"/>
    </xf>
    <xf numFmtId="0" fontId="70" fillId="0" borderId="42" xfId="0" applyFont="1" applyFill="1" applyBorder="1" applyAlignment="1">
      <alignment horizontal="justify" vertical="center" wrapText="1"/>
    </xf>
    <xf numFmtId="0" fontId="70" fillId="0" borderId="0" xfId="0" applyFont="1" applyAlignment="1">
      <alignment horizontal="justify" vertical="center" wrapText="1"/>
    </xf>
    <xf numFmtId="0" fontId="0" fillId="0" borderId="0" xfId="0" applyFont="1" applyAlignment="1">
      <alignment horizontal="justify" wrapText="1"/>
    </xf>
    <xf numFmtId="0" fontId="78" fillId="0" borderId="0" xfId="0" applyFont="1" applyAlignment="1">
      <alignment horizontal="justify" vertical="center" wrapText="1"/>
    </xf>
    <xf numFmtId="0" fontId="78" fillId="0" borderId="0" xfId="0" applyFont="1" applyFill="1" applyAlignment="1">
      <alignment horizontal="justify" vertical="center" wrapText="1"/>
    </xf>
    <xf numFmtId="0" fontId="70" fillId="0" borderId="0" xfId="0" applyFont="1" applyFill="1" applyAlignment="1">
      <alignment horizontal="justify" vertical="center" wrapText="1"/>
    </xf>
    <xf numFmtId="0" fontId="8" fillId="3" borderId="9" xfId="2" applyFont="1" applyFill="1" applyBorder="1" applyAlignment="1">
      <alignment horizontal="center" wrapText="1"/>
    </xf>
    <xf numFmtId="0" fontId="8" fillId="2" borderId="6" xfId="2" applyFont="1" applyFill="1" applyBorder="1" applyAlignment="1">
      <alignment horizontal="center" vertical="center"/>
    </xf>
    <xf numFmtId="0" fontId="8" fillId="2" borderId="7" xfId="2" applyFont="1" applyFill="1" applyBorder="1" applyAlignment="1">
      <alignment horizontal="center" vertical="center"/>
    </xf>
    <xf numFmtId="0" fontId="9" fillId="2" borderId="7" xfId="2" applyFont="1" applyFill="1" applyBorder="1" applyAlignment="1">
      <alignment horizontal="center" vertical="center"/>
    </xf>
    <xf numFmtId="0" fontId="10" fillId="2" borderId="7" xfId="2" applyFont="1" applyFill="1" applyBorder="1" applyAlignment="1">
      <alignment horizontal="center" vertical="center"/>
    </xf>
    <xf numFmtId="0" fontId="11" fillId="2" borderId="8" xfId="2" applyFont="1" applyFill="1" applyBorder="1" applyAlignment="1">
      <alignment horizontal="center" vertical="center"/>
    </xf>
    <xf numFmtId="0" fontId="12" fillId="2" borderId="10" xfId="2" applyFont="1" applyFill="1" applyBorder="1" applyAlignment="1">
      <alignment horizontal="justify" vertical="center" wrapText="1"/>
    </xf>
    <xf numFmtId="0" fontId="62" fillId="0" borderId="11" xfId="2" applyFont="1" applyFill="1" applyBorder="1" applyAlignment="1">
      <alignment horizontal="center" vertical="center" wrapText="1"/>
    </xf>
    <xf numFmtId="0" fontId="63" fillId="4" borderId="11" xfId="2" applyFont="1" applyFill="1" applyBorder="1" applyAlignment="1">
      <alignment horizontal="center"/>
    </xf>
    <xf numFmtId="0" fontId="7" fillId="2" borderId="0" xfId="2" applyFill="1"/>
    <xf numFmtId="0" fontId="8" fillId="0" borderId="0" xfId="2" applyFont="1" applyAlignment="1">
      <alignment horizontal="center"/>
    </xf>
    <xf numFmtId="0" fontId="11" fillId="0" borderId="0" xfId="2" applyFont="1" applyAlignment="1">
      <alignment horizontal="center"/>
    </xf>
    <xf numFmtId="0" fontId="7" fillId="0" borderId="0" xfId="2"/>
    <xf numFmtId="9" fontId="29" fillId="0" borderId="11" xfId="2" applyNumberFormat="1" applyFont="1" applyFill="1" applyBorder="1" applyAlignment="1">
      <alignment horizontal="center" vertical="center"/>
    </xf>
    <xf numFmtId="0" fontId="30" fillId="0" borderId="11" xfId="2" applyFont="1" applyFill="1" applyBorder="1" applyAlignment="1">
      <alignment horizontal="center" vertical="center" wrapText="1"/>
    </xf>
    <xf numFmtId="0" fontId="7" fillId="0" borderId="14" xfId="2" applyFill="1" applyBorder="1"/>
    <xf numFmtId="0" fontId="19" fillId="0" borderId="10" xfId="2" applyFont="1" applyFill="1" applyBorder="1" applyAlignment="1">
      <alignment horizontal="center" vertical="center" wrapText="1"/>
    </xf>
    <xf numFmtId="0" fontId="9" fillId="0" borderId="15" xfId="2" applyFont="1" applyFill="1" applyBorder="1" applyAlignment="1">
      <alignment horizontal="center" vertical="center" wrapText="1"/>
    </xf>
    <xf numFmtId="0" fontId="22" fillId="0" borderId="18" xfId="2" applyFont="1" applyFill="1" applyBorder="1" applyAlignment="1">
      <alignment horizontal="justify" vertical="center" wrapText="1"/>
    </xf>
    <xf numFmtId="0" fontId="23" fillId="0" borderId="11" xfId="2" applyFont="1" applyFill="1" applyBorder="1" applyAlignment="1">
      <alignment horizontal="right"/>
    </xf>
    <xf numFmtId="167" fontId="8" fillId="0" borderId="11" xfId="5" applyFont="1" applyFill="1" applyBorder="1" applyAlignment="1">
      <alignment horizontal="center"/>
    </xf>
    <xf numFmtId="0" fontId="7" fillId="2" borderId="17" xfId="2" applyFill="1" applyBorder="1"/>
    <xf numFmtId="167" fontId="8" fillId="0" borderId="11" xfId="5" applyFont="1" applyFill="1" applyBorder="1" applyAlignment="1">
      <alignment horizontal="right"/>
    </xf>
    <xf numFmtId="0" fontId="36" fillId="8" borderId="17" xfId="9" applyFont="1" applyFill="1" applyBorder="1" applyAlignment="1">
      <alignment horizontal="center" vertical="center"/>
    </xf>
    <xf numFmtId="0" fontId="33" fillId="4" borderId="11" xfId="2" applyFont="1" applyFill="1" applyBorder="1" applyAlignment="1">
      <alignment horizontal="center" vertical="center"/>
    </xf>
    <xf numFmtId="0" fontId="33" fillId="4" borderId="17" xfId="2" applyFont="1" applyFill="1" applyBorder="1" applyAlignment="1">
      <alignment horizontal="center" vertical="center"/>
    </xf>
    <xf numFmtId="0" fontId="7" fillId="7" borderId="18" xfId="2" applyFill="1" applyBorder="1" applyAlignment="1">
      <alignment horizontal="center" vertical="center"/>
    </xf>
    <xf numFmtId="0" fontId="7" fillId="0" borderId="11" xfId="2" applyFill="1" applyBorder="1" applyAlignment="1">
      <alignment horizontal="center" vertical="center"/>
    </xf>
    <xf numFmtId="0" fontId="7" fillId="0" borderId="11" xfId="2" applyFill="1" applyBorder="1"/>
    <xf numFmtId="0" fontId="15" fillId="9" borderId="18" xfId="2" applyFont="1" applyFill="1" applyBorder="1" applyAlignment="1">
      <alignment horizontal="center"/>
    </xf>
    <xf numFmtId="0" fontId="38" fillId="9" borderId="11" xfId="2" applyFont="1" applyFill="1" applyBorder="1" applyAlignment="1">
      <alignment horizontal="right"/>
    </xf>
    <xf numFmtId="0" fontId="7" fillId="9" borderId="11" xfId="2" applyFill="1" applyBorder="1"/>
    <xf numFmtId="0" fontId="39" fillId="10" borderId="20" xfId="7" applyFont="1" applyFill="1" applyBorder="1" applyAlignment="1">
      <alignment horizontal="center" vertical="center" wrapText="1"/>
    </xf>
    <xf numFmtId="0" fontId="27" fillId="6" borderId="18" xfId="2" applyFont="1" applyFill="1" applyBorder="1" applyAlignment="1">
      <alignment horizontal="center" vertical="center"/>
    </xf>
    <xf numFmtId="0" fontId="28" fillId="0" borderId="11" xfId="2" applyFont="1" applyFill="1" applyBorder="1" applyAlignment="1">
      <alignment horizontal="center" vertical="center"/>
    </xf>
    <xf numFmtId="0" fontId="28" fillId="0" borderId="11" xfId="2" applyFont="1" applyFill="1" applyBorder="1" applyAlignment="1">
      <alignment horizontal="justify" vertical="center"/>
    </xf>
    <xf numFmtId="0" fontId="7" fillId="9" borderId="22" xfId="2" applyFill="1" applyBorder="1"/>
    <xf numFmtId="0" fontId="41" fillId="4" borderId="18" xfId="2" applyFont="1" applyFill="1" applyBorder="1" applyAlignment="1">
      <alignment horizontal="center" vertical="center"/>
    </xf>
    <xf numFmtId="0" fontId="10" fillId="12" borderId="11" xfId="7" applyFont="1" applyFill="1" applyBorder="1" applyAlignment="1">
      <alignment horizontal="right" vertical="center" wrapText="1"/>
    </xf>
    <xf numFmtId="0" fontId="8" fillId="0" borderId="17" xfId="2" applyFont="1" applyFill="1" applyBorder="1" applyAlignment="1">
      <alignment horizontal="center" vertical="center" wrapText="1"/>
    </xf>
    <xf numFmtId="0" fontId="42" fillId="13" borderId="11" xfId="7" applyFont="1" applyFill="1" applyBorder="1" applyAlignment="1">
      <alignment horizontal="center" vertical="center" wrapText="1"/>
    </xf>
    <xf numFmtId="166" fontId="7" fillId="0" borderId="11" xfId="2" applyNumberFormat="1" applyFill="1" applyBorder="1" applyAlignment="1">
      <alignment vertical="center"/>
    </xf>
    <xf numFmtId="166" fontId="7" fillId="0" borderId="11" xfId="3" applyFill="1" applyBorder="1" applyAlignment="1">
      <alignment horizontal="center" vertical="center"/>
    </xf>
    <xf numFmtId="0" fontId="7" fillId="0" borderId="17" xfId="2" applyFill="1" applyBorder="1"/>
    <xf numFmtId="0" fontId="7" fillId="9" borderId="23" xfId="2" applyFill="1" applyBorder="1"/>
    <xf numFmtId="0" fontId="44" fillId="9" borderId="9" xfId="2" applyFont="1" applyFill="1" applyBorder="1" applyAlignment="1">
      <alignment horizontal="right" vertical="top"/>
    </xf>
    <xf numFmtId="0" fontId="45" fillId="8" borderId="9" xfId="9" applyFont="1" applyFill="1" applyBorder="1" applyAlignment="1">
      <alignment horizontal="center"/>
    </xf>
    <xf numFmtId="0" fontId="42" fillId="3" borderId="25" xfId="4" applyFont="1" applyFill="1" applyBorder="1" applyAlignment="1">
      <alignment horizontal="center" vertical="center"/>
    </xf>
    <xf numFmtId="0" fontId="49" fillId="9" borderId="36" xfId="2" applyFont="1" applyFill="1" applyBorder="1" applyAlignment="1">
      <alignment horizontal="center"/>
    </xf>
    <xf numFmtId="0" fontId="49" fillId="9" borderId="37" xfId="2" applyFont="1" applyFill="1" applyBorder="1" applyAlignment="1">
      <alignment horizontal="center"/>
    </xf>
    <xf numFmtId="0" fontId="49" fillId="9" borderId="16" xfId="2" applyFont="1" applyFill="1" applyBorder="1" applyAlignment="1">
      <alignment horizontal="center"/>
    </xf>
    <xf numFmtId="0" fontId="7" fillId="16" borderId="26" xfId="2" applyFill="1" applyBorder="1"/>
    <xf numFmtId="0" fontId="46" fillId="9" borderId="11" xfId="2" applyFont="1" applyFill="1" applyBorder="1" applyAlignment="1">
      <alignment horizontal="center"/>
    </xf>
    <xf numFmtId="0" fontId="48" fillId="0" borderId="16" xfId="2" applyFont="1" applyFill="1" applyBorder="1" applyAlignment="1">
      <alignment horizontal="justify" vertical="top" wrapText="1"/>
    </xf>
    <xf numFmtId="0" fontId="11" fillId="0" borderId="11" xfId="2" applyFont="1" applyFill="1" applyBorder="1" applyAlignment="1">
      <alignment horizontal="center" vertical="center" wrapText="1"/>
    </xf>
    <xf numFmtId="0" fontId="22" fillId="0" borderId="18" xfId="2" applyFont="1" applyFill="1" applyBorder="1" applyAlignment="1">
      <alignment horizontal="center" vertical="center" wrapText="1"/>
    </xf>
    <xf numFmtId="0" fontId="7" fillId="0" borderId="6" xfId="2" applyFill="1" applyBorder="1" applyAlignment="1">
      <alignment horizontal="justify" vertical="center"/>
    </xf>
    <xf numFmtId="0" fontId="7" fillId="0" borderId="8" xfId="2" applyFill="1" applyBorder="1" applyAlignment="1">
      <alignment horizontal="justify" vertical="center"/>
    </xf>
    <xf numFmtId="0" fontId="7" fillId="0" borderId="6" xfId="2" applyBorder="1" applyAlignment="1">
      <alignment horizontal="center" vertical="center"/>
    </xf>
    <xf numFmtId="0" fontId="7" fillId="0" borderId="8" xfId="2" applyBorder="1" applyAlignment="1">
      <alignment horizontal="center" vertical="center"/>
    </xf>
    <xf numFmtId="166" fontId="7" fillId="0" borderId="6" xfId="3" applyBorder="1" applyAlignment="1">
      <alignment horizontal="center" vertical="center"/>
    </xf>
    <xf numFmtId="166" fontId="7" fillId="0" borderId="8" xfId="3" applyBorder="1" applyAlignment="1">
      <alignment horizontal="center" vertical="center"/>
    </xf>
    <xf numFmtId="0" fontId="7" fillId="9" borderId="22" xfId="2" applyFill="1" applyBorder="1" applyAlignment="1">
      <alignment horizontal="center"/>
    </xf>
    <xf numFmtId="0" fontId="7" fillId="0" borderId="27" xfId="2" applyFill="1" applyBorder="1"/>
    <xf numFmtId="0" fontId="50" fillId="0" borderId="28" xfId="2" applyFont="1" applyFill="1" applyBorder="1" applyAlignment="1">
      <alignment horizontal="justify" vertical="center" wrapText="1"/>
    </xf>
    <xf numFmtId="0" fontId="50" fillId="0" borderId="29" xfId="2" applyFont="1" applyFill="1" applyBorder="1" applyAlignment="1">
      <alignment horizontal="center" vertical="center" wrapText="1"/>
    </xf>
    <xf numFmtId="0" fontId="46" fillId="9" borderId="10" xfId="2" applyFont="1" applyFill="1" applyBorder="1" applyAlignment="1">
      <alignment horizontal="center"/>
    </xf>
    <xf numFmtId="0" fontId="48" fillId="0" borderId="16" xfId="2" applyFont="1" applyFill="1" applyBorder="1" applyAlignment="1">
      <alignment horizontal="justify" wrapText="1"/>
    </xf>
    <xf numFmtId="0" fontId="53" fillId="0" borderId="11" xfId="2" applyFont="1" applyFill="1" applyBorder="1" applyAlignment="1">
      <alignment horizontal="center" vertical="center" wrapText="1"/>
    </xf>
    <xf numFmtId="0" fontId="49" fillId="9" borderId="11" xfId="2" applyFont="1" applyFill="1" applyBorder="1" applyAlignment="1">
      <alignment horizontal="center"/>
    </xf>
    <xf numFmtId="0" fontId="50" fillId="0" borderId="28" xfId="2" applyFont="1" applyFill="1" applyBorder="1" applyAlignment="1">
      <alignment horizontal="center" vertical="center" wrapText="1"/>
    </xf>
    <xf numFmtId="0" fontId="51" fillId="2" borderId="11" xfId="2" applyFont="1" applyFill="1" applyBorder="1" applyAlignment="1">
      <alignment horizontal="center" wrapText="1"/>
    </xf>
    <xf numFmtId="0" fontId="52" fillId="0" borderId="11" xfId="2" applyFont="1" applyFill="1" applyBorder="1" applyAlignment="1">
      <alignment horizontal="justify" vertical="center"/>
    </xf>
    <xf numFmtId="0" fontId="31" fillId="0" borderId="28" xfId="2" applyFont="1" applyFill="1" applyBorder="1" applyAlignment="1">
      <alignment vertical="center" wrapText="1"/>
    </xf>
    <xf numFmtId="0" fontId="31" fillId="0" borderId="28" xfId="2" applyFont="1" applyFill="1" applyBorder="1" applyAlignment="1">
      <alignment horizontal="justify" vertical="center" wrapText="1"/>
    </xf>
    <xf numFmtId="0" fontId="25" fillId="2" borderId="11" xfId="2" applyFont="1" applyFill="1" applyBorder="1" applyAlignment="1">
      <alignment horizontal="center" wrapText="1"/>
    </xf>
    <xf numFmtId="0" fontId="50" fillId="0" borderId="27" xfId="2" applyFont="1" applyFill="1" applyBorder="1" applyAlignment="1">
      <alignment horizontal="justify" vertical="center" wrapText="1"/>
    </xf>
    <xf numFmtId="0" fontId="51" fillId="2" borderId="11" xfId="2" applyFont="1" applyFill="1" applyBorder="1" applyAlignment="1">
      <alignment horizontal="center" vertical="center" wrapText="1"/>
    </xf>
    <xf numFmtId="0" fontId="7" fillId="0" borderId="11" xfId="2" applyFill="1" applyBorder="1" applyAlignment="1">
      <alignment horizontal="justify" vertical="center"/>
    </xf>
    <xf numFmtId="0" fontId="54" fillId="0" borderId="11" xfId="2" applyFont="1" applyFill="1" applyBorder="1" applyAlignment="1">
      <alignment horizontal="justify" vertical="center"/>
    </xf>
    <xf numFmtId="0" fontId="48" fillId="0" borderId="35" xfId="2" applyFont="1" applyFill="1" applyBorder="1" applyAlignment="1">
      <alignment horizontal="justify" vertical="top" wrapText="1"/>
    </xf>
    <xf numFmtId="0" fontId="56" fillId="0" borderId="13" xfId="2" applyFont="1" applyFill="1" applyBorder="1" applyAlignment="1">
      <alignment horizontal="center" vertical="center"/>
    </xf>
    <xf numFmtId="0" fontId="49" fillId="9" borderId="0" xfId="2" applyFont="1" applyFill="1" applyAlignment="1">
      <alignment horizontal="center"/>
    </xf>
    <xf numFmtId="0" fontId="7" fillId="0" borderId="15" xfId="2" applyFill="1" applyBorder="1"/>
    <xf numFmtId="0" fontId="22" fillId="0" borderId="11" xfId="2" applyFont="1" applyFill="1" applyBorder="1" applyAlignment="1">
      <alignment horizontal="center" vertical="center"/>
    </xf>
    <xf numFmtId="0" fontId="7" fillId="0" borderId="11" xfId="2" applyFill="1" applyBorder="1" applyAlignment="1">
      <alignment vertical="center"/>
    </xf>
  </cellXfs>
  <cellStyles count="15">
    <cellStyle name="60% - Énfasis1 2" xfId="4"/>
    <cellStyle name="Hipervínculo" xfId="10" builtinId="8" hidden="1"/>
    <cellStyle name="Hipervínculo" xfId="12" builtinId="8" hidden="1"/>
    <cellStyle name="Hipervínculo visitado" xfId="11" builtinId="9" hidden="1"/>
    <cellStyle name="Hipervínculo visitado" xfId="13" builtinId="9" hidden="1"/>
    <cellStyle name="Incorrecto 2" xfId="9"/>
    <cellStyle name="Millares 2" xfId="3"/>
    <cellStyle name="Moneda" xfId="1" builtinId="4"/>
    <cellStyle name="Moneda 2" xfId="5"/>
    <cellStyle name="Normal" xfId="0" builtinId="0"/>
    <cellStyle name="Normal 12 2" xfId="14"/>
    <cellStyle name="Normal 2" xfId="2"/>
    <cellStyle name="Normal 2 2" xfId="7"/>
    <cellStyle name="Normal 6 2" xfId="6"/>
    <cellStyle name="Porcentaje 2" xfId="8"/>
  </cellStyles>
  <dxfs count="164">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color rgb="FFFFFFFF"/>
      </font>
      <fill>
        <patternFill patternType="solid">
          <fgColor rgb="FFCC0000"/>
          <bgColor rgb="FFCC0000"/>
        </patternFill>
      </fill>
    </dxf>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b/>
        <color rgb="FF000000"/>
      </font>
    </dxf>
    <dxf>
      <font>
        <b/>
        <color rgb="FF000000"/>
      </font>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b/>
      </font>
      <fill>
        <patternFill patternType="solid">
          <fgColor rgb="FFFFFFFF"/>
          <bgColor rgb="FFFFFFFF"/>
        </patternFill>
      </fill>
    </dxf>
    <dxf>
      <fill>
        <patternFill patternType="solid">
          <fgColor rgb="FFA9D08E"/>
          <bgColor rgb="FFA9D08E"/>
        </patternFill>
      </fill>
    </dxf>
    <dxf>
      <font>
        <color rgb="FFFFFFFF"/>
      </font>
      <fill>
        <patternFill patternType="solid">
          <fgColor rgb="FFCC0000"/>
          <bgColor rgb="FFCC0000"/>
        </patternFill>
      </fill>
    </dxf>
    <dxf>
      <fill>
        <patternFill patternType="solid">
          <fgColor rgb="FFA9D08E"/>
          <bgColor rgb="FFA9D08E"/>
        </patternFill>
      </fill>
    </dxf>
    <dxf>
      <font>
        <color rgb="FFFFFFFF"/>
      </font>
      <fill>
        <patternFill patternType="solid">
          <fgColor rgb="FFCC0000"/>
          <bgColor rgb="FFCC0000"/>
        </patternFill>
      </fill>
    </dxf>
    <dxf>
      <font>
        <b/>
      </font>
      <fill>
        <patternFill patternType="solid">
          <fgColor rgb="FFFFFFFF"/>
          <bgColor rgb="FFFFFFFF"/>
        </patternFill>
      </fill>
    </dxf>
    <dxf>
      <font>
        <b/>
      </font>
      <fill>
        <patternFill patternType="solid">
          <fgColor rgb="FFFFFFFF"/>
          <bgColor rgb="FFFFFFFF"/>
        </patternFill>
      </fill>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b/>
        <color rgb="FF000000"/>
      </font>
    </dxf>
    <dxf>
      <font>
        <b/>
      </font>
      <fill>
        <patternFill patternType="solid">
          <fgColor rgb="FFFFFFFF"/>
          <bgColor rgb="FFFFFFFF"/>
        </patternFill>
      </fill>
    </dxf>
    <dxf>
      <font>
        <b/>
        <color rgb="FF000000"/>
      </font>
    </dxf>
    <dxf>
      <font>
        <b/>
        <color rgb="FF000000"/>
      </font>
    </dxf>
    <dxf>
      <font>
        <color rgb="FFFFFFFF"/>
      </font>
      <fill>
        <patternFill patternType="solid">
          <fgColor rgb="FFCC0000"/>
          <bgColor rgb="FFCC0000"/>
        </patternFill>
      </fill>
    </dxf>
    <dxf>
      <font>
        <b/>
      </font>
      <fill>
        <patternFill patternType="solid">
          <fgColor rgb="FFFFFFFF"/>
          <bgColor rgb="FFFFFFFF"/>
        </patternFill>
      </fill>
    </dxf>
    <dxf>
      <font>
        <b/>
        <color rgb="FF000000"/>
      </font>
    </dxf>
    <dxf>
      <font>
        <b/>
        <color rgb="FF000000"/>
      </font>
    </dxf>
    <dxf>
      <font>
        <color rgb="FFFFFFFF"/>
      </font>
      <fill>
        <patternFill patternType="solid">
          <fgColor rgb="FFCC0000"/>
          <bgColor rgb="FFCC0000"/>
        </patternFill>
      </fill>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
      <font>
        <b/>
      </font>
      <fill>
        <patternFill patternType="solid">
          <fgColor rgb="FFFFFFFF"/>
          <bgColor rgb="FFFFFFFF"/>
        </patternFill>
      </fill>
    </dxf>
    <dxf>
      <font>
        <b/>
      </font>
      <fill>
        <patternFill patternType="solid">
          <fgColor rgb="FFFFFFFF"/>
          <bgColor rgb="FFFFFFFF"/>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color rgb="FFFFFFFF"/>
      </font>
      <fill>
        <patternFill patternType="solid">
          <fgColor rgb="FFCC0000"/>
          <bgColor rgb="FFCC0000"/>
        </patternFill>
      </fill>
    </dxf>
    <dxf>
      <font>
        <b/>
        <color rgb="FF000000"/>
      </font>
    </dxf>
    <dxf>
      <font>
        <b/>
        <color rgb="FF000000"/>
      </font>
    </dxf>
    <dxf>
      <font>
        <b/>
        <color rgb="FF000000"/>
      </font>
    </dxf>
    <dxf>
      <font>
        <b/>
        <color rgb="FF000000"/>
      </font>
    </dxf>
    <dxf>
      <font>
        <b/>
        <color rgb="FF000000"/>
      </font>
    </dxf>
    <dxf>
      <font>
        <b/>
        <color rgb="FF000000"/>
      </font>
    </dxf>
    <dxf>
      <font>
        <color rgb="FFD0CECE"/>
      </font>
    </dxf>
    <dxf>
      <font>
        <b/>
        <color rgb="FF000000"/>
      </font>
    </dxf>
    <dxf>
      <font>
        <b/>
        <color rgb="FF000000"/>
      </font>
    </dxf>
    <dxf>
      <font>
        <b/>
        <color rgb="FF000000"/>
      </font>
    </dxf>
    <dxf>
      <font>
        <b/>
        <color rgb="FF000000"/>
      </font>
    </dxf>
    <dxf>
      <font>
        <b/>
        <color rgb="FF000000"/>
      </font>
    </dxf>
    <dxf>
      <font>
        <b/>
        <color rgb="FF0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390521</xdr:colOff>
      <xdr:row>0</xdr:row>
      <xdr:rowOff>104771</xdr:rowOff>
    </xdr:from>
    <xdr:ext cx="1466853" cy="789337"/>
    <xdr:pic>
      <xdr:nvPicPr>
        <xdr:cNvPr id="2" name="Imagen 1">
          <a:extLst>
            <a:ext uri="{FF2B5EF4-FFF2-40B4-BE49-F238E27FC236}">
              <a16:creationId xmlns:a16="http://schemas.microsoft.com/office/drawing/2014/main" xmlns="" id="{B397A33B-98F2-4376-B841-9775E79D9F3D}"/>
            </a:ext>
          </a:extLst>
        </xdr:cNvPr>
        <xdr:cNvPicPr>
          <a:picLocks noChangeAspect="1"/>
        </xdr:cNvPicPr>
      </xdr:nvPicPr>
      <xdr:blipFill>
        <a:blip xmlns:r="http://schemas.openxmlformats.org/officeDocument/2006/relationships" r:embed="rId1"/>
        <a:srcRect/>
        <a:stretch>
          <a:fillRect/>
        </a:stretch>
      </xdr:blipFill>
      <xdr:spPr>
        <a:xfrm>
          <a:off x="390521" y="104771"/>
          <a:ext cx="1466853" cy="789337"/>
        </a:xfrm>
        <a:prstGeom prst="rect">
          <a:avLst/>
        </a:prstGeom>
        <a:noFill/>
        <a:ln cap="flat">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1A04DAF2-7C26-4D52-B06C-92DDF993482F}"/>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B75688C5-200A-4605-A676-6AD6969A9506}"/>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F98631BC-AE61-4513-8B0F-033DB2F91765}"/>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3F95314F-682E-4217-8914-59EE8726487C}"/>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4DD4B778-AEF9-4908-9B96-4A2EA454F7A8}"/>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8F914C3C-BE39-41A0-81FE-66CD4DB67807}"/>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171450</xdr:colOff>
      <xdr:row>0</xdr:row>
      <xdr:rowOff>66678</xdr:rowOff>
    </xdr:from>
    <xdr:ext cx="1162046" cy="628650"/>
    <xdr:pic>
      <xdr:nvPicPr>
        <xdr:cNvPr id="2" name="Imagen 1">
          <a:extLst>
            <a:ext uri="{FF2B5EF4-FFF2-40B4-BE49-F238E27FC236}">
              <a16:creationId xmlns:a16="http://schemas.microsoft.com/office/drawing/2014/main" xmlns="" id="{5006C437-C7F0-4D26-A29B-E17ADA24A726}"/>
            </a:ext>
          </a:extLst>
        </xdr:cNvPr>
        <xdr:cNvPicPr>
          <a:picLocks noChangeAspect="1"/>
        </xdr:cNvPicPr>
      </xdr:nvPicPr>
      <xdr:blipFill>
        <a:blip xmlns:r="http://schemas.openxmlformats.org/officeDocument/2006/relationships" r:embed="rId1"/>
        <a:srcRect t="13416" b="17073"/>
        <a:stretch>
          <a:fillRect/>
        </a:stretch>
      </xdr:blipFill>
      <xdr:spPr>
        <a:xfrm>
          <a:off x="171450" y="66678"/>
          <a:ext cx="1162046" cy="628650"/>
        </a:xfrm>
        <a:prstGeom prst="rect">
          <a:avLst/>
        </a:prstGeom>
        <a:noFill/>
        <a:ln cap="flat">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Alvaro.Restrepo\DESARROLLO%20AEROPORTUARIO\Carpeta%20Alvaro%20Restrepo\Contratos\Contratos%202018\Regional\Administrativa\Casa%20vacacional%20Rionegro\18000770_H4_EVALUACION%20T&#233;cnica.od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ANAR"/>
      <sheetName val="resumen"/>
      <sheetName val="INSTRUCTIV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s>
    <sheetDataSet>
      <sheetData sheetId="0" refreshError="1"/>
      <sheetData sheetId="1"/>
      <sheetData sheetId="2" refreshError="1"/>
      <sheetData sheetId="3">
        <row r="1">
          <cell r="M1" t="str">
            <v>PROCESO 18000770 H4 de 2017</v>
          </cell>
        </row>
        <row r="2">
          <cell r="A2" t="str">
            <v>CONTRATAR EL MEJORAMIENTO DE LA SEDE DE LA CASA VACACIONAL (SALON SOCIAL) DE LA AERONAUTICA CIVIL.</v>
          </cell>
        </row>
        <row r="5">
          <cell r="J5">
            <v>4</v>
          </cell>
        </row>
        <row r="7">
          <cell r="J7" t="str">
            <v>EL INTEGRANTE QUE APORTE LA EXPERIENCIA DEBERA TENER COMO MINIMO EL 50% DE PARTICIPACION EN EL CONSORCIO O UNION TEMPORAL</v>
          </cell>
        </row>
      </sheetData>
      <sheetData sheetId="4">
        <row r="7">
          <cell r="D7" t="str">
            <v>C. T. 2 CONSTRUCCIONES SAS</v>
          </cell>
        </row>
      </sheetData>
      <sheetData sheetId="5">
        <row r="7">
          <cell r="D7" t="str">
            <v>GRUPO S. Y. C. S.A.S.</v>
          </cell>
        </row>
      </sheetData>
      <sheetData sheetId="6">
        <row r="7">
          <cell r="D7" t="str">
            <v>CODEIN SAS</v>
          </cell>
        </row>
      </sheetData>
      <sheetData sheetId="7">
        <row r="6">
          <cell r="D6" t="str">
            <v>CONSORCIO PROGRESO</v>
          </cell>
        </row>
      </sheetData>
      <sheetData sheetId="8">
        <row r="6">
          <cell r="D6" t="str">
            <v>DIEGO PAVA INGENIEROS DPI SAS</v>
          </cell>
        </row>
      </sheetData>
      <sheetData sheetId="9">
        <row r="6">
          <cell r="D6" t="str">
            <v>ALCALA &amp; ESPINOSA DISEÑO Y CONSTRUCCIÓN LTDA</v>
          </cell>
        </row>
        <row r="14">
          <cell r="M14" t="str">
            <v>CUMPLE</v>
          </cell>
        </row>
        <row r="15">
          <cell r="M15" t="str">
            <v>CUMPLE</v>
          </cell>
        </row>
        <row r="16">
          <cell r="M16" t="str">
            <v>CUMPLE</v>
          </cell>
        </row>
        <row r="19">
          <cell r="E19">
            <v>681.09612814106879</v>
          </cell>
          <cell r="G19">
            <v>284.08332561678981</v>
          </cell>
        </row>
        <row r="22">
          <cell r="K22" t="str">
            <v>HABIL</v>
          </cell>
        </row>
      </sheetData>
      <sheetData sheetId="10">
        <row r="6">
          <cell r="D6" t="str">
            <v>WILBER FRANCINY RUSSY LADINO</v>
          </cell>
        </row>
        <row r="14">
          <cell r="M14" t="str">
            <v>CUMPLE</v>
          </cell>
        </row>
        <row r="15">
          <cell r="M15" t="str">
            <v>CUMPLE</v>
          </cell>
        </row>
        <row r="19">
          <cell r="E19">
            <v>1248.7792310079924</v>
          </cell>
          <cell r="G19">
            <v>144.30170377606115</v>
          </cell>
        </row>
        <row r="22">
          <cell r="K22" t="str">
            <v>HABIL</v>
          </cell>
        </row>
      </sheetData>
      <sheetData sheetId="11">
        <row r="6">
          <cell r="D6" t="str">
            <v>CONSORCIO AEROPISTAS 2017</v>
          </cell>
        </row>
        <row r="14">
          <cell r="M14" t="str">
            <v>CUMPLE</v>
          </cell>
        </row>
        <row r="15">
          <cell r="M15" t="str">
            <v>CUMPLE</v>
          </cell>
        </row>
        <row r="16">
          <cell r="M16" t="str">
            <v>CUMPLE</v>
          </cell>
        </row>
        <row r="19">
          <cell r="E19">
            <v>1255.2256501076815</v>
          </cell>
          <cell r="G19">
            <v>273.01590086229464</v>
          </cell>
        </row>
        <row r="22">
          <cell r="K22" t="str">
            <v>NO HABIL</v>
          </cell>
        </row>
      </sheetData>
      <sheetData sheetId="12">
        <row r="6">
          <cell r="D6" t="str">
            <v>FERNANDO ALVARO LOZANO M.</v>
          </cell>
        </row>
        <row r="14">
          <cell r="M14" t="str">
            <v>CUMPLE</v>
          </cell>
        </row>
        <row r="15">
          <cell r="M15" t="str">
            <v>CUMPLE</v>
          </cell>
        </row>
        <row r="16">
          <cell r="M16" t="str">
            <v>CUMPLE</v>
          </cell>
        </row>
        <row r="19">
          <cell r="E19">
            <v>818.86970887696975</v>
          </cell>
          <cell r="G19">
            <v>539.06874814676371</v>
          </cell>
        </row>
        <row r="22">
          <cell r="K22" t="str">
            <v>HABIL</v>
          </cell>
        </row>
      </sheetData>
      <sheetData sheetId="13">
        <row r="6">
          <cell r="D6" t="str">
            <v>CONSORCIO PROYECTO PASTO SYF</v>
          </cell>
        </row>
        <row r="14">
          <cell r="M14" t="str">
            <v>CUMPLE</v>
          </cell>
        </row>
        <row r="15">
          <cell r="M15" t="str">
            <v>CUMPLE</v>
          </cell>
        </row>
        <row r="16">
          <cell r="M16" t="str">
            <v>CUMPLE</v>
          </cell>
        </row>
        <row r="19">
          <cell r="E19">
            <v>1767.5101605921516</v>
          </cell>
          <cell r="G19">
            <v>2416.2560518213809</v>
          </cell>
        </row>
        <row r="22">
          <cell r="K22" t="str">
            <v>HABIL</v>
          </cell>
        </row>
      </sheetData>
      <sheetData sheetId="14">
        <row r="6">
          <cell r="D6" t="str">
            <v>CONSORCIO CCA AEROPUERTO PASTO</v>
          </cell>
        </row>
        <row r="14">
          <cell r="M14" t="str">
            <v>CUMPLE</v>
          </cell>
        </row>
        <row r="15">
          <cell r="M15" t="str">
            <v>CUMPLE</v>
          </cell>
        </row>
        <row r="16">
          <cell r="M16" t="str">
            <v>CUMPLE</v>
          </cell>
        </row>
        <row r="19">
          <cell r="E19">
            <v>12804.209410643236</v>
          </cell>
          <cell r="G19">
            <v>1229.3000811658831</v>
          </cell>
        </row>
        <row r="22">
          <cell r="K22" t="str">
            <v>HABIL</v>
          </cell>
        </row>
      </sheetData>
      <sheetData sheetId="15">
        <row r="6">
          <cell r="D6" t="str">
            <v>CONSORCIO ALFA Y OMEGA</v>
          </cell>
        </row>
        <row r="14">
          <cell r="M14" t="str">
            <v>CUMPLE</v>
          </cell>
        </row>
        <row r="15">
          <cell r="M15" t="str">
            <v>CUMPLE</v>
          </cell>
        </row>
        <row r="16">
          <cell r="M16" t="str">
            <v>CUMPLE</v>
          </cell>
        </row>
        <row r="19">
          <cell r="E19">
            <v>84006.571107258933</v>
          </cell>
          <cell r="G19">
            <v>3249.4826776445889</v>
          </cell>
        </row>
        <row r="22">
          <cell r="K22" t="str">
            <v>HABIL</v>
          </cell>
        </row>
      </sheetData>
      <sheetData sheetId="16">
        <row r="6">
          <cell r="D6" t="str">
            <v>RG INGENIERIA SAS</v>
          </cell>
        </row>
        <row r="14">
          <cell r="M14" t="str">
            <v>CUMPLE</v>
          </cell>
        </row>
        <row r="15">
          <cell r="M15" t="str">
            <v>CUMPLE</v>
          </cell>
        </row>
        <row r="16">
          <cell r="M16" t="str">
            <v>CUMPLE</v>
          </cell>
        </row>
        <row r="19">
          <cell r="E19">
            <v>24545.341434223676</v>
          </cell>
          <cell r="G19">
            <v>2926.6061103044303</v>
          </cell>
        </row>
        <row r="22">
          <cell r="K22" t="str">
            <v>HABIL</v>
          </cell>
        </row>
      </sheetData>
      <sheetData sheetId="17">
        <row r="6">
          <cell r="D6" t="str">
            <v>CONSORCIO CYJ</v>
          </cell>
        </row>
        <row r="14">
          <cell r="M14" t="str">
            <v>CUMPLE</v>
          </cell>
        </row>
        <row r="15">
          <cell r="M15" t="str">
            <v>CUMPLE</v>
          </cell>
        </row>
        <row r="16">
          <cell r="M16" t="str">
            <v>CUMPLE</v>
          </cell>
        </row>
        <row r="19">
          <cell r="E19">
            <v>7396.8646853895252</v>
          </cell>
          <cell r="G19">
            <v>2521.3942565736679</v>
          </cell>
        </row>
        <row r="22">
          <cell r="K22" t="str">
            <v>HABIL</v>
          </cell>
        </row>
      </sheetData>
      <sheetData sheetId="18">
        <row r="6">
          <cell r="D6" t="str">
            <v>CONSORCIO HH PASTO</v>
          </cell>
        </row>
        <row r="14">
          <cell r="M14" t="str">
            <v>CUMPLE</v>
          </cell>
        </row>
        <row r="15">
          <cell r="M15" t="str">
            <v>CUMPLE</v>
          </cell>
        </row>
        <row r="16">
          <cell r="M16" t="str">
            <v>CUMPLE</v>
          </cell>
        </row>
        <row r="19">
          <cell r="E19">
            <v>4309.8834849119839</v>
          </cell>
          <cell r="G19">
            <v>696.52042991116843</v>
          </cell>
        </row>
        <row r="22">
          <cell r="K22" t="str">
            <v>HABIL</v>
          </cell>
        </row>
      </sheetData>
      <sheetData sheetId="19">
        <row r="6">
          <cell r="D6" t="str">
            <v>CONSORCIO JMD</v>
          </cell>
        </row>
        <row r="14">
          <cell r="M14" t="str">
            <v>CUMPLE</v>
          </cell>
        </row>
        <row r="15">
          <cell r="M15" t="str">
            <v>CUMPLE</v>
          </cell>
        </row>
        <row r="16">
          <cell r="M16" t="str">
            <v>CUMPLE</v>
          </cell>
        </row>
        <row r="19">
          <cell r="E19">
            <v>5818.3039355216042</v>
          </cell>
          <cell r="G19">
            <v>1084.0354888602601</v>
          </cell>
        </row>
        <row r="22">
          <cell r="K22" t="str">
            <v>HABIL</v>
          </cell>
        </row>
      </sheetData>
      <sheetData sheetId="20" refreshError="1"/>
      <sheetData sheetId="21">
        <row r="6">
          <cell r="D6" t="str">
            <v>VIAS Y CANALES SAS</v>
          </cell>
        </row>
        <row r="14">
          <cell r="M14" t="str">
            <v>CUMPLE</v>
          </cell>
        </row>
        <row r="15">
          <cell r="M15" t="str">
            <v>CUMPLE</v>
          </cell>
        </row>
        <row r="16">
          <cell r="M16" t="str">
            <v>CUMPLE</v>
          </cell>
        </row>
        <row r="19">
          <cell r="E19">
            <v>18510.391284138739</v>
          </cell>
          <cell r="G19">
            <v>3162.2102664516069</v>
          </cell>
        </row>
        <row r="22">
          <cell r="K22" t="str">
            <v>HABIL</v>
          </cell>
        </row>
      </sheetData>
      <sheetData sheetId="22">
        <row r="6">
          <cell r="D6" t="str">
            <v>CONSORCIO MP PASTO II</v>
          </cell>
        </row>
        <row r="14">
          <cell r="M14" t="str">
            <v>CUMPLE</v>
          </cell>
        </row>
        <row r="19">
          <cell r="E19">
            <v>9660.3721985856519</v>
          </cell>
          <cell r="G19">
            <v>734.78961731541642</v>
          </cell>
        </row>
        <row r="22">
          <cell r="K22" t="str">
            <v>HABIL</v>
          </cell>
        </row>
      </sheetData>
      <sheetData sheetId="23">
        <row r="6">
          <cell r="D6" t="str">
            <v>RP INGENIERIA SAS</v>
          </cell>
        </row>
        <row r="14">
          <cell r="M14" t="str">
            <v>CUMPLE</v>
          </cell>
        </row>
        <row r="15">
          <cell r="M15" t="str">
            <v>CUMPLE</v>
          </cell>
        </row>
        <row r="19">
          <cell r="E19">
            <v>3332.8233079386891</v>
          </cell>
          <cell r="G19">
            <v>601.68975509885877</v>
          </cell>
        </row>
        <row r="22">
          <cell r="K22" t="str">
            <v>HABIL</v>
          </cell>
        </row>
      </sheetData>
      <sheetData sheetId="24">
        <row r="6">
          <cell r="D6" t="str">
            <v>CONSTRUCCIONES Y OBRAS DE INGENIERIA FENIX SAS</v>
          </cell>
        </row>
        <row r="14">
          <cell r="M14" t="str">
            <v>CUMPLE</v>
          </cell>
        </row>
        <row r="15">
          <cell r="M15" t="str">
            <v>-</v>
          </cell>
        </row>
        <row r="16">
          <cell r="M16" t="str">
            <v>-</v>
          </cell>
        </row>
        <row r="19">
          <cell r="E19">
            <v>3176.0699991529914</v>
          </cell>
          <cell r="G19">
            <v>532.30223449491473</v>
          </cell>
        </row>
        <row r="22">
          <cell r="K22" t="str">
            <v>HABIL</v>
          </cell>
        </row>
      </sheetData>
      <sheetData sheetId="25">
        <row r="6">
          <cell r="D6" t="str">
            <v>CONSORCIO ANTONIO NARIÑO</v>
          </cell>
        </row>
        <row r="14">
          <cell r="M14" t="str">
            <v>CUMPLE</v>
          </cell>
        </row>
        <row r="15">
          <cell r="M15" t="str">
            <v>CUMPLE</v>
          </cell>
        </row>
        <row r="16">
          <cell r="M16" t="str">
            <v>CUMPLE</v>
          </cell>
        </row>
        <row r="19">
          <cell r="E19">
            <v>4835.7252299105585</v>
          </cell>
          <cell r="G19">
            <v>1392.3640411017336</v>
          </cell>
        </row>
        <row r="22">
          <cell r="K22" t="str">
            <v>HABIL</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4"/>
  <sheetViews>
    <sheetView zoomScaleNormal="100" zoomScaleSheetLayoutView="120" workbookViewId="0">
      <selection activeCell="A2" sqref="A2:K26"/>
    </sheetView>
  </sheetViews>
  <sheetFormatPr baseColWidth="10" defaultRowHeight="15" x14ac:dyDescent="0.25"/>
  <cols>
    <col min="1" max="1" width="10.85546875" customWidth="1"/>
    <col min="11" max="11" width="14.42578125" customWidth="1"/>
  </cols>
  <sheetData>
    <row r="2" spans="1:11" x14ac:dyDescent="0.25">
      <c r="C2" s="1" t="s">
        <v>0</v>
      </c>
    </row>
    <row r="4" spans="1:11" x14ac:dyDescent="0.25">
      <c r="C4" s="1" t="s">
        <v>168</v>
      </c>
    </row>
    <row r="6" spans="1:11" ht="32.25" customHeight="1" x14ac:dyDescent="0.25">
      <c r="A6" s="1" t="s">
        <v>1</v>
      </c>
      <c r="B6" s="179" t="s">
        <v>169</v>
      </c>
      <c r="C6" s="179"/>
      <c r="D6" s="179"/>
      <c r="E6" s="179"/>
      <c r="F6" s="179"/>
      <c r="G6" s="179"/>
      <c r="H6" s="179"/>
      <c r="I6" s="179"/>
      <c r="J6" s="179"/>
      <c r="K6" s="179"/>
    </row>
    <row r="7" spans="1:11" x14ac:dyDescent="0.25">
      <c r="B7" s="1" t="s">
        <v>31</v>
      </c>
    </row>
    <row r="8" spans="1:11" x14ac:dyDescent="0.25">
      <c r="B8" s="1" t="s">
        <v>31</v>
      </c>
    </row>
    <row r="10" spans="1:11" x14ac:dyDescent="0.25">
      <c r="C10" s="1" t="s">
        <v>32</v>
      </c>
    </row>
    <row r="13" spans="1:11" ht="43.5" customHeight="1" x14ac:dyDescent="0.25">
      <c r="A13" s="178" t="s">
        <v>170</v>
      </c>
      <c r="B13" s="178"/>
      <c r="C13" s="178"/>
      <c r="D13" s="178"/>
      <c r="E13" s="178"/>
      <c r="F13" s="178"/>
      <c r="G13" s="178"/>
      <c r="H13" s="178"/>
      <c r="I13" s="178"/>
      <c r="J13" s="178"/>
      <c r="K13" s="178"/>
    </row>
    <row r="15" spans="1:11" ht="51.75" customHeight="1" x14ac:dyDescent="0.25">
      <c r="A15" s="178" t="s">
        <v>171</v>
      </c>
      <c r="B15" s="178"/>
      <c r="C15" s="178"/>
      <c r="D15" s="178"/>
      <c r="E15" s="178"/>
      <c r="F15" s="178"/>
      <c r="G15" s="178"/>
      <c r="H15" s="178"/>
      <c r="I15" s="178"/>
      <c r="J15" s="178"/>
      <c r="K15" s="178"/>
    </row>
    <row r="19" spans="1:11" x14ac:dyDescent="0.25">
      <c r="A19" s="1" t="s">
        <v>2</v>
      </c>
    </row>
    <row r="21" spans="1:11" ht="32.25" customHeight="1" x14ac:dyDescent="0.25">
      <c r="A21" s="178" t="s">
        <v>172</v>
      </c>
      <c r="B21" s="178"/>
      <c r="C21" s="178"/>
      <c r="D21" s="178"/>
      <c r="E21" s="178"/>
      <c r="F21" s="178"/>
      <c r="G21" s="178"/>
      <c r="H21" s="178"/>
      <c r="I21" s="178"/>
      <c r="J21" s="178"/>
      <c r="K21" s="178"/>
    </row>
    <row r="22" spans="1:11" x14ac:dyDescent="0.25">
      <c r="A22" s="4"/>
    </row>
    <row r="23" spans="1:11" x14ac:dyDescent="0.25">
      <c r="I23" s="5"/>
    </row>
    <row r="24" spans="1:11" x14ac:dyDescent="0.25">
      <c r="A24" s="1" t="s">
        <v>3</v>
      </c>
    </row>
    <row r="26" spans="1:11" ht="28.5" customHeight="1" x14ac:dyDescent="0.25">
      <c r="A26" s="178" t="s">
        <v>33</v>
      </c>
      <c r="B26" s="178"/>
      <c r="C26" s="178"/>
      <c r="D26" s="178"/>
      <c r="E26" s="178"/>
      <c r="F26" s="178"/>
      <c r="G26" s="178"/>
      <c r="H26" s="178"/>
      <c r="I26" s="178"/>
      <c r="J26" s="178"/>
      <c r="K26" s="178"/>
    </row>
    <row r="32" spans="1:11" ht="1.5" customHeight="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sheetData>
  <mergeCells count="5">
    <mergeCell ref="A13:K13"/>
    <mergeCell ref="A15:K15"/>
    <mergeCell ref="A21:K21"/>
    <mergeCell ref="A26:K26"/>
    <mergeCell ref="B6:K6"/>
  </mergeCells>
  <pageMargins left="0.17" right="0.17" top="0.74803149606299213" bottom="0.74803149606299213" header="0.31496062992125984" footer="0.31496062992125984"/>
  <pageSetup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19"/>
  <sheetViews>
    <sheetView topLeftCell="A7" zoomScaleNormal="100" zoomScaleSheetLayoutView="130" workbookViewId="0">
      <selection activeCell="A7" sqref="A7:AH14"/>
    </sheetView>
  </sheetViews>
  <sheetFormatPr baseColWidth="10" defaultRowHeight="15" x14ac:dyDescent="0.25"/>
  <cols>
    <col min="1" max="1" width="11.7109375" customWidth="1"/>
    <col min="2" max="2" width="17.42578125" customWidth="1"/>
    <col min="3" max="3" width="2.42578125" customWidth="1"/>
    <col min="4" max="4" width="6.7109375" customWidth="1"/>
    <col min="5" max="5" width="4.7109375" customWidth="1"/>
    <col min="6" max="6" width="3.28515625" customWidth="1"/>
    <col min="7" max="7" width="2.85546875" customWidth="1"/>
    <col min="8" max="8" width="3.7109375" customWidth="1"/>
    <col min="9" max="9" width="4.140625" customWidth="1"/>
    <col min="10" max="10" width="6.42578125" customWidth="1"/>
    <col min="11" max="12" width="3.140625" customWidth="1"/>
    <col min="13" max="13" width="3.28515625" customWidth="1"/>
    <col min="14" max="14" width="7.28515625" customWidth="1"/>
    <col min="15" max="15" width="3" customWidth="1"/>
    <col min="16" max="16" width="3.28515625" customWidth="1"/>
    <col min="17" max="17" width="4" customWidth="1"/>
    <col min="18" max="18" width="5.85546875" customWidth="1"/>
    <col min="19" max="19" width="3.7109375" customWidth="1"/>
    <col min="20" max="20" width="3.42578125" customWidth="1"/>
    <col min="21" max="21" width="4.7109375" customWidth="1"/>
    <col min="22" max="22" width="5" customWidth="1"/>
    <col min="23" max="23" width="3.28515625" customWidth="1"/>
    <col min="24" max="24" width="2.85546875" customWidth="1"/>
    <col min="25" max="25" width="4" customWidth="1"/>
    <col min="26" max="26" width="9.42578125" customWidth="1"/>
    <col min="27" max="27" width="4.85546875" customWidth="1"/>
    <col min="28" max="28" width="4.7109375" customWidth="1"/>
    <col min="29" max="29" width="3.42578125" customWidth="1"/>
    <col min="30" max="30" width="4" customWidth="1"/>
    <col min="31" max="31" width="6.42578125" customWidth="1"/>
    <col min="32" max="32" width="5.140625" customWidth="1"/>
    <col min="33" max="33" width="4.7109375" customWidth="1"/>
    <col min="34" max="34" width="1" customWidth="1"/>
  </cols>
  <sheetData>
    <row r="2" spans="1:34" x14ac:dyDescent="0.25">
      <c r="A2" s="1"/>
      <c r="C2" s="1"/>
      <c r="D2" s="1" t="s">
        <v>4</v>
      </c>
    </row>
    <row r="3" spans="1:34" x14ac:dyDescent="0.25">
      <c r="A3" s="1" t="s">
        <v>5</v>
      </c>
    </row>
    <row r="4" spans="1:34" x14ac:dyDescent="0.25">
      <c r="B4" s="1"/>
      <c r="D4" s="1" t="s">
        <v>6</v>
      </c>
    </row>
    <row r="6" spans="1:34" ht="123" customHeight="1" x14ac:dyDescent="0.25">
      <c r="A6" s="187" t="s">
        <v>7</v>
      </c>
      <c r="B6" s="187"/>
      <c r="C6" s="198" t="s">
        <v>156</v>
      </c>
      <c r="D6" s="198"/>
      <c r="E6" s="198"/>
      <c r="F6" s="198"/>
      <c r="G6" s="187" t="s">
        <v>196</v>
      </c>
      <c r="H6" s="187"/>
      <c r="I6" s="187"/>
      <c r="J6" s="187"/>
      <c r="K6" s="187" t="s">
        <v>136</v>
      </c>
      <c r="L6" s="187"/>
      <c r="M6" s="187"/>
      <c r="N6" s="187"/>
      <c r="O6" s="187" t="s">
        <v>219</v>
      </c>
      <c r="P6" s="187"/>
      <c r="Q6" s="187"/>
      <c r="R6" s="187"/>
      <c r="S6" s="198" t="s">
        <v>234</v>
      </c>
      <c r="T6" s="198"/>
      <c r="U6" s="198"/>
      <c r="V6" s="198"/>
      <c r="W6" s="187" t="s">
        <v>237</v>
      </c>
      <c r="X6" s="187"/>
      <c r="Y6" s="187"/>
      <c r="Z6" s="187"/>
      <c r="AA6" s="187" t="s">
        <v>251</v>
      </c>
      <c r="AB6" s="187"/>
      <c r="AC6" s="187"/>
      <c r="AD6" s="187"/>
      <c r="AE6" s="187" t="s">
        <v>252</v>
      </c>
      <c r="AF6" s="187"/>
      <c r="AG6" s="187"/>
      <c r="AH6" s="187"/>
    </row>
    <row r="7" spans="1:34" x14ac:dyDescent="0.25">
      <c r="A7" s="196" t="s">
        <v>8</v>
      </c>
      <c r="B7" s="197"/>
      <c r="C7" s="188">
        <v>1</v>
      </c>
      <c r="D7" s="188"/>
      <c r="E7" s="188"/>
      <c r="F7" s="188"/>
      <c r="G7" s="188">
        <v>2</v>
      </c>
      <c r="H7" s="188"/>
      <c r="I7" s="188"/>
      <c r="J7" s="188"/>
      <c r="K7" s="188">
        <v>3</v>
      </c>
      <c r="L7" s="188"/>
      <c r="M7" s="188"/>
      <c r="N7" s="188"/>
      <c r="O7" s="188">
        <v>4</v>
      </c>
      <c r="P7" s="188"/>
      <c r="Q7" s="188"/>
      <c r="R7" s="188"/>
      <c r="S7" s="188">
        <v>5</v>
      </c>
      <c r="T7" s="188"/>
      <c r="U7" s="188"/>
      <c r="V7" s="188"/>
      <c r="W7" s="188">
        <v>6</v>
      </c>
      <c r="X7" s="188"/>
      <c r="Y7" s="188"/>
      <c r="Z7" s="188"/>
      <c r="AA7" s="188">
        <v>7</v>
      </c>
      <c r="AB7" s="188"/>
      <c r="AC7" s="188"/>
      <c r="AD7" s="188"/>
      <c r="AE7" s="188">
        <v>8</v>
      </c>
      <c r="AF7" s="188"/>
      <c r="AG7" s="188"/>
      <c r="AH7" s="188"/>
    </row>
    <row r="8" spans="1:34" ht="30.75" customHeight="1" x14ac:dyDescent="0.25">
      <c r="A8" s="196" t="s">
        <v>9</v>
      </c>
      <c r="B8" s="197"/>
      <c r="C8" s="180" t="s">
        <v>16</v>
      </c>
      <c r="D8" s="180"/>
      <c r="E8" s="180"/>
      <c r="F8" s="180"/>
      <c r="G8" s="180" t="s">
        <v>16</v>
      </c>
      <c r="H8" s="180"/>
      <c r="I8" s="180"/>
      <c r="J8" s="180"/>
      <c r="K8" s="180" t="s">
        <v>16</v>
      </c>
      <c r="L8" s="180"/>
      <c r="M8" s="180"/>
      <c r="N8" s="180"/>
      <c r="O8" s="180" t="s">
        <v>16</v>
      </c>
      <c r="P8" s="180"/>
      <c r="Q8" s="180"/>
      <c r="R8" s="180"/>
      <c r="S8" s="180" t="s">
        <v>16</v>
      </c>
      <c r="T8" s="180"/>
      <c r="U8" s="180"/>
      <c r="V8" s="180"/>
      <c r="W8" s="180" t="s">
        <v>16</v>
      </c>
      <c r="X8" s="180"/>
      <c r="Y8" s="180"/>
      <c r="Z8" s="180"/>
      <c r="AA8" s="180" t="s">
        <v>16</v>
      </c>
      <c r="AB8" s="180"/>
      <c r="AC8" s="180"/>
      <c r="AD8" s="180"/>
      <c r="AE8" s="180" t="s">
        <v>17</v>
      </c>
      <c r="AF8" s="180"/>
      <c r="AG8" s="180"/>
      <c r="AH8" s="180"/>
    </row>
    <row r="9" spans="1:34" ht="63.75" customHeight="1" x14ac:dyDescent="0.25">
      <c r="A9" s="200" t="s">
        <v>109</v>
      </c>
      <c r="B9" s="201"/>
      <c r="C9" s="189" t="s">
        <v>110</v>
      </c>
      <c r="D9" s="190"/>
      <c r="E9" s="190"/>
      <c r="F9" s="191"/>
      <c r="G9" s="189" t="s">
        <v>110</v>
      </c>
      <c r="H9" s="190"/>
      <c r="I9" s="190"/>
      <c r="J9" s="191"/>
      <c r="K9" s="189" t="s">
        <v>110</v>
      </c>
      <c r="L9" s="190"/>
      <c r="M9" s="190"/>
      <c r="N9" s="191"/>
      <c r="O9" s="189" t="s">
        <v>110</v>
      </c>
      <c r="P9" s="190"/>
      <c r="Q9" s="190"/>
      <c r="R9" s="191"/>
      <c r="S9" s="189" t="s">
        <v>110</v>
      </c>
      <c r="T9" s="190"/>
      <c r="U9" s="190"/>
      <c r="V9" s="191"/>
      <c r="W9" s="189" t="s">
        <v>110</v>
      </c>
      <c r="X9" s="190"/>
      <c r="Y9" s="190"/>
      <c r="Z9" s="191"/>
      <c r="AA9" s="189" t="s">
        <v>110</v>
      </c>
      <c r="AB9" s="190"/>
      <c r="AC9" s="190"/>
      <c r="AD9" s="191"/>
      <c r="AE9" s="189" t="s">
        <v>110</v>
      </c>
      <c r="AF9" s="190"/>
      <c r="AG9" s="190"/>
      <c r="AH9" s="191"/>
    </row>
    <row r="10" spans="1:34" ht="63.75" customHeight="1" x14ac:dyDescent="0.25">
      <c r="A10" s="196" t="s">
        <v>10</v>
      </c>
      <c r="B10" s="197"/>
      <c r="C10" s="180" t="s">
        <v>17</v>
      </c>
      <c r="D10" s="180"/>
      <c r="E10" s="180"/>
      <c r="F10" s="180"/>
      <c r="G10" s="180" t="s">
        <v>17</v>
      </c>
      <c r="H10" s="180"/>
      <c r="I10" s="180"/>
      <c r="J10" s="180"/>
      <c r="K10" s="180" t="s">
        <v>17</v>
      </c>
      <c r="L10" s="180"/>
      <c r="M10" s="180"/>
      <c r="N10" s="180"/>
      <c r="O10" s="180" t="s">
        <v>17</v>
      </c>
      <c r="P10" s="180"/>
      <c r="Q10" s="180"/>
      <c r="R10" s="180"/>
      <c r="S10" s="180" t="s">
        <v>17</v>
      </c>
      <c r="T10" s="180"/>
      <c r="U10" s="180"/>
      <c r="V10" s="180"/>
      <c r="W10" s="180" t="s">
        <v>17</v>
      </c>
      <c r="X10" s="180"/>
      <c r="Y10" s="180"/>
      <c r="Z10" s="180"/>
      <c r="AA10" s="180" t="s">
        <v>17</v>
      </c>
      <c r="AB10" s="180"/>
      <c r="AC10" s="180"/>
      <c r="AD10" s="180"/>
      <c r="AE10" s="180" t="s">
        <v>17</v>
      </c>
      <c r="AF10" s="180"/>
      <c r="AG10" s="180"/>
      <c r="AH10" s="180"/>
    </row>
    <row r="11" spans="1:34" ht="47.25" customHeight="1" x14ac:dyDescent="0.25">
      <c r="A11" s="196" t="s">
        <v>11</v>
      </c>
      <c r="B11" s="197"/>
      <c r="C11" s="180" t="s">
        <v>17</v>
      </c>
      <c r="D11" s="180"/>
      <c r="E11" s="180"/>
      <c r="F11" s="180"/>
      <c r="G11" s="180" t="s">
        <v>17</v>
      </c>
      <c r="H11" s="180"/>
      <c r="I11" s="180"/>
      <c r="J11" s="180"/>
      <c r="K11" s="180" t="s">
        <v>17</v>
      </c>
      <c r="L11" s="180"/>
      <c r="M11" s="180"/>
      <c r="N11" s="180"/>
      <c r="O11" s="180" t="s">
        <v>17</v>
      </c>
      <c r="P11" s="180"/>
      <c r="Q11" s="180"/>
      <c r="R11" s="180"/>
      <c r="S11" s="180" t="s">
        <v>17</v>
      </c>
      <c r="T11" s="180"/>
      <c r="U11" s="180"/>
      <c r="V11" s="180"/>
      <c r="W11" s="180" t="s">
        <v>17</v>
      </c>
      <c r="X11" s="180"/>
      <c r="Y11" s="180"/>
      <c r="Z11" s="180"/>
      <c r="AA11" s="180" t="s">
        <v>17</v>
      </c>
      <c r="AB11" s="180"/>
      <c r="AC11" s="180"/>
      <c r="AD11" s="180"/>
      <c r="AE11" s="205" t="s">
        <v>253</v>
      </c>
      <c r="AF11" s="205"/>
      <c r="AG11" s="205"/>
      <c r="AH11" s="205"/>
    </row>
    <row r="12" spans="1:34" ht="124.5" customHeight="1" x14ac:dyDescent="0.25">
      <c r="A12" s="196" t="s">
        <v>38</v>
      </c>
      <c r="B12" s="197"/>
      <c r="C12" s="192" t="s">
        <v>269</v>
      </c>
      <c r="D12" s="182"/>
      <c r="E12" s="182"/>
      <c r="F12" s="183"/>
      <c r="G12" s="192" t="s">
        <v>270</v>
      </c>
      <c r="H12" s="182"/>
      <c r="I12" s="182"/>
      <c r="J12" s="183"/>
      <c r="K12" s="181" t="s">
        <v>271</v>
      </c>
      <c r="L12" s="182"/>
      <c r="M12" s="182"/>
      <c r="N12" s="183"/>
      <c r="O12" s="192" t="s">
        <v>272</v>
      </c>
      <c r="P12" s="182"/>
      <c r="Q12" s="182"/>
      <c r="R12" s="183"/>
      <c r="S12" s="192" t="s">
        <v>273</v>
      </c>
      <c r="T12" s="182"/>
      <c r="U12" s="182"/>
      <c r="V12" s="183"/>
      <c r="W12" s="192" t="s">
        <v>274</v>
      </c>
      <c r="X12" s="182"/>
      <c r="Y12" s="182"/>
      <c r="Z12" s="183"/>
      <c r="AA12" s="181" t="s">
        <v>275</v>
      </c>
      <c r="AB12" s="182"/>
      <c r="AC12" s="182"/>
      <c r="AD12" s="183"/>
      <c r="AE12" s="192" t="s">
        <v>254</v>
      </c>
      <c r="AF12" s="182"/>
      <c r="AG12" s="182"/>
      <c r="AH12" s="183"/>
    </row>
    <row r="13" spans="1:34" ht="48.75" customHeight="1" x14ac:dyDescent="0.25">
      <c r="A13" s="196" t="s">
        <v>37</v>
      </c>
      <c r="B13" s="197"/>
      <c r="C13" s="184">
        <v>192142858</v>
      </c>
      <c r="D13" s="185"/>
      <c r="E13" s="185"/>
      <c r="F13" s="186"/>
      <c r="G13" s="202">
        <v>192009263.59999999</v>
      </c>
      <c r="H13" s="203"/>
      <c r="I13" s="203"/>
      <c r="J13" s="204"/>
      <c r="K13" s="202">
        <v>192676598.36000001</v>
      </c>
      <c r="L13" s="203"/>
      <c r="M13" s="203"/>
      <c r="N13" s="204"/>
      <c r="O13" s="193">
        <v>190962432</v>
      </c>
      <c r="P13" s="194"/>
      <c r="Q13" s="194"/>
      <c r="R13" s="195"/>
      <c r="S13" s="202">
        <v>192322370.00999999</v>
      </c>
      <c r="T13" s="203"/>
      <c r="U13" s="203"/>
      <c r="V13" s="204"/>
      <c r="W13" s="184">
        <v>188233474</v>
      </c>
      <c r="X13" s="185"/>
      <c r="Y13" s="185"/>
      <c r="Z13" s="186"/>
      <c r="AA13" s="184">
        <v>191188223</v>
      </c>
      <c r="AB13" s="185"/>
      <c r="AC13" s="185"/>
      <c r="AD13" s="186"/>
      <c r="AE13" s="184" t="s">
        <v>255</v>
      </c>
      <c r="AF13" s="185"/>
      <c r="AG13" s="185"/>
      <c r="AH13" s="186"/>
    </row>
    <row r="14" spans="1:34" ht="103.5" customHeight="1" x14ac:dyDescent="0.25">
      <c r="A14" s="196" t="s">
        <v>12</v>
      </c>
      <c r="B14" s="197"/>
      <c r="C14" s="180" t="s">
        <v>35</v>
      </c>
      <c r="D14" s="180"/>
      <c r="E14" s="180"/>
      <c r="F14" s="180"/>
      <c r="G14" s="180" t="s">
        <v>35</v>
      </c>
      <c r="H14" s="180"/>
      <c r="I14" s="180"/>
      <c r="J14" s="180"/>
      <c r="K14" s="180" t="s">
        <v>35</v>
      </c>
      <c r="L14" s="180"/>
      <c r="M14" s="180"/>
      <c r="N14" s="180"/>
      <c r="O14" s="180" t="s">
        <v>35</v>
      </c>
      <c r="P14" s="180"/>
      <c r="Q14" s="180"/>
      <c r="R14" s="180"/>
      <c r="S14" s="180" t="s">
        <v>35</v>
      </c>
      <c r="T14" s="180"/>
      <c r="U14" s="180"/>
      <c r="V14" s="180"/>
      <c r="W14" s="199" t="s">
        <v>173</v>
      </c>
      <c r="X14" s="199"/>
      <c r="Y14" s="199"/>
      <c r="Z14" s="199"/>
      <c r="AA14" s="180" t="s">
        <v>35</v>
      </c>
      <c r="AB14" s="180"/>
      <c r="AC14" s="180"/>
      <c r="AD14" s="180"/>
      <c r="AE14" s="180" t="s">
        <v>256</v>
      </c>
      <c r="AF14" s="180"/>
      <c r="AG14" s="180"/>
      <c r="AH14" s="180"/>
    </row>
    <row r="15" spans="1:34" hidden="1" x14ac:dyDescent="0.25"/>
    <row r="19" spans="1:1" x14ac:dyDescent="0.25">
      <c r="A19" s="1"/>
    </row>
  </sheetData>
  <mergeCells count="81">
    <mergeCell ref="AE11:AH11"/>
    <mergeCell ref="AE12:AH12"/>
    <mergeCell ref="AE13:AH13"/>
    <mergeCell ref="AE14:AH14"/>
    <mergeCell ref="AE6:AH6"/>
    <mergeCell ref="AE7:AH7"/>
    <mergeCell ref="AE8:AH8"/>
    <mergeCell ref="AE9:AH9"/>
    <mergeCell ref="AE10:AH10"/>
    <mergeCell ref="W12:Z12"/>
    <mergeCell ref="W13:Z13"/>
    <mergeCell ref="W14:Z14"/>
    <mergeCell ref="A9:B9"/>
    <mergeCell ref="C9:F9"/>
    <mergeCell ref="G9:J9"/>
    <mergeCell ref="O14:R14"/>
    <mergeCell ref="S12:V12"/>
    <mergeCell ref="S13:V13"/>
    <mergeCell ref="S14:V14"/>
    <mergeCell ref="C13:F13"/>
    <mergeCell ref="G13:J13"/>
    <mergeCell ref="K13:N13"/>
    <mergeCell ref="A14:B14"/>
    <mergeCell ref="C14:F14"/>
    <mergeCell ref="A13:B13"/>
    <mergeCell ref="W6:Z6"/>
    <mergeCell ref="W7:Z7"/>
    <mergeCell ref="W8:Z8"/>
    <mergeCell ref="W10:Z10"/>
    <mergeCell ref="W11:Z11"/>
    <mergeCell ref="W9:Z9"/>
    <mergeCell ref="S6:V6"/>
    <mergeCell ref="S7:V7"/>
    <mergeCell ref="S8:V8"/>
    <mergeCell ref="S10:V10"/>
    <mergeCell ref="S11:V11"/>
    <mergeCell ref="S9:V9"/>
    <mergeCell ref="G6:J6"/>
    <mergeCell ref="C7:F7"/>
    <mergeCell ref="C8:F8"/>
    <mergeCell ref="C10:F10"/>
    <mergeCell ref="C11:F11"/>
    <mergeCell ref="C6:F6"/>
    <mergeCell ref="A6:B6"/>
    <mergeCell ref="A7:B7"/>
    <mergeCell ref="A8:B8"/>
    <mergeCell ref="A10:B10"/>
    <mergeCell ref="A12:B12"/>
    <mergeCell ref="A11:B11"/>
    <mergeCell ref="O12:R12"/>
    <mergeCell ref="O13:R13"/>
    <mergeCell ref="K6:N6"/>
    <mergeCell ref="K7:N7"/>
    <mergeCell ref="K8:N8"/>
    <mergeCell ref="K10:N10"/>
    <mergeCell ref="K11:N11"/>
    <mergeCell ref="O6:R6"/>
    <mergeCell ref="O7:R7"/>
    <mergeCell ref="O8:R8"/>
    <mergeCell ref="O10:R10"/>
    <mergeCell ref="O11:R11"/>
    <mergeCell ref="O9:R9"/>
    <mergeCell ref="G14:J14"/>
    <mergeCell ref="C12:F12"/>
    <mergeCell ref="K9:N9"/>
    <mergeCell ref="G7:J7"/>
    <mergeCell ref="G8:J8"/>
    <mergeCell ref="G10:J10"/>
    <mergeCell ref="G11:J11"/>
    <mergeCell ref="G12:J12"/>
    <mergeCell ref="K14:N14"/>
    <mergeCell ref="K12:N12"/>
    <mergeCell ref="AA11:AD11"/>
    <mergeCell ref="AA12:AD12"/>
    <mergeCell ref="AA13:AD13"/>
    <mergeCell ref="AA14:AD14"/>
    <mergeCell ref="AA6:AD6"/>
    <mergeCell ref="AA7:AD7"/>
    <mergeCell ref="AA8:AD8"/>
    <mergeCell ref="AA9:AD9"/>
    <mergeCell ref="AA10:AD10"/>
  </mergeCells>
  <pageMargins left="0.19" right="0.17" top="0.4" bottom="0.39" header="0.31496062992125984" footer="0.31496062992125984"/>
  <pageSetup scale="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9"/>
  <sheetViews>
    <sheetView topLeftCell="A12" zoomScale="112" zoomScaleNormal="112" zoomScaleSheetLayoutView="90" zoomScalePageLayoutView="115" workbookViewId="0">
      <selection activeCell="A2" sqref="A2:AH12"/>
    </sheetView>
  </sheetViews>
  <sheetFormatPr baseColWidth="10" defaultRowHeight="15" x14ac:dyDescent="0.25"/>
  <cols>
    <col min="1" max="1" width="11.7109375" customWidth="1"/>
    <col min="2" max="2" width="19.7109375" customWidth="1"/>
    <col min="4" max="4" width="11.42578125" customWidth="1"/>
    <col min="5" max="5" width="2" hidden="1" customWidth="1"/>
    <col min="6" max="6" width="2.42578125" customWidth="1"/>
    <col min="7" max="7" width="10.7109375" customWidth="1"/>
    <col min="8" max="8" width="7.7109375" customWidth="1"/>
    <col min="9" max="9" width="1.28515625" customWidth="1"/>
    <col min="10" max="10" width="2" customWidth="1"/>
    <col min="11" max="11" width="12.140625" customWidth="1"/>
    <col min="12" max="12" width="7.5703125" customWidth="1"/>
    <col min="13" max="13" width="2.7109375" hidden="1" customWidth="1"/>
    <col min="14" max="14" width="7.7109375" hidden="1" customWidth="1"/>
    <col min="15" max="15" width="16.85546875" customWidth="1"/>
    <col min="16" max="16" width="8.42578125" customWidth="1"/>
    <col min="17" max="17" width="1.42578125" hidden="1" customWidth="1"/>
    <col min="18" max="18" width="11.42578125" hidden="1" customWidth="1"/>
    <col min="19" max="19" width="12.42578125" customWidth="1"/>
    <col min="20" max="20" width="4.42578125" customWidth="1"/>
    <col min="21" max="21" width="3.42578125" hidden="1" customWidth="1"/>
    <col min="22" max="22" width="11.42578125" hidden="1" customWidth="1"/>
    <col min="23" max="23" width="2" customWidth="1"/>
    <col min="25" max="25" width="7.140625" customWidth="1"/>
    <col min="26" max="26" width="0.28515625" hidden="1" customWidth="1"/>
    <col min="28" max="28" width="6.140625" customWidth="1"/>
    <col min="29" max="29" width="3" customWidth="1"/>
    <col min="30" max="30" width="11.42578125" hidden="1" customWidth="1"/>
    <col min="31" max="31" width="6.28515625" customWidth="1"/>
    <col min="32" max="32" width="4.7109375" customWidth="1"/>
    <col min="33" max="33" width="4.85546875" customWidth="1"/>
    <col min="34" max="34" width="3.7109375" customWidth="1"/>
  </cols>
  <sheetData>
    <row r="2" spans="1:41" x14ac:dyDescent="0.25">
      <c r="A2" s="1" t="s">
        <v>13</v>
      </c>
    </row>
    <row r="3" spans="1:41" ht="93" customHeight="1" x14ac:dyDescent="0.25">
      <c r="C3" s="187" t="str">
        <f>'PAG 2'!C6:F6</f>
        <v>COLOMBIANA DE LA INGENIERIA Y DE LA ARQUITECTURA S.A.S – COLINAR SAS</v>
      </c>
      <c r="D3" s="187"/>
      <c r="E3" s="187"/>
      <c r="F3" s="187"/>
      <c r="G3" s="187" t="str">
        <f>'PAG 2'!G6:J6</f>
        <v>CONSTRUYENDO AMBIENTE SAS</v>
      </c>
      <c r="H3" s="187"/>
      <c r="I3" s="187"/>
      <c r="J3" s="187"/>
      <c r="K3" s="187" t="str">
        <f>'PAG 2'!K6:N6</f>
        <v>GRUPO S Y C SAS</v>
      </c>
      <c r="L3" s="187"/>
      <c r="M3" s="187"/>
      <c r="N3" s="187"/>
      <c r="O3" s="187" t="str">
        <f>'PAG 2'!O6:R6</f>
        <v>INGENIERIA RH SAS</v>
      </c>
      <c r="P3" s="187"/>
      <c r="Q3" s="187"/>
      <c r="R3" s="187"/>
      <c r="S3" s="237" t="str">
        <f>'PAG 2'!S6:V6</f>
        <v>ORGANIZACIÓN HAR SAS</v>
      </c>
      <c r="T3" s="238"/>
      <c r="U3" s="238"/>
      <c r="V3" s="239"/>
      <c r="W3" s="187" t="str">
        <f>'PAG 2'!W6</f>
        <v>USCOM SAS</v>
      </c>
      <c r="X3" s="187"/>
      <c r="Y3" s="187"/>
      <c r="Z3" s="187"/>
      <c r="AA3" s="187" t="str">
        <f>'PAG 2'!AA6</f>
        <v>ALCALA &amp; ESPINOSA DISEÑO Y CONSTRUCCION LTDA</v>
      </c>
      <c r="AB3" s="187"/>
      <c r="AC3" s="187"/>
      <c r="AD3" s="187"/>
      <c r="AE3" s="187" t="str">
        <f>'PAG 2'!AE6</f>
        <v>CONSTRUCCIONES EULER MEDINA GARCIA Y CIA LTDA</v>
      </c>
      <c r="AF3" s="187"/>
      <c r="AG3" s="187"/>
      <c r="AH3" s="187"/>
    </row>
    <row r="4" spans="1:41" x14ac:dyDescent="0.25">
      <c r="A4" s="3" t="s">
        <v>14</v>
      </c>
      <c r="B4" s="3"/>
      <c r="C4" s="236">
        <v>1</v>
      </c>
      <c r="D4" s="236"/>
      <c r="E4" s="236"/>
      <c r="F4" s="236"/>
      <c r="G4" s="236">
        <v>2</v>
      </c>
      <c r="H4" s="236"/>
      <c r="I4" s="236"/>
      <c r="J4" s="236"/>
      <c r="K4" s="244">
        <v>3</v>
      </c>
      <c r="L4" s="244"/>
      <c r="M4" s="244"/>
      <c r="N4" s="244"/>
      <c r="O4" s="236">
        <v>4</v>
      </c>
      <c r="P4" s="236"/>
      <c r="Q4" s="236"/>
      <c r="R4" s="236"/>
      <c r="S4" s="240">
        <v>5</v>
      </c>
      <c r="T4" s="241"/>
      <c r="U4" s="241"/>
      <c r="V4" s="242"/>
      <c r="W4" s="236">
        <v>6</v>
      </c>
      <c r="X4" s="236"/>
      <c r="Y4" s="236"/>
      <c r="Z4" s="236"/>
      <c r="AA4" s="236">
        <v>7</v>
      </c>
      <c r="AB4" s="236"/>
      <c r="AC4" s="236"/>
      <c r="AD4" s="236"/>
      <c r="AE4" s="236">
        <v>8</v>
      </c>
      <c r="AF4" s="236"/>
      <c r="AG4" s="236"/>
      <c r="AH4" s="236"/>
    </row>
    <row r="5" spans="1:41" ht="24.75" customHeight="1" x14ac:dyDescent="0.25">
      <c r="A5" s="253" t="s">
        <v>111</v>
      </c>
      <c r="B5" s="254"/>
      <c r="C5" s="233" t="s">
        <v>112</v>
      </c>
      <c r="D5" s="234"/>
      <c r="E5" s="234"/>
      <c r="F5" s="235"/>
      <c r="G5" s="233" t="s">
        <v>112</v>
      </c>
      <c r="H5" s="234"/>
      <c r="I5" s="234"/>
      <c r="J5" s="235"/>
      <c r="K5" s="233" t="s">
        <v>112</v>
      </c>
      <c r="L5" s="234"/>
      <c r="M5" s="234"/>
      <c r="N5" s="235"/>
      <c r="O5" s="233" t="s">
        <v>112</v>
      </c>
      <c r="P5" s="234"/>
      <c r="Q5" s="234"/>
      <c r="R5" s="235"/>
      <c r="S5" s="233" t="s">
        <v>112</v>
      </c>
      <c r="T5" s="234"/>
      <c r="U5" s="234"/>
      <c r="V5" s="235"/>
      <c r="W5" s="233" t="s">
        <v>112</v>
      </c>
      <c r="X5" s="234"/>
      <c r="Y5" s="234"/>
      <c r="Z5" s="235"/>
      <c r="AA5" s="233" t="s">
        <v>112</v>
      </c>
      <c r="AB5" s="234"/>
      <c r="AC5" s="234"/>
      <c r="AD5" s="235"/>
      <c r="AE5" s="233" t="s">
        <v>112</v>
      </c>
      <c r="AF5" s="234"/>
      <c r="AG5" s="234"/>
      <c r="AH5" s="235"/>
    </row>
    <row r="6" spans="1:41" ht="32.25" customHeight="1" x14ac:dyDescent="0.25">
      <c r="A6" s="251" t="s">
        <v>15</v>
      </c>
      <c r="B6" s="252"/>
      <c r="C6" s="180" t="s">
        <v>17</v>
      </c>
      <c r="D6" s="180"/>
      <c r="E6" s="180"/>
      <c r="F6" s="180"/>
      <c r="G6" s="180" t="s">
        <v>17</v>
      </c>
      <c r="H6" s="180"/>
      <c r="I6" s="180"/>
      <c r="J6" s="180"/>
      <c r="K6" s="180" t="s">
        <v>17</v>
      </c>
      <c r="L6" s="180"/>
      <c r="M6" s="180"/>
      <c r="N6" s="180"/>
      <c r="O6" s="180" t="s">
        <v>17</v>
      </c>
      <c r="P6" s="180"/>
      <c r="Q6" s="180"/>
      <c r="R6" s="180"/>
      <c r="S6" s="180" t="str">
        <f>+K6</f>
        <v xml:space="preserve">Cumple </v>
      </c>
      <c r="T6" s="180"/>
      <c r="U6" s="180"/>
      <c r="V6" s="180"/>
      <c r="W6" s="180" t="s">
        <v>17</v>
      </c>
      <c r="X6" s="180"/>
      <c r="Y6" s="180"/>
      <c r="Z6" s="180"/>
      <c r="AA6" s="180" t="s">
        <v>17</v>
      </c>
      <c r="AB6" s="180"/>
      <c r="AC6" s="180"/>
      <c r="AD6" s="180"/>
      <c r="AE6" s="180" t="s">
        <v>256</v>
      </c>
      <c r="AF6" s="180"/>
      <c r="AG6" s="180"/>
      <c r="AH6" s="180"/>
    </row>
    <row r="7" spans="1:41" ht="148.5" customHeight="1" x14ac:dyDescent="0.25">
      <c r="A7" s="248" t="s">
        <v>174</v>
      </c>
      <c r="B7" s="249"/>
      <c r="C7" s="180" t="s">
        <v>17</v>
      </c>
      <c r="D7" s="180"/>
      <c r="E7" s="180"/>
      <c r="F7" s="180"/>
      <c r="G7" s="180" t="s">
        <v>17</v>
      </c>
      <c r="H7" s="180"/>
      <c r="I7" s="180"/>
      <c r="J7" s="180"/>
      <c r="K7" s="180" t="s">
        <v>17</v>
      </c>
      <c r="L7" s="180"/>
      <c r="M7" s="180"/>
      <c r="N7" s="180"/>
      <c r="O7" s="180" t="s">
        <v>17</v>
      </c>
      <c r="P7" s="180"/>
      <c r="Q7" s="180"/>
      <c r="R7" s="180"/>
      <c r="S7" s="180" t="str">
        <f>+K7</f>
        <v xml:space="preserve">Cumple </v>
      </c>
      <c r="T7" s="180"/>
      <c r="U7" s="180"/>
      <c r="V7" s="180"/>
      <c r="W7" s="180" t="s">
        <v>17</v>
      </c>
      <c r="X7" s="180"/>
      <c r="Y7" s="180"/>
      <c r="Z7" s="180"/>
      <c r="AA7" s="180" t="s">
        <v>17</v>
      </c>
      <c r="AB7" s="180"/>
      <c r="AC7" s="180"/>
      <c r="AD7" s="180"/>
      <c r="AE7" s="180" t="s">
        <v>256</v>
      </c>
      <c r="AF7" s="180"/>
      <c r="AG7" s="180"/>
      <c r="AH7" s="180"/>
    </row>
    <row r="8" spans="1:41" ht="409.6" customHeight="1" x14ac:dyDescent="0.25">
      <c r="A8" s="215" t="s">
        <v>175</v>
      </c>
      <c r="B8" s="216"/>
      <c r="C8" s="212" t="s">
        <v>197</v>
      </c>
      <c r="D8" s="213"/>
      <c r="E8" s="213"/>
      <c r="F8" s="214"/>
      <c r="G8" s="212" t="s">
        <v>198</v>
      </c>
      <c r="H8" s="213"/>
      <c r="I8" s="213"/>
      <c r="J8" s="214"/>
      <c r="K8" s="212" t="s">
        <v>147</v>
      </c>
      <c r="L8" s="213"/>
      <c r="M8" s="213"/>
      <c r="N8" s="214"/>
      <c r="O8" s="212" t="s">
        <v>221</v>
      </c>
      <c r="P8" s="213"/>
      <c r="Q8" s="213"/>
      <c r="R8" s="214"/>
      <c r="S8" s="212" t="s">
        <v>235</v>
      </c>
      <c r="T8" s="213"/>
      <c r="U8" s="213"/>
      <c r="V8" s="214"/>
      <c r="W8" s="217" t="s">
        <v>238</v>
      </c>
      <c r="X8" s="218"/>
      <c r="Y8" s="218"/>
      <c r="Z8" s="219"/>
      <c r="AA8" s="223" t="s">
        <v>257</v>
      </c>
      <c r="AB8" s="224"/>
      <c r="AC8" s="224"/>
      <c r="AD8" s="225"/>
      <c r="AE8" s="180" t="s">
        <v>256</v>
      </c>
      <c r="AF8" s="180"/>
      <c r="AG8" s="180"/>
      <c r="AH8" s="180"/>
    </row>
    <row r="9" spans="1:41" ht="409.6" customHeight="1" x14ac:dyDescent="0.25">
      <c r="A9" s="215" t="s">
        <v>175</v>
      </c>
      <c r="B9" s="216"/>
      <c r="C9" s="209" t="s">
        <v>220</v>
      </c>
      <c r="D9" s="210"/>
      <c r="E9" s="210"/>
      <c r="F9" s="211"/>
      <c r="G9" s="209" t="str">
        <f>+C9</f>
        <v>no presenta</v>
      </c>
      <c r="H9" s="210"/>
      <c r="I9" s="210"/>
      <c r="J9" s="211"/>
      <c r="K9" s="209" t="str">
        <f>+G9</f>
        <v>no presenta</v>
      </c>
      <c r="L9" s="210"/>
      <c r="M9" s="210"/>
      <c r="N9" s="211"/>
      <c r="O9" s="206" t="s">
        <v>222</v>
      </c>
      <c r="P9" s="207"/>
      <c r="Q9" s="207"/>
      <c r="R9" s="208"/>
      <c r="S9" s="209" t="s">
        <v>220</v>
      </c>
      <c r="T9" s="210"/>
      <c r="U9" s="210"/>
      <c r="V9" s="211"/>
      <c r="W9" s="220"/>
      <c r="X9" s="221"/>
      <c r="Y9" s="221"/>
      <c r="Z9" s="222"/>
      <c r="AA9" s="212" t="s">
        <v>258</v>
      </c>
      <c r="AB9" s="213"/>
      <c r="AC9" s="213"/>
      <c r="AD9" s="214"/>
      <c r="AE9" s="212"/>
      <c r="AF9" s="213"/>
      <c r="AG9" s="213"/>
      <c r="AH9" s="214"/>
      <c r="AM9" s="215"/>
      <c r="AN9" s="216"/>
      <c r="AO9" s="173"/>
    </row>
    <row r="10" spans="1:41" ht="92.25" customHeight="1" x14ac:dyDescent="0.25">
      <c r="A10" s="150"/>
      <c r="B10" s="150"/>
      <c r="C10" s="227" t="str">
        <f>C3</f>
        <v>COLOMBIANA DE LA INGENIERIA Y DE LA ARQUITECTURA S.A.S – COLINAR SAS</v>
      </c>
      <c r="D10" s="227"/>
      <c r="E10" s="227"/>
      <c r="F10" s="227"/>
      <c r="G10" s="227" t="str">
        <f>G3</f>
        <v>CONSTRUYENDO AMBIENTE SAS</v>
      </c>
      <c r="H10" s="227"/>
      <c r="I10" s="227"/>
      <c r="J10" s="227"/>
      <c r="K10" s="227" t="str">
        <f>K3</f>
        <v>GRUPO S Y C SAS</v>
      </c>
      <c r="L10" s="227"/>
      <c r="M10" s="227"/>
      <c r="N10" s="227"/>
      <c r="O10" s="227" t="str">
        <f>O3</f>
        <v>INGENIERIA RH SAS</v>
      </c>
      <c r="P10" s="227"/>
      <c r="Q10" s="227"/>
      <c r="R10" s="227"/>
      <c r="S10" s="228" t="str">
        <f>S3</f>
        <v>ORGANIZACIÓN HAR SAS</v>
      </c>
      <c r="T10" s="229"/>
      <c r="U10" s="229"/>
      <c r="V10" s="230"/>
      <c r="W10" s="227" t="str">
        <f>W3</f>
        <v>USCOM SAS</v>
      </c>
      <c r="X10" s="227"/>
      <c r="Y10" s="227"/>
      <c r="Z10" s="227"/>
      <c r="AA10" s="227" t="str">
        <f>AA3</f>
        <v>ALCALA &amp; ESPINOSA DISEÑO Y CONSTRUCCION LTDA</v>
      </c>
      <c r="AB10" s="227"/>
      <c r="AC10" s="227"/>
      <c r="AD10" s="227"/>
      <c r="AE10" s="227" t="str">
        <f>AE3</f>
        <v>CONSTRUCCIONES EULER MEDINA GARCIA Y CIA LTDA</v>
      </c>
      <c r="AF10" s="227"/>
      <c r="AG10" s="227"/>
      <c r="AH10" s="227"/>
    </row>
    <row r="11" spans="1:41" ht="49.5" customHeight="1" x14ac:dyDescent="0.25">
      <c r="A11" s="151" t="s">
        <v>14</v>
      </c>
      <c r="B11" s="151"/>
      <c r="C11" s="231">
        <v>1</v>
      </c>
      <c r="D11" s="231"/>
      <c r="E11" s="231"/>
      <c r="F11" s="231"/>
      <c r="G11" s="232">
        <v>2</v>
      </c>
      <c r="H11" s="232"/>
      <c r="I11" s="232"/>
      <c r="J11" s="232"/>
      <c r="K11" s="231">
        <v>4</v>
      </c>
      <c r="L11" s="231"/>
      <c r="M11" s="231"/>
      <c r="N11" s="231"/>
      <c r="O11" s="231">
        <v>4</v>
      </c>
      <c r="P11" s="231"/>
      <c r="Q11" s="231"/>
      <c r="R11" s="231"/>
      <c r="S11" s="233">
        <v>5</v>
      </c>
      <c r="T11" s="234"/>
      <c r="U11" s="234"/>
      <c r="V11" s="235"/>
      <c r="W11" s="231">
        <v>6</v>
      </c>
      <c r="X11" s="231"/>
      <c r="Y11" s="231"/>
      <c r="Z11" s="231"/>
      <c r="AA11" s="231">
        <v>7</v>
      </c>
      <c r="AB11" s="231"/>
      <c r="AC11" s="231"/>
      <c r="AD11" s="231"/>
      <c r="AE11" s="231">
        <v>7</v>
      </c>
      <c r="AF11" s="231"/>
      <c r="AG11" s="231"/>
      <c r="AH11" s="231"/>
    </row>
    <row r="12" spans="1:41" ht="409.6" customHeight="1" x14ac:dyDescent="0.25">
      <c r="A12" s="245" t="s">
        <v>176</v>
      </c>
      <c r="B12" s="246"/>
      <c r="C12" s="226" t="s">
        <v>276</v>
      </c>
      <c r="D12" s="226"/>
      <c r="E12" s="226"/>
      <c r="F12" s="226"/>
      <c r="G12" s="226" t="s">
        <v>277</v>
      </c>
      <c r="H12" s="226"/>
      <c r="I12" s="226"/>
      <c r="J12" s="226"/>
      <c r="K12" s="226" t="s">
        <v>278</v>
      </c>
      <c r="L12" s="226"/>
      <c r="M12" s="226"/>
      <c r="N12" s="226"/>
      <c r="O12" s="250" t="s">
        <v>279</v>
      </c>
      <c r="P12" s="250"/>
      <c r="Q12" s="250"/>
      <c r="R12" s="250"/>
      <c r="S12" s="212" t="s">
        <v>239</v>
      </c>
      <c r="T12" s="213"/>
      <c r="U12" s="213"/>
      <c r="V12" s="214"/>
      <c r="W12" s="226" t="s">
        <v>238</v>
      </c>
      <c r="X12" s="226"/>
      <c r="Y12" s="226"/>
      <c r="Z12" s="226"/>
      <c r="AA12" s="226" t="s">
        <v>280</v>
      </c>
      <c r="AB12" s="226"/>
      <c r="AC12" s="226"/>
      <c r="AD12" s="226"/>
      <c r="AE12" s="180" t="s">
        <v>256</v>
      </c>
      <c r="AF12" s="180"/>
      <c r="AG12" s="180"/>
      <c r="AH12" s="180"/>
    </row>
    <row r="22" spans="1:14" x14ac:dyDescent="0.25">
      <c r="A22" s="247"/>
      <c r="B22" s="247"/>
      <c r="C22" s="243"/>
      <c r="D22" s="243"/>
      <c r="E22" s="243"/>
      <c r="F22" s="243"/>
      <c r="G22" s="243"/>
      <c r="H22" s="243"/>
      <c r="I22" s="243"/>
      <c r="J22" s="243"/>
      <c r="K22" s="243"/>
      <c r="L22" s="243"/>
      <c r="M22" s="243"/>
      <c r="N22" s="243"/>
    </row>
    <row r="23" spans="1:14" x14ac:dyDescent="0.25">
      <c r="A23" s="247"/>
      <c r="B23" s="247"/>
      <c r="C23" s="243"/>
      <c r="D23" s="243"/>
      <c r="E23" s="243"/>
      <c r="F23" s="243"/>
      <c r="G23" s="243"/>
      <c r="H23" s="243"/>
      <c r="I23" s="243"/>
      <c r="J23" s="243"/>
      <c r="K23" s="243"/>
      <c r="L23" s="243"/>
      <c r="M23" s="243"/>
      <c r="N23" s="243"/>
    </row>
    <row r="24" spans="1:14" x14ac:dyDescent="0.25">
      <c r="A24" s="247"/>
      <c r="B24" s="247"/>
      <c r="C24" s="243"/>
      <c r="D24" s="243"/>
      <c r="E24" s="243"/>
      <c r="F24" s="243"/>
      <c r="G24" s="243"/>
      <c r="H24" s="243"/>
      <c r="I24" s="243"/>
      <c r="J24" s="243"/>
      <c r="K24" s="243"/>
      <c r="L24" s="243"/>
      <c r="M24" s="243"/>
      <c r="N24" s="243"/>
    </row>
    <row r="25" spans="1:14" x14ac:dyDescent="0.25">
      <c r="A25" s="2"/>
      <c r="B25" s="2"/>
      <c r="C25" s="2"/>
      <c r="D25" s="2"/>
      <c r="E25" s="2"/>
      <c r="F25" s="2"/>
      <c r="G25" s="2"/>
      <c r="H25" s="2"/>
      <c r="I25" s="2"/>
      <c r="J25" s="2"/>
      <c r="K25" s="2"/>
      <c r="L25" s="2"/>
      <c r="M25" s="2"/>
      <c r="N25" s="2"/>
    </row>
    <row r="29" spans="1:14" x14ac:dyDescent="0.25">
      <c r="A29" s="1"/>
    </row>
  </sheetData>
  <mergeCells count="98">
    <mergeCell ref="AE10:AH10"/>
    <mergeCell ref="AE11:AH11"/>
    <mergeCell ref="AE12:AH12"/>
    <mergeCell ref="AE3:AH3"/>
    <mergeCell ref="AE4:AH4"/>
    <mergeCell ref="AE5:AH5"/>
    <mergeCell ref="AE6:AH6"/>
    <mergeCell ref="AE7:AH7"/>
    <mergeCell ref="O12:R12"/>
    <mergeCell ref="A6:B6"/>
    <mergeCell ref="O3:R3"/>
    <mergeCell ref="O4:R4"/>
    <mergeCell ref="O5:R5"/>
    <mergeCell ref="O6:R6"/>
    <mergeCell ref="O7:R7"/>
    <mergeCell ref="A5:B5"/>
    <mergeCell ref="C5:F5"/>
    <mergeCell ref="G3:J3"/>
    <mergeCell ref="C3:F3"/>
    <mergeCell ref="C4:F4"/>
    <mergeCell ref="C6:F6"/>
    <mergeCell ref="C7:F7"/>
    <mergeCell ref="G4:J4"/>
    <mergeCell ref="G5:J5"/>
    <mergeCell ref="G6:J6"/>
    <mergeCell ref="A24:B24"/>
    <mergeCell ref="C24:F24"/>
    <mergeCell ref="G24:J24"/>
    <mergeCell ref="A22:B22"/>
    <mergeCell ref="C22:F22"/>
    <mergeCell ref="G22:J22"/>
    <mergeCell ref="A23:B23"/>
    <mergeCell ref="C23:F23"/>
    <mergeCell ref="G23:J23"/>
    <mergeCell ref="C8:F8"/>
    <mergeCell ref="C12:F12"/>
    <mergeCell ref="G8:J8"/>
    <mergeCell ref="G12:J12"/>
    <mergeCell ref="A7:B7"/>
    <mergeCell ref="A8:B8"/>
    <mergeCell ref="A12:B12"/>
    <mergeCell ref="G7:J7"/>
    <mergeCell ref="K12:N12"/>
    <mergeCell ref="K22:N22"/>
    <mergeCell ref="A9:B9"/>
    <mergeCell ref="C9:F9"/>
    <mergeCell ref="G9:J9"/>
    <mergeCell ref="K23:N23"/>
    <mergeCell ref="K24:N24"/>
    <mergeCell ref="K3:N3"/>
    <mergeCell ref="K4:N4"/>
    <mergeCell ref="K8:N8"/>
    <mergeCell ref="K5:N5"/>
    <mergeCell ref="K6:N6"/>
    <mergeCell ref="K7:N7"/>
    <mergeCell ref="K9:N9"/>
    <mergeCell ref="W12:Z12"/>
    <mergeCell ref="S3:V3"/>
    <mergeCell ref="S4:V4"/>
    <mergeCell ref="S6:V6"/>
    <mergeCell ref="S5:V5"/>
    <mergeCell ref="S7:V7"/>
    <mergeCell ref="W3:Z3"/>
    <mergeCell ref="W4:Z4"/>
    <mergeCell ref="W5:Z5"/>
    <mergeCell ref="W6:Z6"/>
    <mergeCell ref="W7:Z7"/>
    <mergeCell ref="AA3:AD3"/>
    <mergeCell ref="AA4:AD4"/>
    <mergeCell ref="AA5:AD5"/>
    <mergeCell ref="AA6:AD6"/>
    <mergeCell ref="AA7:AD7"/>
    <mergeCell ref="AA12:AD12"/>
    <mergeCell ref="C10:F10"/>
    <mergeCell ref="G10:J10"/>
    <mergeCell ref="K10:N10"/>
    <mergeCell ref="O10:R10"/>
    <mergeCell ref="S10:V10"/>
    <mergeCell ref="W10:Z10"/>
    <mergeCell ref="AA10:AD10"/>
    <mergeCell ref="C11:F11"/>
    <mergeCell ref="G11:J11"/>
    <mergeCell ref="K11:N11"/>
    <mergeCell ref="O11:R11"/>
    <mergeCell ref="S11:V11"/>
    <mergeCell ref="W11:Z11"/>
    <mergeCell ref="AA11:AD11"/>
    <mergeCell ref="S12:V12"/>
    <mergeCell ref="O9:R9"/>
    <mergeCell ref="S9:V9"/>
    <mergeCell ref="AA9:AD9"/>
    <mergeCell ref="AM9:AN9"/>
    <mergeCell ref="W8:Z9"/>
    <mergeCell ref="AA8:AD8"/>
    <mergeCell ref="S8:V8"/>
    <mergeCell ref="O8:R8"/>
    <mergeCell ref="AE8:AH8"/>
    <mergeCell ref="AE9:AH9"/>
  </mergeCells>
  <pageMargins left="0.15748031496062992" right="0.15748031496062992" top="0.25" bottom="0.19" header="0.17" footer="0.17"/>
  <pageSetup scale="67" orientation="landscape" r:id="rId1"/>
  <rowBreaks count="1" manualBreakCount="1">
    <brk id="9" max="3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
  <sheetViews>
    <sheetView topLeftCell="A6" zoomScaleNormal="100" zoomScaleSheetLayoutView="100" workbookViewId="0">
      <selection activeCell="A2" sqref="A2:Z6"/>
    </sheetView>
  </sheetViews>
  <sheetFormatPr baseColWidth="10" defaultRowHeight="15" x14ac:dyDescent="0.25"/>
  <cols>
    <col min="2" max="2" width="13.140625" customWidth="1"/>
    <col min="4" max="4" width="3.85546875" customWidth="1"/>
    <col min="5" max="5" width="6.5703125" customWidth="1"/>
    <col min="7" max="7" width="7.140625" customWidth="1"/>
    <col min="8" max="8" width="6.140625" hidden="1" customWidth="1"/>
    <col min="9" max="9" width="9.85546875" customWidth="1"/>
    <col min="10" max="10" width="8.42578125" customWidth="1"/>
    <col min="11" max="11" width="4.140625" hidden="1" customWidth="1"/>
    <col min="13" max="13" width="6.5703125" customWidth="1"/>
    <col min="14" max="14" width="0" hidden="1" customWidth="1"/>
    <col min="16" max="16" width="6.7109375" customWidth="1"/>
    <col min="17" max="17" width="0" hidden="1" customWidth="1"/>
    <col min="19" max="19" width="11.28515625" customWidth="1"/>
    <col min="20" max="20" width="0" hidden="1" customWidth="1"/>
    <col min="22" max="22" width="8.42578125" customWidth="1"/>
    <col min="23" max="23" width="4.42578125" customWidth="1"/>
    <col min="24" max="24" width="7.7109375" customWidth="1"/>
    <col min="25" max="25" width="6" customWidth="1"/>
    <col min="26" max="26" width="4.28515625" customWidth="1"/>
  </cols>
  <sheetData>
    <row r="1" spans="1:26" ht="6" customHeight="1" x14ac:dyDescent="0.25"/>
    <row r="2" spans="1:26" x14ac:dyDescent="0.25">
      <c r="A2" s="1" t="s">
        <v>13</v>
      </c>
    </row>
    <row r="3" spans="1:26" ht="107.25" customHeight="1" x14ac:dyDescent="0.25">
      <c r="C3" s="255" t="str">
        <f>'PAG 2'!C6:F6</f>
        <v>COLOMBIANA DE LA INGENIERIA Y DE LA ARQUITECTURA S.A.S – COLINAR SAS</v>
      </c>
      <c r="D3" s="255"/>
      <c r="E3" s="255"/>
      <c r="F3" s="255" t="str">
        <f>'PAG 2'!G6</f>
        <v>CONSTRUYENDO AMBIENTE SAS</v>
      </c>
      <c r="G3" s="255"/>
      <c r="H3" s="255"/>
      <c r="I3" s="255" t="str">
        <f>'PAG 2'!K6</f>
        <v>GRUPO S Y C SAS</v>
      </c>
      <c r="J3" s="255"/>
      <c r="K3" s="255"/>
      <c r="L3" s="255" t="str">
        <f>'PAG 2'!O6</f>
        <v>INGENIERIA RH SAS</v>
      </c>
      <c r="M3" s="255"/>
      <c r="N3" s="255"/>
      <c r="O3" s="255" t="str">
        <f>'PAG 2'!S6</f>
        <v>ORGANIZACIÓN HAR SAS</v>
      </c>
      <c r="P3" s="255"/>
      <c r="Q3" s="255"/>
      <c r="R3" s="255" t="str">
        <f>'PAG 2'!W6</f>
        <v>USCOM SAS</v>
      </c>
      <c r="S3" s="255"/>
      <c r="T3" s="255"/>
      <c r="U3" s="255" t="str">
        <f>'PAG 2'!AA6</f>
        <v>ALCALA &amp; ESPINOSA DISEÑO Y CONSTRUCCION LTDA</v>
      </c>
      <c r="V3" s="255"/>
      <c r="W3" s="255"/>
      <c r="X3" s="255" t="str">
        <f>'PAG 2'!AE6</f>
        <v>CONSTRUCCIONES EULER MEDINA GARCIA Y CIA LTDA</v>
      </c>
      <c r="Y3" s="255"/>
      <c r="Z3" s="255"/>
    </row>
    <row r="4" spans="1:26" x14ac:dyDescent="0.25">
      <c r="A4" s="262" t="s">
        <v>14</v>
      </c>
      <c r="B4" s="263"/>
      <c r="C4" s="236">
        <v>1</v>
      </c>
      <c r="D4" s="236"/>
      <c r="E4" s="236"/>
      <c r="F4" s="236">
        <v>2</v>
      </c>
      <c r="G4" s="236"/>
      <c r="H4" s="236"/>
      <c r="I4" s="236">
        <v>3</v>
      </c>
      <c r="J4" s="236"/>
      <c r="K4" s="236"/>
      <c r="L4" s="236">
        <v>4</v>
      </c>
      <c r="M4" s="236"/>
      <c r="N4" s="236"/>
      <c r="O4" s="236">
        <v>5</v>
      </c>
      <c r="P4" s="236"/>
      <c r="Q4" s="236"/>
      <c r="R4" s="236">
        <v>6</v>
      </c>
      <c r="S4" s="236"/>
      <c r="T4" s="236"/>
      <c r="U4" s="236">
        <v>7</v>
      </c>
      <c r="V4" s="236"/>
      <c r="W4" s="236"/>
      <c r="X4" s="236">
        <v>8</v>
      </c>
      <c r="Y4" s="236"/>
      <c r="Z4" s="236"/>
    </row>
    <row r="5" spans="1:26" ht="409.5" customHeight="1" x14ac:dyDescent="0.25">
      <c r="A5" s="258" t="s">
        <v>195</v>
      </c>
      <c r="B5" s="259"/>
      <c r="C5" s="264" t="s">
        <v>134</v>
      </c>
      <c r="D5" s="264"/>
      <c r="E5" s="264"/>
      <c r="F5" s="264" t="s">
        <v>134</v>
      </c>
      <c r="G5" s="264"/>
      <c r="H5" s="264"/>
      <c r="I5" s="264" t="str">
        <f>F5</f>
        <v>No presenta</v>
      </c>
      <c r="J5" s="264"/>
      <c r="K5" s="264"/>
      <c r="L5" s="264" t="s">
        <v>281</v>
      </c>
      <c r="M5" s="264"/>
      <c r="N5" s="264"/>
      <c r="O5" s="264" t="str">
        <f>+F5</f>
        <v>No presenta</v>
      </c>
      <c r="P5" s="264"/>
      <c r="Q5" s="264"/>
      <c r="R5" s="256" t="s">
        <v>238</v>
      </c>
      <c r="S5" s="257"/>
      <c r="T5" s="176"/>
      <c r="U5" s="264" t="s">
        <v>259</v>
      </c>
      <c r="V5" s="264"/>
      <c r="W5" s="264"/>
      <c r="X5" s="265" t="s">
        <v>256</v>
      </c>
      <c r="Y5" s="266"/>
      <c r="Z5" s="267"/>
    </row>
    <row r="6" spans="1:26" ht="156" customHeight="1" x14ac:dyDescent="0.25">
      <c r="A6" s="260"/>
      <c r="B6" s="261"/>
      <c r="C6" s="264" t="s">
        <v>134</v>
      </c>
      <c r="D6" s="264"/>
      <c r="E6" s="264"/>
      <c r="F6" s="264" t="s">
        <v>134</v>
      </c>
      <c r="G6" s="264"/>
      <c r="H6" s="264"/>
      <c r="I6" s="264" t="str">
        <f>F6</f>
        <v>No presenta</v>
      </c>
      <c r="J6" s="264"/>
      <c r="K6" s="264"/>
      <c r="L6" s="264" t="str">
        <f>+I6</f>
        <v>No presenta</v>
      </c>
      <c r="M6" s="264"/>
      <c r="N6" s="264"/>
      <c r="O6" s="264" t="s">
        <v>134</v>
      </c>
      <c r="P6" s="264"/>
      <c r="Q6" s="264"/>
      <c r="R6" s="256" t="s">
        <v>238</v>
      </c>
      <c r="S6" s="257"/>
      <c r="T6" s="176"/>
      <c r="U6" s="264" t="s">
        <v>134</v>
      </c>
      <c r="V6" s="264"/>
      <c r="W6" s="264"/>
      <c r="X6" s="264" t="s">
        <v>256</v>
      </c>
      <c r="Y6" s="264"/>
      <c r="Z6" s="264"/>
    </row>
  </sheetData>
  <mergeCells count="34">
    <mergeCell ref="X6:Z6"/>
    <mergeCell ref="L3:N3"/>
    <mergeCell ref="L4:N4"/>
    <mergeCell ref="L5:N5"/>
    <mergeCell ref="L6:N6"/>
    <mergeCell ref="U3:W3"/>
    <mergeCell ref="U4:W4"/>
    <mergeCell ref="U5:W5"/>
    <mergeCell ref="U6:W6"/>
    <mergeCell ref="O3:Q3"/>
    <mergeCell ref="O4:Q4"/>
    <mergeCell ref="O5:Q5"/>
    <mergeCell ref="O6:Q6"/>
    <mergeCell ref="C5:E5"/>
    <mergeCell ref="F5:H5"/>
    <mergeCell ref="X3:Z3"/>
    <mergeCell ref="X4:Z4"/>
    <mergeCell ref="X5:Z5"/>
    <mergeCell ref="R3:T3"/>
    <mergeCell ref="R4:T4"/>
    <mergeCell ref="R5:S5"/>
    <mergeCell ref="R6:S6"/>
    <mergeCell ref="A5:B6"/>
    <mergeCell ref="C3:E3"/>
    <mergeCell ref="F3:H3"/>
    <mergeCell ref="A4:B4"/>
    <mergeCell ref="C4:E4"/>
    <mergeCell ref="F4:H4"/>
    <mergeCell ref="I3:K3"/>
    <mergeCell ref="I4:K4"/>
    <mergeCell ref="I6:K6"/>
    <mergeCell ref="I5:K5"/>
    <mergeCell ref="C6:E6"/>
    <mergeCell ref="F6:H6"/>
  </mergeCells>
  <pageMargins left="0.17" right="0.17" top="0.37" bottom="0.35" header="0.31496062992125984" footer="0.31496062992125984"/>
  <pageSetup scale="7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zoomScaleNormal="100" zoomScaleSheetLayoutView="100" workbookViewId="0">
      <selection activeCell="A2" sqref="A2:R28"/>
    </sheetView>
  </sheetViews>
  <sheetFormatPr baseColWidth="10" defaultRowHeight="15" x14ac:dyDescent="0.25"/>
  <cols>
    <col min="2" max="2" width="29" customWidth="1"/>
    <col min="4" max="4" width="12" customWidth="1"/>
    <col min="6" max="6" width="13.42578125" customWidth="1"/>
    <col min="7" max="7" width="13.7109375" customWidth="1"/>
    <col min="8" max="8" width="13.5703125" customWidth="1"/>
    <col min="9" max="9" width="9.7109375" customWidth="1"/>
    <col min="10" max="10" width="9.85546875" customWidth="1"/>
    <col min="11" max="11" width="7.7109375" customWidth="1"/>
    <col min="12" max="12" width="5.7109375" customWidth="1"/>
    <col min="13" max="13" width="6.5703125" customWidth="1"/>
    <col min="14" max="14" width="12" customWidth="1"/>
    <col min="16" max="16" width="8" customWidth="1"/>
    <col min="18" max="18" width="6.140625" customWidth="1"/>
  </cols>
  <sheetData>
    <row r="1" spans="1:18" ht="6" customHeight="1" x14ac:dyDescent="0.25"/>
    <row r="2" spans="1:18" x14ac:dyDescent="0.25">
      <c r="A2" s="1" t="s">
        <v>135</v>
      </c>
    </row>
    <row r="3" spans="1:18" ht="96.75" customHeight="1" x14ac:dyDescent="0.25">
      <c r="C3" s="227" t="str">
        <f>'PAG 2'!C6:F6</f>
        <v>COLOMBIANA DE LA INGENIERIA Y DE LA ARQUITECTURA S.A.S – COLINAR SAS</v>
      </c>
      <c r="D3" s="227"/>
      <c r="E3" s="227" t="str">
        <f>'PAG 2'!G6</f>
        <v>CONSTRUYENDO AMBIENTE SAS</v>
      </c>
      <c r="F3" s="227"/>
      <c r="G3" s="274" t="str">
        <f>'PAG 2'!K6</f>
        <v>GRUPO S Y C SAS</v>
      </c>
      <c r="H3" s="274"/>
      <c r="I3" s="227" t="str">
        <f>'PAG 2'!O6</f>
        <v>INGENIERIA RH SAS</v>
      </c>
      <c r="J3" s="227"/>
      <c r="K3" s="227" t="str">
        <f>'PAG 2'!S6</f>
        <v>ORGANIZACIÓN HAR SAS</v>
      </c>
      <c r="L3" s="227"/>
      <c r="M3" s="227" t="str">
        <f>'PAG 2'!W6</f>
        <v>USCOM SAS</v>
      </c>
      <c r="N3" s="227"/>
      <c r="O3" s="227" t="str">
        <f>'PAG 2'!AA6</f>
        <v>ALCALA &amp; ESPINOSA DISEÑO Y CONSTRUCCION LTDA</v>
      </c>
      <c r="P3" s="227"/>
      <c r="Q3" s="227" t="str">
        <f>'PAG 2'!AE6</f>
        <v>CONSTRUCCIONES EULER MEDINA GARCIA Y CIA LTDA</v>
      </c>
      <c r="R3" s="227"/>
    </row>
    <row r="4" spans="1:18" x14ac:dyDescent="0.25">
      <c r="A4" s="188" t="s">
        <v>14</v>
      </c>
      <c r="B4" s="188"/>
      <c r="C4" s="273">
        <v>1</v>
      </c>
      <c r="D4" s="273"/>
      <c r="E4" s="273">
        <v>2</v>
      </c>
      <c r="F4" s="273"/>
      <c r="G4" s="273">
        <v>3</v>
      </c>
      <c r="H4" s="273"/>
      <c r="I4" s="273">
        <v>4</v>
      </c>
      <c r="J4" s="273"/>
      <c r="K4" s="273">
        <v>5</v>
      </c>
      <c r="L4" s="273"/>
      <c r="M4" s="273">
        <v>6</v>
      </c>
      <c r="N4" s="273"/>
      <c r="O4" s="273">
        <v>7</v>
      </c>
      <c r="P4" s="273"/>
      <c r="Q4" s="273">
        <v>8</v>
      </c>
      <c r="R4" s="273"/>
    </row>
    <row r="5" spans="1:18" ht="57" customHeight="1" x14ac:dyDescent="0.25">
      <c r="A5" s="276" t="s">
        <v>131</v>
      </c>
      <c r="B5" s="276"/>
      <c r="C5" s="275"/>
      <c r="D5" s="275"/>
      <c r="E5" s="271"/>
      <c r="F5" s="271"/>
      <c r="G5" s="271"/>
      <c r="H5" s="271"/>
      <c r="I5" s="271"/>
      <c r="J5" s="271"/>
      <c r="K5" s="277"/>
      <c r="L5" s="275"/>
      <c r="M5" s="275"/>
      <c r="N5" s="275"/>
      <c r="O5" s="271"/>
      <c r="P5" s="271"/>
      <c r="Q5" s="271"/>
      <c r="R5" s="271"/>
    </row>
    <row r="6" spans="1:18" ht="141" customHeight="1" x14ac:dyDescent="0.25">
      <c r="A6" s="276" t="s">
        <v>138</v>
      </c>
      <c r="B6" s="276"/>
      <c r="C6" s="268" t="s">
        <v>181</v>
      </c>
      <c r="D6" s="268"/>
      <c r="E6" s="268" t="s">
        <v>199</v>
      </c>
      <c r="F6" s="268"/>
      <c r="G6" s="268" t="s">
        <v>208</v>
      </c>
      <c r="H6" s="268"/>
      <c r="I6" s="268" t="s">
        <v>223</v>
      </c>
      <c r="J6" s="268"/>
      <c r="K6" s="268" t="s">
        <v>133</v>
      </c>
      <c r="L6" s="268"/>
      <c r="M6" s="268" t="s">
        <v>240</v>
      </c>
      <c r="N6" s="268"/>
      <c r="O6" s="268" t="s">
        <v>132</v>
      </c>
      <c r="P6" s="268"/>
      <c r="Q6" s="281" t="s">
        <v>256</v>
      </c>
      <c r="R6" s="282"/>
    </row>
    <row r="7" spans="1:18" ht="21" customHeight="1" x14ac:dyDescent="0.25">
      <c r="A7" s="278" t="s">
        <v>126</v>
      </c>
      <c r="B7" s="278"/>
      <c r="C7" s="268" t="s">
        <v>35</v>
      </c>
      <c r="D7" s="268"/>
      <c r="E7" s="268" t="s">
        <v>35</v>
      </c>
      <c r="F7" s="268"/>
      <c r="G7" s="268" t="str">
        <f>E7</f>
        <v>Adjunta</v>
      </c>
      <c r="H7" s="268"/>
      <c r="I7" s="268" t="s">
        <v>35</v>
      </c>
      <c r="J7" s="268"/>
      <c r="K7" s="268" t="s">
        <v>132</v>
      </c>
      <c r="L7" s="268"/>
      <c r="M7" s="268" t="s">
        <v>35</v>
      </c>
      <c r="N7" s="268"/>
      <c r="O7" s="268" t="s">
        <v>132</v>
      </c>
      <c r="P7" s="268"/>
      <c r="Q7" s="283"/>
      <c r="R7" s="284"/>
    </row>
    <row r="8" spans="1:18" ht="51" customHeight="1" x14ac:dyDescent="0.25">
      <c r="A8" s="278" t="s">
        <v>127</v>
      </c>
      <c r="B8" s="278"/>
      <c r="C8" s="268" t="s">
        <v>140</v>
      </c>
      <c r="D8" s="268"/>
      <c r="E8" s="268" t="s">
        <v>200</v>
      </c>
      <c r="F8" s="268"/>
      <c r="G8" s="268" t="s">
        <v>209</v>
      </c>
      <c r="H8" s="268"/>
      <c r="I8" s="268" t="s">
        <v>224</v>
      </c>
      <c r="J8" s="268"/>
      <c r="K8" s="268" t="s">
        <v>132</v>
      </c>
      <c r="L8" s="268"/>
      <c r="M8" s="268" t="s">
        <v>154</v>
      </c>
      <c r="N8" s="268"/>
      <c r="O8" s="268" t="s">
        <v>132</v>
      </c>
      <c r="P8" s="268"/>
      <c r="Q8" s="283"/>
      <c r="R8" s="284"/>
    </row>
    <row r="9" spans="1:18" ht="35.25" customHeight="1" x14ac:dyDescent="0.25">
      <c r="A9" s="278" t="s">
        <v>128</v>
      </c>
      <c r="B9" s="278"/>
      <c r="C9" s="268" t="s">
        <v>182</v>
      </c>
      <c r="D9" s="268"/>
      <c r="E9" s="268" t="s">
        <v>201</v>
      </c>
      <c r="F9" s="268"/>
      <c r="G9" s="268" t="s">
        <v>210</v>
      </c>
      <c r="H9" s="268"/>
      <c r="I9" s="268" t="s">
        <v>225</v>
      </c>
      <c r="J9" s="268"/>
      <c r="K9" s="268" t="s">
        <v>132</v>
      </c>
      <c r="L9" s="268"/>
      <c r="M9" s="268" t="s">
        <v>241</v>
      </c>
      <c r="N9" s="268"/>
      <c r="O9" s="268" t="s">
        <v>132</v>
      </c>
      <c r="P9" s="268"/>
      <c r="Q9" s="283"/>
      <c r="R9" s="284"/>
    </row>
    <row r="10" spans="1:18" ht="51.75" customHeight="1" x14ac:dyDescent="0.25">
      <c r="A10" s="278" t="s">
        <v>129</v>
      </c>
      <c r="B10" s="278"/>
      <c r="C10" s="268" t="s">
        <v>183</v>
      </c>
      <c r="D10" s="268"/>
      <c r="E10" s="268" t="s">
        <v>132</v>
      </c>
      <c r="F10" s="268"/>
      <c r="G10" s="268" t="s">
        <v>211</v>
      </c>
      <c r="H10" s="268"/>
      <c r="I10" s="268" t="s">
        <v>226</v>
      </c>
      <c r="J10" s="268"/>
      <c r="K10" s="268" t="s">
        <v>132</v>
      </c>
      <c r="L10" s="268"/>
      <c r="M10" s="268" t="s">
        <v>242</v>
      </c>
      <c r="N10" s="268"/>
      <c r="O10" s="268" t="s">
        <v>132</v>
      </c>
      <c r="P10" s="268"/>
      <c r="Q10" s="283"/>
      <c r="R10" s="284"/>
    </row>
    <row r="11" spans="1:18" ht="25.5" customHeight="1" x14ac:dyDescent="0.25">
      <c r="A11" s="278" t="s">
        <v>130</v>
      </c>
      <c r="B11" s="278"/>
      <c r="C11" s="268" t="s">
        <v>35</v>
      </c>
      <c r="D11" s="268"/>
      <c r="E11" s="268" t="s">
        <v>35</v>
      </c>
      <c r="F11" s="268"/>
      <c r="G11" s="268" t="str">
        <f>E11</f>
        <v>Adjunta</v>
      </c>
      <c r="H11" s="268"/>
      <c r="I11" s="268" t="s">
        <v>35</v>
      </c>
      <c r="J11" s="268"/>
      <c r="K11" s="268" t="s">
        <v>132</v>
      </c>
      <c r="L11" s="268"/>
      <c r="M11" s="268" t="s">
        <v>35</v>
      </c>
      <c r="N11" s="268"/>
      <c r="O11" s="268" t="s">
        <v>132</v>
      </c>
      <c r="P11" s="268"/>
      <c r="Q11" s="283"/>
      <c r="R11" s="284"/>
    </row>
    <row r="12" spans="1:18" ht="20.25" customHeight="1" x14ac:dyDescent="0.25">
      <c r="A12" s="279"/>
      <c r="B12" s="279"/>
      <c r="C12" s="268" t="s">
        <v>94</v>
      </c>
      <c r="D12" s="268"/>
      <c r="E12" s="268" t="s">
        <v>114</v>
      </c>
      <c r="F12" s="268"/>
      <c r="G12" s="268" t="s">
        <v>94</v>
      </c>
      <c r="H12" s="268"/>
      <c r="I12" s="268" t="s">
        <v>94</v>
      </c>
      <c r="J12" s="268"/>
      <c r="K12" s="268" t="s">
        <v>114</v>
      </c>
      <c r="L12" s="268"/>
      <c r="M12" s="268" t="s">
        <v>94</v>
      </c>
      <c r="N12" s="268"/>
      <c r="O12" s="268" t="s">
        <v>114</v>
      </c>
      <c r="P12" s="268"/>
      <c r="Q12" s="285"/>
      <c r="R12" s="286"/>
    </row>
    <row r="13" spans="1:18" ht="92.25" customHeight="1" x14ac:dyDescent="0.25">
      <c r="A13" s="276" t="s">
        <v>125</v>
      </c>
      <c r="B13" s="276"/>
      <c r="C13" s="268" t="s">
        <v>184</v>
      </c>
      <c r="D13" s="268"/>
      <c r="E13" s="268" t="s">
        <v>202</v>
      </c>
      <c r="F13" s="268"/>
      <c r="G13" s="268" t="s">
        <v>212</v>
      </c>
      <c r="H13" s="268"/>
      <c r="I13" s="268" t="s">
        <v>227</v>
      </c>
      <c r="J13" s="268"/>
      <c r="K13" s="268" t="s">
        <v>133</v>
      </c>
      <c r="L13" s="268"/>
      <c r="M13" s="268" t="s">
        <v>243</v>
      </c>
      <c r="N13" s="268"/>
      <c r="O13" s="269" t="s">
        <v>133</v>
      </c>
      <c r="P13" s="270"/>
      <c r="Q13" s="281" t="s">
        <v>256</v>
      </c>
      <c r="R13" s="282"/>
    </row>
    <row r="14" spans="1:18" ht="24" customHeight="1" x14ac:dyDescent="0.25">
      <c r="A14" s="278" t="s">
        <v>126</v>
      </c>
      <c r="B14" s="278"/>
      <c r="C14" s="268" t="s">
        <v>35</v>
      </c>
      <c r="D14" s="268"/>
      <c r="E14" s="268" t="s">
        <v>35</v>
      </c>
      <c r="F14" s="268"/>
      <c r="G14" s="268" t="str">
        <f>E14</f>
        <v>Adjunta</v>
      </c>
      <c r="H14" s="268"/>
      <c r="I14" s="268" t="s">
        <v>35</v>
      </c>
      <c r="J14" s="268"/>
      <c r="K14" s="268" t="s">
        <v>132</v>
      </c>
      <c r="L14" s="268"/>
      <c r="M14" s="268" t="s">
        <v>35</v>
      </c>
      <c r="N14" s="268"/>
      <c r="O14" s="268" t="s">
        <v>132</v>
      </c>
      <c r="P14" s="268"/>
      <c r="Q14" s="283"/>
      <c r="R14" s="284"/>
    </row>
    <row r="15" spans="1:18" ht="67.5" customHeight="1" x14ac:dyDescent="0.25">
      <c r="A15" s="278" t="s">
        <v>127</v>
      </c>
      <c r="B15" s="278"/>
      <c r="C15" s="268" t="s">
        <v>185</v>
      </c>
      <c r="D15" s="268"/>
      <c r="E15" s="268" t="s">
        <v>203</v>
      </c>
      <c r="F15" s="268"/>
      <c r="G15" s="268" t="s">
        <v>154</v>
      </c>
      <c r="H15" s="268"/>
      <c r="I15" s="268" t="s">
        <v>228</v>
      </c>
      <c r="J15" s="268"/>
      <c r="K15" s="268" t="s">
        <v>132</v>
      </c>
      <c r="L15" s="268"/>
      <c r="M15" s="268" t="s">
        <v>244</v>
      </c>
      <c r="N15" s="268"/>
      <c r="O15" s="268" t="s">
        <v>132</v>
      </c>
      <c r="P15" s="268"/>
      <c r="Q15" s="283"/>
      <c r="R15" s="284"/>
    </row>
    <row r="16" spans="1:18" ht="33.75" customHeight="1" x14ac:dyDescent="0.25">
      <c r="A16" s="278" t="s">
        <v>128</v>
      </c>
      <c r="B16" s="278"/>
      <c r="C16" s="268" t="s">
        <v>186</v>
      </c>
      <c r="D16" s="268"/>
      <c r="E16" s="268" t="s">
        <v>204</v>
      </c>
      <c r="F16" s="268"/>
      <c r="G16" s="268" t="s">
        <v>213</v>
      </c>
      <c r="H16" s="268"/>
      <c r="I16" s="268" t="s">
        <v>229</v>
      </c>
      <c r="J16" s="268"/>
      <c r="K16" s="268" t="s">
        <v>132</v>
      </c>
      <c r="L16" s="268"/>
      <c r="M16" s="268" t="s">
        <v>245</v>
      </c>
      <c r="N16" s="268"/>
      <c r="O16" s="268" t="s">
        <v>132</v>
      </c>
      <c r="P16" s="268"/>
      <c r="Q16" s="285"/>
      <c r="R16" s="286"/>
    </row>
    <row r="17" spans="1:18" ht="104.25" customHeight="1" x14ac:dyDescent="0.25">
      <c r="A17" s="150"/>
      <c r="B17" s="150"/>
      <c r="C17" s="227" t="str">
        <f>C3</f>
        <v>COLOMBIANA DE LA INGENIERIA Y DE LA ARQUITECTURA S.A.S – COLINAR SAS</v>
      </c>
      <c r="D17" s="227"/>
      <c r="E17" s="227" t="str">
        <f>E3</f>
        <v>CONSTRUYENDO AMBIENTE SAS</v>
      </c>
      <c r="F17" s="227"/>
      <c r="G17" s="227" t="str">
        <f>G3</f>
        <v>GRUPO S Y C SAS</v>
      </c>
      <c r="H17" s="227"/>
      <c r="I17" s="227" t="str">
        <f>I3</f>
        <v>INGENIERIA RH SAS</v>
      </c>
      <c r="J17" s="227"/>
      <c r="K17" s="227" t="str">
        <f>K3</f>
        <v>ORGANIZACIÓN HAR SAS</v>
      </c>
      <c r="L17" s="227"/>
      <c r="M17" s="227" t="str">
        <f>M3</f>
        <v>USCOM SAS</v>
      </c>
      <c r="N17" s="227"/>
      <c r="O17" s="227" t="str">
        <f>O3</f>
        <v>ALCALA &amp; ESPINOSA DISEÑO Y CONSTRUCCION LTDA</v>
      </c>
      <c r="P17" s="227"/>
      <c r="Q17" s="227" t="str">
        <f>Q3</f>
        <v>CONSTRUCCIONES EULER MEDINA GARCIA Y CIA LTDA</v>
      </c>
      <c r="R17" s="227"/>
    </row>
    <row r="18" spans="1:18" ht="21.75" customHeight="1" x14ac:dyDescent="0.25">
      <c r="A18" s="280" t="s">
        <v>14</v>
      </c>
      <c r="B18" s="280"/>
      <c r="C18" s="231">
        <v>1</v>
      </c>
      <c r="D18" s="231"/>
      <c r="E18" s="231">
        <v>2</v>
      </c>
      <c r="F18" s="231"/>
      <c r="G18" s="231">
        <v>3</v>
      </c>
      <c r="H18" s="231"/>
      <c r="I18" s="231">
        <v>4</v>
      </c>
      <c r="J18" s="231"/>
      <c r="K18" s="231">
        <v>5</v>
      </c>
      <c r="L18" s="231"/>
      <c r="M18" s="231">
        <v>6</v>
      </c>
      <c r="N18" s="231"/>
      <c r="O18" s="231">
        <v>7</v>
      </c>
      <c r="P18" s="231"/>
      <c r="Q18" s="231">
        <v>8</v>
      </c>
      <c r="R18" s="231"/>
    </row>
    <row r="19" spans="1:18" ht="82.5" customHeight="1" x14ac:dyDescent="0.25">
      <c r="A19" s="278" t="s">
        <v>129</v>
      </c>
      <c r="B19" s="278"/>
      <c r="C19" s="268" t="s">
        <v>187</v>
      </c>
      <c r="D19" s="268"/>
      <c r="E19" s="268" t="s">
        <v>132</v>
      </c>
      <c r="F19" s="268"/>
      <c r="G19" s="268" t="s">
        <v>214</v>
      </c>
      <c r="H19" s="268"/>
      <c r="I19" s="268" t="s">
        <v>230</v>
      </c>
      <c r="J19" s="268"/>
      <c r="K19" s="268" t="s">
        <v>132</v>
      </c>
      <c r="L19" s="268"/>
      <c r="M19" s="268" t="s">
        <v>246</v>
      </c>
      <c r="N19" s="268"/>
      <c r="O19" s="268" t="s">
        <v>132</v>
      </c>
      <c r="P19" s="268"/>
      <c r="Q19" s="281" t="s">
        <v>256</v>
      </c>
      <c r="R19" s="282"/>
    </row>
    <row r="20" spans="1:18" ht="43.5" customHeight="1" x14ac:dyDescent="0.25">
      <c r="A20" s="278" t="s">
        <v>130</v>
      </c>
      <c r="B20" s="278"/>
      <c r="C20" s="268" t="s">
        <v>35</v>
      </c>
      <c r="D20" s="268"/>
      <c r="E20" s="268" t="s">
        <v>35</v>
      </c>
      <c r="F20" s="268"/>
      <c r="G20" s="268" t="str">
        <f>+E20</f>
        <v>Adjunta</v>
      </c>
      <c r="H20" s="268"/>
      <c r="I20" s="268" t="s">
        <v>35</v>
      </c>
      <c r="J20" s="268"/>
      <c r="K20" s="268" t="s">
        <v>132</v>
      </c>
      <c r="L20" s="268"/>
      <c r="M20" s="268" t="s">
        <v>35</v>
      </c>
      <c r="N20" s="268"/>
      <c r="O20" s="268" t="s">
        <v>132</v>
      </c>
      <c r="P20" s="268"/>
      <c r="Q20" s="283"/>
      <c r="R20" s="284"/>
    </row>
    <row r="21" spans="1:18" ht="24" customHeight="1" x14ac:dyDescent="0.25">
      <c r="A21" s="279"/>
      <c r="B21" s="279"/>
      <c r="C21" s="268" t="s">
        <v>94</v>
      </c>
      <c r="D21" s="268"/>
      <c r="E21" s="268" t="s">
        <v>114</v>
      </c>
      <c r="F21" s="268"/>
      <c r="G21" s="268" t="s">
        <v>215</v>
      </c>
      <c r="H21" s="268"/>
      <c r="I21" s="268" t="s">
        <v>94</v>
      </c>
      <c r="J21" s="268"/>
      <c r="K21" s="268" t="s">
        <v>114</v>
      </c>
      <c r="L21" s="268"/>
      <c r="M21" s="268" t="s">
        <v>94</v>
      </c>
      <c r="N21" s="268"/>
      <c r="O21" s="268" t="s">
        <v>114</v>
      </c>
      <c r="P21" s="268"/>
      <c r="Q21" s="285"/>
      <c r="R21" s="286"/>
    </row>
    <row r="22" spans="1:18" ht="102" customHeight="1" x14ac:dyDescent="0.25">
      <c r="A22" s="276" t="s">
        <v>139</v>
      </c>
      <c r="B22" s="276"/>
      <c r="C22" s="271" t="s">
        <v>188</v>
      </c>
      <c r="D22" s="271"/>
      <c r="E22" s="271" t="s">
        <v>205</v>
      </c>
      <c r="F22" s="271"/>
      <c r="G22" s="271" t="s">
        <v>216</v>
      </c>
      <c r="H22" s="271"/>
      <c r="I22" s="271" t="s">
        <v>231</v>
      </c>
      <c r="J22" s="271"/>
      <c r="K22" s="268" t="s">
        <v>133</v>
      </c>
      <c r="L22" s="268"/>
      <c r="M22" s="271" t="s">
        <v>247</v>
      </c>
      <c r="N22" s="271"/>
      <c r="O22" s="268" t="s">
        <v>133</v>
      </c>
      <c r="P22" s="268"/>
      <c r="Q22" s="281" t="s">
        <v>256</v>
      </c>
      <c r="R22" s="282"/>
    </row>
    <row r="23" spans="1:18" ht="18" customHeight="1" x14ac:dyDescent="0.25">
      <c r="A23" s="278" t="s">
        <v>126</v>
      </c>
      <c r="B23" s="278"/>
      <c r="C23" s="268" t="s">
        <v>35</v>
      </c>
      <c r="D23" s="268"/>
      <c r="E23" s="268" t="s">
        <v>35</v>
      </c>
      <c r="F23" s="268"/>
      <c r="G23" s="268" t="str">
        <f>+E23</f>
        <v>Adjunta</v>
      </c>
      <c r="H23" s="268"/>
      <c r="I23" s="268" t="s">
        <v>35</v>
      </c>
      <c r="J23" s="268"/>
      <c r="K23" s="268" t="s">
        <v>132</v>
      </c>
      <c r="L23" s="268"/>
      <c r="M23" s="268" t="s">
        <v>35</v>
      </c>
      <c r="N23" s="268"/>
      <c r="O23" s="268" t="s">
        <v>132</v>
      </c>
      <c r="P23" s="268"/>
      <c r="Q23" s="283"/>
      <c r="R23" s="284"/>
    </row>
    <row r="24" spans="1:18" ht="93.75" customHeight="1" x14ac:dyDescent="0.25">
      <c r="A24" s="278" t="s">
        <v>127</v>
      </c>
      <c r="B24" s="278"/>
      <c r="C24" s="272" t="s">
        <v>189</v>
      </c>
      <c r="D24" s="272"/>
      <c r="E24" s="271" t="s">
        <v>206</v>
      </c>
      <c r="F24" s="271"/>
      <c r="G24" s="271" t="s">
        <v>217</v>
      </c>
      <c r="H24" s="271"/>
      <c r="I24" s="272" t="s">
        <v>232</v>
      </c>
      <c r="J24" s="272"/>
      <c r="K24" s="268" t="s">
        <v>132</v>
      </c>
      <c r="L24" s="268"/>
      <c r="M24" s="272" t="s">
        <v>249</v>
      </c>
      <c r="N24" s="272"/>
      <c r="O24" s="268" t="s">
        <v>132</v>
      </c>
      <c r="P24" s="268"/>
      <c r="Q24" s="283"/>
      <c r="R24" s="284"/>
    </row>
    <row r="25" spans="1:18" ht="54.75" customHeight="1" x14ac:dyDescent="0.25">
      <c r="A25" s="278" t="s">
        <v>128</v>
      </c>
      <c r="B25" s="278"/>
      <c r="C25" s="271" t="s">
        <v>190</v>
      </c>
      <c r="D25" s="271"/>
      <c r="E25" s="271" t="s">
        <v>207</v>
      </c>
      <c r="F25" s="271"/>
      <c r="G25" s="268" t="str">
        <f>+G26</f>
        <v>Licencia -Resolución 093570 de 02/09/2013</v>
      </c>
      <c r="H25" s="268"/>
      <c r="I25" s="271" t="s">
        <v>233</v>
      </c>
      <c r="J25" s="271"/>
      <c r="K25" s="268" t="s">
        <v>132</v>
      </c>
      <c r="L25" s="268"/>
      <c r="M25" s="271" t="s">
        <v>248</v>
      </c>
      <c r="N25" s="271"/>
      <c r="O25" s="268" t="s">
        <v>132</v>
      </c>
      <c r="P25" s="268"/>
      <c r="Q25" s="283"/>
      <c r="R25" s="284"/>
    </row>
    <row r="26" spans="1:18" ht="60" customHeight="1" x14ac:dyDescent="0.25">
      <c r="A26" s="278" t="s">
        <v>129</v>
      </c>
      <c r="B26" s="278"/>
      <c r="C26" s="271" t="s">
        <v>190</v>
      </c>
      <c r="D26" s="271"/>
      <c r="E26" s="271" t="s">
        <v>207</v>
      </c>
      <c r="F26" s="271"/>
      <c r="G26" s="271" t="s">
        <v>218</v>
      </c>
      <c r="H26" s="271"/>
      <c r="I26" s="271" t="str">
        <f>+I25</f>
        <v>Licencia -Resolución 6156 (09 de Junio de 2011)</v>
      </c>
      <c r="J26" s="271"/>
      <c r="K26" s="268" t="s">
        <v>132</v>
      </c>
      <c r="L26" s="268"/>
      <c r="M26" s="271" t="str">
        <f>+M25</f>
        <v>Licencia -Resolución 15403  (26 de Diciembre de 2016)</v>
      </c>
      <c r="N26" s="271"/>
      <c r="O26" s="268" t="s">
        <v>132</v>
      </c>
      <c r="P26" s="268"/>
      <c r="Q26" s="283"/>
      <c r="R26" s="284"/>
    </row>
    <row r="27" spans="1:18" ht="33" customHeight="1" x14ac:dyDescent="0.25">
      <c r="A27" s="278" t="s">
        <v>130</v>
      </c>
      <c r="B27" s="278"/>
      <c r="C27" s="268" t="s">
        <v>35</v>
      </c>
      <c r="D27" s="268"/>
      <c r="E27" s="268" t="s">
        <v>35</v>
      </c>
      <c r="F27" s="268"/>
      <c r="G27" s="268" t="str">
        <f>+E27</f>
        <v>Adjunta</v>
      </c>
      <c r="H27" s="268"/>
      <c r="I27" s="268" t="s">
        <v>35</v>
      </c>
      <c r="J27" s="268"/>
      <c r="K27" s="268" t="s">
        <v>132</v>
      </c>
      <c r="L27" s="268"/>
      <c r="M27" s="268" t="s">
        <v>35</v>
      </c>
      <c r="N27" s="268"/>
      <c r="O27" s="268" t="s">
        <v>132</v>
      </c>
      <c r="P27" s="268"/>
      <c r="Q27" s="283"/>
      <c r="R27" s="284"/>
    </row>
    <row r="28" spans="1:18" ht="23.25" customHeight="1" x14ac:dyDescent="0.25">
      <c r="A28" s="278"/>
      <c r="B28" s="278"/>
      <c r="C28" s="268" t="s">
        <v>94</v>
      </c>
      <c r="D28" s="268"/>
      <c r="E28" s="268" t="s">
        <v>94</v>
      </c>
      <c r="F28" s="268"/>
      <c r="G28" s="268" t="s">
        <v>94</v>
      </c>
      <c r="H28" s="268"/>
      <c r="I28" s="268" t="s">
        <v>94</v>
      </c>
      <c r="J28" s="268"/>
      <c r="K28" s="268" t="s">
        <v>114</v>
      </c>
      <c r="L28" s="268"/>
      <c r="M28" s="268" t="s">
        <v>94</v>
      </c>
      <c r="N28" s="268"/>
      <c r="O28" s="268" t="s">
        <v>114</v>
      </c>
      <c r="P28" s="268"/>
      <c r="Q28" s="285"/>
      <c r="R28" s="286"/>
    </row>
    <row r="29" spans="1:18" x14ac:dyDescent="0.25">
      <c r="M29" s="177"/>
      <c r="N29" s="177"/>
    </row>
  </sheetData>
  <mergeCells count="215">
    <mergeCell ref="Q3:R3"/>
    <mergeCell ref="Q4:R4"/>
    <mergeCell ref="Q5:R5"/>
    <mergeCell ref="Q6:R12"/>
    <mergeCell ref="Q13:R16"/>
    <mergeCell ref="Q17:R17"/>
    <mergeCell ref="Q18:R18"/>
    <mergeCell ref="Q19:R21"/>
    <mergeCell ref="Q22:R28"/>
    <mergeCell ref="E27:F27"/>
    <mergeCell ref="E28:F28"/>
    <mergeCell ref="E20:F20"/>
    <mergeCell ref="E21:F21"/>
    <mergeCell ref="E23:F23"/>
    <mergeCell ref="E24:F24"/>
    <mergeCell ref="E25:F25"/>
    <mergeCell ref="E26:F26"/>
    <mergeCell ref="C17:D17"/>
    <mergeCell ref="E17:F17"/>
    <mergeCell ref="C18:D18"/>
    <mergeCell ref="E18:F18"/>
    <mergeCell ref="C28:D28"/>
    <mergeCell ref="A28:B28"/>
    <mergeCell ref="C23:D23"/>
    <mergeCell ref="C16:D16"/>
    <mergeCell ref="A14:B14"/>
    <mergeCell ref="A15:B15"/>
    <mergeCell ref="A16:B16"/>
    <mergeCell ref="A19:B19"/>
    <mergeCell ref="A20:B20"/>
    <mergeCell ref="A23:B23"/>
    <mergeCell ref="C21:D21"/>
    <mergeCell ref="A18:B18"/>
    <mergeCell ref="A27:B27"/>
    <mergeCell ref="C27:D27"/>
    <mergeCell ref="A21:B21"/>
    <mergeCell ref="C24:D24"/>
    <mergeCell ref="C25:D25"/>
    <mergeCell ref="C26:D26"/>
    <mergeCell ref="A24:B24"/>
    <mergeCell ref="A25:B25"/>
    <mergeCell ref="A26:B26"/>
    <mergeCell ref="A12:B12"/>
    <mergeCell ref="C12:D12"/>
    <mergeCell ref="C19:D19"/>
    <mergeCell ref="C20:D20"/>
    <mergeCell ref="E19:F19"/>
    <mergeCell ref="E12:F12"/>
    <mergeCell ref="E13:F13"/>
    <mergeCell ref="E14:F14"/>
    <mergeCell ref="E15:F15"/>
    <mergeCell ref="E16:F16"/>
    <mergeCell ref="E6:F6"/>
    <mergeCell ref="C13:D13"/>
    <mergeCell ref="C14:D14"/>
    <mergeCell ref="C15:D15"/>
    <mergeCell ref="I6:J6"/>
    <mergeCell ref="K6:L6"/>
    <mergeCell ref="M6:N6"/>
    <mergeCell ref="O6:P6"/>
    <mergeCell ref="C11:D11"/>
    <mergeCell ref="E8:F8"/>
    <mergeCell ref="E9:F9"/>
    <mergeCell ref="E10:F10"/>
    <mergeCell ref="E11:F11"/>
    <mergeCell ref="M7:N7"/>
    <mergeCell ref="O7:P7"/>
    <mergeCell ref="C8:D8"/>
    <mergeCell ref="C9:D9"/>
    <mergeCell ref="C10:D10"/>
    <mergeCell ref="C7:D7"/>
    <mergeCell ref="E7:F7"/>
    <mergeCell ref="I7:J7"/>
    <mergeCell ref="K7:L7"/>
    <mergeCell ref="M9:N9"/>
    <mergeCell ref="M10:N10"/>
    <mergeCell ref="M5:N5"/>
    <mergeCell ref="O5:P5"/>
    <mergeCell ref="A22:B22"/>
    <mergeCell ref="C22:D22"/>
    <mergeCell ref="E22:F22"/>
    <mergeCell ref="I22:J22"/>
    <mergeCell ref="K22:L22"/>
    <mergeCell ref="M22:N22"/>
    <mergeCell ref="O22:P22"/>
    <mergeCell ref="A5:B5"/>
    <mergeCell ref="C5:D5"/>
    <mergeCell ref="E5:F5"/>
    <mergeCell ref="G5:H5"/>
    <mergeCell ref="I5:J5"/>
    <mergeCell ref="K5:L5"/>
    <mergeCell ref="A6:B6"/>
    <mergeCell ref="A13:B13"/>
    <mergeCell ref="A7:B7"/>
    <mergeCell ref="A8:B8"/>
    <mergeCell ref="A9:B9"/>
    <mergeCell ref="A10:B10"/>
    <mergeCell ref="A11:B11"/>
    <mergeCell ref="C6:D6"/>
    <mergeCell ref="M8:N8"/>
    <mergeCell ref="O3:P3"/>
    <mergeCell ref="A4:B4"/>
    <mergeCell ref="C4:D4"/>
    <mergeCell ref="E4:F4"/>
    <mergeCell ref="G4:H4"/>
    <mergeCell ref="I4:J4"/>
    <mergeCell ref="K4:L4"/>
    <mergeCell ref="M4:N4"/>
    <mergeCell ref="O4:P4"/>
    <mergeCell ref="C3:D3"/>
    <mergeCell ref="E3:F3"/>
    <mergeCell ref="G3:H3"/>
    <mergeCell ref="I3:J3"/>
    <mergeCell ref="K3:L3"/>
    <mergeCell ref="M3:N3"/>
    <mergeCell ref="G28:H28"/>
    <mergeCell ref="G12:H12"/>
    <mergeCell ref="G21:H21"/>
    <mergeCell ref="G17:H17"/>
    <mergeCell ref="G18:H18"/>
    <mergeCell ref="G6:H6"/>
    <mergeCell ref="G7:H7"/>
    <mergeCell ref="G8:H8"/>
    <mergeCell ref="G9:H9"/>
    <mergeCell ref="G10:H10"/>
    <mergeCell ref="G11:H11"/>
    <mergeCell ref="G13:H13"/>
    <mergeCell ref="G14:H14"/>
    <mergeCell ref="G15:H15"/>
    <mergeCell ref="G16:H16"/>
    <mergeCell ref="G19:H19"/>
    <mergeCell ref="G20:H20"/>
    <mergeCell ref="G22:H22"/>
    <mergeCell ref="G23:H23"/>
    <mergeCell ref="G24:H24"/>
    <mergeCell ref="G26:H26"/>
    <mergeCell ref="G27:H27"/>
    <mergeCell ref="I28:J28"/>
    <mergeCell ref="I16:J16"/>
    <mergeCell ref="I19:J19"/>
    <mergeCell ref="I20:J20"/>
    <mergeCell ref="I21:J21"/>
    <mergeCell ref="I23:J23"/>
    <mergeCell ref="K28:L28"/>
    <mergeCell ref="K16:L16"/>
    <mergeCell ref="K19:L19"/>
    <mergeCell ref="K20:L20"/>
    <mergeCell ref="K21:L21"/>
    <mergeCell ref="K23:L23"/>
    <mergeCell ref="K24:L24"/>
    <mergeCell ref="K25:L25"/>
    <mergeCell ref="K26:L26"/>
    <mergeCell ref="K27:L27"/>
    <mergeCell ref="I24:J24"/>
    <mergeCell ref="I25:J25"/>
    <mergeCell ref="I26:J26"/>
    <mergeCell ref="I17:J17"/>
    <mergeCell ref="K17:L17"/>
    <mergeCell ref="I18:J18"/>
    <mergeCell ref="K18:L18"/>
    <mergeCell ref="I27:J27"/>
    <mergeCell ref="I8:J8"/>
    <mergeCell ref="I9:J9"/>
    <mergeCell ref="I10:J10"/>
    <mergeCell ref="K8:L8"/>
    <mergeCell ref="K9:L9"/>
    <mergeCell ref="K10:L10"/>
    <mergeCell ref="I11:J11"/>
    <mergeCell ref="I12:J12"/>
    <mergeCell ref="I13:J13"/>
    <mergeCell ref="K11:L11"/>
    <mergeCell ref="K12:L12"/>
    <mergeCell ref="K13:L13"/>
    <mergeCell ref="M11:N11"/>
    <mergeCell ref="M12:N12"/>
    <mergeCell ref="M13:N13"/>
    <mergeCell ref="M14:N14"/>
    <mergeCell ref="M15:N15"/>
    <mergeCell ref="G25:H25"/>
    <mergeCell ref="M26:N26"/>
    <mergeCell ref="M27:N27"/>
    <mergeCell ref="I14:J14"/>
    <mergeCell ref="I15:J15"/>
    <mergeCell ref="M20:N20"/>
    <mergeCell ref="M21:N21"/>
    <mergeCell ref="M23:N23"/>
    <mergeCell ref="M24:N24"/>
    <mergeCell ref="M25:N25"/>
    <mergeCell ref="K14:L14"/>
    <mergeCell ref="K15:L15"/>
    <mergeCell ref="M16:N16"/>
    <mergeCell ref="M28:N28"/>
    <mergeCell ref="O27:P27"/>
    <mergeCell ref="O28:P28"/>
    <mergeCell ref="O8:P8"/>
    <mergeCell ref="O9:P9"/>
    <mergeCell ref="O10:P10"/>
    <mergeCell ref="O11:P11"/>
    <mergeCell ref="O12:P12"/>
    <mergeCell ref="O13:P13"/>
    <mergeCell ref="O14:P14"/>
    <mergeCell ref="O15:P15"/>
    <mergeCell ref="O16:P16"/>
    <mergeCell ref="O19:P19"/>
    <mergeCell ref="O20:P20"/>
    <mergeCell ref="O21:P21"/>
    <mergeCell ref="O23:P23"/>
    <mergeCell ref="O24:P24"/>
    <mergeCell ref="O25:P25"/>
    <mergeCell ref="O26:P26"/>
    <mergeCell ref="O17:P17"/>
    <mergeCell ref="O18:P18"/>
    <mergeCell ref="M19:N19"/>
    <mergeCell ref="M17:N17"/>
    <mergeCell ref="M18:N18"/>
  </mergeCells>
  <pageMargins left="0.17" right="0.17" top="0.42" bottom="0.45" header="0.31496062992125984" footer="0.31496062992125984"/>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zoomScale="120" zoomScaleNormal="120" zoomScaleSheetLayoutView="100" zoomScalePageLayoutView="130" workbookViewId="0">
      <selection activeCell="A2" sqref="A2:K20"/>
    </sheetView>
  </sheetViews>
  <sheetFormatPr baseColWidth="10" defaultRowHeight="15" x14ac:dyDescent="0.25"/>
  <cols>
    <col min="1" max="1" width="16.28515625" customWidth="1"/>
    <col min="2" max="2" width="7.85546875" customWidth="1"/>
    <col min="3" max="3" width="9.28515625" customWidth="1"/>
    <col min="4" max="4" width="18.7109375" customWidth="1"/>
    <col min="5" max="5" width="21.28515625" customWidth="1"/>
    <col min="6" max="6" width="17.28515625" customWidth="1"/>
    <col min="7" max="7" width="15.28515625" customWidth="1"/>
    <col min="8" max="8" width="14.5703125" customWidth="1"/>
    <col min="9" max="10" width="15.28515625" customWidth="1"/>
  </cols>
  <sheetData>
    <row r="1" spans="1:11" ht="6" customHeight="1" x14ac:dyDescent="0.25"/>
    <row r="2" spans="1:11" ht="117" customHeight="1" x14ac:dyDescent="0.25">
      <c r="A2" s="297" t="s">
        <v>30</v>
      </c>
      <c r="B2" s="297"/>
      <c r="C2" s="298"/>
      <c r="D2" s="175" t="str">
        <f>'PAG 2'!C6</f>
        <v>COLOMBIANA DE LA INGENIERIA Y DE LA ARQUITECTURA S.A.S – COLINAR SAS</v>
      </c>
      <c r="E2" s="175" t="str">
        <f>'PAG 2'!G6</f>
        <v>CONSTRUYENDO AMBIENTE SAS</v>
      </c>
      <c r="F2" s="175" t="str">
        <f>'PAG 2'!K6</f>
        <v>GRUPO S Y C SAS</v>
      </c>
      <c r="G2" s="175" t="str">
        <f>'PAG 2'!O6</f>
        <v>INGENIERIA RH SAS</v>
      </c>
      <c r="H2" s="175" t="str">
        <f>'PAG 2'!S6</f>
        <v>ORGANIZACIÓN HAR SAS</v>
      </c>
      <c r="I2" s="175" t="str">
        <f>'PAG 2'!W6</f>
        <v>USCOM SAS</v>
      </c>
      <c r="J2" s="175" t="str">
        <f>'PAG 2'!AA6</f>
        <v>ALCALA &amp; ESPINOSA DISEÑO Y CONSTRUCCION LTDA</v>
      </c>
      <c r="K2" s="175" t="str">
        <f>'PAG 2'!AE6</f>
        <v>CONSTRUCCIONES EULER MEDINA GARCIA Y CIA LTDA</v>
      </c>
    </row>
    <row r="3" spans="1:11" ht="18" customHeight="1" x14ac:dyDescent="0.25">
      <c r="A3" s="280" t="s">
        <v>14</v>
      </c>
      <c r="B3" s="280"/>
      <c r="C3" s="291"/>
      <c r="D3" s="174">
        <v>1</v>
      </c>
      <c r="E3" s="174">
        <v>2</v>
      </c>
      <c r="F3" s="174">
        <v>3</v>
      </c>
      <c r="G3" s="174">
        <v>4</v>
      </c>
      <c r="H3" s="174">
        <v>5</v>
      </c>
      <c r="I3" s="174">
        <v>6</v>
      </c>
      <c r="J3" s="174">
        <v>7</v>
      </c>
      <c r="K3" s="174">
        <v>8</v>
      </c>
    </row>
    <row r="4" spans="1:11" ht="30" customHeight="1" x14ac:dyDescent="0.25">
      <c r="A4" s="289" t="s">
        <v>21</v>
      </c>
      <c r="B4" s="290"/>
      <c r="C4" s="290"/>
      <c r="D4" s="301" t="s">
        <v>157</v>
      </c>
      <c r="E4" s="294" t="s">
        <v>282</v>
      </c>
      <c r="F4" s="301" t="s">
        <v>155</v>
      </c>
      <c r="G4" s="307" t="s">
        <v>283</v>
      </c>
      <c r="H4" s="301" t="s">
        <v>236</v>
      </c>
      <c r="I4" s="301" t="s">
        <v>250</v>
      </c>
      <c r="J4" s="301" t="s">
        <v>284</v>
      </c>
      <c r="K4" s="294" t="s">
        <v>256</v>
      </c>
    </row>
    <row r="5" spans="1:11" x14ac:dyDescent="0.25">
      <c r="A5" s="155" t="s">
        <v>22</v>
      </c>
      <c r="B5" s="155" t="s">
        <v>23</v>
      </c>
      <c r="C5" s="155" t="s">
        <v>24</v>
      </c>
      <c r="D5" s="302"/>
      <c r="E5" s="295"/>
      <c r="F5" s="305"/>
      <c r="G5" s="308"/>
      <c r="H5" s="302"/>
      <c r="I5" s="305"/>
      <c r="J5" s="302"/>
      <c r="K5" s="295"/>
    </row>
    <row r="6" spans="1:11" x14ac:dyDescent="0.25">
      <c r="A6" s="156">
        <v>1</v>
      </c>
      <c r="B6" s="156">
        <v>4</v>
      </c>
      <c r="C6" s="156">
        <v>4</v>
      </c>
      <c r="D6" s="302"/>
      <c r="E6" s="295"/>
      <c r="F6" s="305"/>
      <c r="G6" s="308"/>
      <c r="H6" s="302"/>
      <c r="I6" s="305"/>
      <c r="J6" s="302"/>
      <c r="K6" s="295"/>
    </row>
    <row r="7" spans="1:11" x14ac:dyDescent="0.25">
      <c r="A7" s="156">
        <v>5</v>
      </c>
      <c r="B7" s="156">
        <v>8</v>
      </c>
      <c r="C7" s="156">
        <v>8</v>
      </c>
      <c r="D7" s="302"/>
      <c r="E7" s="295"/>
      <c r="F7" s="305"/>
      <c r="G7" s="308"/>
      <c r="H7" s="302"/>
      <c r="I7" s="305"/>
      <c r="J7" s="302"/>
      <c r="K7" s="295"/>
    </row>
    <row r="8" spans="1:11" x14ac:dyDescent="0.25">
      <c r="A8" s="156">
        <v>9</v>
      </c>
      <c r="B8" s="156">
        <v>12</v>
      </c>
      <c r="C8" s="156">
        <v>12</v>
      </c>
      <c r="D8" s="302"/>
      <c r="E8" s="295"/>
      <c r="F8" s="305"/>
      <c r="G8" s="308"/>
      <c r="H8" s="302"/>
      <c r="I8" s="305"/>
      <c r="J8" s="302"/>
      <c r="K8" s="295"/>
    </row>
    <row r="9" spans="1:11" x14ac:dyDescent="0.25">
      <c r="A9" s="156">
        <v>13</v>
      </c>
      <c r="B9" s="156">
        <v>16</v>
      </c>
      <c r="C9" s="156">
        <v>16</v>
      </c>
      <c r="D9" s="302"/>
      <c r="E9" s="295"/>
      <c r="F9" s="305"/>
      <c r="G9" s="308"/>
      <c r="H9" s="302"/>
      <c r="I9" s="305"/>
      <c r="J9" s="302"/>
      <c r="K9" s="295"/>
    </row>
    <row r="10" spans="1:11" ht="176.25" customHeight="1" x14ac:dyDescent="0.25">
      <c r="A10" s="156" t="s">
        <v>137</v>
      </c>
      <c r="B10" s="156"/>
      <c r="C10" s="156">
        <v>20</v>
      </c>
      <c r="D10" s="303"/>
      <c r="E10" s="296"/>
      <c r="F10" s="306"/>
      <c r="G10" s="309"/>
      <c r="H10" s="303"/>
      <c r="I10" s="306"/>
      <c r="J10" s="303"/>
      <c r="K10" s="296"/>
    </row>
    <row r="11" spans="1:11" x14ac:dyDescent="0.25">
      <c r="A11" s="299" t="s">
        <v>26</v>
      </c>
      <c r="B11" s="299"/>
      <c r="C11" s="299"/>
      <c r="D11" s="152">
        <v>4</v>
      </c>
      <c r="E11" s="152">
        <v>0</v>
      </c>
      <c r="F11" s="152">
        <v>20</v>
      </c>
      <c r="G11" s="152">
        <v>0</v>
      </c>
      <c r="H11" s="152">
        <v>20</v>
      </c>
      <c r="I11" s="152">
        <v>0</v>
      </c>
      <c r="J11" s="152">
        <v>0</v>
      </c>
      <c r="K11" s="152">
        <v>0</v>
      </c>
    </row>
    <row r="12" spans="1:11" ht="27" customHeight="1" x14ac:dyDescent="0.25">
      <c r="A12" s="153" t="s">
        <v>25</v>
      </c>
      <c r="B12" s="288" t="s">
        <v>36</v>
      </c>
      <c r="C12" s="292"/>
      <c r="D12" s="129"/>
      <c r="E12" s="129"/>
      <c r="F12" s="129"/>
      <c r="G12" s="129"/>
      <c r="H12" s="129"/>
      <c r="I12" s="129"/>
      <c r="J12" s="129"/>
      <c r="K12" s="129"/>
    </row>
    <row r="13" spans="1:11" ht="45" customHeight="1" x14ac:dyDescent="0.25">
      <c r="A13" s="172" t="s">
        <v>191</v>
      </c>
      <c r="B13" s="293">
        <v>1</v>
      </c>
      <c r="C13" s="293"/>
      <c r="D13" s="129">
        <v>5</v>
      </c>
      <c r="E13" s="129">
        <v>5</v>
      </c>
      <c r="F13" s="129">
        <v>5</v>
      </c>
      <c r="G13" s="129">
        <v>5</v>
      </c>
      <c r="H13" s="129">
        <v>5</v>
      </c>
      <c r="I13" s="129">
        <v>0</v>
      </c>
      <c r="J13" s="129">
        <v>5</v>
      </c>
      <c r="K13" s="129"/>
    </row>
    <row r="14" spans="1:11" ht="54.75" customHeight="1" x14ac:dyDescent="0.25">
      <c r="A14" s="172" t="s">
        <v>192</v>
      </c>
      <c r="B14" s="293">
        <v>1</v>
      </c>
      <c r="C14" s="293"/>
      <c r="D14" s="129">
        <v>5</v>
      </c>
      <c r="E14" s="129">
        <v>5</v>
      </c>
      <c r="F14" s="129">
        <v>5</v>
      </c>
      <c r="G14" s="129">
        <v>5</v>
      </c>
      <c r="H14" s="129">
        <v>5</v>
      </c>
      <c r="I14" s="129">
        <v>0</v>
      </c>
      <c r="J14" s="129">
        <v>5</v>
      </c>
      <c r="K14" s="129"/>
    </row>
    <row r="15" spans="1:11" ht="54.75" customHeight="1" x14ac:dyDescent="0.25">
      <c r="A15" s="172" t="s">
        <v>193</v>
      </c>
      <c r="B15" s="293">
        <v>1</v>
      </c>
      <c r="C15" s="304"/>
      <c r="D15" s="129">
        <v>5</v>
      </c>
      <c r="E15" s="129">
        <v>5</v>
      </c>
      <c r="F15" s="129">
        <v>5</v>
      </c>
      <c r="G15" s="129">
        <v>5</v>
      </c>
      <c r="H15" s="129">
        <v>5</v>
      </c>
      <c r="I15" s="129">
        <v>0</v>
      </c>
      <c r="J15" s="129">
        <v>5</v>
      </c>
      <c r="K15" s="129"/>
    </row>
    <row r="16" spans="1:11" ht="54.75" customHeight="1" x14ac:dyDescent="0.25">
      <c r="A16" s="172" t="s">
        <v>194</v>
      </c>
      <c r="B16" s="293">
        <v>1</v>
      </c>
      <c r="C16" s="304"/>
      <c r="D16" s="129">
        <v>5</v>
      </c>
      <c r="E16" s="129">
        <v>5</v>
      </c>
      <c r="F16" s="129">
        <v>5</v>
      </c>
      <c r="G16" s="129">
        <v>5</v>
      </c>
      <c r="H16" s="129">
        <v>5</v>
      </c>
      <c r="I16" s="129">
        <v>0</v>
      </c>
      <c r="J16" s="129">
        <v>5</v>
      </c>
      <c r="K16" s="129"/>
    </row>
    <row r="17" spans="1:11" x14ac:dyDescent="0.25">
      <c r="A17" s="157"/>
      <c r="B17" s="293"/>
      <c r="C17" s="293"/>
      <c r="D17" s="129"/>
      <c r="E17" s="129"/>
      <c r="F17" s="129"/>
      <c r="G17" s="129"/>
      <c r="H17" s="129"/>
      <c r="I17" s="129"/>
      <c r="J17" s="129"/>
      <c r="K17" s="129"/>
    </row>
    <row r="18" spans="1:11" ht="27" customHeight="1" x14ac:dyDescent="0.25">
      <c r="A18" s="300" t="s">
        <v>27</v>
      </c>
      <c r="B18" s="292"/>
      <c r="C18" s="292"/>
      <c r="D18" s="152">
        <f t="shared" ref="D18:I18" si="0">SUM(D13:D17)</f>
        <v>20</v>
      </c>
      <c r="E18" s="152">
        <f t="shared" si="0"/>
        <v>20</v>
      </c>
      <c r="F18" s="152">
        <f t="shared" si="0"/>
        <v>20</v>
      </c>
      <c r="G18" s="152">
        <f t="shared" si="0"/>
        <v>20</v>
      </c>
      <c r="H18" s="152">
        <f t="shared" si="0"/>
        <v>20</v>
      </c>
      <c r="I18" s="152">
        <f t="shared" si="0"/>
        <v>0</v>
      </c>
      <c r="J18" s="152">
        <f t="shared" ref="J18:K18" si="1">SUM(J13:J17)</f>
        <v>20</v>
      </c>
      <c r="K18" s="152">
        <f t="shared" si="1"/>
        <v>0</v>
      </c>
    </row>
    <row r="19" spans="1:11" ht="28.5" customHeight="1" x14ac:dyDescent="0.25">
      <c r="A19" s="292" t="s">
        <v>29</v>
      </c>
      <c r="B19" s="292"/>
      <c r="C19" s="292"/>
      <c r="D19" s="152">
        <v>10</v>
      </c>
      <c r="E19" s="152">
        <v>10</v>
      </c>
      <c r="F19" s="152">
        <v>10</v>
      </c>
      <c r="G19" s="152">
        <v>10</v>
      </c>
      <c r="H19" s="152">
        <v>10</v>
      </c>
      <c r="I19" s="152">
        <v>10</v>
      </c>
      <c r="J19" s="152">
        <v>10</v>
      </c>
      <c r="K19" s="152">
        <v>0</v>
      </c>
    </row>
    <row r="20" spans="1:11" ht="22.5" customHeight="1" x14ac:dyDescent="0.25">
      <c r="A20" s="287" t="s">
        <v>28</v>
      </c>
      <c r="B20" s="287"/>
      <c r="C20" s="288"/>
      <c r="D20" s="154">
        <f t="shared" ref="D20:K20" si="2">D19+D18+D11</f>
        <v>34</v>
      </c>
      <c r="E20" s="154">
        <f t="shared" si="2"/>
        <v>30</v>
      </c>
      <c r="F20" s="154">
        <f t="shared" si="2"/>
        <v>50</v>
      </c>
      <c r="G20" s="154">
        <f t="shared" si="2"/>
        <v>30</v>
      </c>
      <c r="H20" s="154">
        <f t="shared" si="2"/>
        <v>50</v>
      </c>
      <c r="I20" s="154">
        <f t="shared" si="2"/>
        <v>10</v>
      </c>
      <c r="J20" s="154">
        <f t="shared" si="2"/>
        <v>30</v>
      </c>
      <c r="K20" s="154">
        <f t="shared" si="2"/>
        <v>0</v>
      </c>
    </row>
  </sheetData>
  <mergeCells count="21">
    <mergeCell ref="K4:K10"/>
    <mergeCell ref="A2:C2"/>
    <mergeCell ref="A11:C11"/>
    <mergeCell ref="A18:C18"/>
    <mergeCell ref="B14:C14"/>
    <mergeCell ref="D4:D10"/>
    <mergeCell ref="B15:C15"/>
    <mergeCell ref="B16:C16"/>
    <mergeCell ref="J4:J10"/>
    <mergeCell ref="E4:E10"/>
    <mergeCell ref="F4:F10"/>
    <mergeCell ref="G4:G10"/>
    <mergeCell ref="H4:H10"/>
    <mergeCell ref="I4:I10"/>
    <mergeCell ref="A20:C20"/>
    <mergeCell ref="A4:C4"/>
    <mergeCell ref="A3:C3"/>
    <mergeCell ref="A19:C19"/>
    <mergeCell ref="B12:C12"/>
    <mergeCell ref="B13:C13"/>
    <mergeCell ref="B17:C17"/>
  </mergeCells>
  <pageMargins left="0.15748031496062992" right="0.15748031496062992" top="0.39370078740157483" bottom="0.23622047244094491" header="0.31496062992125984" footer="0.15748031496062992"/>
  <pageSetup paperSize="9" scale="8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abSelected="1" topLeftCell="A2" zoomScale="130" zoomScaleNormal="130" zoomScaleSheetLayoutView="115" zoomScalePageLayoutView="130" workbookViewId="0">
      <selection activeCell="A2" sqref="A2:J8"/>
    </sheetView>
  </sheetViews>
  <sheetFormatPr baseColWidth="10" defaultRowHeight="15" x14ac:dyDescent="0.25"/>
  <cols>
    <col min="1" max="1" width="11.7109375" customWidth="1"/>
    <col min="2" max="2" width="36.42578125" customWidth="1"/>
    <col min="5" max="6" width="7.42578125" customWidth="1"/>
    <col min="10" max="10" width="35.85546875" customWidth="1"/>
  </cols>
  <sheetData>
    <row r="1" spans="1:10" ht="6" customHeight="1" x14ac:dyDescent="0.25"/>
    <row r="2" spans="1:10" x14ac:dyDescent="0.25">
      <c r="A2" s="1" t="s">
        <v>18</v>
      </c>
    </row>
    <row r="3" spans="1:10" ht="8.25" customHeight="1" x14ac:dyDescent="0.25">
      <c r="A3" s="311" t="s">
        <v>117</v>
      </c>
      <c r="B3" s="311"/>
      <c r="C3" s="311"/>
      <c r="D3" s="311"/>
      <c r="E3" s="311"/>
      <c r="F3" s="311"/>
      <c r="G3" s="311"/>
      <c r="H3" s="311"/>
      <c r="I3" s="311"/>
    </row>
    <row r="4" spans="1:10" ht="9.75" customHeight="1" x14ac:dyDescent="0.25">
      <c r="A4" s="311"/>
      <c r="B4" s="311"/>
      <c r="C4" s="311"/>
      <c r="D4" s="311"/>
      <c r="E4" s="311"/>
      <c r="F4" s="311"/>
      <c r="G4" s="311"/>
      <c r="H4" s="311"/>
      <c r="I4" s="311"/>
    </row>
    <row r="5" spans="1:10" ht="124.5" customHeight="1" x14ac:dyDescent="0.25">
      <c r="A5" s="312" t="s">
        <v>261</v>
      </c>
      <c r="B5" s="312"/>
      <c r="C5" s="312"/>
      <c r="D5" s="312"/>
      <c r="E5" s="312"/>
      <c r="F5" s="312"/>
      <c r="G5" s="312"/>
      <c r="H5" s="312"/>
      <c r="I5" s="312"/>
      <c r="J5" s="312"/>
    </row>
    <row r="6" spans="1:10" ht="225.75" customHeight="1" x14ac:dyDescent="0.25">
      <c r="A6" s="313" t="s">
        <v>262</v>
      </c>
      <c r="B6" s="313"/>
      <c r="C6" s="313"/>
      <c r="D6" s="313"/>
      <c r="E6" s="313"/>
      <c r="F6" s="313"/>
      <c r="G6" s="313"/>
      <c r="H6" s="313"/>
      <c r="I6" s="313"/>
      <c r="J6" s="313"/>
    </row>
    <row r="7" spans="1:10" ht="26.25" customHeight="1" x14ac:dyDescent="0.25">
      <c r="A7" s="310" t="s">
        <v>263</v>
      </c>
      <c r="B7" s="310"/>
      <c r="C7" s="310"/>
      <c r="D7" s="310"/>
      <c r="E7" s="310"/>
      <c r="F7" s="310"/>
      <c r="G7" s="310"/>
      <c r="H7" s="310"/>
      <c r="I7" s="310"/>
      <c r="J7" s="310"/>
    </row>
    <row r="8" spans="1:10" ht="83.25" customHeight="1" x14ac:dyDescent="0.25">
      <c r="A8" s="314" t="s">
        <v>264</v>
      </c>
      <c r="B8" s="314"/>
      <c r="C8" s="314"/>
      <c r="D8" s="314"/>
      <c r="E8" s="314"/>
      <c r="F8" s="314"/>
      <c r="G8" s="314"/>
      <c r="H8" s="314"/>
      <c r="I8" s="314"/>
      <c r="J8" s="314"/>
    </row>
    <row r="9" spans="1:10" ht="110.25" customHeight="1" x14ac:dyDescent="0.25">
      <c r="A9" s="310" t="s">
        <v>265</v>
      </c>
      <c r="B9" s="310"/>
      <c r="C9" s="310"/>
      <c r="D9" s="310"/>
      <c r="E9" s="310"/>
      <c r="F9" s="310"/>
      <c r="G9" s="310"/>
      <c r="H9" s="310"/>
      <c r="I9" s="310"/>
      <c r="J9" s="310"/>
    </row>
    <row r="10" spans="1:10" ht="157.5" customHeight="1" x14ac:dyDescent="0.25">
      <c r="A10" s="312" t="s">
        <v>266</v>
      </c>
      <c r="B10" s="312"/>
      <c r="C10" s="312"/>
      <c r="D10" s="312"/>
      <c r="E10" s="312"/>
      <c r="F10" s="312"/>
      <c r="G10" s="312"/>
      <c r="H10" s="312"/>
      <c r="I10" s="312"/>
      <c r="J10" s="312"/>
    </row>
    <row r="11" spans="1:10" ht="174.75" customHeight="1" x14ac:dyDescent="0.25">
      <c r="A11" s="312" t="s">
        <v>267</v>
      </c>
      <c r="B11" s="312"/>
      <c r="C11" s="312"/>
      <c r="D11" s="312"/>
      <c r="E11" s="312"/>
      <c r="F11" s="312"/>
      <c r="G11" s="312"/>
      <c r="H11" s="312"/>
      <c r="I11" s="312"/>
      <c r="J11" s="312"/>
    </row>
    <row r="12" spans="1:10" ht="67.5" customHeight="1" x14ac:dyDescent="0.25">
      <c r="A12" s="310" t="s">
        <v>268</v>
      </c>
      <c r="B12" s="310"/>
      <c r="C12" s="310"/>
      <c r="D12" s="310"/>
      <c r="E12" s="310"/>
      <c r="F12" s="310"/>
      <c r="G12" s="310"/>
      <c r="H12" s="310"/>
      <c r="I12" s="310"/>
      <c r="J12" s="310"/>
    </row>
    <row r="13" spans="1:10" ht="0.75" customHeight="1" x14ac:dyDescent="0.25">
      <c r="A13" s="310"/>
      <c r="B13" s="310"/>
      <c r="C13" s="310"/>
      <c r="D13" s="310"/>
      <c r="E13" s="310"/>
      <c r="F13" s="310"/>
      <c r="G13" s="310"/>
      <c r="H13" s="310"/>
      <c r="I13" s="310"/>
      <c r="J13" s="310"/>
    </row>
    <row r="14" spans="1:10" ht="10.5" customHeight="1" x14ac:dyDescent="0.25">
      <c r="A14" s="310"/>
      <c r="B14" s="310"/>
      <c r="C14" s="310"/>
      <c r="D14" s="310"/>
      <c r="E14" s="310"/>
      <c r="F14" s="310"/>
      <c r="G14" s="310"/>
      <c r="H14" s="310"/>
      <c r="I14" s="310"/>
      <c r="J14" s="310"/>
    </row>
    <row r="15" spans="1:10" x14ac:dyDescent="0.25">
      <c r="A15" s="149" t="s">
        <v>19</v>
      </c>
      <c r="B15" s="149"/>
      <c r="C15" s="149"/>
      <c r="D15" s="149"/>
      <c r="E15" s="149"/>
      <c r="F15" s="149"/>
      <c r="G15" s="149"/>
      <c r="H15" s="149"/>
      <c r="I15" s="149"/>
      <c r="J15" s="149"/>
    </row>
    <row r="16" spans="1:10" ht="8.25" customHeight="1" x14ac:dyDescent="0.25">
      <c r="A16" s="149"/>
      <c r="B16" s="149"/>
      <c r="C16" s="149"/>
      <c r="D16" s="149"/>
      <c r="E16" s="149"/>
      <c r="F16" s="149"/>
      <c r="G16" s="149"/>
      <c r="H16" s="149"/>
      <c r="I16" s="149"/>
      <c r="J16" s="149"/>
    </row>
    <row r="17" spans="1:1" ht="6.75" customHeight="1" x14ac:dyDescent="0.25"/>
    <row r="18" spans="1:1" ht="9" customHeight="1" x14ac:dyDescent="0.25"/>
    <row r="19" spans="1:1" x14ac:dyDescent="0.25">
      <c r="A19" s="1" t="s">
        <v>115</v>
      </c>
    </row>
    <row r="20" spans="1:1" x14ac:dyDescent="0.25">
      <c r="A20" t="s">
        <v>116</v>
      </c>
    </row>
    <row r="21" spans="1:1" ht="15" customHeight="1" x14ac:dyDescent="0.25">
      <c r="A21" s="1" t="s">
        <v>20</v>
      </c>
    </row>
    <row r="22" spans="1:1" ht="14.25" customHeight="1" x14ac:dyDescent="0.25">
      <c r="A22" s="1" t="s">
        <v>260</v>
      </c>
    </row>
  </sheetData>
  <mergeCells count="11">
    <mergeCell ref="A14:J14"/>
    <mergeCell ref="A3:I4"/>
    <mergeCell ref="A9:J9"/>
    <mergeCell ref="A11:J11"/>
    <mergeCell ref="A12:J12"/>
    <mergeCell ref="A13:J13"/>
    <mergeCell ref="A5:J5"/>
    <mergeCell ref="A10:J10"/>
    <mergeCell ref="A7:J7"/>
    <mergeCell ref="A6:J6"/>
    <mergeCell ref="A8:J8"/>
  </mergeCells>
  <pageMargins left="0.15748031496062992" right="0.15748031496062992" top="0.27559055118110237" bottom="0.19685039370078741" header="0.15748031496062992" footer="0.15748031496062992"/>
  <pageSetup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topLeftCell="A8" workbookViewId="0">
      <selection activeCell="E10" sqref="E10"/>
    </sheetView>
  </sheetViews>
  <sheetFormatPr baseColWidth="10" defaultColWidth="10.85546875" defaultRowHeight="15" x14ac:dyDescent="0.25"/>
  <cols>
    <col min="1" max="1" width="11.42578125" style="6" customWidth="1"/>
    <col min="2" max="2" width="31.42578125" style="29" customWidth="1"/>
    <col min="3" max="5" width="14.140625" style="6" customWidth="1"/>
    <col min="6" max="6" width="14" style="6" customWidth="1"/>
    <col min="7" max="7" width="14.85546875" style="6" customWidth="1"/>
    <col min="8" max="10" width="15.42578125" style="6" customWidth="1"/>
    <col min="11" max="11" width="45.42578125" style="6" customWidth="1"/>
    <col min="12" max="12" width="11.42578125" style="6" customWidth="1"/>
    <col min="13" max="16384" width="10.85546875" style="6"/>
  </cols>
  <sheetData>
    <row r="1" spans="1:13" x14ac:dyDescent="0.25">
      <c r="A1" s="316" t="s">
        <v>39</v>
      </c>
      <c r="B1" s="316"/>
      <c r="C1" s="316"/>
      <c r="D1" s="316"/>
      <c r="E1" s="316"/>
      <c r="F1" s="316"/>
      <c r="G1" s="316"/>
      <c r="H1" s="316"/>
      <c r="I1" s="316"/>
      <c r="J1" s="316"/>
      <c r="K1" s="316"/>
    </row>
    <row r="2" spans="1:13" x14ac:dyDescent="0.25">
      <c r="A2" s="317" t="s">
        <v>40</v>
      </c>
      <c r="B2" s="317"/>
      <c r="C2" s="317"/>
      <c r="D2" s="317"/>
      <c r="E2" s="317"/>
      <c r="F2" s="317"/>
      <c r="G2" s="317"/>
      <c r="H2" s="317"/>
      <c r="I2" s="317"/>
      <c r="J2" s="317"/>
      <c r="K2" s="317"/>
    </row>
    <row r="3" spans="1:13" x14ac:dyDescent="0.25">
      <c r="A3" s="318" t="s">
        <v>41</v>
      </c>
      <c r="B3" s="318"/>
      <c r="C3" s="318"/>
      <c r="D3" s="318"/>
      <c r="E3" s="318"/>
      <c r="F3" s="318"/>
      <c r="G3" s="318"/>
      <c r="H3" s="318"/>
      <c r="I3" s="318"/>
      <c r="J3" s="318"/>
      <c r="K3" s="318"/>
    </row>
    <row r="4" spans="1:13" ht="15.75" x14ac:dyDescent="0.25">
      <c r="A4" s="319" t="s">
        <v>42</v>
      </c>
      <c r="B4" s="319"/>
      <c r="C4" s="319"/>
      <c r="D4" s="319"/>
      <c r="E4" s="319"/>
      <c r="F4" s="319"/>
      <c r="G4" s="319"/>
      <c r="H4" s="319"/>
      <c r="I4" s="319"/>
      <c r="J4" s="319"/>
      <c r="K4" s="319"/>
    </row>
    <row r="5" spans="1:13" x14ac:dyDescent="0.25">
      <c r="A5" s="320" t="str">
        <f>'[1]1'!M1</f>
        <v>PROCESO 18000770 H4 de 2017</v>
      </c>
      <c r="B5" s="320"/>
      <c r="C5" s="320"/>
      <c r="D5" s="320"/>
      <c r="E5" s="320"/>
      <c r="F5" s="320"/>
      <c r="G5" s="320"/>
      <c r="H5" s="320"/>
      <c r="I5" s="320"/>
      <c r="J5" s="320"/>
      <c r="K5" s="320"/>
    </row>
    <row r="6" spans="1:13" ht="15.75" thickBot="1" x14ac:dyDescent="0.3">
      <c r="A6" s="315" t="s">
        <v>43</v>
      </c>
      <c r="B6" s="315"/>
      <c r="C6" s="315"/>
      <c r="D6" s="315"/>
      <c r="E6" s="315"/>
      <c r="F6" s="315"/>
      <c r="G6" s="315"/>
      <c r="H6" s="315"/>
      <c r="I6" s="315"/>
      <c r="J6" s="315"/>
      <c r="K6" s="315"/>
    </row>
    <row r="7" spans="1:13" ht="38.25" customHeight="1" x14ac:dyDescent="0.25">
      <c r="A7" s="321" t="str">
        <f>'[1]1'!A2</f>
        <v>CONTRATAR EL MEJORAMIENTO DE LA SEDE DE LA CASA VACACIONAL (SALON SOCIAL) DE LA AERONAUTICA CIVIL.</v>
      </c>
      <c r="B7" s="321"/>
      <c r="C7" s="321"/>
      <c r="D7" s="321"/>
      <c r="E7" s="321"/>
      <c r="F7" s="321"/>
      <c r="G7" s="321"/>
      <c r="H7" s="321"/>
      <c r="I7" s="321"/>
      <c r="J7" s="321"/>
      <c r="K7" s="321"/>
    </row>
    <row r="8" spans="1:13" x14ac:dyDescent="0.25">
      <c r="A8" s="322" t="s">
        <v>44</v>
      </c>
      <c r="B8" s="322" t="s">
        <v>45</v>
      </c>
      <c r="C8" s="323" t="s">
        <v>13</v>
      </c>
      <c r="D8" s="323"/>
      <c r="E8" s="323"/>
      <c r="F8" s="323"/>
      <c r="G8" s="323"/>
      <c r="H8" s="323"/>
      <c r="I8" s="323"/>
      <c r="J8" s="323"/>
      <c r="K8" s="323"/>
    </row>
    <row r="9" spans="1:13" ht="38.25" x14ac:dyDescent="0.25">
      <c r="A9" s="322"/>
      <c r="B9" s="322"/>
      <c r="C9" s="130" t="s">
        <v>46</v>
      </c>
      <c r="D9" s="130" t="s">
        <v>47</v>
      </c>
      <c r="E9" s="130" t="s">
        <v>48</v>
      </c>
      <c r="F9" s="131" t="s">
        <v>118</v>
      </c>
      <c r="G9" s="131" t="s">
        <v>119</v>
      </c>
      <c r="H9" s="130" t="s">
        <v>120</v>
      </c>
      <c r="I9" s="130" t="s">
        <v>49</v>
      </c>
      <c r="J9" s="130" t="s">
        <v>50</v>
      </c>
      <c r="K9" s="131" t="s">
        <v>51</v>
      </c>
      <c r="M9" s="7"/>
    </row>
    <row r="10" spans="1:13" ht="279" customHeight="1" x14ac:dyDescent="0.25">
      <c r="A10" s="142">
        <v>1</v>
      </c>
      <c r="B10" s="143" t="str">
        <f>'PAG 2'!C6</f>
        <v>COLOMBIANA DE LA INGENIERIA Y DE LA ARQUITECTURA S.A.S – COLINAR SAS</v>
      </c>
      <c r="C10" s="144" t="str">
        <f>'1'!M15</f>
        <v>CUMPLE</v>
      </c>
      <c r="D10" s="144" t="str">
        <f>'1'!M16</f>
        <v>CUMPLE</v>
      </c>
      <c r="E10" s="144" t="str">
        <f>'1'!M17</f>
        <v>CUMPLE</v>
      </c>
      <c r="F10" s="145">
        <f>'1'!N9</f>
        <v>306.3902245422679</v>
      </c>
      <c r="G10" s="146">
        <f>'1'!M9</f>
        <v>1862.1840275375112</v>
      </c>
      <c r="H10" s="144">
        <v>10</v>
      </c>
      <c r="I10" s="144">
        <f>H10</f>
        <v>10</v>
      </c>
      <c r="J10" s="142" t="s">
        <v>104</v>
      </c>
      <c r="K10" s="137"/>
    </row>
    <row r="11" spans="1:13" ht="29.25" customHeight="1" x14ac:dyDescent="0.25">
      <c r="A11" s="132">
        <v>2</v>
      </c>
      <c r="B11" s="138" t="str">
        <f>'PAG 2'!G6</f>
        <v>CONSTRUYENDO AMBIENTE SAS</v>
      </c>
      <c r="C11" s="134" t="str">
        <f>'2'!M15</f>
        <v>CUMPLE</v>
      </c>
      <c r="D11" s="134" t="str">
        <f>'2'!M17</f>
        <v>CUMPLE</v>
      </c>
      <c r="E11" s="134">
        <f>'2'!M19</f>
        <v>0</v>
      </c>
      <c r="F11" s="135">
        <f ca="1">'2'!N9</f>
        <v>245.6811535550367</v>
      </c>
      <c r="G11" s="136">
        <f ca="1">'2'!M9</f>
        <v>1163.4844941912049</v>
      </c>
      <c r="H11" s="134">
        <v>10</v>
      </c>
      <c r="I11" s="134">
        <f>H11</f>
        <v>10</v>
      </c>
      <c r="J11" s="132" t="s">
        <v>104</v>
      </c>
      <c r="K11" s="134"/>
    </row>
    <row r="12" spans="1:13" x14ac:dyDescent="0.25">
      <c r="A12" s="132">
        <v>3</v>
      </c>
      <c r="B12" s="133" t="str">
        <f>'PAG 2'!K6</f>
        <v>GRUPO S Y C SAS</v>
      </c>
      <c r="C12" s="134" t="str">
        <f>'3'!M15</f>
        <v>CUMPLE</v>
      </c>
      <c r="D12" s="134" t="str">
        <f>'3'!M16</f>
        <v>CUMPLE</v>
      </c>
      <c r="E12" s="134" t="str">
        <f>'3'!M17</f>
        <v>CUMPLE</v>
      </c>
      <c r="F12" s="135" t="e">
        <f>'3'!N9+'3'!N10</f>
        <v>#VALUE!</v>
      </c>
      <c r="G12" s="136" t="e">
        <f>'3'!M9+'3'!M10</f>
        <v>#VALUE!</v>
      </c>
      <c r="H12" s="134">
        <v>10</v>
      </c>
      <c r="I12" s="134">
        <f>H12</f>
        <v>10</v>
      </c>
      <c r="J12" s="132" t="s">
        <v>113</v>
      </c>
      <c r="K12" s="134"/>
    </row>
    <row r="13" spans="1:13" x14ac:dyDescent="0.25">
      <c r="A13" s="132">
        <v>4</v>
      </c>
      <c r="B13" s="133" t="str">
        <f>'PAG 2'!O6</f>
        <v>INGENIERIA RH SAS</v>
      </c>
      <c r="C13" s="134" t="str">
        <f>'4'!M15</f>
        <v>CUMPLE</v>
      </c>
      <c r="D13" s="139"/>
      <c r="E13" s="139"/>
      <c r="F13" s="135">
        <f>'4'!N9</f>
        <v>2333.1918594672788</v>
      </c>
      <c r="G13" s="136">
        <f>'4'!M9</f>
        <v>39290.717768413975</v>
      </c>
      <c r="H13" s="134">
        <v>10</v>
      </c>
      <c r="I13" s="134">
        <f>H13</f>
        <v>10</v>
      </c>
      <c r="J13" s="132" t="s">
        <v>113</v>
      </c>
      <c r="K13" s="140"/>
    </row>
    <row r="14" spans="1:13" ht="35.25" customHeight="1" x14ac:dyDescent="0.25">
      <c r="A14" s="132">
        <v>5</v>
      </c>
      <c r="B14" s="133" t="str">
        <f>'PAG 2'!S6</f>
        <v>ORGANIZACIÓN HAR SAS</v>
      </c>
      <c r="C14" s="134" t="s">
        <v>114</v>
      </c>
      <c r="D14" s="134" t="s">
        <v>114</v>
      </c>
      <c r="E14" s="134" t="s">
        <v>114</v>
      </c>
      <c r="F14" s="135"/>
      <c r="G14" s="136"/>
      <c r="H14" s="134">
        <v>10</v>
      </c>
      <c r="I14" s="134">
        <v>10</v>
      </c>
      <c r="J14" s="132" t="s">
        <v>113</v>
      </c>
      <c r="K14" s="137"/>
    </row>
    <row r="15" spans="1:13" x14ac:dyDescent="0.25">
      <c r="A15" s="132">
        <v>6</v>
      </c>
      <c r="B15" s="133" t="str">
        <f>'PAG 2'!W6</f>
        <v>USCOM SAS</v>
      </c>
      <c r="C15" s="134" t="s">
        <v>94</v>
      </c>
      <c r="D15" s="134"/>
      <c r="E15" s="134"/>
      <c r="F15" s="135">
        <f>'6'!N9</f>
        <v>381.44084521489356</v>
      </c>
      <c r="G15" s="136">
        <f>'6'!M9</f>
        <v>2082.5424337958248</v>
      </c>
      <c r="H15" s="134">
        <v>100</v>
      </c>
      <c r="I15" s="134">
        <v>10</v>
      </c>
      <c r="J15" s="132" t="s">
        <v>113</v>
      </c>
      <c r="K15" s="134"/>
    </row>
    <row r="16" spans="1:13" ht="52.5" hidden="1" customHeight="1" x14ac:dyDescent="0.25">
      <c r="A16" s="9">
        <v>7</v>
      </c>
      <c r="B16" s="13" t="str">
        <f>'[1]7'!$D$6</f>
        <v>ALCALA &amp; ESPINOSA DISEÑO Y CONSTRUCCIÓN LTDA</v>
      </c>
      <c r="C16" s="8" t="str">
        <f>'[1]7'!$M$14</f>
        <v>CUMPLE</v>
      </c>
      <c r="D16" s="8" t="str">
        <f>'[1]7'!$M$15</f>
        <v>CUMPLE</v>
      </c>
      <c r="E16" s="8" t="str">
        <f>'[1]7'!$M$16</f>
        <v>CUMPLE</v>
      </c>
      <c r="F16" s="11">
        <f>'[1]7'!$G$19</f>
        <v>284.08332561678981</v>
      </c>
      <c r="G16" s="12">
        <f>'[1]7'!$E$19</f>
        <v>681.09612814106879</v>
      </c>
      <c r="H16" s="8">
        <v>100</v>
      </c>
      <c r="I16" s="8" t="e">
        <f>+#REF!+H16</f>
        <v>#REF!</v>
      </c>
      <c r="J16" s="9" t="str">
        <f>'[1]7'!$K$22</f>
        <v>HABIL</v>
      </c>
      <c r="K16" s="8"/>
    </row>
    <row r="17" spans="1:12" ht="20.25" hidden="1" customHeight="1" x14ac:dyDescent="0.25">
      <c r="A17" s="9">
        <v>8</v>
      </c>
      <c r="B17" s="10" t="str">
        <f>'[1]8'!$D$6</f>
        <v>WILBER FRANCINY RUSSY LADINO</v>
      </c>
      <c r="C17" s="8" t="str">
        <f>'[1]8'!$M$14</f>
        <v>CUMPLE</v>
      </c>
      <c r="D17" s="8" t="str">
        <f>'[1]8'!$M$15</f>
        <v>CUMPLE</v>
      </c>
      <c r="E17" s="8"/>
      <c r="F17" s="11">
        <f>'[1]8'!$G$19</f>
        <v>144.30170377606115</v>
      </c>
      <c r="G17" s="12">
        <f>'[1]8'!$E$19</f>
        <v>1248.7792310079924</v>
      </c>
      <c r="H17" s="8">
        <v>100</v>
      </c>
      <c r="I17" s="8" t="e">
        <f>+#REF!+H17</f>
        <v>#REF!</v>
      </c>
      <c r="J17" s="9" t="str">
        <f>'[1]8'!$K$22</f>
        <v>HABIL</v>
      </c>
      <c r="K17" s="8"/>
    </row>
    <row r="18" spans="1:12" s="20" customFormat="1" ht="93.75" hidden="1" customHeight="1" x14ac:dyDescent="0.25">
      <c r="A18" s="14">
        <v>9</v>
      </c>
      <c r="B18" s="15" t="str">
        <f>'[1]9'!$D$6</f>
        <v>CONSORCIO AEROPISTAS 2017</v>
      </c>
      <c r="C18" s="16" t="str">
        <f>'[1]9'!$M$14</f>
        <v>CUMPLE</v>
      </c>
      <c r="D18" s="16" t="str">
        <f>'[1]9'!$M$15</f>
        <v>CUMPLE</v>
      </c>
      <c r="E18" s="16" t="str">
        <f>'[1]9'!M16</f>
        <v>CUMPLE</v>
      </c>
      <c r="F18" s="17">
        <f>'[1]9'!$G$19</f>
        <v>273.01590086229464</v>
      </c>
      <c r="G18" s="18">
        <f>'[1]9'!$E$19</f>
        <v>1255.2256501076815</v>
      </c>
      <c r="H18" s="16">
        <v>100</v>
      </c>
      <c r="I18" s="16" t="e">
        <f>+#REF!+H18</f>
        <v>#REF!</v>
      </c>
      <c r="J18" s="14" t="e">
        <f>'[1]9'!K22:L22</f>
        <v>#VALUE!</v>
      </c>
      <c r="K18" s="19" t="s">
        <v>52</v>
      </c>
    </row>
    <row r="19" spans="1:12" ht="22.5" hidden="1" customHeight="1" x14ac:dyDescent="0.25">
      <c r="A19" s="9">
        <v>10</v>
      </c>
      <c r="B19" s="10" t="str">
        <f>'[1]10'!$D$6</f>
        <v>FERNANDO ALVARO LOZANO M.</v>
      </c>
      <c r="C19" s="8" t="str">
        <f>'[1]10'!$M$14</f>
        <v>CUMPLE</v>
      </c>
      <c r="D19" s="8" t="str">
        <f>'[1]10'!$M$15</f>
        <v>CUMPLE</v>
      </c>
      <c r="E19" s="8" t="str">
        <f>'[1]10'!$M$16</f>
        <v>CUMPLE</v>
      </c>
      <c r="F19" s="11">
        <f>'[1]10'!$G$19</f>
        <v>539.06874814676371</v>
      </c>
      <c r="G19" s="12">
        <f>'[1]10'!$E$19</f>
        <v>818.86970887696975</v>
      </c>
      <c r="H19" s="8">
        <v>100</v>
      </c>
      <c r="I19" s="8" t="e">
        <f>+#REF!+H19</f>
        <v>#REF!</v>
      </c>
      <c r="J19" s="9" t="str">
        <f>'[1]10'!$K$22</f>
        <v>HABIL</v>
      </c>
      <c r="K19" s="8"/>
    </row>
    <row r="20" spans="1:12" ht="30" hidden="1" x14ac:dyDescent="0.25">
      <c r="A20" s="9">
        <v>11</v>
      </c>
      <c r="B20" s="10" t="str">
        <f>'[1]11'!$D$6</f>
        <v>CONSORCIO PROYECTO PASTO SYF</v>
      </c>
      <c r="C20" s="8" t="str">
        <f>'[1]11'!$M$14</f>
        <v>CUMPLE</v>
      </c>
      <c r="D20" s="8" t="str">
        <f>'[1]11'!$M$15</f>
        <v>CUMPLE</v>
      </c>
      <c r="E20" s="8" t="str">
        <f>'[1]11'!$M$16</f>
        <v>CUMPLE</v>
      </c>
      <c r="F20" s="11">
        <f>'[1]11'!$G$19</f>
        <v>2416.2560518213809</v>
      </c>
      <c r="G20" s="12">
        <f>'[1]11'!$E$19</f>
        <v>1767.5101605921516</v>
      </c>
      <c r="H20" s="8">
        <v>100</v>
      </c>
      <c r="I20" s="8" t="e">
        <f>+#REF!+H20</f>
        <v>#REF!</v>
      </c>
      <c r="J20" s="9" t="str">
        <f>'[1]11'!$K$22</f>
        <v>HABIL</v>
      </c>
      <c r="K20" s="8"/>
    </row>
    <row r="21" spans="1:12" ht="30" hidden="1" x14ac:dyDescent="0.25">
      <c r="A21" s="9">
        <v>12</v>
      </c>
      <c r="B21" s="10" t="str">
        <f>'[1]12'!$D$6</f>
        <v>CONSORCIO CCA AEROPUERTO PASTO</v>
      </c>
      <c r="C21" s="8" t="str">
        <f>'[1]12'!$M$14</f>
        <v>CUMPLE</v>
      </c>
      <c r="D21" s="8" t="str">
        <f>'[1]12'!$M$15</f>
        <v>CUMPLE</v>
      </c>
      <c r="E21" s="8" t="str">
        <f>'[1]12'!$M$16</f>
        <v>CUMPLE</v>
      </c>
      <c r="F21" s="11">
        <f>'[1]12'!$G$19</f>
        <v>1229.3000811658831</v>
      </c>
      <c r="G21" s="12">
        <f>'[1]12'!$E$19</f>
        <v>12804.209410643236</v>
      </c>
      <c r="H21" s="8">
        <v>100</v>
      </c>
      <c r="I21" s="8" t="e">
        <f>+#REF!+H21</f>
        <v>#REF!</v>
      </c>
      <c r="J21" s="9" t="str">
        <f>'[1]12'!$K$22</f>
        <v>HABIL</v>
      </c>
      <c r="K21" s="8"/>
    </row>
    <row r="22" spans="1:12" hidden="1" x14ac:dyDescent="0.25">
      <c r="A22" s="9">
        <v>13</v>
      </c>
      <c r="B22" s="10" t="str">
        <f>'[1]13'!$D$6</f>
        <v>CONSORCIO ALFA Y OMEGA</v>
      </c>
      <c r="C22" s="8" t="str">
        <f>'[1]13'!$M$14</f>
        <v>CUMPLE</v>
      </c>
      <c r="D22" s="8" t="str">
        <f>'[1]13'!$M$15</f>
        <v>CUMPLE</v>
      </c>
      <c r="E22" s="8" t="str">
        <f>'[1]13'!$M$16</f>
        <v>CUMPLE</v>
      </c>
      <c r="F22" s="11">
        <f>'[1]13'!$G$19</f>
        <v>3249.4826776445889</v>
      </c>
      <c r="G22" s="12">
        <f>'[1]13'!$E$19</f>
        <v>84006.571107258933</v>
      </c>
      <c r="H22" s="8">
        <v>100</v>
      </c>
      <c r="I22" s="8" t="e">
        <f>+#REF!+H22</f>
        <v>#REF!</v>
      </c>
      <c r="J22" s="9" t="str">
        <f>'[1]13'!$K$22</f>
        <v>HABIL</v>
      </c>
      <c r="K22" s="8"/>
    </row>
    <row r="23" spans="1:12" hidden="1" x14ac:dyDescent="0.25">
      <c r="A23" s="9">
        <v>14</v>
      </c>
      <c r="B23" s="10" t="str">
        <f>'[1]14'!$D$6</f>
        <v>RG INGENIERIA SAS</v>
      </c>
      <c r="C23" s="8" t="str">
        <f>'[1]14'!$M$14</f>
        <v>CUMPLE</v>
      </c>
      <c r="D23" s="8" t="str">
        <f>'[1]14'!$M$15</f>
        <v>CUMPLE</v>
      </c>
      <c r="E23" s="8" t="str">
        <f>'[1]14'!$M$16</f>
        <v>CUMPLE</v>
      </c>
      <c r="F23" s="11">
        <f>'[1]14'!$G$19</f>
        <v>2926.6061103044303</v>
      </c>
      <c r="G23" s="11">
        <f>'[1]14'!$E$19</f>
        <v>24545.341434223676</v>
      </c>
      <c r="H23" s="8">
        <v>100</v>
      </c>
      <c r="I23" s="8" t="e">
        <f>+#REF!+H23</f>
        <v>#REF!</v>
      </c>
      <c r="J23" s="9" t="str">
        <f>'[1]14'!$K$22</f>
        <v>HABIL</v>
      </c>
      <c r="K23" s="21"/>
    </row>
    <row r="24" spans="1:12" hidden="1" x14ac:dyDescent="0.25">
      <c r="A24" s="9">
        <v>15</v>
      </c>
      <c r="B24" s="10" t="str">
        <f>'[1]15'!$D$6</f>
        <v>CONSORCIO CYJ</v>
      </c>
      <c r="C24" s="8" t="str">
        <f>'[1]15'!$M$14</f>
        <v>CUMPLE</v>
      </c>
      <c r="D24" s="8" t="str">
        <f>'[1]15'!$M$15</f>
        <v>CUMPLE</v>
      </c>
      <c r="E24" s="8" t="str">
        <f>'[1]15'!$M$16</f>
        <v>CUMPLE</v>
      </c>
      <c r="F24" s="11">
        <f>'[1]15'!$G$19</f>
        <v>2521.3942565736679</v>
      </c>
      <c r="G24" s="12">
        <f>'[1]15'!$E$19</f>
        <v>7396.8646853895252</v>
      </c>
      <c r="H24" s="8">
        <v>100</v>
      </c>
      <c r="I24" s="8" t="e">
        <f>+#REF!+H24</f>
        <v>#REF!</v>
      </c>
      <c r="J24" s="9" t="str">
        <f>'[1]15'!$K$22</f>
        <v>HABIL</v>
      </c>
      <c r="K24" s="8"/>
    </row>
    <row r="25" spans="1:12" hidden="1" x14ac:dyDescent="0.25">
      <c r="A25" s="9">
        <v>16</v>
      </c>
      <c r="B25" s="10" t="str">
        <f>'[1]16'!$D$6</f>
        <v>CONSORCIO HH PASTO</v>
      </c>
      <c r="C25" s="8" t="str">
        <f>'[1]16'!$M$14</f>
        <v>CUMPLE</v>
      </c>
      <c r="D25" s="8" t="str">
        <f>'[1]16'!$M$15</f>
        <v>CUMPLE</v>
      </c>
      <c r="E25" s="8" t="str">
        <f>'[1]16'!$M$16</f>
        <v>CUMPLE</v>
      </c>
      <c r="F25" s="11">
        <f>'[1]16'!$G$19</f>
        <v>696.52042991116843</v>
      </c>
      <c r="G25" s="12">
        <f>'[1]16'!$E$19</f>
        <v>4309.8834849119839</v>
      </c>
      <c r="H25" s="8">
        <v>100</v>
      </c>
      <c r="I25" s="8" t="e">
        <f>+#REF!+H25</f>
        <v>#REF!</v>
      </c>
      <c r="J25" s="9" t="str">
        <f>'[1]16'!$K$22</f>
        <v>HABIL</v>
      </c>
      <c r="K25" s="8"/>
    </row>
    <row r="26" spans="1:12" hidden="1" x14ac:dyDescent="0.25">
      <c r="A26" s="9">
        <v>17</v>
      </c>
      <c r="B26" s="10" t="str">
        <f>'[1]17'!$D$6</f>
        <v>CONSORCIO JMD</v>
      </c>
      <c r="C26" s="8" t="str">
        <f>'[1]17'!$M$14</f>
        <v>CUMPLE</v>
      </c>
      <c r="D26" s="8" t="str">
        <f>'[1]17'!$M$15</f>
        <v>CUMPLE</v>
      </c>
      <c r="E26" s="8" t="str">
        <f>'[1]17'!$M$16</f>
        <v>CUMPLE</v>
      </c>
      <c r="F26" s="11">
        <f>'[1]17'!$G$19</f>
        <v>1084.0354888602601</v>
      </c>
      <c r="G26" s="12">
        <f>'[1]17'!$E$19</f>
        <v>5818.3039355216042</v>
      </c>
      <c r="H26" s="8">
        <v>100</v>
      </c>
      <c r="I26" s="8" t="e">
        <f>+#REF!+H26</f>
        <v>#REF!</v>
      </c>
      <c r="J26" s="9" t="str">
        <f>'[1]17'!$K$22</f>
        <v>HABIL</v>
      </c>
      <c r="K26" s="8"/>
    </row>
    <row r="27" spans="1:12" hidden="1" x14ac:dyDescent="0.25">
      <c r="A27" s="9">
        <v>18</v>
      </c>
      <c r="B27" s="10" t="s">
        <v>53</v>
      </c>
      <c r="C27" s="10" t="s">
        <v>53</v>
      </c>
      <c r="D27" s="10" t="s">
        <v>53</v>
      </c>
      <c r="E27" s="10" t="s">
        <v>53</v>
      </c>
      <c r="F27" s="10" t="s">
        <v>53</v>
      </c>
      <c r="G27" s="10" t="s">
        <v>53</v>
      </c>
      <c r="H27" s="10" t="s">
        <v>53</v>
      </c>
      <c r="I27" s="10" t="s">
        <v>53</v>
      </c>
      <c r="J27" s="10" t="s">
        <v>53</v>
      </c>
      <c r="K27" s="8"/>
    </row>
    <row r="28" spans="1:12" hidden="1" x14ac:dyDescent="0.25">
      <c r="A28" s="9">
        <v>19</v>
      </c>
      <c r="B28" s="10" t="str">
        <f>'[1]19'!$D$6</f>
        <v>VIAS Y CANALES SAS</v>
      </c>
      <c r="C28" s="8" t="str">
        <f>'[1]19'!$M$14</f>
        <v>CUMPLE</v>
      </c>
      <c r="D28" s="8" t="str">
        <f>'[1]19'!$M$15</f>
        <v>CUMPLE</v>
      </c>
      <c r="E28" s="8" t="str">
        <f>'[1]19'!$M$16</f>
        <v>CUMPLE</v>
      </c>
      <c r="F28" s="11">
        <f>'[1]19'!$G$19</f>
        <v>3162.2102664516069</v>
      </c>
      <c r="G28" s="12">
        <f>'[1]19'!$E$19</f>
        <v>18510.391284138739</v>
      </c>
      <c r="H28" s="8">
        <v>100</v>
      </c>
      <c r="I28" s="8" t="e">
        <f>+#REF!+H28</f>
        <v>#REF!</v>
      </c>
      <c r="J28" s="9" t="str">
        <f>'[1]19'!$K$22</f>
        <v>HABIL</v>
      </c>
      <c r="K28" s="8"/>
    </row>
    <row r="29" spans="1:12" hidden="1" x14ac:dyDescent="0.25">
      <c r="A29" s="9">
        <v>20</v>
      </c>
      <c r="B29" s="10" t="str">
        <f>'[1]20'!$D$6</f>
        <v>CONSORCIO MP PASTO II</v>
      </c>
      <c r="C29" s="8" t="str">
        <f>'[1]20'!$M$14</f>
        <v>CUMPLE</v>
      </c>
      <c r="D29" s="8" t="s">
        <v>54</v>
      </c>
      <c r="E29" s="8" t="s">
        <v>54</v>
      </c>
      <c r="F29" s="11">
        <f>'[1]20'!$G$19</f>
        <v>734.78961731541642</v>
      </c>
      <c r="G29" s="12">
        <f>'[1]20'!$E$19</f>
        <v>9660.3721985856519</v>
      </c>
      <c r="H29" s="8">
        <v>100</v>
      </c>
      <c r="I29" s="8" t="e">
        <f>+#REF!+H29</f>
        <v>#REF!</v>
      </c>
      <c r="J29" s="9" t="str">
        <f>'[1]20'!$K$22</f>
        <v>HABIL</v>
      </c>
      <c r="K29" s="8"/>
    </row>
    <row r="30" spans="1:12" hidden="1" x14ac:dyDescent="0.25">
      <c r="A30" s="9">
        <v>21</v>
      </c>
      <c r="B30" s="10" t="str">
        <f>'[1]21'!$D$6</f>
        <v>RP INGENIERIA SAS</v>
      </c>
      <c r="C30" s="8" t="str">
        <f>'[1]21'!$M$14</f>
        <v>CUMPLE</v>
      </c>
      <c r="D30" s="8" t="str">
        <f>'[1]21'!$M$15</f>
        <v>CUMPLE</v>
      </c>
      <c r="E30" s="8" t="s">
        <v>54</v>
      </c>
      <c r="F30" s="11">
        <f>'[1]21'!$G$19</f>
        <v>601.68975509885877</v>
      </c>
      <c r="G30" s="12">
        <f>'[1]21'!$E$19</f>
        <v>3332.8233079386891</v>
      </c>
      <c r="H30" s="8">
        <v>100</v>
      </c>
      <c r="I30" s="8" t="e">
        <f>+#REF!+H30</f>
        <v>#REF!</v>
      </c>
      <c r="J30" s="9" t="str">
        <f>'[1]21'!$K$22</f>
        <v>HABIL</v>
      </c>
      <c r="K30" s="8"/>
    </row>
    <row r="31" spans="1:12" ht="30" hidden="1" x14ac:dyDescent="0.25">
      <c r="A31" s="9">
        <v>22</v>
      </c>
      <c r="B31" s="10" t="str">
        <f>'[1]22'!$D$6</f>
        <v>CONSTRUCCIONES Y OBRAS DE INGENIERIA FENIX SAS</v>
      </c>
      <c r="C31" s="8" t="str">
        <f>'[1]22'!$M$14</f>
        <v>CUMPLE</v>
      </c>
      <c r="D31" s="8" t="str">
        <f>'[1]22'!$M$15</f>
        <v>-</v>
      </c>
      <c r="E31" s="8" t="str">
        <f>'[1]22'!$M$16</f>
        <v>-</v>
      </c>
      <c r="F31" s="11">
        <f>'[1]22'!$G$19</f>
        <v>532.30223449491473</v>
      </c>
      <c r="G31" s="12">
        <f>'[1]22'!$E$19</f>
        <v>3176.0699991529914</v>
      </c>
      <c r="H31" s="8">
        <v>100</v>
      </c>
      <c r="I31" s="8" t="e">
        <f>+#REF!+H31</f>
        <v>#REF!</v>
      </c>
      <c r="J31" s="9" t="str">
        <f>'[1]22'!$K$22</f>
        <v>HABIL</v>
      </c>
      <c r="K31" s="8"/>
      <c r="L31" s="22"/>
    </row>
    <row r="32" spans="1:12" hidden="1" x14ac:dyDescent="0.25">
      <c r="A32" s="9">
        <v>23</v>
      </c>
      <c r="B32" s="10" t="str">
        <f>'[1]23'!$D$6</f>
        <v>CONSORCIO ANTONIO NARIÑO</v>
      </c>
      <c r="C32" s="8" t="str">
        <f>'[1]23'!$M$14</f>
        <v>CUMPLE</v>
      </c>
      <c r="D32" s="8" t="str">
        <f>'[1]23'!$M$15</f>
        <v>CUMPLE</v>
      </c>
      <c r="E32" s="8" t="str">
        <f>'[1]23'!$M$16</f>
        <v>CUMPLE</v>
      </c>
      <c r="F32" s="11">
        <f>'[1]23'!$G$19</f>
        <v>1392.3640411017336</v>
      </c>
      <c r="G32" s="12">
        <f>'[1]23'!$E$19</f>
        <v>4835.7252299105585</v>
      </c>
      <c r="H32" s="8">
        <v>100</v>
      </c>
      <c r="I32" s="8" t="e">
        <f>+#REF!+H32</f>
        <v>#REF!</v>
      </c>
      <c r="J32" s="9" t="str">
        <f>'[1]23'!$K$22</f>
        <v>HABIL</v>
      </c>
      <c r="K32" s="8"/>
      <c r="L32" s="23"/>
    </row>
    <row r="33" spans="1:11" ht="33" customHeight="1" x14ac:dyDescent="0.25">
      <c r="A33" s="24"/>
      <c r="B33" s="25"/>
      <c r="C33" s="26"/>
      <c r="D33" s="26"/>
      <c r="E33" s="26"/>
      <c r="F33" s="27"/>
      <c r="G33" s="28"/>
      <c r="H33" s="26"/>
      <c r="I33" s="26"/>
      <c r="J33" s="24"/>
      <c r="K33" s="26"/>
    </row>
    <row r="34" spans="1:11" x14ac:dyDescent="0.25">
      <c r="H34" s="30"/>
      <c r="I34" s="30"/>
      <c r="J34" s="30"/>
    </row>
    <row r="35" spans="1:11" x14ac:dyDescent="0.25">
      <c r="B35" s="324"/>
      <c r="C35" s="324"/>
      <c r="D35" s="324"/>
      <c r="E35" s="324"/>
      <c r="F35" s="324"/>
      <c r="H35" s="325"/>
      <c r="I35" s="325"/>
      <c r="J35" s="325"/>
    </row>
    <row r="36" spans="1:11" x14ac:dyDescent="0.25">
      <c r="B36" s="324"/>
      <c r="C36" s="324"/>
      <c r="D36" s="324"/>
      <c r="E36" s="324"/>
      <c r="F36" s="324"/>
      <c r="H36" s="326"/>
      <c r="I36" s="326"/>
      <c r="J36" s="326"/>
    </row>
    <row r="37" spans="1:11" x14ac:dyDescent="0.25">
      <c r="B37" s="324"/>
      <c r="C37" s="324"/>
      <c r="D37" s="324"/>
      <c r="E37" s="324"/>
      <c r="F37" s="324"/>
      <c r="H37" s="326"/>
      <c r="I37" s="326"/>
      <c r="J37" s="326"/>
    </row>
    <row r="38" spans="1:11" x14ac:dyDescent="0.25">
      <c r="H38" s="327"/>
      <c r="I38" s="327"/>
      <c r="J38" s="327"/>
    </row>
  </sheetData>
  <mergeCells count="17">
    <mergeCell ref="B36:F36"/>
    <mergeCell ref="H36:J36"/>
    <mergeCell ref="B37:F37"/>
    <mergeCell ref="H37:J37"/>
    <mergeCell ref="H38:J38"/>
    <mergeCell ref="A7:K7"/>
    <mergeCell ref="A8:A9"/>
    <mergeCell ref="B8:B9"/>
    <mergeCell ref="C8:K8"/>
    <mergeCell ref="B35:F35"/>
    <mergeCell ref="H35:J35"/>
    <mergeCell ref="A6:K6"/>
    <mergeCell ref="A1:K1"/>
    <mergeCell ref="A2:K2"/>
    <mergeCell ref="A3:K3"/>
    <mergeCell ref="A4:K4"/>
    <mergeCell ref="A5:K5"/>
  </mergeCells>
  <pageMargins left="0.17" right="0.17" top="0.3400000000000003" bottom="0.41000000000000025" header="0.31496062992126012" footer="0.31496062992126012"/>
  <pageSetup paperSize="0" scale="61" fitToWidth="0" fitToHeight="0" orientation="landscape" horizontalDpi="0" verticalDpi="0" copie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4"/>
  <sheetViews>
    <sheetView topLeftCell="A16" zoomScale="80" zoomScaleNormal="80" workbookViewId="0">
      <selection activeCell="L16" sqref="L16"/>
    </sheetView>
  </sheetViews>
  <sheetFormatPr baseColWidth="10" defaultColWidth="10.85546875" defaultRowHeight="15" x14ac:dyDescent="0.25"/>
  <cols>
    <col min="1" max="1" width="11.42578125" style="6" customWidth="1"/>
    <col min="2" max="2" width="13.140625" style="6" customWidth="1"/>
    <col min="3" max="3" width="23.85546875" style="6" customWidth="1"/>
    <col min="4" max="4" width="18.7109375" style="6" customWidth="1"/>
    <col min="5" max="5" width="15.42578125" style="6" customWidth="1"/>
    <col min="6" max="6" width="19.42578125" style="6" customWidth="1"/>
    <col min="7" max="7" width="11.42578125" style="6" customWidth="1"/>
    <col min="8" max="8" width="18.85546875" style="6" customWidth="1"/>
    <col min="9" max="9" width="17" style="6" customWidth="1"/>
    <col min="10" max="12" width="11.42578125" style="6" customWidth="1"/>
    <col min="13" max="13" width="19.140625" style="6" customWidth="1"/>
    <col min="14" max="14" width="15.140625" style="6" customWidth="1"/>
    <col min="15" max="15" width="14.7109375" style="6" customWidth="1"/>
    <col min="16" max="17" width="11.42578125" style="6" customWidth="1"/>
    <col min="18" max="18" width="14.7109375" style="6" customWidth="1"/>
    <col min="19" max="19" width="11.42578125" style="6" customWidth="1"/>
    <col min="20" max="16384" width="10.85546875" style="6"/>
  </cols>
  <sheetData>
    <row r="1" spans="1:19" ht="63.75" customHeight="1" x14ac:dyDescent="0.25">
      <c r="A1" s="330"/>
      <c r="B1" s="330"/>
      <c r="C1" s="331" t="s">
        <v>55</v>
      </c>
      <c r="D1" s="331"/>
      <c r="E1" s="331"/>
      <c r="F1" s="331"/>
      <c r="G1" s="331"/>
      <c r="H1" s="331"/>
      <c r="I1" s="331"/>
      <c r="J1" s="331"/>
      <c r="K1" s="331"/>
      <c r="L1" s="331"/>
      <c r="M1" s="332" t="s">
        <v>158</v>
      </c>
      <c r="N1" s="332"/>
      <c r="O1" s="332"/>
      <c r="P1" s="332"/>
      <c r="Q1" s="32" t="s">
        <v>56</v>
      </c>
      <c r="R1" s="33" t="s">
        <v>57</v>
      </c>
    </row>
    <row r="2" spans="1:19" ht="12.75" customHeight="1" x14ac:dyDescent="0.25">
      <c r="A2" s="333" t="str">
        <f>'PAG 1'!B6</f>
        <v xml:space="preserve">CONTRATAR EL MANTENIMIENTO Y MEJORAMIENTO DEL CERRAMIENTO PERIMETRAL DE LAS ESTACIONES VOR MARINILLA, OTU-REMEDIOS EN ANTIOQUIA Y QUIBDÓ EN CHOCÓ </v>
      </c>
      <c r="B2" s="333"/>
      <c r="C2" s="333"/>
      <c r="D2" s="333"/>
      <c r="E2" s="333"/>
      <c r="F2" s="333"/>
      <c r="G2" s="333"/>
      <c r="H2" s="334" t="s">
        <v>58</v>
      </c>
      <c r="I2" s="334"/>
      <c r="J2" s="335">
        <v>332797515</v>
      </c>
      <c r="K2" s="335"/>
      <c r="L2" s="335"/>
      <c r="M2" s="34" t="s">
        <v>59</v>
      </c>
      <c r="N2" s="336"/>
      <c r="O2" s="336"/>
      <c r="P2" s="336"/>
      <c r="Q2" s="35"/>
      <c r="R2" s="36"/>
    </row>
    <row r="3" spans="1:19" ht="12.75" customHeight="1" x14ac:dyDescent="0.25">
      <c r="A3" s="333"/>
      <c r="B3" s="333"/>
      <c r="C3" s="333"/>
      <c r="D3" s="333"/>
      <c r="E3" s="333"/>
      <c r="F3" s="333"/>
      <c r="G3" s="333"/>
      <c r="H3" s="334" t="s">
        <v>60</v>
      </c>
      <c r="I3" s="334"/>
      <c r="J3" s="335">
        <f>J2*2</f>
        <v>665595030</v>
      </c>
      <c r="K3" s="335"/>
      <c r="L3" s="335"/>
      <c r="M3" s="37"/>
      <c r="N3" s="336"/>
      <c r="O3" s="336"/>
      <c r="P3" s="336"/>
      <c r="Q3" s="35"/>
      <c r="R3" s="36"/>
    </row>
    <row r="4" spans="1:19" x14ac:dyDescent="0.25">
      <c r="A4" s="333"/>
      <c r="B4" s="333"/>
      <c r="C4" s="333"/>
      <c r="D4" s="333"/>
      <c r="E4" s="333"/>
      <c r="F4" s="333"/>
      <c r="G4" s="333"/>
      <c r="H4" s="334" t="s">
        <v>61</v>
      </c>
      <c r="I4" s="334"/>
      <c r="J4" s="335">
        <f>J3/R34</f>
        <v>851.9703625765128</v>
      </c>
      <c r="K4" s="335"/>
      <c r="L4" s="335"/>
      <c r="M4" s="37" t="s">
        <v>62</v>
      </c>
      <c r="N4" s="336"/>
      <c r="O4" s="336"/>
      <c r="P4" s="336"/>
      <c r="Q4" s="38">
        <v>1990</v>
      </c>
      <c r="R4" s="39">
        <v>41025</v>
      </c>
    </row>
    <row r="5" spans="1:19" x14ac:dyDescent="0.25">
      <c r="A5" s="333"/>
      <c r="B5" s="333"/>
      <c r="C5" s="333"/>
      <c r="D5" s="333"/>
      <c r="E5" s="333"/>
      <c r="F5" s="333"/>
      <c r="G5" s="333"/>
      <c r="H5" s="334" t="s">
        <v>63</v>
      </c>
      <c r="I5" s="334"/>
      <c r="J5" s="40">
        <v>3</v>
      </c>
      <c r="K5" s="41" t="s">
        <v>64</v>
      </c>
      <c r="L5" s="42">
        <f>J5*30</f>
        <v>90</v>
      </c>
      <c r="M5" s="37" t="s">
        <v>65</v>
      </c>
      <c r="N5" s="336"/>
      <c r="O5" s="336"/>
      <c r="P5" s="336"/>
      <c r="Q5" s="43">
        <v>1991</v>
      </c>
      <c r="R5" s="44">
        <v>51716</v>
      </c>
    </row>
    <row r="6" spans="1:19" ht="45.75" customHeight="1" x14ac:dyDescent="0.25">
      <c r="A6" s="333"/>
      <c r="B6" s="333"/>
      <c r="C6" s="333"/>
      <c r="D6" s="333"/>
      <c r="E6" s="333"/>
      <c r="F6" s="333"/>
      <c r="G6" s="333"/>
      <c r="H6" s="45"/>
      <c r="I6" s="45" t="s">
        <v>66</v>
      </c>
      <c r="J6" s="337">
        <f>J4/J5</f>
        <v>283.9901208588376</v>
      </c>
      <c r="K6" s="337"/>
      <c r="L6" s="337"/>
      <c r="M6" s="46" t="s">
        <v>67</v>
      </c>
      <c r="N6" s="336"/>
      <c r="O6" s="336"/>
      <c r="P6" s="336"/>
      <c r="Q6" s="43">
        <v>1992</v>
      </c>
      <c r="R6" s="44">
        <v>65190</v>
      </c>
    </row>
    <row r="7" spans="1:19" ht="68.25" customHeight="1" x14ac:dyDescent="0.25">
      <c r="A7" s="348" t="s">
        <v>68</v>
      </c>
      <c r="B7" s="348"/>
      <c r="C7" s="349">
        <v>1</v>
      </c>
      <c r="D7" s="350" t="str">
        <f>'PAG 2'!C6</f>
        <v>COLOMBIANA DE LA INGENIERIA Y DE LA ARQUITECTURA S.A.S – COLINAR SAS</v>
      </c>
      <c r="E7" s="350"/>
      <c r="F7" s="350"/>
      <c r="G7" s="350"/>
      <c r="H7" s="350"/>
      <c r="I7" s="328">
        <v>1</v>
      </c>
      <c r="J7" s="329" t="s">
        <v>69</v>
      </c>
      <c r="K7" s="329"/>
      <c r="L7" s="329"/>
      <c r="M7" s="47" t="s">
        <v>70</v>
      </c>
      <c r="N7" s="47" t="s">
        <v>71</v>
      </c>
      <c r="O7" s="339" t="s">
        <v>72</v>
      </c>
      <c r="P7" s="340" t="s">
        <v>73</v>
      </c>
      <c r="Q7" s="43">
        <v>1993</v>
      </c>
      <c r="R7" s="44">
        <v>81510</v>
      </c>
    </row>
    <row r="8" spans="1:19" ht="33.75" customHeight="1" x14ac:dyDescent="0.25">
      <c r="A8" s="348"/>
      <c r="B8" s="348"/>
      <c r="C8" s="349"/>
      <c r="D8" s="350"/>
      <c r="E8" s="350"/>
      <c r="F8" s="350"/>
      <c r="G8" s="350"/>
      <c r="H8" s="350"/>
      <c r="I8" s="328"/>
      <c r="J8" s="329"/>
      <c r="K8" s="329"/>
      <c r="L8" s="329"/>
      <c r="M8" s="48">
        <f>J4*60%</f>
        <v>511.18221754590763</v>
      </c>
      <c r="N8" s="48">
        <f>J6*60%</f>
        <v>170.39407251530255</v>
      </c>
      <c r="O8" s="339"/>
      <c r="P8" s="340"/>
      <c r="Q8" s="43"/>
      <c r="R8" s="44"/>
    </row>
    <row r="9" spans="1:19" ht="22.5" x14ac:dyDescent="0.25">
      <c r="A9" s="341" t="s">
        <v>74</v>
      </c>
      <c r="B9" s="341"/>
      <c r="C9" s="49" t="s">
        <v>75</v>
      </c>
      <c r="D9" s="342" t="str">
        <f>D7</f>
        <v>COLOMBIANA DE LA INGENIERIA Y DE LA ARQUITECTURA S.A.S – COLINAR SAS</v>
      </c>
      <c r="E9" s="342"/>
      <c r="F9" s="342"/>
      <c r="G9" s="342"/>
      <c r="H9" s="342"/>
      <c r="I9" s="50">
        <v>1</v>
      </c>
      <c r="J9" s="51" t="str">
        <f>IF(H15=D9,"APORTA EXP","NO APORTA EXP")</f>
        <v>APORTA EXP</v>
      </c>
      <c r="K9" s="51" t="str">
        <f>IF(H16=D9,"APORTA EXP","NO APORTA EXP")</f>
        <v>APORTA EXP</v>
      </c>
      <c r="L9" s="51" t="str">
        <f>IF(H17=D9,"APORTA EXP","NO APORTA EXP")</f>
        <v>NO APORTA EXP</v>
      </c>
      <c r="M9" s="52">
        <f>IF(D9="","",(SUMIF(H15:H17,D9,$D21:$D23)))</f>
        <v>1862.1840275375112</v>
      </c>
      <c r="N9" s="52">
        <f>IF(D9="","",(SUMIF(H15:H17,D9,$F21:$F23)))</f>
        <v>306.3902245422679</v>
      </c>
      <c r="O9" s="53" t="str">
        <f>IF(M9&gt;M8,"CUMPLE","NO CUMPLE")</f>
        <v>CUMPLE</v>
      </c>
      <c r="P9" s="54" t="str">
        <f>IF(N9&gt;N8,"CUMPLE","NO CUMPLE")</f>
        <v>CUMPLE</v>
      </c>
      <c r="Q9" s="43">
        <v>1994</v>
      </c>
      <c r="R9" s="44">
        <v>98700</v>
      </c>
    </row>
    <row r="10" spans="1:19" ht="22.5" x14ac:dyDescent="0.25">
      <c r="A10" s="341"/>
      <c r="B10" s="341"/>
      <c r="C10" s="49" t="s">
        <v>76</v>
      </c>
      <c r="D10" s="343"/>
      <c r="E10" s="343"/>
      <c r="F10" s="343"/>
      <c r="G10" s="343"/>
      <c r="H10" s="343"/>
      <c r="I10" s="50"/>
      <c r="J10" s="51" t="str">
        <f>IF(H15=D10,"APORTA EXP","NO APORTA EXP")</f>
        <v>NO APORTA EXP</v>
      </c>
      <c r="K10" s="51" t="str">
        <f>IF(H16=D10,"APORTA EXP","NO APORTA EXP")</f>
        <v>NO APORTA EXP</v>
      </c>
      <c r="L10" s="51" t="str">
        <f>IF(H17=D10,"APORTA EXP","NO APORTA EXP")</f>
        <v>APORTA EXP</v>
      </c>
      <c r="M10" s="55" t="str">
        <f>IF(D10="","",(SUMIF(H15:H17,D10,$D21)))</f>
        <v/>
      </c>
      <c r="N10" s="55" t="str">
        <f>IF(D10="","",(SUMIF(H15:H17,D10,$F21)))</f>
        <v/>
      </c>
      <c r="O10" s="53" t="str">
        <f>IF(M10&gt;M8,"CUMPLE","NO CUMPLE")</f>
        <v>CUMPLE</v>
      </c>
      <c r="P10" s="54" t="str">
        <f>IF(N10&gt;N8,"CUMPLE","NO CUMPLE")</f>
        <v>CUMPLE</v>
      </c>
      <c r="Q10" s="43">
        <v>1995</v>
      </c>
      <c r="R10" s="44">
        <v>118933.5</v>
      </c>
    </row>
    <row r="11" spans="1:19" ht="22.5" x14ac:dyDescent="0.25">
      <c r="A11" s="341"/>
      <c r="B11" s="341"/>
      <c r="C11" s="49" t="s">
        <v>77</v>
      </c>
      <c r="D11" s="343"/>
      <c r="E11" s="343"/>
      <c r="F11" s="343"/>
      <c r="G11" s="343"/>
      <c r="H11" s="343"/>
      <c r="I11" s="50"/>
      <c r="J11" s="51" t="str">
        <f>IF(H15=D11,"APORTA EXP","NO APORTA EXP")</f>
        <v>NO APORTA EXP</v>
      </c>
      <c r="K11" s="51" t="str">
        <f>IF(H16=D11,"APORTA EXP","NO APORTA EXP")</f>
        <v>NO APORTA EXP</v>
      </c>
      <c r="L11" s="51" t="str">
        <f>IF(H17=D11,"APORTA EXP","NO APORTA EXP")</f>
        <v>APORTA EXP</v>
      </c>
      <c r="M11" s="55" t="str">
        <f>IF(D11="","",(SUMIF(H15:H17,D11,$D21:$D23)))</f>
        <v/>
      </c>
      <c r="N11" s="56" t="str">
        <f>IF(D11="","",(SUMIF(H15:H17,D11,$F21:$F23)))</f>
        <v/>
      </c>
      <c r="O11" s="53" t="str">
        <f>IF(M11&gt;M8,"CUMPLE","NO CUMPLE")</f>
        <v>CUMPLE</v>
      </c>
      <c r="P11" s="54" t="str">
        <f>IF(N11&gt;N8,"CUMPLE","NO CUMPLE")</f>
        <v>CUMPLE</v>
      </c>
      <c r="Q11" s="43">
        <v>1996</v>
      </c>
      <c r="R11" s="44">
        <v>142125</v>
      </c>
    </row>
    <row r="12" spans="1:19" ht="22.5" x14ac:dyDescent="0.25">
      <c r="A12" s="341"/>
      <c r="B12" s="341"/>
      <c r="C12" s="49" t="s">
        <v>78</v>
      </c>
      <c r="D12" s="343"/>
      <c r="E12" s="343"/>
      <c r="F12" s="343"/>
      <c r="G12" s="343"/>
      <c r="H12" s="343"/>
      <c r="I12" s="50"/>
      <c r="J12" s="51" t="str">
        <f>IF(H15=D12,"APORTA EXP","NO APORTA EXP")</f>
        <v>NO APORTA EXP</v>
      </c>
      <c r="K12" s="51" t="str">
        <f>IF(H16=D12,"APORTA EXP","NO APORTA EXP")</f>
        <v>NO APORTA EXP</v>
      </c>
      <c r="L12" s="51" t="str">
        <f>IF(H17=D12,"APORTA EXP","NO APORTA EXP")</f>
        <v>APORTA EXP</v>
      </c>
      <c r="M12" s="55" t="str">
        <f>IF(D12="","",(SUMIF(H15:H17,D12,$D21:$D23)))</f>
        <v/>
      </c>
      <c r="N12" s="56" t="str">
        <f>IF(D12="","",(SUMIF(H15:H17,D12,$F21:$F23)))</f>
        <v/>
      </c>
      <c r="O12" s="53" t="str">
        <f>IF(M12&gt;M8,"CUMPLE","NO CUMPLE")</f>
        <v>CUMPLE</v>
      </c>
      <c r="P12" s="54" t="str">
        <f>IF(N12&gt;N8,"CUMPLE","NO CUMPLE")</f>
        <v>CUMPLE</v>
      </c>
      <c r="Q12" s="43">
        <v>1997</v>
      </c>
      <c r="R12" s="44">
        <v>172005</v>
      </c>
    </row>
    <row r="13" spans="1:19"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9" ht="90" customHeight="1"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9" ht="55.5" customHeight="1" x14ac:dyDescent="0.25">
      <c r="A15" s="62" t="s">
        <v>34</v>
      </c>
      <c r="B15" s="8">
        <v>1</v>
      </c>
      <c r="C15" s="166" t="s">
        <v>177</v>
      </c>
      <c r="D15" s="167" t="s">
        <v>178</v>
      </c>
      <c r="E15" s="136">
        <f>658467600/R30</f>
        <v>1068.9409090909091</v>
      </c>
      <c r="F15" s="132" t="s">
        <v>34</v>
      </c>
      <c r="G15" s="168">
        <v>1</v>
      </c>
      <c r="H15" s="171" t="str">
        <f>D9</f>
        <v>COLOMBIANA DE LA INGENIERIA Y DE LA ARQUITECTURA S.A.S – COLINAR SAS</v>
      </c>
      <c r="I15" s="169">
        <v>41694</v>
      </c>
      <c r="J15" s="170"/>
      <c r="K15" s="169">
        <v>41978</v>
      </c>
      <c r="L15" s="66">
        <f>((K15-I15)/30)-J15</f>
        <v>9.4666666666666668</v>
      </c>
      <c r="M15" s="338" t="s">
        <v>94</v>
      </c>
      <c r="N15" s="338"/>
      <c r="O15" s="338"/>
      <c r="P15" s="338"/>
      <c r="Q15" s="43">
        <v>2000</v>
      </c>
      <c r="R15" s="44">
        <v>260100</v>
      </c>
      <c r="S15" s="6">
        <f>(K15-I15)/30-(30+30+21)</f>
        <v>-71.533333333333331</v>
      </c>
    </row>
    <row r="16" spans="1:19" ht="26.25" customHeight="1" x14ac:dyDescent="0.25">
      <c r="A16" s="62" t="s">
        <v>34</v>
      </c>
      <c r="B16" s="8">
        <v>2</v>
      </c>
      <c r="C16" s="166" t="s">
        <v>179</v>
      </c>
      <c r="D16" s="167" t="s">
        <v>180</v>
      </c>
      <c r="E16" s="136">
        <f>408520206/R26</f>
        <v>793.2431184466019</v>
      </c>
      <c r="F16" s="132" t="s">
        <v>34</v>
      </c>
      <c r="G16" s="168">
        <v>1</v>
      </c>
      <c r="H16" s="171" t="str">
        <f>H15</f>
        <v>COLOMBIANA DE LA INGENIERIA Y DE LA ARQUITECTURA S.A.S – COLINAR SAS</v>
      </c>
      <c r="I16" s="169">
        <v>40113</v>
      </c>
      <c r="J16" s="170"/>
      <c r="K16" s="169">
        <v>40236</v>
      </c>
      <c r="L16" s="66">
        <f t="shared" ref="L16" si="0">((K16-I16)/30)-J16</f>
        <v>4.0999999999999996</v>
      </c>
      <c r="M16" s="338" t="s">
        <v>94</v>
      </c>
      <c r="N16" s="338"/>
      <c r="O16" s="338"/>
      <c r="P16" s="338"/>
      <c r="Q16" s="43">
        <v>2001</v>
      </c>
      <c r="R16" s="44">
        <v>286000</v>
      </c>
    </row>
    <row r="17" spans="1:18" ht="29.25" customHeight="1" x14ac:dyDescent="0.25">
      <c r="A17" s="62" t="s">
        <v>34</v>
      </c>
      <c r="B17" s="8">
        <v>3</v>
      </c>
      <c r="C17" s="166"/>
      <c r="D17" s="167"/>
      <c r="E17" s="136"/>
      <c r="F17" s="132"/>
      <c r="G17" s="168"/>
      <c r="H17" s="171"/>
      <c r="I17" s="169"/>
      <c r="J17" s="170"/>
      <c r="K17" s="169"/>
      <c r="L17" s="66"/>
      <c r="M17" s="338" t="s">
        <v>94</v>
      </c>
      <c r="N17" s="338"/>
      <c r="O17" s="338"/>
      <c r="P17" s="338"/>
      <c r="Q17" s="43">
        <v>2002</v>
      </c>
      <c r="R17" s="44">
        <v>309000</v>
      </c>
    </row>
    <row r="18" spans="1:18" x14ac:dyDescent="0.25">
      <c r="A18" s="351"/>
      <c r="B18" s="351"/>
      <c r="C18" s="351"/>
      <c r="D18" s="351"/>
      <c r="E18" s="351"/>
      <c r="F18" s="351"/>
      <c r="G18" s="351"/>
      <c r="H18" s="351"/>
      <c r="I18" s="351"/>
      <c r="J18" s="351"/>
      <c r="K18" s="351"/>
      <c r="L18" s="351"/>
      <c r="M18" s="351"/>
      <c r="N18" s="351"/>
      <c r="O18" s="351"/>
      <c r="P18" s="351"/>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c r="I20" s="355"/>
      <c r="J20" s="355"/>
      <c r="K20" s="355"/>
      <c r="L20" s="355"/>
      <c r="M20" s="355"/>
      <c r="N20" s="354"/>
      <c r="O20" s="354"/>
      <c r="P20" s="354"/>
      <c r="Q20" s="43"/>
      <c r="R20" s="44"/>
    </row>
    <row r="21" spans="1:18" ht="34.5" customHeight="1" x14ac:dyDescent="0.25">
      <c r="A21" s="352"/>
      <c r="B21" s="352"/>
      <c r="C21" s="67" t="str">
        <f>D15</f>
        <v>041 DE 2014</v>
      </c>
      <c r="D21" s="68">
        <f>IF(M15="CUMPLE",(E15*G15),0)</f>
        <v>1068.9409090909091</v>
      </c>
      <c r="E21" s="356">
        <f>SUM(D21:D23)</f>
        <v>1862.1840275375112</v>
      </c>
      <c r="F21" s="69">
        <f>D21/L15</f>
        <v>112.91629321382842</v>
      </c>
      <c r="G21" s="357">
        <f>SUM(F21:F23)</f>
        <v>306.3902245422679</v>
      </c>
      <c r="H21" s="355"/>
      <c r="I21" s="355"/>
      <c r="J21" s="355"/>
      <c r="K21" s="355"/>
      <c r="L21" s="355"/>
      <c r="M21" s="355"/>
      <c r="N21" s="354"/>
      <c r="O21" s="354"/>
      <c r="P21" s="354"/>
      <c r="Q21" s="43">
        <v>2005</v>
      </c>
      <c r="R21" s="44">
        <v>381500</v>
      </c>
    </row>
    <row r="22" spans="1:18" ht="26.25" customHeight="1" x14ac:dyDescent="0.25">
      <c r="A22" s="352"/>
      <c r="B22" s="352"/>
      <c r="C22" s="123" t="str">
        <f>D16</f>
        <v>LP 003 de 2009</v>
      </c>
      <c r="D22" s="68">
        <f>IF(M16="CUMPLE",(E16*G16),0)</f>
        <v>793.2431184466019</v>
      </c>
      <c r="E22" s="356"/>
      <c r="F22" s="69">
        <f>D22/L16</f>
        <v>193.47393132843951</v>
      </c>
      <c r="G22" s="357"/>
      <c r="H22" s="358"/>
      <c r="I22" s="358"/>
      <c r="J22" s="358"/>
      <c r="K22" s="358"/>
      <c r="L22" s="358"/>
      <c r="M22" s="358"/>
      <c r="N22" s="358"/>
      <c r="O22" s="358"/>
      <c r="P22" s="358"/>
      <c r="Q22" s="43">
        <v>2006</v>
      </c>
      <c r="R22" s="44">
        <v>408000</v>
      </c>
    </row>
    <row r="23" spans="1:18" ht="32.25" customHeight="1" x14ac:dyDescent="0.25">
      <c r="A23" s="352"/>
      <c r="B23" s="352"/>
      <c r="C23" s="123">
        <f>D17</f>
        <v>0</v>
      </c>
      <c r="D23" s="68">
        <f>IF(M17="CUMPLE",(E17*G17),0)</f>
        <v>0</v>
      </c>
      <c r="E23" s="356"/>
      <c r="F23" s="69"/>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CUMPLE</v>
      </c>
      <c r="F24" s="72" t="s">
        <v>103</v>
      </c>
      <c r="G24" s="71" t="str">
        <f>IF(G21="","",IF(L6&lt;=G21,"CUMPLE", "NO CUMPLE"))</f>
        <v>CUMPLE</v>
      </c>
      <c r="H24" s="360" t="s">
        <v>50</v>
      </c>
      <c r="I24" s="360"/>
      <c r="J24" s="360"/>
      <c r="K24" s="361" t="s">
        <v>104</v>
      </c>
      <c r="L24" s="361"/>
      <c r="M24" s="73" t="s">
        <v>105</v>
      </c>
      <c r="N24" s="362">
        <f>+N19+N20+N21</f>
        <v>10</v>
      </c>
      <c r="O24" s="362"/>
      <c r="P24" s="362"/>
      <c r="Q24" s="43">
        <v>2008</v>
      </c>
      <c r="R24" s="44">
        <v>461500</v>
      </c>
    </row>
    <row r="25" spans="1:18" x14ac:dyDescent="0.25">
      <c r="K25" s="366"/>
      <c r="L25" s="366"/>
      <c r="M25" s="366"/>
      <c r="N25" s="366"/>
      <c r="O25" s="366"/>
      <c r="P25" s="366"/>
      <c r="Q25" s="74">
        <v>2009</v>
      </c>
      <c r="R25" s="44">
        <v>496900</v>
      </c>
    </row>
    <row r="26" spans="1:18" ht="51" customHeight="1" x14ac:dyDescent="0.25">
      <c r="A26" s="367" t="s">
        <v>106</v>
      </c>
      <c r="B26" s="367"/>
      <c r="C26" s="367"/>
      <c r="D26" s="367"/>
      <c r="E26" s="367"/>
      <c r="F26" s="367"/>
      <c r="G26" s="367"/>
      <c r="H26" s="367"/>
      <c r="I26" s="75"/>
      <c r="J26" s="75"/>
      <c r="K26" s="75"/>
      <c r="L26" s="75"/>
      <c r="M26" s="75"/>
      <c r="N26" s="75"/>
      <c r="Q26" s="74">
        <v>2010</v>
      </c>
      <c r="R26" s="44">
        <v>515000</v>
      </c>
    </row>
    <row r="27" spans="1:18" ht="30" customHeight="1" x14ac:dyDescent="0.25">
      <c r="A27" s="368"/>
      <c r="B27" s="368"/>
      <c r="C27" s="368"/>
      <c r="D27" s="368"/>
      <c r="E27" s="368"/>
      <c r="F27" s="368"/>
      <c r="G27" s="368"/>
      <c r="H27" s="368"/>
      <c r="I27" s="76"/>
      <c r="J27" s="77"/>
      <c r="K27" s="77"/>
      <c r="L27" s="78"/>
      <c r="M27" s="77"/>
      <c r="N27" s="76"/>
      <c r="Q27" s="74">
        <v>2011</v>
      </c>
      <c r="R27" s="44">
        <v>535600</v>
      </c>
    </row>
    <row r="28" spans="1:18" ht="26.25" customHeight="1" x14ac:dyDescent="0.25">
      <c r="A28" s="368"/>
      <c r="B28" s="368"/>
      <c r="C28" s="368"/>
      <c r="D28" s="368"/>
      <c r="E28" s="368"/>
      <c r="F28" s="368"/>
      <c r="G28" s="368"/>
      <c r="H28" s="368"/>
      <c r="I28" s="76"/>
      <c r="J28" s="77"/>
      <c r="K28" s="77"/>
      <c r="L28" s="78"/>
      <c r="M28" s="77"/>
      <c r="N28" s="76"/>
      <c r="Q28" s="74">
        <v>2012</v>
      </c>
      <c r="R28" s="44">
        <v>566700</v>
      </c>
    </row>
    <row r="29" spans="1:18" ht="48" customHeight="1" x14ac:dyDescent="0.25">
      <c r="A29" s="368"/>
      <c r="B29" s="368"/>
      <c r="C29" s="368"/>
      <c r="D29" s="368"/>
      <c r="E29" s="368"/>
      <c r="F29" s="368"/>
      <c r="G29" s="368"/>
      <c r="H29" s="368"/>
      <c r="I29" s="76"/>
      <c r="J29" s="77"/>
      <c r="K29" s="77"/>
      <c r="L29" s="78"/>
      <c r="M29" s="77"/>
      <c r="N29" s="76"/>
      <c r="Q29" s="74">
        <v>2013</v>
      </c>
      <c r="R29" s="44">
        <v>589500</v>
      </c>
    </row>
    <row r="30" spans="1:18" ht="41.25" customHeight="1" x14ac:dyDescent="0.25">
      <c r="A30" s="368"/>
      <c r="B30" s="368"/>
      <c r="C30" s="368"/>
      <c r="D30" s="368"/>
      <c r="E30" s="368"/>
      <c r="F30" s="368"/>
      <c r="G30" s="368"/>
      <c r="H30" s="368"/>
      <c r="I30" s="79"/>
      <c r="J30" s="79"/>
      <c r="K30" s="79"/>
      <c r="L30" s="78"/>
      <c r="M30" s="77"/>
      <c r="N30" s="76"/>
      <c r="O30" s="80"/>
      <c r="Q30" s="74">
        <v>2014</v>
      </c>
      <c r="R30" s="44">
        <v>616000</v>
      </c>
    </row>
    <row r="31" spans="1:18" x14ac:dyDescent="0.25">
      <c r="A31" s="369"/>
      <c r="B31" s="369"/>
      <c r="C31" s="369"/>
      <c r="D31" s="369"/>
      <c r="E31" s="369"/>
      <c r="F31" s="369"/>
      <c r="G31" s="369"/>
      <c r="H31" s="369"/>
      <c r="I31" s="81"/>
      <c r="J31" s="81"/>
      <c r="K31" s="81"/>
      <c r="L31" s="81"/>
      <c r="M31" s="81"/>
      <c r="N31" s="81"/>
      <c r="Q31" s="74">
        <v>2015</v>
      </c>
      <c r="R31" s="44">
        <v>644350</v>
      </c>
    </row>
    <row r="32" spans="1:18" x14ac:dyDescent="0.25">
      <c r="A32" s="369"/>
      <c r="B32" s="369"/>
      <c r="C32" s="369"/>
      <c r="D32" s="369"/>
      <c r="E32" s="369"/>
      <c r="F32" s="369"/>
      <c r="G32" s="369"/>
      <c r="H32" s="369"/>
      <c r="I32" s="81"/>
      <c r="J32" s="81"/>
      <c r="K32" s="81"/>
      <c r="L32" s="81"/>
      <c r="M32" s="81"/>
      <c r="N32" s="81"/>
      <c r="Q32" s="74">
        <v>2016</v>
      </c>
      <c r="R32" s="44">
        <v>689455</v>
      </c>
    </row>
    <row r="33" spans="1:18" ht="15.75" thickBot="1" x14ac:dyDescent="0.3">
      <c r="A33" s="369"/>
      <c r="B33" s="369"/>
      <c r="C33" s="369"/>
      <c r="D33" s="369"/>
      <c r="E33" s="369"/>
      <c r="F33" s="369"/>
      <c r="G33" s="369"/>
      <c r="H33" s="369"/>
      <c r="I33" s="81"/>
      <c r="J33" s="81"/>
      <c r="K33" s="81"/>
      <c r="L33" s="81"/>
      <c r="M33" s="81"/>
      <c r="N33" s="81"/>
      <c r="Q33" s="82">
        <v>2017</v>
      </c>
      <c r="R33" s="83">
        <v>737717</v>
      </c>
    </row>
    <row r="34" spans="1:18" ht="15.75" thickBot="1" x14ac:dyDescent="0.3">
      <c r="A34" s="56"/>
      <c r="B34" s="56"/>
      <c r="C34" s="56"/>
      <c r="D34" s="56"/>
      <c r="E34" s="363"/>
      <c r="F34" s="364"/>
      <c r="G34" s="364"/>
      <c r="H34" s="365"/>
      <c r="I34" s="81"/>
      <c r="J34" s="81"/>
      <c r="K34" s="81"/>
      <c r="L34" s="81"/>
      <c r="M34" s="81"/>
      <c r="N34" s="81"/>
      <c r="Q34" s="82">
        <v>2018</v>
      </c>
      <c r="R34" s="83">
        <v>781242</v>
      </c>
    </row>
  </sheetData>
  <mergeCells count="53">
    <mergeCell ref="A24:C24"/>
    <mergeCell ref="H24:J24"/>
    <mergeCell ref="K24:L24"/>
    <mergeCell ref="N24:P24"/>
    <mergeCell ref="E34:H34"/>
    <mergeCell ref="K25:P25"/>
    <mergeCell ref="A26:H26"/>
    <mergeCell ref="A27:H30"/>
    <mergeCell ref="A31:H33"/>
    <mergeCell ref="M17:P17"/>
    <mergeCell ref="A18:P18"/>
    <mergeCell ref="A19:B23"/>
    <mergeCell ref="H19:M19"/>
    <mergeCell ref="N19:P19"/>
    <mergeCell ref="H20:K21"/>
    <mergeCell ref="L20:M20"/>
    <mergeCell ref="N20:P20"/>
    <mergeCell ref="E21:E23"/>
    <mergeCell ref="G21:G23"/>
    <mergeCell ref="L21:M21"/>
    <mergeCell ref="N21:P21"/>
    <mergeCell ref="H22:P23"/>
    <mergeCell ref="M16:P16"/>
    <mergeCell ref="O7:O8"/>
    <mergeCell ref="P7:P8"/>
    <mergeCell ref="A9:B12"/>
    <mergeCell ref="D9:H9"/>
    <mergeCell ref="D10:H10"/>
    <mergeCell ref="D11:H11"/>
    <mergeCell ref="D12:H12"/>
    <mergeCell ref="A13:F13"/>
    <mergeCell ref="G13:H13"/>
    <mergeCell ref="J13:N13"/>
    <mergeCell ref="M14:P14"/>
    <mergeCell ref="M15:P15"/>
    <mergeCell ref="A7:B8"/>
    <mergeCell ref="C7:C8"/>
    <mergeCell ref="D7:H8"/>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s>
  <conditionalFormatting sqref="J9:L12">
    <cfRule type="expression" priority="12" stopIfTrue="1">
      <formula>NOT(ISERROR(SEARCH("APORTA EXP",J9)))</formula>
    </cfRule>
  </conditionalFormatting>
  <conditionalFormatting sqref="E24">
    <cfRule type="expression" dxfId="163" priority="25" stopIfTrue="1">
      <formula>NOT(ISERROR(SEARCH("CUMPLE",E24)))</formula>
    </cfRule>
  </conditionalFormatting>
  <conditionalFormatting sqref="G24">
    <cfRule type="expression" dxfId="162" priority="29" stopIfTrue="1">
      <formula>NOT(ISERROR(SEARCH("CUMPLE",G24)))</formula>
    </cfRule>
  </conditionalFormatting>
  <conditionalFormatting sqref="M15:M17">
    <cfRule type="expression" dxfId="161" priority="23" stopIfTrue="1">
      <formula>NOT(ISERROR(SEARCH("CUMPLE",M15)))</formula>
    </cfRule>
  </conditionalFormatting>
  <conditionalFormatting sqref="O9:O12">
    <cfRule type="expression" dxfId="160" priority="10" stopIfTrue="1">
      <formula>NOT(ISERROR(SEARCH("CUMPLE",O9)))</formula>
    </cfRule>
  </conditionalFormatting>
  <conditionalFormatting sqref="P9:P12">
    <cfRule type="expression" dxfId="159" priority="14" stopIfTrue="1">
      <formula>NOT(ISERROR(SEARCH("CUMPLE",P9)))</formula>
    </cfRule>
  </conditionalFormatting>
  <conditionalFormatting sqref="K24">
    <cfRule type="expression" dxfId="158" priority="27" stopIfTrue="1">
      <formula>NOT(ISERROR(SEARCH("HABIL",K24)))</formula>
    </cfRule>
  </conditionalFormatting>
  <conditionalFormatting sqref="J9:L12">
    <cfRule type="expression" dxfId="157" priority="11" stopIfTrue="1">
      <formula>NOT(ISERROR(SEARCH("NO APORTA EXP",J9)))</formula>
    </cfRule>
  </conditionalFormatting>
  <conditionalFormatting sqref="E24">
    <cfRule type="expression" dxfId="156" priority="24" stopIfTrue="1">
      <formula>NOT(ISERROR(SEARCH("NO CUMPLE",E24)))</formula>
    </cfRule>
  </conditionalFormatting>
  <conditionalFormatting sqref="G24">
    <cfRule type="expression" dxfId="155" priority="28" stopIfTrue="1">
      <formula>NOT(ISERROR(SEARCH("NO CUMPLE",G24)))</formula>
    </cfRule>
  </conditionalFormatting>
  <conditionalFormatting sqref="M15:M17">
    <cfRule type="expression" dxfId="154" priority="22" stopIfTrue="1">
      <formula>NOT(ISERROR(SEARCH("NO CUMPLE",M15)))</formula>
    </cfRule>
  </conditionalFormatting>
  <conditionalFormatting sqref="O9:O12">
    <cfRule type="expression" dxfId="153" priority="9" stopIfTrue="1">
      <formula>NOT(ISERROR(SEARCH("NO CUMPLE",O9)))</formula>
    </cfRule>
  </conditionalFormatting>
  <conditionalFormatting sqref="P9:P12">
    <cfRule type="expression" dxfId="152" priority="13" stopIfTrue="1">
      <formula>NOT(ISERROR(SEARCH("NO CUMPLE",P9)))</formula>
    </cfRule>
  </conditionalFormatting>
  <conditionalFormatting sqref="K24">
    <cfRule type="expression" dxfId="151" priority="26" stopIfTrue="1">
      <formula>NOT(ISERROR(SEARCH("NO HABIL",K24)))</formula>
    </cfRule>
  </conditionalFormatting>
  <conditionalFormatting sqref="A15">
    <cfRule type="expression" dxfId="150" priority="16" stopIfTrue="1">
      <formula>NOT(ISERROR(SEARCH("NO",A15)))</formula>
    </cfRule>
  </conditionalFormatting>
  <conditionalFormatting sqref="A16:A17">
    <cfRule type="expression" dxfId="149" priority="18" stopIfTrue="1">
      <formula>NOT(ISERROR(SEARCH("NO",A16)))</formula>
    </cfRule>
  </conditionalFormatting>
  <conditionalFormatting sqref="F15:F16">
    <cfRule type="expression" dxfId="148" priority="2" stopIfTrue="1">
      <formula>NOT(ISERROR(SEARCH("NO",F15)))</formula>
    </cfRule>
  </conditionalFormatting>
  <conditionalFormatting sqref="F17">
    <cfRule type="expression" dxfId="147" priority="3" stopIfTrue="1">
      <formula>NOT(ISERROR(SEARCH("NO",F17)))</formula>
    </cfRule>
  </conditionalFormatting>
  <conditionalFormatting sqref="I15:I17 K15:K17">
    <cfRule type="cellIs" dxfId="146" priority="1" stopIfTrue="1" operator="greaterThan">
      <formula>0</formula>
    </cfRule>
  </conditionalFormatting>
  <pageMargins left="0.23622047244094491" right="0.23622047244094491" top="0.35433070866141736" bottom="0.35433070866141736" header="0.31496062992125984" footer="0.31496062992125984"/>
  <pageSetup scale="55" fitToWidth="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60"/>
  <sheetViews>
    <sheetView zoomScale="80" zoomScaleNormal="80" zoomScalePageLayoutView="80" workbookViewId="0">
      <selection activeCell="K17" sqref="K17"/>
    </sheetView>
  </sheetViews>
  <sheetFormatPr baseColWidth="10" defaultColWidth="10.85546875" defaultRowHeight="15" x14ac:dyDescent="0.25"/>
  <cols>
    <col min="1" max="1" width="11.42578125" style="6" customWidth="1"/>
    <col min="2" max="2" width="13.140625" style="6" customWidth="1"/>
    <col min="3" max="3" width="23.85546875" style="6" customWidth="1"/>
    <col min="4" max="4" width="18.7109375" style="6" customWidth="1"/>
    <col min="5" max="5" width="15.42578125" style="6" customWidth="1"/>
    <col min="6" max="6" width="19.42578125" style="6" customWidth="1"/>
    <col min="7" max="7" width="11.42578125" style="6" customWidth="1"/>
    <col min="8" max="8" width="18.85546875" style="6" customWidth="1"/>
    <col min="9" max="9" width="17" style="6" customWidth="1"/>
    <col min="10" max="10" width="13.42578125" style="6" customWidth="1"/>
    <col min="11" max="12" width="11.42578125" style="6" customWidth="1"/>
    <col min="13" max="13" width="17.7109375" style="6" customWidth="1"/>
    <col min="14" max="14" width="15.140625" style="6" customWidth="1"/>
    <col min="15" max="15" width="14.7109375" style="6" customWidth="1"/>
    <col min="16" max="17" width="11.42578125" style="6" customWidth="1"/>
    <col min="18" max="18" width="14.7109375" style="6" customWidth="1"/>
    <col min="19" max="19" width="11.42578125" style="6" customWidth="1"/>
    <col min="20" max="16384" width="10.85546875" style="6"/>
  </cols>
  <sheetData>
    <row r="1" spans="1:18"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8" ht="12.75" customHeight="1" x14ac:dyDescent="0.25">
      <c r="A2" s="370" t="str">
        <f>'1'!A2:G6</f>
        <v xml:space="preserve">CONTRATAR EL MANTENIMIENTO Y MEJORAMIENTO DEL CERRAMIENTO PERIMETRAL DE LAS ESTACIONES VOR MARINILLA, OTU-REMEDIOS EN ANTIOQUIA Y QUIBDÓ EN CHOCÓ </v>
      </c>
      <c r="B2" s="370"/>
      <c r="C2" s="370"/>
      <c r="D2" s="370"/>
      <c r="E2" s="370"/>
      <c r="F2" s="370"/>
      <c r="G2" s="370"/>
      <c r="H2" s="334" t="s">
        <v>58</v>
      </c>
      <c r="I2" s="334"/>
      <c r="J2" s="335">
        <f>'1'!J2:L2</f>
        <v>332797515</v>
      </c>
      <c r="K2" s="335"/>
      <c r="L2" s="335"/>
      <c r="M2" s="34" t="s">
        <v>59</v>
      </c>
      <c r="N2" s="336"/>
      <c r="O2" s="336"/>
      <c r="P2" s="336"/>
      <c r="Q2" s="35"/>
      <c r="R2" s="36"/>
    </row>
    <row r="3" spans="1:18" ht="12.75" customHeight="1" x14ac:dyDescent="0.25">
      <c r="A3" s="370"/>
      <c r="B3" s="370"/>
      <c r="C3" s="370"/>
      <c r="D3" s="370"/>
      <c r="E3" s="370"/>
      <c r="F3" s="370"/>
      <c r="G3" s="370"/>
      <c r="H3" s="334" t="s">
        <v>60</v>
      </c>
      <c r="I3" s="334"/>
      <c r="J3" s="335">
        <f>J2*2</f>
        <v>665595030</v>
      </c>
      <c r="K3" s="335"/>
      <c r="L3" s="335"/>
      <c r="M3" s="37"/>
      <c r="N3" s="336"/>
      <c r="O3" s="336"/>
      <c r="P3" s="336"/>
      <c r="Q3" s="35"/>
      <c r="R3" s="36"/>
    </row>
    <row r="4" spans="1:18" ht="15" customHeight="1" x14ac:dyDescent="0.25">
      <c r="A4" s="370"/>
      <c r="B4" s="370"/>
      <c r="C4" s="370"/>
      <c r="D4" s="370"/>
      <c r="E4" s="370"/>
      <c r="F4" s="370"/>
      <c r="G4" s="370"/>
      <c r="H4" s="334" t="s">
        <v>61</v>
      </c>
      <c r="I4" s="334"/>
      <c r="J4" s="335">
        <f>J3/R36</f>
        <v>851.9703625765128</v>
      </c>
      <c r="K4" s="335"/>
      <c r="L4" s="335"/>
      <c r="M4" s="37" t="s">
        <v>62</v>
      </c>
      <c r="N4" s="336"/>
      <c r="O4" s="336"/>
      <c r="P4" s="336"/>
      <c r="Q4" s="38">
        <v>1990</v>
      </c>
      <c r="R4" s="39">
        <v>41025</v>
      </c>
    </row>
    <row r="5" spans="1:18" ht="15" customHeight="1" x14ac:dyDescent="0.25">
      <c r="A5" s="370"/>
      <c r="B5" s="370"/>
      <c r="C5" s="370"/>
      <c r="D5" s="370"/>
      <c r="E5" s="370"/>
      <c r="F5" s="370"/>
      <c r="G5" s="370"/>
      <c r="H5" s="334" t="s">
        <v>63</v>
      </c>
      <c r="I5" s="334"/>
      <c r="J5" s="40">
        <f>'[1]1'!J5</f>
        <v>4</v>
      </c>
      <c r="K5" s="41" t="s">
        <v>64</v>
      </c>
      <c r="L5" s="42">
        <f>J5*30</f>
        <v>120</v>
      </c>
      <c r="M5" s="37" t="s">
        <v>65</v>
      </c>
      <c r="N5" s="336"/>
      <c r="O5" s="336"/>
      <c r="P5" s="336"/>
      <c r="Q5" s="43">
        <v>1991</v>
      </c>
      <c r="R5" s="44">
        <v>51716</v>
      </c>
    </row>
    <row r="6" spans="1:18" ht="15" customHeight="1" x14ac:dyDescent="0.25">
      <c r="A6" s="370"/>
      <c r="B6" s="370"/>
      <c r="C6" s="370"/>
      <c r="D6" s="370"/>
      <c r="E6" s="370"/>
      <c r="F6" s="370"/>
      <c r="G6" s="370"/>
      <c r="H6" s="45"/>
      <c r="I6" s="45" t="s">
        <v>66</v>
      </c>
      <c r="J6" s="337">
        <f>J4/J5</f>
        <v>212.9925906441282</v>
      </c>
      <c r="K6" s="337"/>
      <c r="L6" s="337"/>
      <c r="M6" s="46" t="s">
        <v>67</v>
      </c>
      <c r="N6" s="336"/>
      <c r="O6" s="336"/>
      <c r="P6" s="336"/>
      <c r="Q6" s="43">
        <v>1992</v>
      </c>
      <c r="R6" s="44">
        <v>65190</v>
      </c>
    </row>
    <row r="7" spans="1:18" ht="45" customHeight="1" x14ac:dyDescent="0.25">
      <c r="A7" s="348" t="s">
        <v>68</v>
      </c>
      <c r="B7" s="348"/>
      <c r="C7" s="349">
        <v>2</v>
      </c>
      <c r="D7" s="349" t="str">
        <f>'PAG 2'!G6</f>
        <v>CONSTRUYENDO AMBIENTE SAS</v>
      </c>
      <c r="E7" s="349"/>
      <c r="F7" s="349"/>
      <c r="G7" s="349"/>
      <c r="H7" s="349"/>
      <c r="I7" s="328">
        <v>1</v>
      </c>
      <c r="J7" s="329" t="str">
        <f>'[1]1'!J7</f>
        <v>EL INTEGRANTE QUE APORTE LA EXPERIENCIA DEBERA TENER COMO MINIMO EL 50% DE PARTICIPACION EN EL CONSORCIO O UNION TEMPORAL</v>
      </c>
      <c r="K7" s="329"/>
      <c r="L7" s="329"/>
      <c r="M7" s="47" t="s">
        <v>70</v>
      </c>
      <c r="N7" s="47" t="s">
        <v>71</v>
      </c>
      <c r="O7" s="339" t="s">
        <v>72</v>
      </c>
      <c r="P7" s="340" t="s">
        <v>73</v>
      </c>
      <c r="Q7" s="43">
        <v>1993</v>
      </c>
      <c r="R7" s="44">
        <v>81510</v>
      </c>
    </row>
    <row r="8" spans="1:18" ht="27" customHeight="1" x14ac:dyDescent="0.25">
      <c r="A8" s="348"/>
      <c r="B8" s="348"/>
      <c r="C8" s="349"/>
      <c r="D8" s="349"/>
      <c r="E8" s="349"/>
      <c r="F8" s="349"/>
      <c r="G8" s="349"/>
      <c r="H8" s="349"/>
      <c r="I8" s="328"/>
      <c r="J8" s="329"/>
      <c r="K8" s="329"/>
      <c r="L8" s="329"/>
      <c r="M8" s="48">
        <f>J4*60%</f>
        <v>511.18221754590763</v>
      </c>
      <c r="N8" s="48">
        <f>J6*60%</f>
        <v>127.79555438647691</v>
      </c>
      <c r="O8" s="339"/>
      <c r="P8" s="340"/>
      <c r="Q8" s="43"/>
      <c r="R8" s="44"/>
    </row>
    <row r="9" spans="1:18" ht="22.5" x14ac:dyDescent="0.25">
      <c r="A9" s="341" t="s">
        <v>74</v>
      </c>
      <c r="B9" s="341"/>
      <c r="C9" s="49" t="s">
        <v>75</v>
      </c>
      <c r="D9" s="343" t="str">
        <f>D7</f>
        <v>CONSTRUYENDO AMBIENTE SAS</v>
      </c>
      <c r="E9" s="343"/>
      <c r="F9" s="343"/>
      <c r="G9" s="343"/>
      <c r="H9" s="343"/>
      <c r="I9" s="50">
        <v>1</v>
      </c>
      <c r="J9" s="51" t="str">
        <f>IF(H15=D9,"APORTA EXP","NO APORTA EXP")</f>
        <v>APORTA EXP</v>
      </c>
      <c r="K9" s="51" t="str">
        <f>IF(H17=D9,"APORTA EXP","NO APORTA EXP")</f>
        <v>APORTA EXP</v>
      </c>
      <c r="L9" s="51" t="str">
        <f>IF(H19=D9,"APORTA EXP","NO APORTA EXP")</f>
        <v>NO APORTA EXP</v>
      </c>
      <c r="M9" s="52">
        <f ca="1">IF(D9="","",(SUMIF(H15:H19,D9,$D23:$D25)))+D24</f>
        <v>1163.4844941912049</v>
      </c>
      <c r="N9" s="52">
        <f ca="1">IF(D9="","",(SUMIF(H15:H19,D9,$F23:$F25)))+F24</f>
        <v>245.6811535550367</v>
      </c>
      <c r="O9" s="53" t="str">
        <f ca="1">IF(M9&gt;M8,"CUMPLE","NO CUMPLE")</f>
        <v>CUMPLE</v>
      </c>
      <c r="P9" s="54" t="str">
        <f ca="1">IF(N9&gt;N8,"CUMPLE","NO CUMPLE")</f>
        <v>CUMPLE</v>
      </c>
      <c r="Q9" s="43">
        <v>1994</v>
      </c>
      <c r="R9" s="44">
        <v>98700</v>
      </c>
    </row>
    <row r="10" spans="1:18" ht="22.5" x14ac:dyDescent="0.25">
      <c r="A10" s="341"/>
      <c r="B10" s="341"/>
      <c r="C10" s="49" t="s">
        <v>76</v>
      </c>
      <c r="D10" s="343"/>
      <c r="E10" s="343"/>
      <c r="F10" s="343"/>
      <c r="G10" s="343"/>
      <c r="H10" s="343"/>
      <c r="I10" s="50"/>
      <c r="J10" s="51" t="str">
        <f>IF(H15=D10,"APORTA EXP","NO APORTA EXP")</f>
        <v>NO APORTA EXP</v>
      </c>
      <c r="K10" s="51" t="str">
        <f>IF(H17=D10,"APORTA EXP","NO APORTA EXP")</f>
        <v>NO APORTA EXP</v>
      </c>
      <c r="L10" s="51" t="str">
        <f>IF(H19=D10,"APORTA EXP","NO APORTA EXP")</f>
        <v>APORTA EXP</v>
      </c>
      <c r="M10" s="55"/>
      <c r="N10" s="55"/>
      <c r="O10" s="53" t="str">
        <f>IF(M10&gt;M8,"CUMPLE","NO CUMPLE")</f>
        <v>NO CUMPLE</v>
      </c>
      <c r="P10" s="54" t="str">
        <f>IF(N10&gt;N8,"CUMPLE","NO CUMPLE")</f>
        <v>NO CUMPLE</v>
      </c>
      <c r="Q10" s="43">
        <v>1995</v>
      </c>
      <c r="R10" s="44">
        <v>118933.5</v>
      </c>
    </row>
    <row r="11" spans="1:18" ht="22.5" x14ac:dyDescent="0.25">
      <c r="A11" s="341"/>
      <c r="B11" s="341"/>
      <c r="C11" s="49" t="s">
        <v>77</v>
      </c>
      <c r="D11" s="343"/>
      <c r="E11" s="343"/>
      <c r="F11" s="343"/>
      <c r="G11" s="343"/>
      <c r="H11" s="343"/>
      <c r="I11" s="50"/>
      <c r="J11" s="51" t="str">
        <f>IF(H15=D11,"APORTA EXP","NO APORTA EXP")</f>
        <v>NO APORTA EXP</v>
      </c>
      <c r="K11" s="51" t="str">
        <f>IF(H17=D11,"APORTA EXP","NO APORTA EXP")</f>
        <v>NO APORTA EXP</v>
      </c>
      <c r="L11" s="51" t="str">
        <f>IF(H19=D11,"APORTA EXP","NO APORTA EXP")</f>
        <v>APORTA EXP</v>
      </c>
      <c r="M11" s="55" t="str">
        <f>IF(D11="","",(SUMIF(H15:H19,D11,$D23:$D25)))</f>
        <v/>
      </c>
      <c r="N11" s="56" t="str">
        <f>IF(D11="","",(SUMIF(H15:H19,D11,$F23:$F25)))</f>
        <v/>
      </c>
      <c r="O11" s="53" t="str">
        <f>IF(M11&gt;M8,"CUMPLE","NO CUMPLE")</f>
        <v>CUMPLE</v>
      </c>
      <c r="P11" s="54" t="str">
        <f>IF(N11&gt;N8,"CUMPLE","NO CUMPLE")</f>
        <v>CUMPLE</v>
      </c>
      <c r="Q11" s="43">
        <v>1996</v>
      </c>
      <c r="R11" s="44">
        <v>142125</v>
      </c>
    </row>
    <row r="12" spans="1:18" ht="22.5" x14ac:dyDescent="0.25">
      <c r="A12" s="341"/>
      <c r="B12" s="341"/>
      <c r="C12" s="49" t="s">
        <v>78</v>
      </c>
      <c r="D12" s="343"/>
      <c r="E12" s="343"/>
      <c r="F12" s="343"/>
      <c r="G12" s="343"/>
      <c r="H12" s="343"/>
      <c r="I12" s="50"/>
      <c r="J12" s="51" t="str">
        <f>IF(H15=D12,"APORTA EXP","NO APORTA EXP")</f>
        <v>NO APORTA EXP</v>
      </c>
      <c r="K12" s="51" t="str">
        <f>IF(H17=D12,"APORTA EXP","NO APORTA EXP")</f>
        <v>NO APORTA EXP</v>
      </c>
      <c r="L12" s="51" t="str">
        <f>IF(H19=D12,"APORTA EXP","NO APORTA EXP")</f>
        <v>APORTA EXP</v>
      </c>
      <c r="M12" s="55" t="str">
        <f>IF(D12="","",(SUMIF(H15:H19,D12,$D23:$D25)))</f>
        <v/>
      </c>
      <c r="N12" s="56" t="str">
        <f>IF(D12="","",(SUMIF(H15:H19,D12,$F23:$F25)))</f>
        <v/>
      </c>
      <c r="O12" s="53" t="str">
        <f>IF(M12&gt;M8,"CUMPLE","NO CUMPLE")</f>
        <v>CUMPLE</v>
      </c>
      <c r="P12" s="54" t="str">
        <f>IF(N12&gt;N8,"CUMPLE","NO CUMPLE")</f>
        <v>CUMPLE</v>
      </c>
      <c r="Q12" s="43">
        <v>1997</v>
      </c>
      <c r="R12" s="44">
        <v>172005</v>
      </c>
    </row>
    <row r="13" spans="1:18"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8" ht="36"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8" ht="30" x14ac:dyDescent="0.25">
      <c r="A15" s="109" t="s">
        <v>34</v>
      </c>
      <c r="B15" s="8">
        <v>1</v>
      </c>
      <c r="C15" s="371" t="s">
        <v>141</v>
      </c>
      <c r="D15" s="373" t="s">
        <v>142</v>
      </c>
      <c r="E15" s="375">
        <f>568324521/R29</f>
        <v>1061.0988069454818</v>
      </c>
      <c r="F15" s="9" t="s">
        <v>34</v>
      </c>
      <c r="G15" s="111">
        <v>1</v>
      </c>
      <c r="H15" s="63" t="str">
        <f>D9</f>
        <v>CONSTRUYENDO AMBIENTE SAS</v>
      </c>
      <c r="I15" s="64">
        <v>40556</v>
      </c>
      <c r="J15" s="65"/>
      <c r="K15" s="64">
        <v>40737</v>
      </c>
      <c r="L15" s="66">
        <f>((K15-I15)/30)-J15</f>
        <v>6.0333333333333332</v>
      </c>
      <c r="M15" s="338" t="s">
        <v>94</v>
      </c>
      <c r="N15" s="338"/>
      <c r="O15" s="338"/>
      <c r="P15" s="338"/>
      <c r="Q15" s="43">
        <v>2000</v>
      </c>
      <c r="R15" s="44">
        <v>260100</v>
      </c>
    </row>
    <row r="16" spans="1:18" s="31" customFormat="1" x14ac:dyDescent="0.25">
      <c r="A16" s="109"/>
      <c r="B16" s="8"/>
      <c r="C16" s="372"/>
      <c r="D16" s="374"/>
      <c r="E16" s="376"/>
      <c r="F16" s="9" t="s">
        <v>34</v>
      </c>
      <c r="G16" s="111"/>
      <c r="H16" s="63">
        <f>D10</f>
        <v>0</v>
      </c>
      <c r="I16" s="64"/>
      <c r="J16" s="65"/>
      <c r="K16" s="64"/>
      <c r="L16" s="66"/>
      <c r="M16" s="338"/>
      <c r="N16" s="338"/>
      <c r="O16" s="338"/>
      <c r="P16" s="338"/>
      <c r="Q16" s="43"/>
      <c r="R16" s="44"/>
    </row>
    <row r="17" spans="1:18" ht="30" x14ac:dyDescent="0.25">
      <c r="A17" s="109" t="s">
        <v>34</v>
      </c>
      <c r="B17" s="8">
        <v>2</v>
      </c>
      <c r="C17" s="371" t="s">
        <v>143</v>
      </c>
      <c r="D17" s="373" t="s">
        <v>144</v>
      </c>
      <c r="E17" s="375">
        <f>70590324/R34</f>
        <v>102.38568724572308</v>
      </c>
      <c r="F17" s="9" t="s">
        <v>34</v>
      </c>
      <c r="G17" s="111">
        <v>1</v>
      </c>
      <c r="H17" s="63" t="str">
        <f>D9</f>
        <v>CONSTRUYENDO AMBIENTE SAS</v>
      </c>
      <c r="I17" s="64">
        <v>42366</v>
      </c>
      <c r="J17" s="112"/>
      <c r="K17" s="64">
        <v>42410</v>
      </c>
      <c r="L17" s="66">
        <f>((K17-I17)/30)-J17</f>
        <v>1.4666666666666666</v>
      </c>
      <c r="M17" s="338" t="s">
        <v>94</v>
      </c>
      <c r="N17" s="338"/>
      <c r="O17" s="338"/>
      <c r="P17" s="338"/>
      <c r="Q17" s="43">
        <v>2001</v>
      </c>
      <c r="R17" s="44">
        <v>286000</v>
      </c>
    </row>
    <row r="18" spans="1:18" s="31" customFormat="1" x14ac:dyDescent="0.25">
      <c r="A18" s="109"/>
      <c r="B18" s="8"/>
      <c r="C18" s="372"/>
      <c r="D18" s="374"/>
      <c r="E18" s="376"/>
      <c r="F18" s="9" t="s">
        <v>34</v>
      </c>
      <c r="G18" s="111"/>
      <c r="H18" s="63">
        <f>D10</f>
        <v>0</v>
      </c>
      <c r="I18" s="64"/>
      <c r="J18" s="112"/>
      <c r="K18" s="64"/>
      <c r="L18" s="66"/>
      <c r="M18" s="338"/>
      <c r="N18" s="338"/>
      <c r="O18" s="338"/>
      <c r="P18" s="338"/>
      <c r="Q18" s="43"/>
      <c r="R18" s="44"/>
    </row>
    <row r="19" spans="1:18" x14ac:dyDescent="0.25">
      <c r="A19" s="109" t="s">
        <v>34</v>
      </c>
      <c r="B19" s="8"/>
      <c r="C19" s="110"/>
      <c r="D19" s="63"/>
      <c r="E19" s="12"/>
      <c r="F19" s="9"/>
      <c r="G19" s="111"/>
      <c r="H19" s="63"/>
      <c r="I19" s="64"/>
      <c r="J19" s="112"/>
      <c r="K19" s="64"/>
      <c r="L19" s="66"/>
      <c r="M19" s="338"/>
      <c r="N19" s="338"/>
      <c r="O19" s="338"/>
      <c r="P19" s="338"/>
      <c r="Q19" s="43">
        <v>2002</v>
      </c>
      <c r="R19" s="44">
        <v>309000</v>
      </c>
    </row>
    <row r="20" spans="1:18" x14ac:dyDescent="0.25">
      <c r="A20" s="377">
        <v>1</v>
      </c>
      <c r="B20" s="377"/>
      <c r="C20" s="377"/>
      <c r="D20" s="377"/>
      <c r="E20" s="377"/>
      <c r="F20" s="377"/>
      <c r="G20" s="377"/>
      <c r="H20" s="377"/>
      <c r="I20" s="377"/>
      <c r="J20" s="377"/>
      <c r="K20" s="377"/>
      <c r="L20" s="377"/>
      <c r="M20" s="377"/>
      <c r="N20" s="377"/>
      <c r="O20" s="377"/>
      <c r="P20" s="377"/>
      <c r="Q20" s="43">
        <v>2003</v>
      </c>
      <c r="R20" s="44">
        <v>332000</v>
      </c>
    </row>
    <row r="21" spans="1:18" ht="36" customHeight="1" x14ac:dyDescent="0.25">
      <c r="A21" s="352" t="s">
        <v>95</v>
      </c>
      <c r="B21" s="352"/>
      <c r="C21" s="61" t="s">
        <v>82</v>
      </c>
      <c r="D21" s="61" t="s">
        <v>96</v>
      </c>
      <c r="E21" s="61" t="s">
        <v>72</v>
      </c>
      <c r="F21" s="61" t="s">
        <v>97</v>
      </c>
      <c r="G21" s="61" t="s">
        <v>73</v>
      </c>
      <c r="H21" s="353" t="s">
        <v>98</v>
      </c>
      <c r="I21" s="353"/>
      <c r="J21" s="353"/>
      <c r="K21" s="353"/>
      <c r="L21" s="353"/>
      <c r="M21" s="353"/>
      <c r="N21" s="354">
        <v>10</v>
      </c>
      <c r="O21" s="354"/>
      <c r="P21" s="354"/>
      <c r="Q21" s="43">
        <v>2004</v>
      </c>
      <c r="R21" s="44">
        <v>358000</v>
      </c>
    </row>
    <row r="22" spans="1:18" ht="36" customHeight="1" x14ac:dyDescent="0.25">
      <c r="A22" s="352"/>
      <c r="B22" s="352"/>
      <c r="C22" s="61"/>
      <c r="D22" s="61"/>
      <c r="E22" s="61"/>
      <c r="F22" s="61"/>
      <c r="G22" s="61"/>
      <c r="H22" s="355"/>
      <c r="I22" s="355"/>
      <c r="J22" s="355"/>
      <c r="K22" s="355"/>
      <c r="L22" s="355"/>
      <c r="M22" s="355"/>
      <c r="N22" s="354">
        <f>L49</f>
        <v>0</v>
      </c>
      <c r="O22" s="354"/>
      <c r="P22" s="354"/>
      <c r="Q22" s="43"/>
      <c r="R22" s="44"/>
    </row>
    <row r="23" spans="1:18" ht="33" customHeight="1" x14ac:dyDescent="0.25">
      <c r="A23" s="352"/>
      <c r="B23" s="352"/>
      <c r="C23" s="67" t="str">
        <f>D15</f>
        <v>OM-01-2011</v>
      </c>
      <c r="D23" s="68">
        <f>IF(M15="CUMPLE",(E15*G15+E15*G16),0)</f>
        <v>1061.0988069454818</v>
      </c>
      <c r="E23" s="356">
        <f>SUM(D23:D25)</f>
        <v>1163.4844941912049</v>
      </c>
      <c r="F23" s="69">
        <f>D23/L15</f>
        <v>175.87273043295278</v>
      </c>
      <c r="G23" s="357">
        <f>SUM(F23:F25)</f>
        <v>245.6811535550367</v>
      </c>
      <c r="H23" s="355"/>
      <c r="I23" s="355"/>
      <c r="J23" s="355"/>
      <c r="K23" s="355"/>
      <c r="L23" s="355"/>
      <c r="M23" s="355"/>
      <c r="N23" s="354">
        <f>O58</f>
        <v>0</v>
      </c>
      <c r="O23" s="354"/>
      <c r="P23" s="354"/>
      <c r="Q23" s="43">
        <v>2005</v>
      </c>
      <c r="R23" s="44">
        <v>381500</v>
      </c>
    </row>
    <row r="24" spans="1:18" ht="15" customHeight="1" x14ac:dyDescent="0.25">
      <c r="A24" s="352"/>
      <c r="B24" s="352"/>
      <c r="C24" s="67" t="str">
        <f>D17</f>
        <v>484 DE 2015</v>
      </c>
      <c r="D24" s="68">
        <f>IF(M17="CUMPLE",(E17*G17+E17*G18),0)</f>
        <v>102.38568724572308</v>
      </c>
      <c r="E24" s="356"/>
      <c r="F24" s="69">
        <f>D24/L17</f>
        <v>69.808423122083923</v>
      </c>
      <c r="G24" s="357"/>
      <c r="H24" s="358"/>
      <c r="I24" s="358"/>
      <c r="J24" s="358"/>
      <c r="K24" s="358"/>
      <c r="L24" s="358"/>
      <c r="M24" s="358"/>
      <c r="N24" s="358"/>
      <c r="O24" s="358"/>
      <c r="P24" s="358"/>
      <c r="Q24" s="43">
        <v>2006</v>
      </c>
      <c r="R24" s="44">
        <v>408000</v>
      </c>
    </row>
    <row r="25" spans="1:18" x14ac:dyDescent="0.25">
      <c r="A25" s="352"/>
      <c r="B25" s="352"/>
      <c r="C25" s="67"/>
      <c r="D25" s="68"/>
      <c r="E25" s="356"/>
      <c r="F25" s="69"/>
      <c r="G25" s="357"/>
      <c r="H25" s="358"/>
      <c r="I25" s="358"/>
      <c r="J25" s="358"/>
      <c r="K25" s="358"/>
      <c r="L25" s="358"/>
      <c r="M25" s="358"/>
      <c r="N25" s="358"/>
      <c r="O25" s="358"/>
      <c r="P25" s="358"/>
      <c r="Q25" s="43">
        <v>2007</v>
      </c>
      <c r="R25" s="44">
        <v>433700</v>
      </c>
    </row>
    <row r="26" spans="1:18" ht="21.75" thickBot="1" x14ac:dyDescent="0.4">
      <c r="A26" s="359"/>
      <c r="B26" s="359"/>
      <c r="C26" s="359"/>
      <c r="D26" s="70" t="s">
        <v>102</v>
      </c>
      <c r="E26" s="71" t="str">
        <f>IF(E23="","",IF(J4&lt;=E23,"CUMPLE", "NO CUMPLE"))</f>
        <v>CUMPLE</v>
      </c>
      <c r="F26" s="72" t="s">
        <v>103</v>
      </c>
      <c r="G26" s="71" t="str">
        <f>IF(G23="","",IF(L6&lt;=G23,"CUMPLE", "NO CUMPLE"))</f>
        <v>CUMPLE</v>
      </c>
      <c r="H26" s="360" t="s">
        <v>50</v>
      </c>
      <c r="I26" s="360"/>
      <c r="J26" s="360"/>
      <c r="K26" s="361" t="s">
        <v>104</v>
      </c>
      <c r="L26" s="361"/>
      <c r="M26" s="73" t="s">
        <v>105</v>
      </c>
      <c r="N26" s="362">
        <f>+N21+N22+N23</f>
        <v>10</v>
      </c>
      <c r="O26" s="362"/>
      <c r="P26" s="362"/>
      <c r="Q26" s="43">
        <v>2008</v>
      </c>
      <c r="R26" s="44">
        <v>461500</v>
      </c>
    </row>
    <row r="27" spans="1:18" x14ac:dyDescent="0.25">
      <c r="A27" s="381" t="s">
        <v>106</v>
      </c>
      <c r="B27" s="381"/>
      <c r="C27" s="381"/>
      <c r="D27" s="381"/>
      <c r="E27" s="381"/>
      <c r="F27" s="381"/>
      <c r="G27" s="381"/>
      <c r="H27" s="381"/>
      <c r="K27" s="366"/>
      <c r="L27" s="366"/>
      <c r="M27" s="366"/>
      <c r="N27" s="366"/>
      <c r="O27" s="366"/>
      <c r="P27" s="366"/>
      <c r="Q27" s="74">
        <v>2009</v>
      </c>
      <c r="R27" s="44">
        <v>496900</v>
      </c>
    </row>
    <row r="28" spans="1:18" ht="58.5" customHeight="1" x14ac:dyDescent="0.25">
      <c r="A28" s="382"/>
      <c r="B28" s="382"/>
      <c r="C28" s="382"/>
      <c r="D28" s="382"/>
      <c r="E28" s="382"/>
      <c r="F28" s="382"/>
      <c r="G28" s="382"/>
      <c r="H28" s="382"/>
      <c r="I28" s="75"/>
      <c r="J28" s="75"/>
      <c r="K28" s="75"/>
      <c r="L28" s="75"/>
      <c r="M28" s="75"/>
      <c r="N28" s="75"/>
      <c r="O28" s="113"/>
      <c r="P28" s="114"/>
      <c r="Q28" s="74">
        <v>2010</v>
      </c>
      <c r="R28" s="44">
        <v>515000</v>
      </c>
    </row>
    <row r="29" spans="1:18" x14ac:dyDescent="0.25">
      <c r="A29" s="382"/>
      <c r="B29" s="382"/>
      <c r="C29" s="382"/>
      <c r="D29" s="382"/>
      <c r="E29" s="382"/>
      <c r="F29" s="382"/>
      <c r="G29" s="382"/>
      <c r="H29" s="382"/>
      <c r="I29" s="76"/>
      <c r="J29" s="77"/>
      <c r="K29" s="77"/>
      <c r="L29" s="78"/>
      <c r="M29" s="77"/>
      <c r="N29" s="76"/>
      <c r="O29" s="115"/>
      <c r="P29" s="114"/>
      <c r="Q29" s="74">
        <v>2011</v>
      </c>
      <c r="R29" s="44">
        <v>535600</v>
      </c>
    </row>
    <row r="30" spans="1:18" x14ac:dyDescent="0.25">
      <c r="A30" s="382"/>
      <c r="B30" s="382"/>
      <c r="C30" s="382"/>
      <c r="D30" s="382"/>
      <c r="E30" s="382"/>
      <c r="F30" s="382"/>
      <c r="G30" s="382"/>
      <c r="H30" s="382"/>
      <c r="I30" s="76"/>
      <c r="J30" s="77"/>
      <c r="K30" s="77"/>
      <c r="L30" s="78"/>
      <c r="M30" s="77"/>
      <c r="N30" s="76"/>
      <c r="O30" s="115"/>
      <c r="P30" s="114"/>
      <c r="Q30" s="74">
        <v>2012</v>
      </c>
      <c r="R30" s="44">
        <v>566700</v>
      </c>
    </row>
    <row r="31" spans="1:18" x14ac:dyDescent="0.25">
      <c r="A31" s="382"/>
      <c r="B31" s="382"/>
      <c r="C31" s="382"/>
      <c r="D31" s="382"/>
      <c r="E31" s="382"/>
      <c r="F31" s="382"/>
      <c r="G31" s="382"/>
      <c r="H31" s="382"/>
      <c r="I31" s="76"/>
      <c r="J31" s="77"/>
      <c r="K31" s="77"/>
      <c r="L31" s="78"/>
      <c r="M31" s="77"/>
      <c r="N31" s="76"/>
      <c r="O31" s="115"/>
      <c r="Q31" s="74">
        <v>2013</v>
      </c>
      <c r="R31" s="44">
        <v>589500</v>
      </c>
    </row>
    <row r="32" spans="1:18" ht="22.5" customHeight="1" x14ac:dyDescent="0.25">
      <c r="A32" s="382"/>
      <c r="B32" s="382"/>
      <c r="C32" s="382"/>
      <c r="D32" s="382"/>
      <c r="E32" s="382"/>
      <c r="F32" s="382"/>
      <c r="G32" s="382"/>
      <c r="H32" s="382"/>
      <c r="I32" s="79"/>
      <c r="J32" s="79"/>
      <c r="K32" s="79"/>
      <c r="L32" s="78"/>
      <c r="M32" s="77"/>
      <c r="N32" s="76"/>
      <c r="O32" s="115"/>
      <c r="Q32" s="74">
        <v>2014</v>
      </c>
      <c r="R32" s="44">
        <v>616000</v>
      </c>
    </row>
    <row r="33" spans="1:18" ht="15" customHeight="1" x14ac:dyDescent="0.25">
      <c r="A33" s="383"/>
      <c r="B33" s="383"/>
      <c r="C33" s="383"/>
      <c r="D33" s="383"/>
      <c r="E33" s="383"/>
      <c r="F33" s="383"/>
      <c r="G33" s="383"/>
      <c r="H33" s="383"/>
      <c r="I33" s="81"/>
      <c r="J33" s="81"/>
      <c r="K33" s="81"/>
      <c r="L33" s="81"/>
      <c r="M33" s="81"/>
      <c r="N33" s="81"/>
      <c r="Q33" s="74">
        <v>2015</v>
      </c>
      <c r="R33" s="44">
        <v>644350</v>
      </c>
    </row>
    <row r="34" spans="1:18" x14ac:dyDescent="0.25">
      <c r="A34" s="383"/>
      <c r="B34" s="383"/>
      <c r="C34" s="383"/>
      <c r="D34" s="383"/>
      <c r="E34" s="383"/>
      <c r="F34" s="383"/>
      <c r="G34" s="383"/>
      <c r="H34" s="383"/>
      <c r="I34" s="81"/>
      <c r="J34" s="81"/>
      <c r="K34" s="81"/>
      <c r="L34" s="81"/>
      <c r="M34" s="81"/>
      <c r="N34" s="81"/>
      <c r="Q34" s="74">
        <v>2016</v>
      </c>
      <c r="R34" s="44">
        <v>689455</v>
      </c>
    </row>
    <row r="35" spans="1:18" ht="15.75" thickBot="1" x14ac:dyDescent="0.3">
      <c r="A35" s="383"/>
      <c r="B35" s="383"/>
      <c r="C35" s="383"/>
      <c r="D35" s="383"/>
      <c r="E35" s="383"/>
      <c r="F35" s="383"/>
      <c r="G35" s="383"/>
      <c r="H35" s="383"/>
      <c r="I35" s="81"/>
      <c r="J35" s="81"/>
      <c r="K35" s="81"/>
      <c r="L35" s="81"/>
      <c r="M35" s="81"/>
      <c r="N35" s="81"/>
      <c r="Q35" s="82">
        <v>2017</v>
      </c>
      <c r="R35" s="83">
        <v>737717</v>
      </c>
    </row>
    <row r="36" spans="1:18" ht="15.75" thickBot="1" x14ac:dyDescent="0.3">
      <c r="A36" s="383"/>
      <c r="B36" s="383"/>
      <c r="C36" s="383"/>
      <c r="D36" s="383"/>
      <c r="E36" s="383"/>
      <c r="F36" s="383"/>
      <c r="G36" s="383"/>
      <c r="H36" s="383"/>
      <c r="I36" s="81"/>
      <c r="J36" s="81"/>
      <c r="K36" s="81"/>
      <c r="L36" s="81"/>
      <c r="M36" s="81"/>
      <c r="N36" s="81"/>
      <c r="Q36" s="82">
        <v>2018</v>
      </c>
      <c r="R36" s="83">
        <v>781242</v>
      </c>
    </row>
    <row r="37" spans="1:18" ht="15.75" thickBot="1" x14ac:dyDescent="0.3">
      <c r="A37" s="56"/>
      <c r="B37" s="56"/>
      <c r="C37" s="56"/>
      <c r="D37" s="56"/>
      <c r="E37" s="384"/>
      <c r="F37" s="384"/>
      <c r="G37" s="384"/>
      <c r="H37" s="384"/>
      <c r="I37" s="81"/>
      <c r="J37" s="81"/>
      <c r="K37" s="81"/>
      <c r="L37" s="81"/>
      <c r="M37" s="81"/>
      <c r="N37" s="81"/>
      <c r="Q37" s="82"/>
      <c r="R37" s="83"/>
    </row>
    <row r="38" spans="1:18" ht="15.75" thickBot="1" x14ac:dyDescent="0.3"/>
    <row r="39" spans="1:18" ht="15.75" thickBot="1" x14ac:dyDescent="0.3">
      <c r="D39" s="378"/>
      <c r="E39" s="378"/>
      <c r="F39" s="379"/>
      <c r="G39" s="379"/>
    </row>
    <row r="40" spans="1:18" ht="15.75" thickBot="1" x14ac:dyDescent="0.3">
      <c r="D40" s="380"/>
      <c r="E40" s="380"/>
      <c r="F40" s="379"/>
      <c r="G40" s="379"/>
    </row>
    <row r="41" spans="1:18" ht="15.75" thickBot="1" x14ac:dyDescent="0.3">
      <c r="D41" s="84"/>
      <c r="E41" s="85"/>
      <c r="F41" s="86"/>
      <c r="G41" s="385"/>
      <c r="I41" s="386"/>
      <c r="J41" s="386"/>
      <c r="K41" s="386"/>
      <c r="L41" s="87"/>
      <c r="M41" s="387"/>
      <c r="N41" s="387"/>
      <c r="O41" s="387"/>
      <c r="P41" s="387"/>
      <c r="Q41" s="387"/>
    </row>
    <row r="42" spans="1:18" ht="15" customHeight="1" thickBot="1" x14ac:dyDescent="0.3">
      <c r="D42" s="388"/>
      <c r="E42" s="388"/>
      <c r="F42" s="389"/>
      <c r="G42" s="385"/>
      <c r="I42" s="390"/>
      <c r="J42" s="390"/>
      <c r="K42" s="390"/>
      <c r="L42" s="87"/>
      <c r="M42" s="387"/>
      <c r="N42" s="387"/>
      <c r="O42" s="387"/>
      <c r="P42" s="387"/>
      <c r="Q42" s="387"/>
    </row>
    <row r="43" spans="1:18" ht="15.75" thickBot="1" x14ac:dyDescent="0.3">
      <c r="D43" s="388"/>
      <c r="E43" s="388"/>
      <c r="F43" s="389"/>
      <c r="G43" s="385"/>
      <c r="I43" s="88"/>
      <c r="J43" s="88"/>
      <c r="K43" s="88"/>
      <c r="L43" s="63"/>
      <c r="M43" s="387"/>
      <c r="N43" s="387"/>
      <c r="O43" s="387"/>
      <c r="P43" s="387"/>
      <c r="Q43" s="387"/>
    </row>
    <row r="44" spans="1:18" ht="15.75" thickBot="1" x14ac:dyDescent="0.3">
      <c r="D44" s="84"/>
      <c r="E44" s="85"/>
      <c r="F44" s="86"/>
      <c r="G44" s="385"/>
      <c r="I44" s="89"/>
      <c r="J44" s="89"/>
      <c r="K44" s="89"/>
      <c r="L44" s="9"/>
      <c r="M44" s="387"/>
      <c r="N44" s="387"/>
      <c r="O44" s="387"/>
      <c r="P44" s="387"/>
      <c r="Q44" s="387"/>
    </row>
    <row r="45" spans="1:18" x14ac:dyDescent="0.25">
      <c r="D45" s="90"/>
      <c r="I45" s="89"/>
      <c r="J45" s="89"/>
      <c r="K45" s="89"/>
      <c r="L45" s="9"/>
      <c r="M45" s="387"/>
      <c r="N45" s="387"/>
      <c r="O45" s="387"/>
      <c r="P45" s="387"/>
      <c r="Q45" s="387"/>
    </row>
    <row r="46" spans="1:18" ht="15.75" thickBot="1" x14ac:dyDescent="0.3">
      <c r="D46" s="90"/>
      <c r="I46" s="89"/>
      <c r="J46" s="89"/>
      <c r="K46" s="89"/>
      <c r="L46" s="9"/>
      <c r="M46" s="387"/>
      <c r="N46" s="387"/>
      <c r="O46" s="387"/>
      <c r="P46" s="387"/>
      <c r="Q46" s="387"/>
    </row>
    <row r="47" spans="1:18" ht="15.75" thickBot="1" x14ac:dyDescent="0.3">
      <c r="D47" s="378"/>
      <c r="E47" s="378"/>
      <c r="F47" s="379"/>
      <c r="G47" s="391"/>
      <c r="I47" s="89"/>
      <c r="J47" s="89"/>
      <c r="K47" s="89"/>
      <c r="L47" s="9"/>
      <c r="M47" s="387"/>
      <c r="N47" s="387"/>
      <c r="O47" s="387"/>
      <c r="P47" s="387"/>
      <c r="Q47" s="387"/>
    </row>
    <row r="48" spans="1:18" ht="15.75" thickBot="1" x14ac:dyDescent="0.3">
      <c r="D48" s="380"/>
      <c r="E48" s="380"/>
      <c r="F48" s="379"/>
      <c r="G48" s="391"/>
      <c r="I48" s="89"/>
      <c r="J48" s="89"/>
      <c r="K48" s="89"/>
      <c r="L48" s="91"/>
      <c r="M48" s="387"/>
      <c r="N48" s="387"/>
      <c r="O48" s="387"/>
      <c r="P48" s="387"/>
      <c r="Q48" s="387"/>
    </row>
    <row r="49" spans="4:17" ht="21.75" thickBot="1" x14ac:dyDescent="0.3">
      <c r="D49" s="92"/>
      <c r="E49" s="93"/>
      <c r="F49" s="94"/>
      <c r="G49" s="95"/>
      <c r="I49" s="89"/>
      <c r="J49" s="89"/>
      <c r="K49" s="89"/>
      <c r="L49" s="91"/>
      <c r="M49" s="96"/>
      <c r="N49" s="96"/>
      <c r="O49" s="96"/>
      <c r="P49" s="96"/>
      <c r="Q49" s="96"/>
    </row>
    <row r="50" spans="4:17" ht="15.75" thickBot="1" x14ac:dyDescent="0.3">
      <c r="D50" s="84"/>
      <c r="E50" s="85"/>
      <c r="F50" s="85"/>
      <c r="G50" s="385"/>
      <c r="I50" s="392"/>
      <c r="J50" s="392"/>
      <c r="K50" s="392"/>
      <c r="L50" s="116"/>
    </row>
    <row r="51" spans="4:17" ht="15.75" thickBot="1" x14ac:dyDescent="0.3">
      <c r="D51" s="388"/>
      <c r="E51" s="388"/>
      <c r="F51" s="389"/>
      <c r="G51" s="385"/>
      <c r="I51" s="342"/>
      <c r="J51" s="342"/>
      <c r="K51" s="9"/>
      <c r="L51" s="56"/>
      <c r="M51" s="63"/>
      <c r="N51" s="56"/>
      <c r="O51" s="63"/>
    </row>
    <row r="52" spans="4:17" ht="15.75" thickBot="1" x14ac:dyDescent="0.3">
      <c r="D52" s="388"/>
      <c r="E52" s="388"/>
      <c r="F52" s="389"/>
      <c r="G52" s="385"/>
      <c r="I52" s="342"/>
      <c r="J52" s="342"/>
      <c r="K52" s="9"/>
      <c r="L52" s="9"/>
      <c r="M52" s="9"/>
      <c r="N52" s="9"/>
      <c r="O52" s="56"/>
    </row>
    <row r="53" spans="4:17" ht="15.75" thickBot="1" x14ac:dyDescent="0.3">
      <c r="D53" s="84"/>
      <c r="E53" s="85"/>
      <c r="F53" s="97"/>
      <c r="G53" s="385"/>
      <c r="I53" s="88"/>
      <c r="J53" s="9"/>
      <c r="K53" s="9"/>
      <c r="L53" s="9"/>
      <c r="M53" s="9"/>
      <c r="N53" s="98"/>
      <c r="O53" s="99"/>
    </row>
    <row r="54" spans="4:17" ht="15.75" thickBot="1" x14ac:dyDescent="0.3">
      <c r="D54" s="90"/>
      <c r="I54" s="100"/>
      <c r="J54" s="9"/>
      <c r="K54" s="9"/>
      <c r="L54" s="9"/>
      <c r="M54" s="9"/>
      <c r="N54" s="98"/>
      <c r="O54" s="99"/>
    </row>
    <row r="55" spans="4:17" x14ac:dyDescent="0.25">
      <c r="D55" s="101"/>
      <c r="E55" s="102"/>
      <c r="F55" s="103"/>
      <c r="G55" s="103"/>
      <c r="I55" s="100"/>
      <c r="J55" s="9"/>
      <c r="K55" s="9"/>
      <c r="L55" s="9"/>
      <c r="M55" s="9"/>
      <c r="N55" s="98"/>
      <c r="O55" s="99"/>
    </row>
    <row r="56" spans="4:17" ht="15.75" thickBot="1" x14ac:dyDescent="0.3">
      <c r="D56" s="92"/>
      <c r="E56" s="93"/>
      <c r="F56" s="104"/>
      <c r="G56" s="95"/>
      <c r="I56" s="100"/>
      <c r="J56" s="9"/>
      <c r="K56" s="9"/>
      <c r="L56" s="9"/>
      <c r="M56" s="9"/>
      <c r="N56" s="98"/>
      <c r="O56" s="99"/>
    </row>
    <row r="57" spans="4:17" ht="15.75" thickBot="1" x14ac:dyDescent="0.3">
      <c r="D57" s="84"/>
      <c r="E57" s="85"/>
      <c r="F57" s="85"/>
      <c r="G57" s="385"/>
      <c r="I57" s="100"/>
      <c r="J57" s="9"/>
      <c r="K57" s="9"/>
      <c r="L57" s="9"/>
      <c r="M57" s="9"/>
      <c r="N57" s="98"/>
      <c r="O57" s="99"/>
    </row>
    <row r="58" spans="4:17" ht="15.75" thickBot="1" x14ac:dyDescent="0.3">
      <c r="D58" s="105"/>
      <c r="E58" s="105"/>
      <c r="F58" s="106"/>
      <c r="G58" s="385"/>
      <c r="I58" s="56"/>
      <c r="J58" s="56"/>
      <c r="K58" s="56"/>
      <c r="L58" s="9"/>
      <c r="M58" s="56"/>
      <c r="N58" s="107"/>
      <c r="O58" s="9"/>
    </row>
    <row r="59" spans="4:17" ht="15.75" thickBot="1" x14ac:dyDescent="0.3">
      <c r="D59" s="84"/>
      <c r="E59" s="84"/>
      <c r="F59" s="108"/>
      <c r="G59" s="385"/>
    </row>
    <row r="60" spans="4:17" ht="15.75" thickBot="1" x14ac:dyDescent="0.3">
      <c r="D60" s="84"/>
      <c r="E60" s="85"/>
      <c r="F60" s="97"/>
      <c r="G60" s="385"/>
    </row>
  </sheetData>
  <mergeCells count="84">
    <mergeCell ref="G57:G60"/>
    <mergeCell ref="D48:E48"/>
    <mergeCell ref="G50:G53"/>
    <mergeCell ref="I50:K50"/>
    <mergeCell ref="D51:D52"/>
    <mergeCell ref="E51:E52"/>
    <mergeCell ref="F51:F52"/>
    <mergeCell ref="I51:I52"/>
    <mergeCell ref="J51:J52"/>
    <mergeCell ref="G41:G44"/>
    <mergeCell ref="I41:K41"/>
    <mergeCell ref="M41:Q48"/>
    <mergeCell ref="D42:D43"/>
    <mergeCell ref="E42:E43"/>
    <mergeCell ref="F42:F43"/>
    <mergeCell ref="I42:K42"/>
    <mergeCell ref="D47:E47"/>
    <mergeCell ref="F47:F48"/>
    <mergeCell ref="G47:G48"/>
    <mergeCell ref="A26:C26"/>
    <mergeCell ref="H26:J26"/>
    <mergeCell ref="K26:L26"/>
    <mergeCell ref="N26:P26"/>
    <mergeCell ref="D39:E39"/>
    <mergeCell ref="F39:F40"/>
    <mergeCell ref="G39:G40"/>
    <mergeCell ref="D40:E40"/>
    <mergeCell ref="A27:H27"/>
    <mergeCell ref="K27:P27"/>
    <mergeCell ref="A28:H32"/>
    <mergeCell ref="A33:H36"/>
    <mergeCell ref="E37:H37"/>
    <mergeCell ref="M19:P19"/>
    <mergeCell ref="A20:P20"/>
    <mergeCell ref="A21:B25"/>
    <mergeCell ref="H21:M21"/>
    <mergeCell ref="N21:P21"/>
    <mergeCell ref="H22:K23"/>
    <mergeCell ref="L22:M22"/>
    <mergeCell ref="N22:P22"/>
    <mergeCell ref="E23:E25"/>
    <mergeCell ref="G23:G25"/>
    <mergeCell ref="N23:P23"/>
    <mergeCell ref="H24:P25"/>
    <mergeCell ref="L23:M23"/>
    <mergeCell ref="A13:F13"/>
    <mergeCell ref="G13:H13"/>
    <mergeCell ref="J13:N13"/>
    <mergeCell ref="M14:P14"/>
    <mergeCell ref="M15:P15"/>
    <mergeCell ref="M17:P17"/>
    <mergeCell ref="O7:O8"/>
    <mergeCell ref="P7:P8"/>
    <mergeCell ref="A9:B12"/>
    <mergeCell ref="D9:H9"/>
    <mergeCell ref="D10:H10"/>
    <mergeCell ref="D11:H11"/>
    <mergeCell ref="D12:H12"/>
    <mergeCell ref="C15:C16"/>
    <mergeCell ref="D15:D16"/>
    <mergeCell ref="M16:P16"/>
    <mergeCell ref="C17:C18"/>
    <mergeCell ref="D17:D18"/>
    <mergeCell ref="E15:E16"/>
    <mergeCell ref="E17:E18"/>
    <mergeCell ref="M18:P18"/>
    <mergeCell ref="A7:B8"/>
    <mergeCell ref="C7:C8"/>
    <mergeCell ref="D7:H8"/>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s>
  <conditionalFormatting sqref="I15 K15 K17 I17 I19 K19">
    <cfRule type="cellIs" dxfId="145" priority="11" stopIfTrue="1" operator="greaterThan">
      <formula>0</formula>
    </cfRule>
  </conditionalFormatting>
  <conditionalFormatting sqref="E26">
    <cfRule type="expression" dxfId="144" priority="29" stopIfTrue="1">
      <formula>NOT(ISERROR(SEARCH("CUMPLE",E26)))</formula>
    </cfRule>
  </conditionalFormatting>
  <conditionalFormatting sqref="G26">
    <cfRule type="expression" dxfId="143" priority="33" stopIfTrue="1">
      <formula>NOT(ISERROR(SEARCH("CUMPLE",G26)))</formula>
    </cfRule>
  </conditionalFormatting>
  <conditionalFormatting sqref="M15 M17 M19">
    <cfRule type="expression" dxfId="142" priority="27" stopIfTrue="1">
      <formula>NOT(ISERROR(SEARCH("CUMPLE",M15)))</formula>
    </cfRule>
  </conditionalFormatting>
  <conditionalFormatting sqref="O9:O12">
    <cfRule type="expression" dxfId="141" priority="13" stopIfTrue="1">
      <formula>NOT(ISERROR(SEARCH("CUMPLE",O9)))</formula>
    </cfRule>
  </conditionalFormatting>
  <conditionalFormatting sqref="P9:P12">
    <cfRule type="expression" dxfId="140" priority="17" stopIfTrue="1">
      <formula>NOT(ISERROR(SEARCH("CUMPLE",P9)))</formula>
    </cfRule>
  </conditionalFormatting>
  <conditionalFormatting sqref="K26">
    <cfRule type="expression" dxfId="139" priority="31" stopIfTrue="1">
      <formula>NOT(ISERROR(SEARCH("HABIL",K26)))</formula>
    </cfRule>
  </conditionalFormatting>
  <conditionalFormatting sqref="J9:L12">
    <cfRule type="expression" dxfId="138" priority="14" stopIfTrue="1">
      <formula>NOT(ISERROR(SEARCH("NO APORTA EXP",J9)))</formula>
    </cfRule>
  </conditionalFormatting>
  <conditionalFormatting sqref="E26">
    <cfRule type="expression" dxfId="137" priority="28" stopIfTrue="1">
      <formula>NOT(ISERROR(SEARCH("NO CUMPLE",E26)))</formula>
    </cfRule>
  </conditionalFormatting>
  <conditionalFormatting sqref="G26">
    <cfRule type="expression" dxfId="136" priority="32" stopIfTrue="1">
      <formula>NOT(ISERROR(SEARCH("NO CUMPLE",G26)))</formula>
    </cfRule>
  </conditionalFormatting>
  <conditionalFormatting sqref="M15 M17 M19">
    <cfRule type="expression" dxfId="135" priority="26" stopIfTrue="1">
      <formula>NOT(ISERROR(SEARCH("NO CUMPLE",M15)))</formula>
    </cfRule>
  </conditionalFormatting>
  <conditionalFormatting sqref="O9:O12">
    <cfRule type="expression" dxfId="134" priority="12" stopIfTrue="1">
      <formula>NOT(ISERROR(SEARCH("NO CUMPLE",O9)))</formula>
    </cfRule>
  </conditionalFormatting>
  <conditionalFormatting sqref="P9:P12">
    <cfRule type="expression" dxfId="133" priority="16" stopIfTrue="1">
      <formula>NOT(ISERROR(SEARCH("NO CUMPLE",P9)))</formula>
    </cfRule>
  </conditionalFormatting>
  <conditionalFormatting sqref="K26">
    <cfRule type="expression" dxfId="132" priority="30" stopIfTrue="1">
      <formula>NOT(ISERROR(SEARCH("NO HABIL",K26)))</formula>
    </cfRule>
  </conditionalFormatting>
  <conditionalFormatting sqref="A15:A16">
    <cfRule type="expression" dxfId="131" priority="18" stopIfTrue="1">
      <formula>NOT(ISERROR(SEARCH("NO",A15)))</formula>
    </cfRule>
  </conditionalFormatting>
  <conditionalFormatting sqref="A17:A19">
    <cfRule type="expression" dxfId="130" priority="20" stopIfTrue="1">
      <formula>NOT(ISERROR(SEARCH("NO",A17)))</formula>
    </cfRule>
  </conditionalFormatting>
  <conditionalFormatting sqref="F15 F17">
    <cfRule type="expression" dxfId="129" priority="22" stopIfTrue="1">
      <formula>NOT(ISERROR(SEARCH("NO",F15)))</formula>
    </cfRule>
  </conditionalFormatting>
  <conditionalFormatting sqref="F19">
    <cfRule type="expression" dxfId="128" priority="24" stopIfTrue="1">
      <formula>NOT(ISERROR(SEARCH("NO",F19)))</formula>
    </cfRule>
  </conditionalFormatting>
  <conditionalFormatting sqref="I16 K16">
    <cfRule type="cellIs" dxfId="127" priority="8" stopIfTrue="1" operator="greaterThan">
      <formula>0</formula>
    </cfRule>
  </conditionalFormatting>
  <conditionalFormatting sqref="F16">
    <cfRule type="expression" dxfId="126" priority="9" stopIfTrue="1">
      <formula>NOT(ISERROR(SEARCH("NO",F16)))</formula>
    </cfRule>
  </conditionalFormatting>
  <conditionalFormatting sqref="M16">
    <cfRule type="expression" dxfId="125" priority="7" stopIfTrue="1">
      <formula>NOT(ISERROR(SEARCH("CUMPLE",M16)))</formula>
    </cfRule>
  </conditionalFormatting>
  <conditionalFormatting sqref="M16">
    <cfRule type="expression" dxfId="124" priority="6" stopIfTrue="1">
      <formula>NOT(ISERROR(SEARCH("NO CUMPLE",M16)))</formula>
    </cfRule>
  </conditionalFormatting>
  <conditionalFormatting sqref="K18 I18">
    <cfRule type="cellIs" dxfId="123" priority="3" stopIfTrue="1" operator="greaterThan">
      <formula>0</formula>
    </cfRule>
  </conditionalFormatting>
  <conditionalFormatting sqref="F18">
    <cfRule type="expression" dxfId="122" priority="4" stopIfTrue="1">
      <formula>NOT(ISERROR(SEARCH("NO",F18)))</formula>
    </cfRule>
  </conditionalFormatting>
  <conditionalFormatting sqref="M18">
    <cfRule type="expression" dxfId="121" priority="2" stopIfTrue="1">
      <formula>NOT(ISERROR(SEARCH("CUMPLE",M18)))</formula>
    </cfRule>
  </conditionalFormatting>
  <conditionalFormatting sqref="M18">
    <cfRule type="expression" dxfId="120" priority="1" stopIfTrue="1">
      <formula>NOT(ISERROR(SEARCH("NO CUMPLE",M18)))</formula>
    </cfRule>
  </conditionalFormatting>
  <pageMargins left="0.25" right="0.25" top="0.75" bottom="0.75" header="0.30000000000000004" footer="0.30000000000000004"/>
  <pageSetup paperSize="0" scale="55" fitToWidth="0" fitToHeight="0" orientation="landscape" horizontalDpi="0" verticalDpi="0" copie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6"/>
  <sheetViews>
    <sheetView topLeftCell="A8" workbookViewId="0">
      <selection activeCell="D19" sqref="D19"/>
    </sheetView>
  </sheetViews>
  <sheetFormatPr baseColWidth="10" defaultColWidth="10.85546875" defaultRowHeight="15" x14ac:dyDescent="0.25"/>
  <cols>
    <col min="1" max="1" width="11.42578125" style="6" customWidth="1"/>
    <col min="2" max="2" width="13.140625" style="6" customWidth="1"/>
    <col min="3" max="3" width="23.85546875" style="6" customWidth="1"/>
    <col min="4" max="4" width="18.7109375" style="6" customWidth="1"/>
    <col min="5" max="5" width="15.42578125" style="6" customWidth="1"/>
    <col min="6" max="6" width="19.42578125" style="6" customWidth="1"/>
    <col min="7" max="7" width="15.42578125" style="6" customWidth="1"/>
    <col min="8" max="8" width="18.85546875" style="6" customWidth="1"/>
    <col min="9" max="9" width="17" style="6" customWidth="1"/>
    <col min="10" max="12" width="11.42578125" style="6" customWidth="1"/>
    <col min="13" max="13" width="17.7109375" style="6" customWidth="1"/>
    <col min="14" max="14" width="15.140625" style="6" customWidth="1"/>
    <col min="15" max="15" width="14.7109375" style="6" customWidth="1"/>
    <col min="16" max="17" width="11.42578125" style="6" customWidth="1"/>
    <col min="18" max="18" width="14.7109375" style="6" customWidth="1"/>
    <col min="19" max="19" width="11.42578125" style="6" customWidth="1"/>
    <col min="20" max="16384" width="10.85546875" style="6"/>
  </cols>
  <sheetData>
    <row r="1" spans="1:18"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8" ht="12.75" customHeight="1" x14ac:dyDescent="0.25">
      <c r="A2" s="370" t="str">
        <f>'1'!A2:G6</f>
        <v xml:space="preserve">CONTRATAR EL MANTENIMIENTO Y MEJORAMIENTO DEL CERRAMIENTO PERIMETRAL DE LAS ESTACIONES VOR MARINILLA, OTU-REMEDIOS EN ANTIOQUIA Y QUIBDÓ EN CHOCÓ </v>
      </c>
      <c r="B2" s="370"/>
      <c r="C2" s="370"/>
      <c r="D2" s="370"/>
      <c r="E2" s="370"/>
      <c r="F2" s="370"/>
      <c r="G2" s="370"/>
      <c r="H2" s="334" t="s">
        <v>58</v>
      </c>
      <c r="I2" s="334"/>
      <c r="J2" s="335">
        <f>'1'!J2:L2</f>
        <v>332797515</v>
      </c>
      <c r="K2" s="335"/>
      <c r="L2" s="335"/>
      <c r="M2" s="34" t="s">
        <v>59</v>
      </c>
      <c r="N2" s="336"/>
      <c r="O2" s="336"/>
      <c r="P2" s="336"/>
      <c r="Q2" s="35"/>
      <c r="R2" s="36"/>
    </row>
    <row r="3" spans="1:18" ht="12.75" customHeight="1" x14ac:dyDescent="0.25">
      <c r="A3" s="370"/>
      <c r="B3" s="370"/>
      <c r="C3" s="370"/>
      <c r="D3" s="370"/>
      <c r="E3" s="370"/>
      <c r="F3" s="370"/>
      <c r="G3" s="370"/>
      <c r="H3" s="334" t="s">
        <v>60</v>
      </c>
      <c r="I3" s="334"/>
      <c r="J3" s="335">
        <f>J2*2</f>
        <v>665595030</v>
      </c>
      <c r="K3" s="335"/>
      <c r="L3" s="335"/>
      <c r="M3" s="37"/>
      <c r="N3" s="336"/>
      <c r="O3" s="336"/>
      <c r="P3" s="336"/>
      <c r="Q3" s="35"/>
      <c r="R3" s="36"/>
    </row>
    <row r="4" spans="1:18" ht="15" customHeight="1" x14ac:dyDescent="0.25">
      <c r="A4" s="370"/>
      <c r="B4" s="370"/>
      <c r="C4" s="370"/>
      <c r="D4" s="370"/>
      <c r="E4" s="370"/>
      <c r="F4" s="370"/>
      <c r="G4" s="370"/>
      <c r="H4" s="334" t="s">
        <v>61</v>
      </c>
      <c r="I4" s="334"/>
      <c r="J4" s="335">
        <f>J3/R34</f>
        <v>851.9703625765128</v>
      </c>
      <c r="K4" s="335"/>
      <c r="L4" s="335"/>
      <c r="M4" s="37" t="s">
        <v>62</v>
      </c>
      <c r="N4" s="336"/>
      <c r="O4" s="336"/>
      <c r="P4" s="336"/>
      <c r="Q4" s="38">
        <v>1990</v>
      </c>
      <c r="R4" s="39">
        <v>41025</v>
      </c>
    </row>
    <row r="5" spans="1:18" ht="15" customHeight="1" x14ac:dyDescent="0.25">
      <c r="A5" s="370"/>
      <c r="B5" s="370"/>
      <c r="C5" s="370"/>
      <c r="D5" s="370"/>
      <c r="E5" s="370"/>
      <c r="F5" s="370"/>
      <c r="G5" s="370"/>
      <c r="H5" s="334" t="s">
        <v>63</v>
      </c>
      <c r="I5" s="334"/>
      <c r="J5" s="40">
        <f>'[1]1'!J5</f>
        <v>4</v>
      </c>
      <c r="K5" s="41" t="s">
        <v>64</v>
      </c>
      <c r="L5" s="42">
        <f>J5*30</f>
        <v>120</v>
      </c>
      <c r="M5" s="37" t="s">
        <v>65</v>
      </c>
      <c r="N5" s="336"/>
      <c r="O5" s="336"/>
      <c r="P5" s="336"/>
      <c r="Q5" s="43">
        <v>1991</v>
      </c>
      <c r="R5" s="44">
        <v>51716</v>
      </c>
    </row>
    <row r="6" spans="1:18" ht="15" customHeight="1" x14ac:dyDescent="0.25">
      <c r="A6" s="370"/>
      <c r="B6" s="370"/>
      <c r="C6" s="370"/>
      <c r="D6" s="370"/>
      <c r="E6" s="370"/>
      <c r="F6" s="370"/>
      <c r="G6" s="370"/>
      <c r="H6" s="45"/>
      <c r="I6" s="45" t="s">
        <v>66</v>
      </c>
      <c r="J6" s="337">
        <f>J4/J5</f>
        <v>212.9925906441282</v>
      </c>
      <c r="K6" s="337"/>
      <c r="L6" s="337"/>
      <c r="M6" s="46" t="s">
        <v>67</v>
      </c>
      <c r="N6" s="336"/>
      <c r="O6" s="336"/>
      <c r="P6" s="336"/>
      <c r="Q6" s="43">
        <v>1992</v>
      </c>
      <c r="R6" s="44">
        <v>65190</v>
      </c>
    </row>
    <row r="7" spans="1:18" ht="45" customHeight="1" x14ac:dyDescent="0.25">
      <c r="A7" s="348" t="s">
        <v>68</v>
      </c>
      <c r="B7" s="348"/>
      <c r="C7" s="349">
        <v>3</v>
      </c>
      <c r="D7" s="394" t="str">
        <f>'PAG 3'!K3</f>
        <v>GRUPO S Y C SAS</v>
      </c>
      <c r="E7" s="394"/>
      <c r="F7" s="394"/>
      <c r="G7" s="394"/>
      <c r="H7" s="394"/>
      <c r="I7" s="328">
        <f>SUM(I9:I12)</f>
        <v>1</v>
      </c>
      <c r="J7" s="329" t="str">
        <f>'[1]1'!J7</f>
        <v>EL INTEGRANTE QUE APORTE LA EXPERIENCIA DEBERA TENER COMO MINIMO EL 50% DE PARTICIPACION EN EL CONSORCIO O UNION TEMPORAL</v>
      </c>
      <c r="K7" s="329"/>
      <c r="L7" s="329"/>
      <c r="M7" s="47" t="s">
        <v>70</v>
      </c>
      <c r="N7" s="47" t="s">
        <v>71</v>
      </c>
      <c r="O7" s="339" t="s">
        <v>72</v>
      </c>
      <c r="P7" s="340" t="s">
        <v>73</v>
      </c>
      <c r="Q7" s="43">
        <v>1993</v>
      </c>
      <c r="R7" s="44">
        <v>81510</v>
      </c>
    </row>
    <row r="8" spans="1:18" x14ac:dyDescent="0.25">
      <c r="A8" s="348"/>
      <c r="B8" s="348"/>
      <c r="C8" s="349"/>
      <c r="D8" s="394"/>
      <c r="E8" s="394"/>
      <c r="F8" s="394"/>
      <c r="G8" s="394"/>
      <c r="H8" s="394"/>
      <c r="I8" s="328"/>
      <c r="J8" s="329"/>
      <c r="K8" s="329"/>
      <c r="L8" s="329"/>
      <c r="M8" s="48">
        <f>J4*60%</f>
        <v>511.18221754590763</v>
      </c>
      <c r="N8" s="48">
        <f>J6*60%</f>
        <v>127.79555438647691</v>
      </c>
      <c r="O8" s="339"/>
      <c r="P8" s="340"/>
      <c r="Q8" s="43"/>
      <c r="R8" s="44"/>
    </row>
    <row r="9" spans="1:18" ht="15.75" x14ac:dyDescent="0.25">
      <c r="A9" s="341" t="s">
        <v>74</v>
      </c>
      <c r="B9" s="341"/>
      <c r="C9" s="49" t="s">
        <v>75</v>
      </c>
      <c r="D9" s="393" t="str">
        <f>D7</f>
        <v>GRUPO S Y C SAS</v>
      </c>
      <c r="E9" s="393"/>
      <c r="F9" s="393"/>
      <c r="G9" s="393"/>
      <c r="H9" s="393"/>
      <c r="I9" s="50">
        <v>1</v>
      </c>
      <c r="J9" s="51" t="str">
        <f>IF(H15=D9,"APORTA EXP","NO APORTA EXP")</f>
        <v>APORTA EXP</v>
      </c>
      <c r="K9" s="51" t="str">
        <f>IF(H16=D9,"APORTA EXP","NO APORTA EXP")</f>
        <v>APORTA EXP</v>
      </c>
      <c r="L9" s="51" t="str">
        <f>IF(H17=D9,"APORTA EXP","NO APORTA EXP")</f>
        <v>APORTA EXP</v>
      </c>
      <c r="M9" s="52">
        <f>IF(D9="","",(SUMIF(H15:H17,D9,$D21:$D23)))</f>
        <v>13365.803397816544</v>
      </c>
      <c r="N9" s="52">
        <f>IF(D9="","",(SUMIF(H15:H17,D9,$F21:$F23)))</f>
        <v>434.95567202966015</v>
      </c>
      <c r="O9" s="53" t="str">
        <f>IF(M9&gt;M8,"CUMPLE","NO CUMPLE")</f>
        <v>CUMPLE</v>
      </c>
      <c r="P9" s="54" t="str">
        <f>IF(N9&gt;N8,"CUMPLE","NO CUMPLE")</f>
        <v>CUMPLE</v>
      </c>
      <c r="Q9" s="43">
        <v>1994</v>
      </c>
      <c r="R9" s="44">
        <v>98700</v>
      </c>
    </row>
    <row r="10" spans="1:18" ht="22.5" x14ac:dyDescent="0.25">
      <c r="A10" s="341"/>
      <c r="B10" s="341"/>
      <c r="C10" s="49" t="s">
        <v>76</v>
      </c>
      <c r="D10" s="343"/>
      <c r="E10" s="343"/>
      <c r="F10" s="343"/>
      <c r="G10" s="343"/>
      <c r="H10" s="343"/>
      <c r="I10" s="50"/>
      <c r="J10" s="51" t="str">
        <f>IF(H15=D10,"APORTA EXP","NO APORTA EXP")</f>
        <v>NO APORTA EXP</v>
      </c>
      <c r="K10" s="51" t="str">
        <f>IF(H16=D10,"APORTA EXP","NO APORTA EXP")</f>
        <v>NO APORTA EXP</v>
      </c>
      <c r="L10" s="51" t="str">
        <f>IF(H17=D10,"APORTA EXP","NO APORTA EXP")</f>
        <v>NO APORTA EXP</v>
      </c>
      <c r="M10" s="55" t="str">
        <f>IF(D10="","",(SUMIF(H15:H17,D10,$D21:$D23)))</f>
        <v/>
      </c>
      <c r="N10" s="55" t="str">
        <f>IF(D10="","",(SUMIF(H15:H17,D10,$F21:$F23)))</f>
        <v/>
      </c>
      <c r="O10" s="53" t="str">
        <f>IF(M10&gt;M8,"CUMPLE","NO CUMPLE")</f>
        <v>CUMPLE</v>
      </c>
      <c r="P10" s="54" t="str">
        <f>IF(N10&gt;N8,"CUMPLE","NO CUMPLE")</f>
        <v>CUMPLE</v>
      </c>
      <c r="Q10" s="43">
        <v>1995</v>
      </c>
      <c r="R10" s="44">
        <v>118933.5</v>
      </c>
    </row>
    <row r="11" spans="1:18" ht="22.5" x14ac:dyDescent="0.25">
      <c r="A11" s="341"/>
      <c r="B11" s="341"/>
      <c r="C11" s="49" t="s">
        <v>77</v>
      </c>
      <c r="D11" s="343"/>
      <c r="E11" s="343"/>
      <c r="F11" s="343"/>
      <c r="G11" s="343"/>
      <c r="H11" s="343"/>
      <c r="I11" s="50"/>
      <c r="J11" s="51" t="str">
        <f>IF(H15=D11,"APORTA EXP","NO APORTA EXP")</f>
        <v>NO APORTA EXP</v>
      </c>
      <c r="K11" s="51" t="str">
        <f>IF(H16=D11,"APORTA EXP","NO APORTA EXP")</f>
        <v>NO APORTA EXP</v>
      </c>
      <c r="L11" s="51" t="str">
        <f>IF(H17=D11,"APORTA EXP","NO APORTA EXP")</f>
        <v>NO APORTA EXP</v>
      </c>
      <c r="M11" s="55" t="str">
        <f>IF(D11="","",(SUMIF(H16:H18,D11,$D22:$D24)))</f>
        <v/>
      </c>
      <c r="N11" s="55" t="str">
        <f>IF(D11="","",(SUMIF(H16:H18,D11,$F22:$F24)))</f>
        <v/>
      </c>
      <c r="O11" s="53" t="str">
        <f>IF(M11&gt;M8,"CUMPLE","NO CUMPLE")</f>
        <v>CUMPLE</v>
      </c>
      <c r="P11" s="54" t="str">
        <f>IF(N11&gt;N8,"CUMPLE","NO CUMPLE")</f>
        <v>CUMPLE</v>
      </c>
      <c r="Q11" s="43">
        <v>1996</v>
      </c>
      <c r="R11" s="44">
        <v>142125</v>
      </c>
    </row>
    <row r="12" spans="1:18" ht="22.5" x14ac:dyDescent="0.25">
      <c r="A12" s="341"/>
      <c r="B12" s="341"/>
      <c r="C12" s="49" t="s">
        <v>78</v>
      </c>
      <c r="D12" s="343"/>
      <c r="E12" s="343"/>
      <c r="F12" s="343"/>
      <c r="G12" s="343"/>
      <c r="H12" s="343"/>
      <c r="I12" s="50"/>
      <c r="J12" s="51" t="str">
        <f>IF(H15=D12,"APORTA EXP","NO APORTA EXP")</f>
        <v>NO APORTA EXP</v>
      </c>
      <c r="K12" s="51" t="str">
        <f>IF(H16=D12,"APORTA EXP","NO APORTA EXP")</f>
        <v>NO APORTA EXP</v>
      </c>
      <c r="L12" s="51" t="str">
        <f>IF(H17=D12,"APORTA EXP","NO APORTA EXP")</f>
        <v>NO APORTA EXP</v>
      </c>
      <c r="M12" s="55" t="str">
        <f>IF(D12="","",(SUMIF(H15:H17,D12,$D21:$D23)))</f>
        <v/>
      </c>
      <c r="N12" s="56" t="str">
        <f>IF(D12="","",(SUMIF(H15:H17,D12,$F21:$F23)))</f>
        <v/>
      </c>
      <c r="O12" s="53" t="str">
        <f>IF(M12&gt;M8,"CUMPLE","NO CUMPLE")</f>
        <v>CUMPLE</v>
      </c>
      <c r="P12" s="54" t="str">
        <f>IF(N12&gt;N8,"CUMPLE","NO CUMPLE")</f>
        <v>CUMPLE</v>
      </c>
      <c r="Q12" s="43">
        <v>1997</v>
      </c>
      <c r="R12" s="44">
        <v>172005</v>
      </c>
    </row>
    <row r="13" spans="1:18"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8" ht="36"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8" x14ac:dyDescent="0.25">
      <c r="A15" s="109" t="s">
        <v>34</v>
      </c>
      <c r="B15" s="8">
        <v>1</v>
      </c>
      <c r="C15" s="158" t="s">
        <v>121</v>
      </c>
      <c r="D15" s="159" t="s">
        <v>123</v>
      </c>
      <c r="E15" s="12">
        <f>893998503/R32</f>
        <v>1296.6741890333669</v>
      </c>
      <c r="F15" s="9" t="s">
        <v>34</v>
      </c>
      <c r="G15" s="111">
        <v>1</v>
      </c>
      <c r="H15" s="8" t="str">
        <f>D7</f>
        <v>GRUPO S Y C SAS</v>
      </c>
      <c r="I15" s="64">
        <v>41725</v>
      </c>
      <c r="J15" s="65"/>
      <c r="K15" s="64">
        <v>42522</v>
      </c>
      <c r="L15" s="66">
        <f>((K15-I15)/30)-J15</f>
        <v>26.566666666666666</v>
      </c>
      <c r="M15" s="338" t="s">
        <v>94</v>
      </c>
      <c r="N15" s="338"/>
      <c r="O15" s="338"/>
      <c r="P15" s="338"/>
      <c r="Q15" s="43">
        <v>2000</v>
      </c>
      <c r="R15" s="44">
        <v>260100</v>
      </c>
    </row>
    <row r="16" spans="1:18" x14ac:dyDescent="0.25">
      <c r="A16" s="109" t="s">
        <v>34</v>
      </c>
      <c r="B16" s="8">
        <v>2</v>
      </c>
      <c r="C16" s="158" t="s">
        <v>122</v>
      </c>
      <c r="D16" s="159">
        <v>2091720</v>
      </c>
      <c r="E16" s="12">
        <f>401614944/R26</f>
        <v>779.83484271844657</v>
      </c>
      <c r="F16" s="9" t="s">
        <v>34</v>
      </c>
      <c r="G16" s="111">
        <v>0.05</v>
      </c>
      <c r="H16" s="8" t="str">
        <f>D9</f>
        <v>GRUPO S Y C SAS</v>
      </c>
      <c r="I16" s="64">
        <v>39944</v>
      </c>
      <c r="J16" s="65"/>
      <c r="K16" s="64">
        <v>40220</v>
      </c>
      <c r="L16" s="66">
        <f>((K16-I16)/30)-J16</f>
        <v>9.1999999999999993</v>
      </c>
      <c r="M16" s="338" t="s">
        <v>94</v>
      </c>
      <c r="N16" s="338"/>
      <c r="O16" s="338"/>
      <c r="P16" s="338"/>
      <c r="Q16" s="43">
        <v>2001</v>
      </c>
      <c r="R16" s="44">
        <v>286000</v>
      </c>
    </row>
    <row r="17" spans="1:18" ht="30" x14ac:dyDescent="0.25">
      <c r="A17" s="109" t="s">
        <v>34</v>
      </c>
      <c r="B17" s="8">
        <v>3</v>
      </c>
      <c r="C17" s="77" t="s">
        <v>145</v>
      </c>
      <c r="D17" s="8" t="s">
        <v>146</v>
      </c>
      <c r="E17" s="12">
        <f>17940733953.55/R28</f>
        <v>31658.256491176988</v>
      </c>
      <c r="F17" s="9" t="s">
        <v>34</v>
      </c>
      <c r="G17" s="111">
        <v>0.38</v>
      </c>
      <c r="H17" s="8" t="str">
        <f>D9</f>
        <v>GRUPO S Y C SAS</v>
      </c>
      <c r="I17" s="64">
        <v>40217</v>
      </c>
      <c r="J17" s="117"/>
      <c r="K17" s="64">
        <v>41162</v>
      </c>
      <c r="L17" s="66">
        <f>((K17-I17)/30)-J17</f>
        <v>31.5</v>
      </c>
      <c r="M17" s="338" t="s">
        <v>94</v>
      </c>
      <c r="N17" s="338"/>
      <c r="O17" s="338"/>
      <c r="P17" s="338"/>
      <c r="Q17" s="43">
        <v>2002</v>
      </c>
      <c r="R17" s="44">
        <v>309000</v>
      </c>
    </row>
    <row r="18" spans="1:18" x14ac:dyDescent="0.25">
      <c r="A18" s="351"/>
      <c r="B18" s="351"/>
      <c r="C18" s="351"/>
      <c r="D18" s="351"/>
      <c r="E18" s="351"/>
      <c r="F18" s="351"/>
      <c r="G18" s="351"/>
      <c r="H18" s="351"/>
      <c r="I18" s="351"/>
      <c r="J18" s="351"/>
      <c r="K18" s="351"/>
      <c r="L18" s="351"/>
      <c r="M18" s="351"/>
      <c r="N18" s="351"/>
      <c r="O18" s="351"/>
      <c r="P18" s="351"/>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c r="I20" s="355"/>
      <c r="J20" s="355"/>
      <c r="K20" s="355"/>
      <c r="L20" s="355"/>
      <c r="M20" s="355"/>
      <c r="N20" s="354">
        <f>M45</f>
        <v>0</v>
      </c>
      <c r="O20" s="354"/>
      <c r="P20" s="354"/>
      <c r="Q20" s="43"/>
      <c r="R20" s="44"/>
    </row>
    <row r="21" spans="1:18" ht="27" customHeight="1" x14ac:dyDescent="0.25">
      <c r="A21" s="352"/>
      <c r="B21" s="352"/>
      <c r="C21" s="67" t="str">
        <f>D15</f>
        <v>13000176 OH 2013</v>
      </c>
      <c r="D21" s="68">
        <f>IF(M15="CUMPLE",(E15*G15),0)</f>
        <v>1296.6741890333669</v>
      </c>
      <c r="E21" s="356">
        <f>SUM(D21:D23)</f>
        <v>13365.803397816544</v>
      </c>
      <c r="F21" s="69">
        <f>D21/L15</f>
        <v>48.808313263489346</v>
      </c>
      <c r="G21" s="357">
        <f>SUM(F21:F23)</f>
        <v>434.95567202966015</v>
      </c>
      <c r="H21" s="355"/>
      <c r="I21" s="355"/>
      <c r="J21" s="355"/>
      <c r="K21" s="355"/>
      <c r="L21" s="355"/>
      <c r="M21" s="355"/>
      <c r="N21" s="354">
        <f>P54</f>
        <v>0</v>
      </c>
      <c r="O21" s="354"/>
      <c r="P21" s="354"/>
      <c r="Q21" s="43">
        <v>2005</v>
      </c>
      <c r="R21" s="44">
        <v>381500</v>
      </c>
    </row>
    <row r="22" spans="1:18" ht="15" customHeight="1" x14ac:dyDescent="0.25">
      <c r="A22" s="352"/>
      <c r="B22" s="352"/>
      <c r="C22" s="67">
        <f>D16</f>
        <v>2091720</v>
      </c>
      <c r="D22" s="68">
        <f>IF(M16="CUMPLE",(E16*G16),0)</f>
        <v>38.99174213592233</v>
      </c>
      <c r="E22" s="356"/>
      <c r="F22" s="69">
        <f>D22/L16</f>
        <v>4.238232840861123</v>
      </c>
      <c r="G22" s="357"/>
      <c r="H22" s="358"/>
      <c r="I22" s="358"/>
      <c r="J22" s="358"/>
      <c r="K22" s="358"/>
      <c r="L22" s="358"/>
      <c r="M22" s="358"/>
      <c r="N22" s="358"/>
      <c r="O22" s="358"/>
      <c r="P22" s="358"/>
      <c r="Q22" s="43">
        <v>2006</v>
      </c>
      <c r="R22" s="44">
        <v>408000</v>
      </c>
    </row>
    <row r="23" spans="1:18" x14ac:dyDescent="0.25">
      <c r="A23" s="352"/>
      <c r="B23" s="352"/>
      <c r="C23" s="67" t="str">
        <f>D17</f>
        <v>002-10</v>
      </c>
      <c r="D23" s="68">
        <f>IF(M17="CUMPLE",(E17*G17),0)</f>
        <v>12030.137466647255</v>
      </c>
      <c r="E23" s="356"/>
      <c r="F23" s="69">
        <f>D23/L17</f>
        <v>381.9091259253097</v>
      </c>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CUMPLE</v>
      </c>
      <c r="F24" s="72" t="s">
        <v>103</v>
      </c>
      <c r="G24" s="71" t="str">
        <f>IF(G21="","",IF(L6&lt;=G21,"CUMPLE", "NO CUMPLE"))</f>
        <v>CUMPLE</v>
      </c>
      <c r="H24" s="360" t="s">
        <v>50</v>
      </c>
      <c r="I24" s="360"/>
      <c r="J24" s="360"/>
      <c r="K24" s="361" t="s">
        <v>104</v>
      </c>
      <c r="L24" s="361"/>
      <c r="M24" s="73" t="s">
        <v>105</v>
      </c>
      <c r="N24" s="362">
        <f>+N19+N20+N21</f>
        <v>10</v>
      </c>
      <c r="O24" s="362"/>
      <c r="P24" s="362"/>
      <c r="Q24" s="43">
        <v>2008</v>
      </c>
      <c r="R24" s="44">
        <v>461500</v>
      </c>
    </row>
    <row r="25" spans="1:18" x14ac:dyDescent="0.25">
      <c r="A25" s="381" t="s">
        <v>106</v>
      </c>
      <c r="B25" s="381"/>
      <c r="C25" s="381"/>
      <c r="D25" s="381"/>
      <c r="E25" s="381"/>
      <c r="F25" s="381"/>
      <c r="G25" s="381"/>
      <c r="H25" s="381"/>
      <c r="K25" s="366"/>
      <c r="L25" s="366"/>
      <c r="M25" s="366"/>
      <c r="N25" s="366"/>
      <c r="O25" s="366"/>
      <c r="P25" s="366"/>
      <c r="Q25" s="74">
        <v>2009</v>
      </c>
      <c r="R25" s="44">
        <v>496900</v>
      </c>
    </row>
    <row r="26" spans="1:18" ht="57" customHeight="1" x14ac:dyDescent="0.25">
      <c r="A26" s="395"/>
      <c r="B26" s="395"/>
      <c r="C26" s="395"/>
      <c r="D26" s="395"/>
      <c r="E26" s="395"/>
      <c r="F26" s="395"/>
      <c r="G26" s="395"/>
      <c r="H26" s="395"/>
      <c r="I26" s="128"/>
      <c r="J26" s="75"/>
      <c r="K26" s="75"/>
      <c r="L26" s="75"/>
      <c r="M26" s="75"/>
      <c r="N26" s="75"/>
      <c r="O26" s="113"/>
      <c r="P26" s="118"/>
      <c r="Q26" s="74">
        <v>2010</v>
      </c>
      <c r="R26" s="44">
        <v>515000</v>
      </c>
    </row>
    <row r="27" spans="1:18" ht="40.5" customHeight="1" x14ac:dyDescent="0.25">
      <c r="A27" s="395"/>
      <c r="B27" s="395"/>
      <c r="C27" s="395"/>
      <c r="D27" s="395"/>
      <c r="E27" s="395"/>
      <c r="F27" s="395"/>
      <c r="G27" s="395"/>
      <c r="H27" s="395"/>
      <c r="I27" s="76"/>
      <c r="J27" s="77"/>
      <c r="K27" s="77"/>
      <c r="L27" s="78"/>
      <c r="M27" s="77"/>
      <c r="N27" s="76"/>
      <c r="O27" s="115"/>
      <c r="P27" s="118"/>
      <c r="Q27" s="74">
        <v>2011</v>
      </c>
      <c r="R27" s="44">
        <v>535600</v>
      </c>
    </row>
    <row r="28" spans="1:18" ht="37.5" customHeight="1" x14ac:dyDescent="0.25">
      <c r="A28" s="395"/>
      <c r="B28" s="395"/>
      <c r="C28" s="395"/>
      <c r="D28" s="395"/>
      <c r="E28" s="395"/>
      <c r="F28" s="395"/>
      <c r="G28" s="395"/>
      <c r="H28" s="395"/>
      <c r="I28" s="76"/>
      <c r="J28" s="77"/>
      <c r="K28" s="77"/>
      <c r="L28" s="78"/>
      <c r="M28" s="77"/>
      <c r="N28" s="76"/>
      <c r="O28" s="115"/>
      <c r="P28" s="118"/>
      <c r="Q28" s="74">
        <v>2012</v>
      </c>
      <c r="R28" s="44">
        <v>566700</v>
      </c>
    </row>
    <row r="29" spans="1:18" x14ac:dyDescent="0.25">
      <c r="A29" s="395"/>
      <c r="B29" s="395"/>
      <c r="C29" s="395"/>
      <c r="D29" s="395"/>
      <c r="E29" s="395"/>
      <c r="F29" s="395"/>
      <c r="G29" s="395"/>
      <c r="H29" s="395"/>
      <c r="I29" s="76"/>
      <c r="J29" s="77"/>
      <c r="K29" s="77"/>
      <c r="L29" s="78"/>
      <c r="M29" s="77"/>
      <c r="N29" s="76"/>
      <c r="O29" s="115"/>
      <c r="P29" s="118"/>
      <c r="Q29" s="74">
        <v>2013</v>
      </c>
      <c r="R29" s="44">
        <v>589500</v>
      </c>
    </row>
    <row r="30" spans="1:18" ht="20.25" customHeight="1" x14ac:dyDescent="0.25">
      <c r="A30" s="395"/>
      <c r="B30" s="395"/>
      <c r="C30" s="395"/>
      <c r="D30" s="395"/>
      <c r="E30" s="395"/>
      <c r="F30" s="395"/>
      <c r="G30" s="395"/>
      <c r="H30" s="395"/>
      <c r="I30" s="79"/>
      <c r="J30" s="79"/>
      <c r="K30" s="79"/>
      <c r="L30" s="78"/>
      <c r="M30" s="77"/>
      <c r="N30" s="76"/>
      <c r="O30" s="115"/>
      <c r="Q30" s="74">
        <v>2014</v>
      </c>
      <c r="R30" s="44">
        <v>616000</v>
      </c>
    </row>
    <row r="31" spans="1:18" ht="33" customHeight="1" x14ac:dyDescent="0.25">
      <c r="A31" s="396"/>
      <c r="B31" s="396"/>
      <c r="C31" s="396"/>
      <c r="D31" s="396"/>
      <c r="E31" s="396"/>
      <c r="F31" s="396"/>
      <c r="G31" s="396"/>
      <c r="H31" s="396"/>
      <c r="I31" s="119"/>
      <c r="J31" s="119"/>
      <c r="K31" s="119"/>
      <c r="L31" s="119"/>
      <c r="M31" s="119"/>
      <c r="N31" s="119"/>
      <c r="O31" s="80"/>
      <c r="Q31" s="74">
        <v>2015</v>
      </c>
      <c r="R31" s="44">
        <v>644350</v>
      </c>
    </row>
    <row r="32" spans="1:18" x14ac:dyDescent="0.25">
      <c r="A32" s="396"/>
      <c r="B32" s="396"/>
      <c r="C32" s="396"/>
      <c r="D32" s="396"/>
      <c r="E32" s="396"/>
      <c r="F32" s="396"/>
      <c r="G32" s="396"/>
      <c r="H32" s="396"/>
      <c r="I32" s="81"/>
      <c r="J32" s="81"/>
      <c r="K32" s="81"/>
      <c r="L32" s="81"/>
      <c r="M32" s="81"/>
      <c r="N32" s="81"/>
      <c r="Q32" s="74">
        <v>2016</v>
      </c>
      <c r="R32" s="44">
        <v>689455</v>
      </c>
    </row>
    <row r="33" spans="1:18" ht="15.75" thickBot="1" x14ac:dyDescent="0.3">
      <c r="A33" s="120"/>
      <c r="B33" s="120"/>
      <c r="C33" s="120"/>
      <c r="D33" s="120"/>
      <c r="E33" s="397" t="s">
        <v>107</v>
      </c>
      <c r="F33" s="397"/>
      <c r="G33" s="397"/>
      <c r="H33" s="397"/>
      <c r="I33" s="81"/>
      <c r="J33" s="81"/>
      <c r="K33" s="81"/>
      <c r="L33" s="81"/>
      <c r="M33" s="81"/>
      <c r="N33" s="81"/>
      <c r="Q33" s="82">
        <v>2017</v>
      </c>
      <c r="R33" s="83">
        <v>737717</v>
      </c>
    </row>
    <row r="34" spans="1:18" ht="15.75" thickBot="1" x14ac:dyDescent="0.3">
      <c r="I34" s="81"/>
      <c r="J34" s="81"/>
      <c r="K34" s="81"/>
      <c r="L34" s="81"/>
      <c r="M34" s="81"/>
      <c r="N34" s="81"/>
      <c r="Q34" s="82">
        <v>2018</v>
      </c>
      <c r="R34" s="83">
        <v>781242</v>
      </c>
    </row>
    <row r="35" spans="1:18" ht="15.75" thickBot="1" x14ac:dyDescent="0.3">
      <c r="E35" s="378"/>
      <c r="F35" s="378"/>
      <c r="G35" s="379"/>
      <c r="H35" s="379"/>
    </row>
    <row r="36" spans="1:18" ht="15.75" thickBot="1" x14ac:dyDescent="0.3">
      <c r="E36" s="380"/>
      <c r="F36" s="380"/>
      <c r="G36" s="379"/>
      <c r="H36" s="379"/>
    </row>
    <row r="37" spans="1:18" ht="15.75" thickBot="1" x14ac:dyDescent="0.3">
      <c r="E37" s="84"/>
      <c r="F37" s="85"/>
      <c r="G37" s="86"/>
      <c r="H37" s="385"/>
      <c r="J37" s="386"/>
      <c r="K37" s="386"/>
      <c r="L37" s="386"/>
      <c r="M37" s="87"/>
      <c r="N37" s="387"/>
      <c r="O37" s="387"/>
      <c r="P37" s="387"/>
      <c r="Q37" s="387"/>
      <c r="R37" s="387"/>
    </row>
    <row r="38" spans="1:18" ht="36" customHeight="1" thickBot="1" x14ac:dyDescent="0.3">
      <c r="E38" s="388"/>
      <c r="F38" s="388"/>
      <c r="G38" s="389"/>
      <c r="H38" s="385"/>
      <c r="J38" s="390"/>
      <c r="K38" s="390"/>
      <c r="L38" s="390"/>
      <c r="M38" s="87"/>
      <c r="N38" s="387"/>
      <c r="O38" s="387"/>
      <c r="P38" s="387"/>
      <c r="Q38" s="387"/>
      <c r="R38" s="387"/>
    </row>
    <row r="39" spans="1:18" ht="88.5" customHeight="1" thickBot="1" x14ac:dyDescent="0.3">
      <c r="E39" s="388"/>
      <c r="F39" s="388"/>
      <c r="G39" s="389"/>
      <c r="H39" s="385"/>
      <c r="J39" s="88"/>
      <c r="K39" s="88"/>
      <c r="L39" s="88"/>
      <c r="M39" s="63"/>
      <c r="N39" s="387"/>
      <c r="O39" s="387"/>
      <c r="P39" s="387"/>
      <c r="Q39" s="387"/>
      <c r="R39" s="387"/>
    </row>
    <row r="40" spans="1:18" ht="15.75" thickBot="1" x14ac:dyDescent="0.3">
      <c r="E40" s="84"/>
      <c r="F40" s="85"/>
      <c r="G40" s="86"/>
      <c r="H40" s="385"/>
      <c r="J40" s="89"/>
      <c r="K40" s="89"/>
      <c r="L40" s="89"/>
      <c r="M40" s="9"/>
      <c r="N40" s="387"/>
      <c r="O40" s="387"/>
      <c r="P40" s="387"/>
      <c r="Q40" s="387"/>
      <c r="R40" s="387"/>
    </row>
    <row r="41" spans="1:18" x14ac:dyDescent="0.25">
      <c r="E41" s="90"/>
      <c r="J41" s="89"/>
      <c r="K41" s="89"/>
      <c r="L41" s="89"/>
      <c r="M41" s="9"/>
      <c r="N41" s="387"/>
      <c r="O41" s="387"/>
      <c r="P41" s="387"/>
      <c r="Q41" s="387"/>
      <c r="R41" s="387"/>
    </row>
    <row r="42" spans="1:18" ht="15.75" thickBot="1" x14ac:dyDescent="0.3">
      <c r="E42" s="90"/>
      <c r="J42" s="89"/>
      <c r="K42" s="89"/>
      <c r="L42" s="89"/>
      <c r="M42" s="9"/>
      <c r="N42" s="387"/>
      <c r="O42" s="387"/>
      <c r="P42" s="387"/>
      <c r="Q42" s="387"/>
      <c r="R42" s="387"/>
    </row>
    <row r="43" spans="1:18" ht="15.75" thickBot="1" x14ac:dyDescent="0.3">
      <c r="E43" s="378"/>
      <c r="F43" s="378"/>
      <c r="G43" s="379"/>
      <c r="H43" s="391"/>
      <c r="J43" s="89"/>
      <c r="K43" s="89"/>
      <c r="L43" s="89"/>
      <c r="M43" s="9"/>
      <c r="N43" s="387"/>
      <c r="O43" s="387"/>
      <c r="P43" s="387"/>
      <c r="Q43" s="387"/>
      <c r="R43" s="387"/>
    </row>
    <row r="44" spans="1:18" ht="15.75" thickBot="1" x14ac:dyDescent="0.3">
      <c r="E44" s="380"/>
      <c r="F44" s="380"/>
      <c r="G44" s="379"/>
      <c r="H44" s="391"/>
      <c r="J44" s="89"/>
      <c r="K44" s="89"/>
      <c r="L44" s="89"/>
      <c r="M44" s="91"/>
      <c r="N44" s="387"/>
      <c r="O44" s="387"/>
      <c r="P44" s="387"/>
      <c r="Q44" s="387"/>
      <c r="R44" s="387"/>
    </row>
    <row r="45" spans="1:18" ht="21.75" thickBot="1" x14ac:dyDescent="0.3">
      <c r="E45" s="92"/>
      <c r="F45" s="93"/>
      <c r="G45" s="94"/>
      <c r="H45" s="95"/>
      <c r="J45" s="89"/>
      <c r="K45" s="89"/>
      <c r="L45" s="89"/>
      <c r="M45" s="91"/>
      <c r="N45" s="96"/>
      <c r="O45" s="96"/>
      <c r="P45" s="96"/>
      <c r="Q45" s="96"/>
      <c r="R45" s="96"/>
    </row>
    <row r="46" spans="1:18" ht="15.75" thickBot="1" x14ac:dyDescent="0.3">
      <c r="E46" s="84"/>
      <c r="F46" s="85"/>
      <c r="G46" s="85"/>
      <c r="H46" s="385"/>
      <c r="J46" s="392"/>
      <c r="K46" s="392"/>
      <c r="L46" s="392"/>
      <c r="M46" s="116"/>
    </row>
    <row r="47" spans="1:18" ht="15.75" thickBot="1" x14ac:dyDescent="0.3">
      <c r="E47" s="388"/>
      <c r="F47" s="388"/>
      <c r="G47" s="389"/>
      <c r="H47" s="385"/>
      <c r="J47" s="342"/>
      <c r="K47" s="342"/>
      <c r="L47" s="9"/>
      <c r="M47" s="56"/>
      <c r="N47" s="63"/>
      <c r="O47" s="56"/>
      <c r="P47" s="63"/>
    </row>
    <row r="48" spans="1:18" ht="15.75" thickBot="1" x14ac:dyDescent="0.3">
      <c r="E48" s="388"/>
      <c r="F48" s="388"/>
      <c r="G48" s="389"/>
      <c r="H48" s="385"/>
      <c r="J48" s="342"/>
      <c r="K48" s="342"/>
      <c r="L48" s="9"/>
      <c r="M48" s="9"/>
      <c r="N48" s="9"/>
      <c r="O48" s="9"/>
      <c r="P48" s="56"/>
    </row>
    <row r="49" spans="5:16" ht="15.75" thickBot="1" x14ac:dyDescent="0.3">
      <c r="E49" s="84"/>
      <c r="F49" s="85"/>
      <c r="G49" s="97"/>
      <c r="H49" s="385"/>
      <c r="J49" s="88"/>
      <c r="K49" s="9"/>
      <c r="L49" s="9"/>
      <c r="M49" s="9"/>
      <c r="N49" s="9"/>
      <c r="O49" s="98"/>
      <c r="P49" s="99"/>
    </row>
    <row r="50" spans="5:16" ht="15.75" thickBot="1" x14ac:dyDescent="0.3">
      <c r="E50" s="90"/>
      <c r="J50" s="100"/>
      <c r="K50" s="9"/>
      <c r="L50" s="9"/>
      <c r="M50" s="9"/>
      <c r="N50" s="9"/>
      <c r="O50" s="98"/>
      <c r="P50" s="99"/>
    </row>
    <row r="51" spans="5:16" x14ac:dyDescent="0.25">
      <c r="E51" s="101"/>
      <c r="F51" s="102"/>
      <c r="G51" s="103"/>
      <c r="H51" s="103"/>
      <c r="J51" s="100"/>
      <c r="K51" s="9"/>
      <c r="L51" s="9"/>
      <c r="M51" s="9"/>
      <c r="N51" s="9"/>
      <c r="O51" s="98"/>
      <c r="P51" s="99"/>
    </row>
    <row r="52" spans="5:16" ht="15.75" thickBot="1" x14ac:dyDescent="0.3">
      <c r="E52" s="92"/>
      <c r="F52" s="93"/>
      <c r="G52" s="104"/>
      <c r="H52" s="95"/>
      <c r="J52" s="100"/>
      <c r="K52" s="9"/>
      <c r="L52" s="9"/>
      <c r="M52" s="9"/>
      <c r="N52" s="9"/>
      <c r="O52" s="98"/>
      <c r="P52" s="99"/>
    </row>
    <row r="53" spans="5:16" ht="15.75" thickBot="1" x14ac:dyDescent="0.3">
      <c r="E53" s="84"/>
      <c r="F53" s="85"/>
      <c r="G53" s="85"/>
      <c r="H53" s="385"/>
      <c r="J53" s="100"/>
      <c r="K53" s="9"/>
      <c r="L53" s="9"/>
      <c r="M53" s="9"/>
      <c r="N53" s="9"/>
      <c r="O53" s="98"/>
      <c r="P53" s="99"/>
    </row>
    <row r="54" spans="5:16" ht="15.75" thickBot="1" x14ac:dyDescent="0.3">
      <c r="E54" s="105"/>
      <c r="F54" s="105"/>
      <c r="G54" s="106"/>
      <c r="H54" s="385"/>
      <c r="J54" s="56"/>
      <c r="K54" s="56"/>
      <c r="L54" s="56"/>
      <c r="M54" s="9"/>
      <c r="N54" s="56"/>
      <c r="O54" s="107"/>
      <c r="P54" s="9"/>
    </row>
    <row r="55" spans="5:16" ht="15.75" thickBot="1" x14ac:dyDescent="0.3">
      <c r="E55" s="84"/>
      <c r="F55" s="84"/>
      <c r="G55" s="108"/>
      <c r="H55" s="385"/>
    </row>
    <row r="56" spans="5:16" ht="15.75" thickBot="1" x14ac:dyDescent="0.3">
      <c r="E56" s="84"/>
      <c r="F56" s="85"/>
      <c r="G56" s="97"/>
      <c r="H56" s="385"/>
    </row>
  </sheetData>
  <mergeCells count="76">
    <mergeCell ref="H53:H56"/>
    <mergeCell ref="E44:F44"/>
    <mergeCell ref="H46:H49"/>
    <mergeCell ref="J46:L46"/>
    <mergeCell ref="E47:E48"/>
    <mergeCell ref="F47:F48"/>
    <mergeCell ref="G47:G48"/>
    <mergeCell ref="J47:J48"/>
    <mergeCell ref="K47:K48"/>
    <mergeCell ref="H37:H40"/>
    <mergeCell ref="J37:L37"/>
    <mergeCell ref="N37:R44"/>
    <mergeCell ref="E38:E39"/>
    <mergeCell ref="F38:F39"/>
    <mergeCell ref="G38:G39"/>
    <mergeCell ref="J38:L38"/>
    <mergeCell ref="E43:F43"/>
    <mergeCell ref="G43:G44"/>
    <mergeCell ref="H43:H44"/>
    <mergeCell ref="A24:C24"/>
    <mergeCell ref="H24:J24"/>
    <mergeCell ref="K24:L24"/>
    <mergeCell ref="N24:P24"/>
    <mergeCell ref="E35:F35"/>
    <mergeCell ref="G35:G36"/>
    <mergeCell ref="H35:H36"/>
    <mergeCell ref="E36:F36"/>
    <mergeCell ref="A25:H25"/>
    <mergeCell ref="K25:P25"/>
    <mergeCell ref="A26:H30"/>
    <mergeCell ref="A31:H32"/>
    <mergeCell ref="E33:H33"/>
    <mergeCell ref="M17:P17"/>
    <mergeCell ref="A18:P18"/>
    <mergeCell ref="A19:B23"/>
    <mergeCell ref="H19:M19"/>
    <mergeCell ref="N19:P19"/>
    <mergeCell ref="H20:K21"/>
    <mergeCell ref="L20:M20"/>
    <mergeCell ref="N20:P20"/>
    <mergeCell ref="E21:E23"/>
    <mergeCell ref="G21:G23"/>
    <mergeCell ref="N21:P21"/>
    <mergeCell ref="H22:P23"/>
    <mergeCell ref="L21:M21"/>
    <mergeCell ref="M16:P16"/>
    <mergeCell ref="O7:O8"/>
    <mergeCell ref="P7:P8"/>
    <mergeCell ref="A9:B12"/>
    <mergeCell ref="D9:H9"/>
    <mergeCell ref="D10:H10"/>
    <mergeCell ref="D11:H11"/>
    <mergeCell ref="D12:H12"/>
    <mergeCell ref="A13:F13"/>
    <mergeCell ref="G13:H13"/>
    <mergeCell ref="J13:N13"/>
    <mergeCell ref="M14:P14"/>
    <mergeCell ref="M15:P15"/>
    <mergeCell ref="A7:B8"/>
    <mergeCell ref="C7:C8"/>
    <mergeCell ref="D7:H8"/>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s>
  <conditionalFormatting sqref="K17">
    <cfRule type="cellIs" dxfId="119" priority="10" stopIfTrue="1" operator="greaterThan">
      <formula>0</formula>
    </cfRule>
  </conditionalFormatting>
  <conditionalFormatting sqref="E24">
    <cfRule type="expression" dxfId="118" priority="18" stopIfTrue="1">
      <formula>NOT(ISERROR(SEARCH("CUMPLE",E24)))</formula>
    </cfRule>
  </conditionalFormatting>
  <conditionalFormatting sqref="G24">
    <cfRule type="expression" dxfId="117" priority="20" stopIfTrue="1">
      <formula>NOT(ISERROR(SEARCH("CUMPLE",G24)))</formula>
    </cfRule>
  </conditionalFormatting>
  <conditionalFormatting sqref="M15:M16">
    <cfRule type="expression" dxfId="116" priority="36" stopIfTrue="1">
      <formula>NOT(ISERROR(SEARCH("CUMPLE",M15)))</formula>
    </cfRule>
  </conditionalFormatting>
  <conditionalFormatting sqref="M17">
    <cfRule type="expression" dxfId="115" priority="34" stopIfTrue="1">
      <formula>NOT(ISERROR(SEARCH("CUMPLE",M17)))</formula>
    </cfRule>
  </conditionalFormatting>
  <conditionalFormatting sqref="O9:O12">
    <cfRule type="expression" dxfId="114" priority="38" stopIfTrue="1">
      <formula>NOT(ISERROR(SEARCH("CUMPLE",O9)))</formula>
    </cfRule>
  </conditionalFormatting>
  <conditionalFormatting sqref="P9:P12">
    <cfRule type="expression" dxfId="113" priority="40" stopIfTrue="1">
      <formula>NOT(ISERROR(SEARCH("CUMPLE",P9)))</formula>
    </cfRule>
  </conditionalFormatting>
  <conditionalFormatting sqref="K24">
    <cfRule type="expression" dxfId="112" priority="22" stopIfTrue="1">
      <formula>NOT(ISERROR(SEARCH("HABIL",K24)))</formula>
    </cfRule>
  </conditionalFormatting>
  <conditionalFormatting sqref="J9:L12">
    <cfRule type="expression" dxfId="111" priority="31" stopIfTrue="1">
      <formula>NOT(ISERROR(SEARCH("NO APORTA EXP",J9)))</formula>
    </cfRule>
  </conditionalFormatting>
  <conditionalFormatting sqref="E24">
    <cfRule type="expression" dxfId="110" priority="17" stopIfTrue="1">
      <formula>NOT(ISERROR(SEARCH("NO CUMPLE",E24)))</formula>
    </cfRule>
  </conditionalFormatting>
  <conditionalFormatting sqref="G24">
    <cfRule type="expression" dxfId="109" priority="19" stopIfTrue="1">
      <formula>NOT(ISERROR(SEARCH("NO CUMPLE",G24)))</formula>
    </cfRule>
  </conditionalFormatting>
  <conditionalFormatting sqref="M15:M16">
    <cfRule type="expression" dxfId="108" priority="35" stopIfTrue="1">
      <formula>NOT(ISERROR(SEARCH("NO CUMPLE",M15)))</formula>
    </cfRule>
  </conditionalFormatting>
  <conditionalFormatting sqref="M17">
    <cfRule type="expression" dxfId="107" priority="33" stopIfTrue="1">
      <formula>NOT(ISERROR(SEARCH("NO CUMPLE",M17)))</formula>
    </cfRule>
  </conditionalFormatting>
  <conditionalFormatting sqref="O9:O12">
    <cfRule type="expression" dxfId="106" priority="37" stopIfTrue="1">
      <formula>NOT(ISERROR(SEARCH("NO CUMPLE",O9)))</formula>
    </cfRule>
  </conditionalFormatting>
  <conditionalFormatting sqref="P9:P12">
    <cfRule type="expression" dxfId="105" priority="39" stopIfTrue="1">
      <formula>NOT(ISERROR(SEARCH("NO CUMPLE",P9)))</formula>
    </cfRule>
  </conditionalFormatting>
  <conditionalFormatting sqref="K24">
    <cfRule type="expression" dxfId="104" priority="21" stopIfTrue="1">
      <formula>NOT(ISERROR(SEARCH("NO HABIL",K24)))</formula>
    </cfRule>
  </conditionalFormatting>
  <conditionalFormatting sqref="A15">
    <cfRule type="expression" dxfId="103" priority="23" stopIfTrue="1">
      <formula>NOT(ISERROR(SEARCH("NO",A15)))</formula>
    </cfRule>
  </conditionalFormatting>
  <conditionalFormatting sqref="A16:A17">
    <cfRule type="expression" dxfId="102" priority="25" stopIfTrue="1">
      <formula>NOT(ISERROR(SEARCH("NO",A16)))</formula>
    </cfRule>
  </conditionalFormatting>
  <conditionalFormatting sqref="F17">
    <cfRule type="expression" dxfId="101" priority="11" stopIfTrue="1">
      <formula>NOT(ISERROR(SEARCH("NO",F17)))</formula>
    </cfRule>
  </conditionalFormatting>
  <conditionalFormatting sqref="I17">
    <cfRule type="cellIs" dxfId="100" priority="8" stopIfTrue="1" operator="greaterThan">
      <formula>0</formula>
    </cfRule>
  </conditionalFormatting>
  <conditionalFormatting sqref="I16 K16">
    <cfRule type="cellIs" dxfId="99" priority="1" stopIfTrue="1" operator="greaterThan">
      <formula>0</formula>
    </cfRule>
  </conditionalFormatting>
  <conditionalFormatting sqref="I15 K15">
    <cfRule type="cellIs" dxfId="98" priority="4" stopIfTrue="1" operator="greaterThan">
      <formula>0</formula>
    </cfRule>
  </conditionalFormatting>
  <conditionalFormatting sqref="F15">
    <cfRule type="expression" dxfId="97" priority="5" stopIfTrue="1">
      <formula>NOT(ISERROR(SEARCH("NO",F15)))</formula>
    </cfRule>
  </conditionalFormatting>
  <conditionalFormatting sqref="F15">
    <cfRule type="expression" dxfId="96" priority="6" stopIfTrue="1">
      <formula>NOT(ISERROR(SEARCH("SI",F15)))</formula>
    </cfRule>
  </conditionalFormatting>
  <conditionalFormatting sqref="F16">
    <cfRule type="expression" dxfId="95" priority="2" stopIfTrue="1">
      <formula>NOT(ISERROR(SEARCH("NO",F16)))</formula>
    </cfRule>
  </conditionalFormatting>
  <conditionalFormatting sqref="F16">
    <cfRule type="expression" dxfId="94" priority="3" stopIfTrue="1">
      <formula>NOT(ISERROR(SEARCH("SI",F16)))</formula>
    </cfRule>
  </conditionalFormatting>
  <pageMargins left="0.25" right="0.25" top="0.75" bottom="0.75" header="0.30000000000000004" footer="0.30000000000000004"/>
  <pageSetup scale="55" fitToWidth="0"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7"/>
  <sheetViews>
    <sheetView topLeftCell="A14" workbookViewId="0">
      <selection activeCell="F23" sqref="F23"/>
    </sheetView>
  </sheetViews>
  <sheetFormatPr baseColWidth="10" defaultColWidth="10.85546875" defaultRowHeight="15" x14ac:dyDescent="0.25"/>
  <cols>
    <col min="1" max="1" width="11.42578125" style="6" customWidth="1"/>
    <col min="2" max="2" width="13.140625" style="6" customWidth="1"/>
    <col min="3" max="3" width="23.85546875" style="6" customWidth="1"/>
    <col min="4" max="4" width="18.7109375" style="6" customWidth="1"/>
    <col min="5" max="5" width="15.42578125" style="6" customWidth="1"/>
    <col min="6" max="6" width="19.42578125" style="6" customWidth="1"/>
    <col min="7" max="7" width="11.42578125" style="6" customWidth="1"/>
    <col min="8" max="8" width="18.85546875" style="6" customWidth="1"/>
    <col min="9" max="9" width="17" style="6" customWidth="1"/>
    <col min="10" max="12" width="11.42578125" style="6" customWidth="1"/>
    <col min="13" max="13" width="17.7109375" style="6" customWidth="1"/>
    <col min="14" max="14" width="15.140625" style="6" customWidth="1"/>
    <col min="15" max="15" width="14.7109375" style="6" customWidth="1"/>
    <col min="16" max="17" width="11.42578125" style="6" customWidth="1"/>
    <col min="18" max="18" width="14.7109375" style="6" customWidth="1"/>
    <col min="19" max="19" width="11.42578125" style="6" customWidth="1"/>
    <col min="20" max="16384" width="10.85546875" style="6"/>
  </cols>
  <sheetData>
    <row r="1" spans="1:18"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8" ht="12.75" customHeight="1" x14ac:dyDescent="0.25">
      <c r="A2" s="370" t="str">
        <f>'1'!A2:G6</f>
        <v xml:space="preserve">CONTRATAR EL MANTENIMIENTO Y MEJORAMIENTO DEL CERRAMIENTO PERIMETRAL DE LAS ESTACIONES VOR MARINILLA, OTU-REMEDIOS EN ANTIOQUIA Y QUIBDÓ EN CHOCÓ </v>
      </c>
      <c r="B2" s="370"/>
      <c r="C2" s="370"/>
      <c r="D2" s="370"/>
      <c r="E2" s="370"/>
      <c r="F2" s="370"/>
      <c r="G2" s="370"/>
      <c r="H2" s="334" t="s">
        <v>58</v>
      </c>
      <c r="I2" s="334"/>
      <c r="J2" s="335">
        <f>'1'!J2:L2</f>
        <v>332797515</v>
      </c>
      <c r="K2" s="335"/>
      <c r="L2" s="335"/>
      <c r="M2" s="34" t="s">
        <v>59</v>
      </c>
      <c r="N2" s="336"/>
      <c r="O2" s="336"/>
      <c r="P2" s="336"/>
      <c r="Q2" s="35"/>
      <c r="R2" s="36"/>
    </row>
    <row r="3" spans="1:18" ht="12.75" customHeight="1" x14ac:dyDescent="0.25">
      <c r="A3" s="370"/>
      <c r="B3" s="370"/>
      <c r="C3" s="370"/>
      <c r="D3" s="370"/>
      <c r="E3" s="370"/>
      <c r="F3" s="370"/>
      <c r="G3" s="370"/>
      <c r="H3" s="334" t="s">
        <v>60</v>
      </c>
      <c r="I3" s="334"/>
      <c r="J3" s="335">
        <f>J2*2</f>
        <v>665595030</v>
      </c>
      <c r="K3" s="335"/>
      <c r="L3" s="335"/>
      <c r="M3" s="37"/>
      <c r="N3" s="336"/>
      <c r="O3" s="336"/>
      <c r="P3" s="336"/>
      <c r="Q3" s="35"/>
      <c r="R3" s="36"/>
    </row>
    <row r="4" spans="1:18" ht="15" customHeight="1" x14ac:dyDescent="0.25">
      <c r="A4" s="370"/>
      <c r="B4" s="370"/>
      <c r="C4" s="370"/>
      <c r="D4" s="370"/>
      <c r="E4" s="370"/>
      <c r="F4" s="370"/>
      <c r="G4" s="370"/>
      <c r="H4" s="334" t="s">
        <v>61</v>
      </c>
      <c r="I4" s="334"/>
      <c r="J4" s="335">
        <f>J3/R34</f>
        <v>851.9703625765128</v>
      </c>
      <c r="K4" s="335"/>
      <c r="L4" s="335"/>
      <c r="M4" s="37" t="s">
        <v>62</v>
      </c>
      <c r="N4" s="336"/>
      <c r="O4" s="336"/>
      <c r="P4" s="336"/>
      <c r="Q4" s="38">
        <v>1990</v>
      </c>
      <c r="R4" s="39">
        <v>41025</v>
      </c>
    </row>
    <row r="5" spans="1:18" ht="15" customHeight="1" x14ac:dyDescent="0.25">
      <c r="A5" s="370"/>
      <c r="B5" s="370"/>
      <c r="C5" s="370"/>
      <c r="D5" s="370"/>
      <c r="E5" s="370"/>
      <c r="F5" s="370"/>
      <c r="G5" s="370"/>
      <c r="H5" s="334" t="s">
        <v>63</v>
      </c>
      <c r="I5" s="334"/>
      <c r="J5" s="40">
        <f>'[1]1'!J5</f>
        <v>4</v>
      </c>
      <c r="K5" s="41" t="s">
        <v>64</v>
      </c>
      <c r="L5" s="42">
        <f>J5*30</f>
        <v>120</v>
      </c>
      <c r="M5" s="37" t="s">
        <v>65</v>
      </c>
      <c r="N5" s="336"/>
      <c r="O5" s="336"/>
      <c r="P5" s="336"/>
      <c r="Q5" s="43">
        <v>1991</v>
      </c>
      <c r="R5" s="44">
        <v>51716</v>
      </c>
    </row>
    <row r="6" spans="1:18" ht="15" customHeight="1" x14ac:dyDescent="0.25">
      <c r="A6" s="370"/>
      <c r="B6" s="370"/>
      <c r="C6" s="370"/>
      <c r="D6" s="370"/>
      <c r="E6" s="370"/>
      <c r="F6" s="370"/>
      <c r="G6" s="370"/>
      <c r="H6" s="45"/>
      <c r="I6" s="45" t="s">
        <v>66</v>
      </c>
      <c r="J6" s="337">
        <f>J4/J5</f>
        <v>212.9925906441282</v>
      </c>
      <c r="K6" s="337"/>
      <c r="L6" s="337"/>
      <c r="M6" s="46" t="s">
        <v>67</v>
      </c>
      <c r="N6" s="336"/>
      <c r="O6" s="336"/>
      <c r="P6" s="336"/>
      <c r="Q6" s="43">
        <v>1992</v>
      </c>
      <c r="R6" s="44">
        <v>65190</v>
      </c>
    </row>
    <row r="7" spans="1:18" ht="45" customHeight="1" x14ac:dyDescent="0.25">
      <c r="A7" s="348" t="s">
        <v>68</v>
      </c>
      <c r="B7" s="348"/>
      <c r="C7" s="349">
        <v>4</v>
      </c>
      <c r="D7" s="350" t="str">
        <f>'PAG 2'!O6</f>
        <v>INGENIERIA RH SAS</v>
      </c>
      <c r="E7" s="350"/>
      <c r="F7" s="350"/>
      <c r="G7" s="350"/>
      <c r="H7" s="350"/>
      <c r="I7" s="328">
        <f>SUM(I9:I12)</f>
        <v>1</v>
      </c>
      <c r="J7" s="329" t="s">
        <v>108</v>
      </c>
      <c r="K7" s="329"/>
      <c r="L7" s="329"/>
      <c r="M7" s="47" t="s">
        <v>70</v>
      </c>
      <c r="N7" s="47" t="s">
        <v>71</v>
      </c>
      <c r="O7" s="339" t="s">
        <v>72</v>
      </c>
      <c r="P7" s="340" t="s">
        <v>73</v>
      </c>
      <c r="Q7" s="43">
        <v>1993</v>
      </c>
      <c r="R7" s="44">
        <v>81510</v>
      </c>
    </row>
    <row r="8" spans="1:18" ht="15" customHeight="1" x14ac:dyDescent="0.25">
      <c r="A8" s="348"/>
      <c r="B8" s="348"/>
      <c r="C8" s="349"/>
      <c r="D8" s="350"/>
      <c r="E8" s="350"/>
      <c r="F8" s="350"/>
      <c r="G8" s="350"/>
      <c r="H8" s="350"/>
      <c r="I8" s="328"/>
      <c r="J8" s="329"/>
      <c r="K8" s="329"/>
      <c r="L8" s="329"/>
      <c r="M8" s="48">
        <f>J4*60%</f>
        <v>511.18221754590763</v>
      </c>
      <c r="N8" s="48">
        <f>J6*60%</f>
        <v>127.79555438647691</v>
      </c>
      <c r="O8" s="339"/>
      <c r="P8" s="340"/>
      <c r="Q8" s="43"/>
      <c r="R8" s="44"/>
    </row>
    <row r="9" spans="1:18" ht="15.75" x14ac:dyDescent="0.25">
      <c r="A9" s="341" t="s">
        <v>74</v>
      </c>
      <c r="B9" s="341"/>
      <c r="C9" s="49" t="s">
        <v>75</v>
      </c>
      <c r="D9" s="342" t="str">
        <f>D7</f>
        <v>INGENIERIA RH SAS</v>
      </c>
      <c r="E9" s="342"/>
      <c r="F9" s="342"/>
      <c r="G9" s="342"/>
      <c r="H9" s="342"/>
      <c r="I9" s="50">
        <v>1</v>
      </c>
      <c r="J9" s="51" t="str">
        <f>IF(H15=D9,"APORTA EXP","NO APORTA EXP")</f>
        <v>APORTA EXP</v>
      </c>
      <c r="K9" s="51" t="str">
        <f>IF(H16=D9,"APORTA EXP","NO APORTA EXP")</f>
        <v>APORTA EXP</v>
      </c>
      <c r="L9" s="51" t="str">
        <f>IF(H17=D9,"APORTA EXP","NO APORTA EXP")</f>
        <v>APORTA EXP</v>
      </c>
      <c r="M9" s="52">
        <f>IF(D9="","",(SUMIF(H15:H17,D9,$D21:$D23)))</f>
        <v>39290.717768413975</v>
      </c>
      <c r="N9" s="52">
        <f>IF(D9="","",(SUMIF(H15:H17,D9,$F21:$F23)))</f>
        <v>2333.1918594672788</v>
      </c>
      <c r="O9" s="53" t="str">
        <f>IF(M9&gt;M8,"CUMPLE","NO CUMPLE")</f>
        <v>CUMPLE</v>
      </c>
      <c r="P9" s="54" t="str">
        <f>IF(N9&gt;N8,"CUMPLE","NO CUMPLE")</f>
        <v>CUMPLE</v>
      </c>
      <c r="Q9" s="43">
        <v>1994</v>
      </c>
      <c r="R9" s="44">
        <v>98700</v>
      </c>
    </row>
    <row r="10" spans="1:18" ht="22.5" x14ac:dyDescent="0.25">
      <c r="A10" s="341"/>
      <c r="B10" s="341"/>
      <c r="C10" s="49" t="s">
        <v>76</v>
      </c>
      <c r="D10" s="343"/>
      <c r="E10" s="343"/>
      <c r="F10" s="343"/>
      <c r="G10" s="343"/>
      <c r="H10" s="343"/>
      <c r="I10" s="50"/>
      <c r="J10" s="51" t="str">
        <f>IF(H15=D10,"APORTA EXP","NO APORTA EXP")</f>
        <v>NO APORTA EXP</v>
      </c>
      <c r="K10" s="51" t="str">
        <f>IF(H16=D10,"APORTA EXP","NO APORTA EXP")</f>
        <v>NO APORTA EXP</v>
      </c>
      <c r="L10" s="51" t="str">
        <f>IF(H17=D10,"APORTA EXP","NO APORTA EXP")</f>
        <v>NO APORTA EXP</v>
      </c>
      <c r="M10" s="55" t="str">
        <f>IF(D10="","",(SUMIF(H15:H17,D10,$D21:$D23)))</f>
        <v/>
      </c>
      <c r="N10" s="55" t="str">
        <f>IF(D10="","",(SUMIF(H15:H17,D10,$F21:$F23)))</f>
        <v/>
      </c>
      <c r="O10" s="53" t="str">
        <f>IF(M10&gt;M8,"CUMPLE","NO CUMPLE")</f>
        <v>CUMPLE</v>
      </c>
      <c r="P10" s="54" t="str">
        <f>IF(N10&gt;N8,"CUMPLE","NO CUMPLE")</f>
        <v>CUMPLE</v>
      </c>
      <c r="Q10" s="43">
        <v>1995</v>
      </c>
      <c r="R10" s="44">
        <v>118933.5</v>
      </c>
    </row>
    <row r="11" spans="1:18" ht="22.5" x14ac:dyDescent="0.25">
      <c r="A11" s="341"/>
      <c r="B11" s="341"/>
      <c r="C11" s="49" t="s">
        <v>77</v>
      </c>
      <c r="D11" s="343"/>
      <c r="E11" s="343"/>
      <c r="F11" s="343"/>
      <c r="G11" s="343"/>
      <c r="H11" s="343"/>
      <c r="I11" s="50"/>
      <c r="J11" s="51" t="str">
        <f>IF(H15=D11,"APORTA EXP","NO APORTA EXP")</f>
        <v>NO APORTA EXP</v>
      </c>
      <c r="K11" s="51" t="str">
        <f>IF(H16=D11,"APORTA EXP","NO APORTA EXP")</f>
        <v>NO APORTA EXP</v>
      </c>
      <c r="L11" s="51" t="str">
        <f>IF(H17=D11,"APORTA EXP","NO APORTA EXP")</f>
        <v>NO APORTA EXP</v>
      </c>
      <c r="M11" s="55" t="str">
        <f>IF(D11="","",(SUMIF(H15:H17,D11,$D21:$D23)))</f>
        <v/>
      </c>
      <c r="N11" s="56" t="str">
        <f>IF(D11="","",(SUMIF(H15:H17,D11,$F21:$F23)))</f>
        <v/>
      </c>
      <c r="O11" s="53" t="str">
        <f>IF(M11&gt;M8,"CUMPLE","NO CUMPLE")</f>
        <v>CUMPLE</v>
      </c>
      <c r="P11" s="54" t="str">
        <f>IF(N11&gt;N8,"CUMPLE","NO CUMPLE")</f>
        <v>CUMPLE</v>
      </c>
      <c r="Q11" s="43">
        <v>1996</v>
      </c>
      <c r="R11" s="44">
        <v>142125</v>
      </c>
    </row>
    <row r="12" spans="1:18" ht="22.5" x14ac:dyDescent="0.25">
      <c r="A12" s="341"/>
      <c r="B12" s="341"/>
      <c r="C12" s="49" t="s">
        <v>78</v>
      </c>
      <c r="D12" s="343"/>
      <c r="E12" s="343"/>
      <c r="F12" s="343"/>
      <c r="G12" s="343"/>
      <c r="H12" s="343"/>
      <c r="I12" s="50"/>
      <c r="J12" s="51" t="str">
        <f>IF(H15=D12,"APORTA EXP","NO APORTA EXP")</f>
        <v>NO APORTA EXP</v>
      </c>
      <c r="K12" s="51" t="str">
        <f>IF(H16=D12,"APORTA EXP","NO APORTA EXP")</f>
        <v>NO APORTA EXP</v>
      </c>
      <c r="L12" s="51" t="str">
        <f>IF(H17=D12,"APORTA EXP","NO APORTA EXP")</f>
        <v>NO APORTA EXP</v>
      </c>
      <c r="M12" s="55" t="str">
        <f>IF(D12="","",(SUMIF(H15:H17,D12,$D21:$D23)))</f>
        <v/>
      </c>
      <c r="N12" s="56" t="str">
        <f>IF(D12="","",(SUMIF(H15:H17,D12,$F21:$F23)))</f>
        <v/>
      </c>
      <c r="O12" s="53" t="str">
        <f>IF(M12&gt;M8,"CUMPLE","NO CUMPLE")</f>
        <v>CUMPLE</v>
      </c>
      <c r="P12" s="54" t="str">
        <f>IF(N12&gt;N8,"CUMPLE","NO CUMPLE")</f>
        <v>CUMPLE</v>
      </c>
      <c r="Q12" s="43">
        <v>1997</v>
      </c>
      <c r="R12" s="44">
        <v>172005</v>
      </c>
    </row>
    <row r="13" spans="1:18"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8" ht="36"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8" ht="39" x14ac:dyDescent="0.25">
      <c r="A15" s="109" t="s">
        <v>34</v>
      </c>
      <c r="B15" s="8">
        <v>1</v>
      </c>
      <c r="C15" s="162" t="s">
        <v>151</v>
      </c>
      <c r="D15" s="160" t="s">
        <v>148</v>
      </c>
      <c r="E15" s="12">
        <f>25328075382/R33</f>
        <v>34333.050996520346</v>
      </c>
      <c r="F15" s="9" t="s">
        <v>34</v>
      </c>
      <c r="G15" s="111">
        <v>1</v>
      </c>
      <c r="H15" s="8" t="str">
        <f>D9</f>
        <v>INGENIERIA RH SAS</v>
      </c>
      <c r="I15" s="64">
        <v>42492</v>
      </c>
      <c r="J15" s="65"/>
      <c r="K15" s="64">
        <v>43049</v>
      </c>
      <c r="L15" s="66">
        <f>((K15-I15)/30)-J15</f>
        <v>18.566666666666666</v>
      </c>
      <c r="M15" s="338" t="s">
        <v>94</v>
      </c>
      <c r="N15" s="338"/>
      <c r="O15" s="338"/>
      <c r="P15" s="338"/>
      <c r="Q15" s="43">
        <v>2000</v>
      </c>
      <c r="R15" s="44">
        <v>260100</v>
      </c>
    </row>
    <row r="16" spans="1:18" ht="25.5" x14ac:dyDescent="0.25">
      <c r="A16" s="109" t="s">
        <v>34</v>
      </c>
      <c r="B16" s="8">
        <v>2</v>
      </c>
      <c r="C16" s="163" t="s">
        <v>152</v>
      </c>
      <c r="D16" s="161" t="s">
        <v>149</v>
      </c>
      <c r="E16" s="12">
        <f>2062564622/R30</f>
        <v>3348.3191915584416</v>
      </c>
      <c r="F16" s="9" t="s">
        <v>34</v>
      </c>
      <c r="G16" s="111">
        <v>1</v>
      </c>
      <c r="H16" s="8" t="str">
        <f>D9</f>
        <v>INGENIERIA RH SAS</v>
      </c>
      <c r="I16" s="64">
        <v>41472</v>
      </c>
      <c r="J16" s="65">
        <v>1.5</v>
      </c>
      <c r="K16" s="64">
        <v>41805</v>
      </c>
      <c r="L16" s="66">
        <f>((K16-I16)/30)-J16</f>
        <v>9.6</v>
      </c>
      <c r="M16" s="338" t="s">
        <v>94</v>
      </c>
      <c r="N16" s="338"/>
      <c r="O16" s="338"/>
      <c r="P16" s="338"/>
      <c r="Q16" s="43">
        <v>2001</v>
      </c>
      <c r="R16" s="44">
        <v>286000</v>
      </c>
    </row>
    <row r="17" spans="1:18" ht="102" customHeight="1" x14ac:dyDescent="0.25">
      <c r="A17" s="109" t="s">
        <v>34</v>
      </c>
      <c r="B17" s="8">
        <v>3</v>
      </c>
      <c r="C17" s="164" t="s">
        <v>153</v>
      </c>
      <c r="D17" s="160" t="s">
        <v>150</v>
      </c>
      <c r="E17" s="12">
        <f>1109572736/R32</f>
        <v>1609.3475803351923</v>
      </c>
      <c r="F17" s="9" t="s">
        <v>34</v>
      </c>
      <c r="G17" s="111">
        <v>1</v>
      </c>
      <c r="H17" s="8" t="str">
        <f>D7</f>
        <v>INGENIERIA RH SAS</v>
      </c>
      <c r="I17" s="64">
        <v>42268</v>
      </c>
      <c r="J17" s="65">
        <v>0.26600000000000001</v>
      </c>
      <c r="K17" s="64">
        <v>42633</v>
      </c>
      <c r="L17" s="66">
        <f>((K17-I17)/30)-J17</f>
        <v>11.900666666666666</v>
      </c>
      <c r="M17" s="338" t="s">
        <v>94</v>
      </c>
      <c r="N17" s="338"/>
      <c r="O17" s="338"/>
      <c r="P17" s="338"/>
      <c r="Q17" s="43">
        <v>2002</v>
      </c>
      <c r="R17" s="44">
        <v>309000</v>
      </c>
    </row>
    <row r="18" spans="1:18" x14ac:dyDescent="0.25">
      <c r="A18" s="351"/>
      <c r="B18" s="351"/>
      <c r="C18" s="351"/>
      <c r="D18" s="351"/>
      <c r="E18" s="351"/>
      <c r="F18" s="351"/>
      <c r="G18" s="351"/>
      <c r="H18" s="351"/>
      <c r="I18" s="351"/>
      <c r="J18" s="351"/>
      <c r="K18" s="351"/>
      <c r="L18" s="351"/>
      <c r="M18" s="351"/>
      <c r="N18" s="351"/>
      <c r="O18" s="351"/>
      <c r="P18" s="351"/>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t="s">
        <v>99</v>
      </c>
      <c r="I20" s="355"/>
      <c r="J20" s="355"/>
      <c r="K20" s="355"/>
      <c r="L20" s="355" t="s">
        <v>100</v>
      </c>
      <c r="M20" s="355"/>
      <c r="N20" s="354">
        <f>M46</f>
        <v>0</v>
      </c>
      <c r="O20" s="354"/>
      <c r="P20" s="354"/>
      <c r="Q20" s="43"/>
      <c r="R20" s="44"/>
    </row>
    <row r="21" spans="1:18" ht="30.75" customHeight="1" x14ac:dyDescent="0.25">
      <c r="A21" s="352"/>
      <c r="B21" s="352"/>
      <c r="C21" s="123" t="str">
        <f>D15</f>
        <v>OP-67 DE 2016</v>
      </c>
      <c r="D21" s="68">
        <f>IF(M15="CUMPLE",(E15*G15),0)</f>
        <v>34333.050996520346</v>
      </c>
      <c r="E21" s="356">
        <f>SUM(D21:D23)</f>
        <v>39290.717768413975</v>
      </c>
      <c r="F21" s="69">
        <f>D21/L15</f>
        <v>1849.17689388799</v>
      </c>
      <c r="G21" s="357">
        <f>SUM(F21:F23)</f>
        <v>2333.1918594672788</v>
      </c>
      <c r="H21" s="355"/>
      <c r="I21" s="355"/>
      <c r="J21" s="355"/>
      <c r="K21" s="355"/>
      <c r="L21" s="355" t="s">
        <v>101</v>
      </c>
      <c r="M21" s="355"/>
      <c r="N21" s="354">
        <f>P55</f>
        <v>0</v>
      </c>
      <c r="O21" s="354"/>
      <c r="P21" s="354"/>
      <c r="Q21" s="43">
        <v>2005</v>
      </c>
      <c r="R21" s="44">
        <v>381500</v>
      </c>
    </row>
    <row r="22" spans="1:18" ht="15" customHeight="1" x14ac:dyDescent="0.25">
      <c r="A22" s="352"/>
      <c r="B22" s="352"/>
      <c r="C22" s="123" t="str">
        <f>D16</f>
        <v>058 DEL 2013</v>
      </c>
      <c r="D22" s="68">
        <f>IF(M16="CUMPLE",(E16*G16),0)</f>
        <v>3348.3191915584416</v>
      </c>
      <c r="E22" s="356"/>
      <c r="F22" s="69">
        <f>D22/L16</f>
        <v>348.78324912067103</v>
      </c>
      <c r="G22" s="357"/>
      <c r="H22" s="358"/>
      <c r="I22" s="358"/>
      <c r="J22" s="358"/>
      <c r="K22" s="358"/>
      <c r="L22" s="358"/>
      <c r="M22" s="358"/>
      <c r="N22" s="358"/>
      <c r="O22" s="358"/>
      <c r="P22" s="358"/>
      <c r="Q22" s="43">
        <v>2006</v>
      </c>
      <c r="R22" s="44">
        <v>408000</v>
      </c>
    </row>
    <row r="23" spans="1:18" ht="62.25" customHeight="1" x14ac:dyDescent="0.25">
      <c r="A23" s="352"/>
      <c r="B23" s="352"/>
      <c r="C23" s="123" t="str">
        <f>D17</f>
        <v>081 DEL 2015</v>
      </c>
      <c r="D23" s="68">
        <f>IF(M17="CUMPLE",(E17*G17),0)</f>
        <v>1609.3475803351923</v>
      </c>
      <c r="E23" s="356"/>
      <c r="F23" s="69">
        <f>D23/L17</f>
        <v>135.23171645861794</v>
      </c>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CUMPLE</v>
      </c>
      <c r="F24" s="72" t="s">
        <v>103</v>
      </c>
      <c r="G24" s="71" t="str">
        <f>IF(G21="","",IF(L6&lt;=G21,"CUMPLE", "NO CUMPLE"))</f>
        <v>CUMPLE</v>
      </c>
      <c r="H24" s="360" t="s">
        <v>50</v>
      </c>
      <c r="I24" s="360"/>
      <c r="J24" s="360"/>
      <c r="K24" s="361" t="s">
        <v>104</v>
      </c>
      <c r="L24" s="361"/>
      <c r="M24" s="73" t="s">
        <v>105</v>
      </c>
      <c r="N24" s="362">
        <f>+N19+N21+N20</f>
        <v>10</v>
      </c>
      <c r="O24" s="362"/>
      <c r="P24" s="362"/>
      <c r="Q24" s="43">
        <v>2008</v>
      </c>
      <c r="R24" s="44">
        <v>461500</v>
      </c>
    </row>
    <row r="25" spans="1:18" x14ac:dyDescent="0.25">
      <c r="A25" s="381" t="s">
        <v>106</v>
      </c>
      <c r="B25" s="381"/>
      <c r="C25" s="381"/>
      <c r="D25" s="381"/>
      <c r="E25" s="381"/>
      <c r="F25" s="381"/>
      <c r="G25" s="381"/>
      <c r="H25" s="381"/>
      <c r="K25" s="398"/>
      <c r="L25" s="398"/>
      <c r="M25" s="398"/>
      <c r="N25" s="398"/>
      <c r="O25" s="398"/>
      <c r="P25" s="398"/>
      <c r="Q25" s="74">
        <v>2009</v>
      </c>
      <c r="R25" s="44">
        <v>496900</v>
      </c>
    </row>
    <row r="26" spans="1:18" ht="34.5" customHeight="1" x14ac:dyDescent="0.25">
      <c r="A26" s="368"/>
      <c r="B26" s="368"/>
      <c r="C26" s="368"/>
      <c r="D26" s="368"/>
      <c r="E26" s="368"/>
      <c r="F26" s="368"/>
      <c r="G26" s="368"/>
      <c r="H26" s="368"/>
      <c r="I26" s="75"/>
      <c r="J26" s="75"/>
      <c r="K26" s="75"/>
      <c r="L26" s="75"/>
      <c r="M26" s="75"/>
      <c r="N26" s="75"/>
      <c r="O26" s="118"/>
      <c r="P26" s="118"/>
      <c r="Q26" s="74">
        <v>2010</v>
      </c>
      <c r="R26" s="44">
        <v>515000</v>
      </c>
    </row>
    <row r="27" spans="1:18" x14ac:dyDescent="0.25">
      <c r="A27" s="368"/>
      <c r="B27" s="368"/>
      <c r="C27" s="368"/>
      <c r="D27" s="368"/>
      <c r="E27" s="368"/>
      <c r="F27" s="368"/>
      <c r="G27" s="368"/>
      <c r="H27" s="368"/>
      <c r="I27" s="76"/>
      <c r="J27" s="77"/>
      <c r="K27" s="77"/>
      <c r="L27" s="78"/>
      <c r="M27" s="77"/>
      <c r="N27" s="76"/>
      <c r="O27" s="118"/>
      <c r="P27" s="118"/>
      <c r="Q27" s="74">
        <v>2011</v>
      </c>
      <c r="R27" s="44">
        <v>535600</v>
      </c>
    </row>
    <row r="28" spans="1:18" ht="28.5" customHeight="1" x14ac:dyDescent="0.25">
      <c r="A28" s="368"/>
      <c r="B28" s="368"/>
      <c r="C28" s="368"/>
      <c r="D28" s="368"/>
      <c r="E28" s="368"/>
      <c r="F28" s="368"/>
      <c r="G28" s="368"/>
      <c r="H28" s="368"/>
      <c r="I28" s="76"/>
      <c r="J28" s="77"/>
      <c r="K28" s="77"/>
      <c r="L28" s="78"/>
      <c r="M28" s="77"/>
      <c r="N28" s="76"/>
      <c r="O28" s="118"/>
      <c r="P28" s="118"/>
      <c r="Q28" s="74">
        <v>2012</v>
      </c>
      <c r="R28" s="44">
        <v>566700</v>
      </c>
    </row>
    <row r="29" spans="1:18" ht="39" customHeight="1" x14ac:dyDescent="0.25">
      <c r="A29" s="368"/>
      <c r="B29" s="368"/>
      <c r="C29" s="368"/>
      <c r="D29" s="368"/>
      <c r="E29" s="368"/>
      <c r="F29" s="368"/>
      <c r="G29" s="368"/>
      <c r="H29" s="368"/>
      <c r="I29" s="76"/>
      <c r="J29" s="77"/>
      <c r="K29" s="77"/>
      <c r="L29" s="78"/>
      <c r="M29" s="77"/>
      <c r="N29" s="76"/>
      <c r="O29" s="118"/>
      <c r="P29" s="118"/>
      <c r="Q29" s="74">
        <v>2013</v>
      </c>
      <c r="R29" s="44">
        <v>589500</v>
      </c>
    </row>
    <row r="30" spans="1:18" ht="21" customHeight="1" x14ac:dyDescent="0.25">
      <c r="A30" s="368"/>
      <c r="B30" s="368"/>
      <c r="C30" s="368"/>
      <c r="D30" s="368"/>
      <c r="E30" s="368"/>
      <c r="F30" s="368"/>
      <c r="G30" s="368"/>
      <c r="H30" s="368"/>
      <c r="I30" s="79"/>
      <c r="J30" s="79"/>
      <c r="K30" s="79"/>
      <c r="L30" s="78"/>
      <c r="M30" s="77"/>
      <c r="N30" s="76"/>
      <c r="O30" s="121"/>
      <c r="P30" s="121"/>
      <c r="Q30" s="74">
        <v>2014</v>
      </c>
      <c r="R30" s="44">
        <v>616000</v>
      </c>
    </row>
    <row r="31" spans="1:18" ht="22.5" customHeight="1" x14ac:dyDescent="0.25">
      <c r="A31" s="399"/>
      <c r="B31" s="399"/>
      <c r="C31" s="399"/>
      <c r="D31" s="399"/>
      <c r="E31" s="399"/>
      <c r="F31" s="399"/>
      <c r="G31" s="399"/>
      <c r="H31" s="399"/>
      <c r="I31" s="119"/>
      <c r="J31" s="119"/>
      <c r="K31" s="119"/>
      <c r="L31" s="119"/>
      <c r="M31" s="119"/>
      <c r="N31" s="119"/>
      <c r="O31" s="80"/>
      <c r="Q31" s="74">
        <v>2015</v>
      </c>
      <c r="R31" s="44">
        <v>644350</v>
      </c>
    </row>
    <row r="32" spans="1:18" ht="15" customHeight="1" x14ac:dyDescent="0.25">
      <c r="A32" s="399"/>
      <c r="B32" s="399"/>
      <c r="C32" s="399"/>
      <c r="D32" s="399"/>
      <c r="E32" s="399"/>
      <c r="F32" s="399"/>
      <c r="G32" s="399"/>
      <c r="H32" s="399"/>
      <c r="I32" s="81"/>
      <c r="J32" s="81"/>
      <c r="K32" s="81"/>
      <c r="L32" s="81"/>
      <c r="M32" s="81"/>
      <c r="N32" s="81"/>
      <c r="Q32" s="74">
        <v>2016</v>
      </c>
      <c r="R32" s="44">
        <v>689455</v>
      </c>
    </row>
    <row r="33" spans="1:18" ht="15.75" customHeight="1" thickBot="1" x14ac:dyDescent="0.3">
      <c r="A33" s="399"/>
      <c r="B33" s="399"/>
      <c r="C33" s="399"/>
      <c r="D33" s="399"/>
      <c r="E33" s="399"/>
      <c r="F33" s="399"/>
      <c r="G33" s="399"/>
      <c r="H33" s="399"/>
      <c r="I33" s="81"/>
      <c r="J33" s="81"/>
      <c r="K33" s="81"/>
      <c r="L33" s="81"/>
      <c r="M33" s="81"/>
      <c r="N33" s="81"/>
      <c r="Q33" s="82">
        <v>2017</v>
      </c>
      <c r="R33" s="83">
        <v>737717</v>
      </c>
    </row>
    <row r="34" spans="1:18" ht="15.75" thickBot="1" x14ac:dyDescent="0.3">
      <c r="A34" s="56"/>
      <c r="B34" s="56"/>
      <c r="C34" s="56"/>
      <c r="D34" s="56"/>
      <c r="E34" s="397"/>
      <c r="F34" s="397"/>
      <c r="G34" s="397"/>
      <c r="H34" s="397"/>
      <c r="I34" s="81"/>
      <c r="J34" s="81"/>
      <c r="K34" s="81"/>
      <c r="L34" s="81"/>
      <c r="M34" s="81"/>
      <c r="N34" s="81"/>
      <c r="Q34" s="82">
        <v>2018</v>
      </c>
      <c r="R34" s="83">
        <v>781242</v>
      </c>
    </row>
    <row r="35" spans="1:18" ht="15.75" thickBot="1" x14ac:dyDescent="0.3">
      <c r="J35" s="122"/>
    </row>
    <row r="36" spans="1:18" ht="15.75" thickBot="1" x14ac:dyDescent="0.3">
      <c r="E36" s="378"/>
      <c r="F36" s="378"/>
      <c r="G36" s="379"/>
      <c r="H36" s="379"/>
    </row>
    <row r="37" spans="1:18" ht="15.75" thickBot="1" x14ac:dyDescent="0.3">
      <c r="E37" s="380"/>
      <c r="F37" s="380"/>
      <c r="G37" s="379"/>
      <c r="H37" s="379"/>
    </row>
    <row r="38" spans="1:18" ht="15.75" thickBot="1" x14ac:dyDescent="0.3">
      <c r="E38" s="84"/>
      <c r="F38" s="85"/>
      <c r="G38" s="86"/>
      <c r="H38" s="385"/>
      <c r="J38" s="386"/>
      <c r="K38" s="386"/>
      <c r="L38" s="386"/>
      <c r="M38" s="87"/>
      <c r="N38" s="387"/>
      <c r="O38" s="387"/>
      <c r="P38" s="387"/>
      <c r="Q38" s="387"/>
      <c r="R38" s="387"/>
    </row>
    <row r="39" spans="1:18" ht="15.75" thickBot="1" x14ac:dyDescent="0.3">
      <c r="E39" s="388"/>
      <c r="F39" s="388"/>
      <c r="G39" s="389"/>
      <c r="H39" s="385"/>
      <c r="J39" s="390"/>
      <c r="K39" s="390"/>
      <c r="L39" s="390"/>
      <c r="M39" s="87"/>
      <c r="N39" s="387"/>
      <c r="O39" s="387"/>
      <c r="P39" s="387"/>
      <c r="Q39" s="387"/>
      <c r="R39" s="387"/>
    </row>
    <row r="40" spans="1:18" ht="15.75" thickBot="1" x14ac:dyDescent="0.3">
      <c r="E40" s="388"/>
      <c r="F40" s="388"/>
      <c r="G40" s="389"/>
      <c r="H40" s="385"/>
      <c r="J40" s="88"/>
      <c r="K40" s="88"/>
      <c r="L40" s="88"/>
      <c r="M40" s="63"/>
      <c r="N40" s="387"/>
      <c r="O40" s="387"/>
      <c r="P40" s="387"/>
      <c r="Q40" s="387"/>
      <c r="R40" s="387"/>
    </row>
    <row r="41" spans="1:18" ht="15.75" thickBot="1" x14ac:dyDescent="0.3">
      <c r="E41" s="84"/>
      <c r="F41" s="85"/>
      <c r="G41" s="86"/>
      <c r="H41" s="385"/>
      <c r="J41" s="89"/>
      <c r="K41" s="89"/>
      <c r="L41" s="89"/>
      <c r="M41" s="87"/>
      <c r="N41" s="387"/>
      <c r="O41" s="387"/>
      <c r="P41" s="387"/>
      <c r="Q41" s="387"/>
      <c r="R41" s="387"/>
    </row>
    <row r="42" spans="1:18" x14ac:dyDescent="0.25">
      <c r="E42" s="90"/>
      <c r="J42" s="89"/>
      <c r="K42" s="89"/>
      <c r="L42" s="89"/>
      <c r="M42" s="87"/>
      <c r="N42" s="387"/>
      <c r="O42" s="387"/>
      <c r="P42" s="387"/>
      <c r="Q42" s="387"/>
      <c r="R42" s="387"/>
    </row>
    <row r="43" spans="1:18" ht="15.75" thickBot="1" x14ac:dyDescent="0.3">
      <c r="E43" s="90"/>
      <c r="J43" s="89"/>
      <c r="K43" s="89"/>
      <c r="L43" s="89"/>
      <c r="M43" s="87"/>
      <c r="N43" s="387"/>
      <c r="O43" s="387"/>
      <c r="P43" s="387"/>
      <c r="Q43" s="387"/>
      <c r="R43" s="387"/>
    </row>
    <row r="44" spans="1:18" ht="15.75" thickBot="1" x14ac:dyDescent="0.3">
      <c r="E44" s="378"/>
      <c r="F44" s="378"/>
      <c r="G44" s="379"/>
      <c r="H44" s="391"/>
      <c r="J44" s="89"/>
      <c r="K44" s="89"/>
      <c r="L44" s="89"/>
      <c r="M44" s="87"/>
      <c r="N44" s="387"/>
      <c r="O44" s="387"/>
      <c r="P44" s="387"/>
      <c r="Q44" s="387"/>
      <c r="R44" s="387"/>
    </row>
    <row r="45" spans="1:18" ht="15.75" thickBot="1" x14ac:dyDescent="0.3">
      <c r="E45" s="380"/>
      <c r="F45" s="380"/>
      <c r="G45" s="379"/>
      <c r="H45" s="391"/>
      <c r="J45" s="89"/>
      <c r="K45" s="89"/>
      <c r="L45" s="89"/>
      <c r="M45" s="91"/>
      <c r="N45" s="387"/>
      <c r="O45" s="387"/>
      <c r="P45" s="387"/>
      <c r="Q45" s="387"/>
      <c r="R45" s="387"/>
    </row>
    <row r="46" spans="1:18" ht="21.75" thickBot="1" x14ac:dyDescent="0.3">
      <c r="E46" s="92"/>
      <c r="F46" s="93"/>
      <c r="G46" s="94"/>
      <c r="H46" s="95"/>
      <c r="J46" s="89"/>
      <c r="K46" s="89"/>
      <c r="L46" s="89"/>
      <c r="M46" s="91"/>
      <c r="N46" s="96"/>
      <c r="O46" s="96"/>
      <c r="P46" s="96"/>
      <c r="Q46" s="96"/>
      <c r="R46" s="96"/>
    </row>
    <row r="47" spans="1:18" ht="15.75" thickBot="1" x14ac:dyDescent="0.3">
      <c r="E47" s="84"/>
      <c r="F47" s="85"/>
      <c r="G47" s="85"/>
      <c r="H47" s="385"/>
      <c r="J47" s="392"/>
      <c r="K47" s="392"/>
      <c r="L47" s="392"/>
    </row>
    <row r="48" spans="1:18" ht="15.75" thickBot="1" x14ac:dyDescent="0.3">
      <c r="E48" s="388"/>
      <c r="F48" s="388"/>
      <c r="G48" s="389"/>
      <c r="H48" s="385"/>
      <c r="J48" s="342"/>
      <c r="K48" s="342"/>
      <c r="L48" s="342"/>
      <c r="M48" s="342"/>
      <c r="N48" s="63"/>
      <c r="O48" s="56"/>
      <c r="P48" s="63"/>
    </row>
    <row r="49" spans="5:16" ht="15.75" thickBot="1" x14ac:dyDescent="0.3">
      <c r="E49" s="388"/>
      <c r="F49" s="388"/>
      <c r="G49" s="389"/>
      <c r="H49" s="385"/>
      <c r="J49" s="342"/>
      <c r="K49" s="342"/>
      <c r="L49" s="9"/>
      <c r="M49" s="9"/>
      <c r="N49" s="9"/>
      <c r="O49" s="9"/>
      <c r="P49" s="56"/>
    </row>
    <row r="50" spans="5:16" ht="15.75" thickBot="1" x14ac:dyDescent="0.3">
      <c r="E50" s="84"/>
      <c r="F50" s="85"/>
      <c r="G50" s="97"/>
      <c r="H50" s="385"/>
      <c r="J50" s="88"/>
      <c r="K50" s="9"/>
      <c r="L50" s="9"/>
      <c r="M50" s="9"/>
      <c r="N50" s="9"/>
      <c r="O50" s="98"/>
      <c r="P50" s="99"/>
    </row>
    <row r="51" spans="5:16" ht="57" customHeight="1" thickBot="1" x14ac:dyDescent="0.3">
      <c r="E51" s="90"/>
      <c r="J51" s="100"/>
      <c r="K51" s="9"/>
      <c r="L51" s="9"/>
      <c r="M51" s="9"/>
      <c r="N51" s="9"/>
      <c r="O51" s="98"/>
      <c r="P51" s="99"/>
    </row>
    <row r="52" spans="5:16" x14ac:dyDescent="0.25">
      <c r="E52" s="101"/>
      <c r="F52" s="102"/>
      <c r="G52" s="103"/>
      <c r="H52" s="103"/>
      <c r="J52" s="100"/>
      <c r="K52" s="9"/>
      <c r="L52" s="9"/>
      <c r="M52" s="9"/>
      <c r="N52" s="9"/>
      <c r="O52" s="98"/>
      <c r="P52" s="99"/>
    </row>
    <row r="53" spans="5:16" ht="15.75" thickBot="1" x14ac:dyDescent="0.3">
      <c r="E53" s="92"/>
      <c r="F53" s="93"/>
      <c r="G53" s="104"/>
      <c r="H53" s="95"/>
      <c r="J53" s="100"/>
      <c r="K53" s="9"/>
      <c r="L53" s="9"/>
      <c r="M53" s="9"/>
      <c r="N53" s="9"/>
      <c r="O53" s="98"/>
      <c r="P53" s="99"/>
    </row>
    <row r="54" spans="5:16" ht="15.75" thickBot="1" x14ac:dyDescent="0.3">
      <c r="E54" s="84"/>
      <c r="F54" s="85"/>
      <c r="G54" s="85"/>
      <c r="H54" s="385"/>
      <c r="J54" s="100"/>
      <c r="K54" s="9"/>
      <c r="L54" s="9"/>
      <c r="M54" s="9"/>
      <c r="N54" s="9"/>
      <c r="O54" s="98"/>
      <c r="P54" s="99"/>
    </row>
    <row r="55" spans="5:16" ht="15.75" thickBot="1" x14ac:dyDescent="0.3">
      <c r="E55" s="105"/>
      <c r="F55" s="105"/>
      <c r="G55" s="106"/>
      <c r="H55" s="385"/>
      <c r="J55" s="56"/>
      <c r="K55" s="56"/>
      <c r="L55" s="56"/>
      <c r="M55" s="56"/>
      <c r="N55" s="56"/>
      <c r="O55" s="107"/>
      <c r="P55" s="9"/>
    </row>
    <row r="56" spans="5:16" ht="15.75" thickBot="1" x14ac:dyDescent="0.3">
      <c r="E56" s="84"/>
      <c r="F56" s="84"/>
      <c r="G56" s="108"/>
      <c r="H56" s="385"/>
    </row>
    <row r="57" spans="5:16" ht="15.75" thickBot="1" x14ac:dyDescent="0.3">
      <c r="E57" s="84"/>
      <c r="F57" s="85"/>
      <c r="G57" s="97"/>
      <c r="H57" s="385"/>
    </row>
  </sheetData>
  <mergeCells count="77">
    <mergeCell ref="H54:H57"/>
    <mergeCell ref="E45:F45"/>
    <mergeCell ref="H47:H50"/>
    <mergeCell ref="J47:L47"/>
    <mergeCell ref="E48:E49"/>
    <mergeCell ref="F48:F49"/>
    <mergeCell ref="G48:G49"/>
    <mergeCell ref="J48:J49"/>
    <mergeCell ref="K48:K49"/>
    <mergeCell ref="L48:M48"/>
    <mergeCell ref="H38:H41"/>
    <mergeCell ref="J38:L38"/>
    <mergeCell ref="N38:R45"/>
    <mergeCell ref="E39:E40"/>
    <mergeCell ref="F39:F40"/>
    <mergeCell ref="G39:G40"/>
    <mergeCell ref="J39:L39"/>
    <mergeCell ref="E44:F44"/>
    <mergeCell ref="G44:G45"/>
    <mergeCell ref="H44:H45"/>
    <mergeCell ref="A24:C24"/>
    <mergeCell ref="H24:J24"/>
    <mergeCell ref="K24:L24"/>
    <mergeCell ref="N24:P24"/>
    <mergeCell ref="E36:F36"/>
    <mergeCell ref="G36:G37"/>
    <mergeCell ref="H36:H37"/>
    <mergeCell ref="E37:F37"/>
    <mergeCell ref="A25:H25"/>
    <mergeCell ref="K25:P25"/>
    <mergeCell ref="A26:H30"/>
    <mergeCell ref="A31:H33"/>
    <mergeCell ref="E34:H34"/>
    <mergeCell ref="M17:P17"/>
    <mergeCell ref="A18:P18"/>
    <mergeCell ref="A19:B23"/>
    <mergeCell ref="H19:M19"/>
    <mergeCell ref="N19:P19"/>
    <mergeCell ref="H20:K21"/>
    <mergeCell ref="L20:M20"/>
    <mergeCell ref="N20:P20"/>
    <mergeCell ref="E21:E23"/>
    <mergeCell ref="G21:G23"/>
    <mergeCell ref="N21:P21"/>
    <mergeCell ref="H22:P23"/>
    <mergeCell ref="L21:M21"/>
    <mergeCell ref="M16:P16"/>
    <mergeCell ref="O7:O8"/>
    <mergeCell ref="P7:P8"/>
    <mergeCell ref="A9:B12"/>
    <mergeCell ref="D9:H9"/>
    <mergeCell ref="D10:H10"/>
    <mergeCell ref="D11:H11"/>
    <mergeCell ref="D12:H12"/>
    <mergeCell ref="A13:F13"/>
    <mergeCell ref="G13:H13"/>
    <mergeCell ref="J13:N13"/>
    <mergeCell ref="M14:P14"/>
    <mergeCell ref="M15:P15"/>
    <mergeCell ref="A7:B8"/>
    <mergeCell ref="C7:C8"/>
    <mergeCell ref="D7:H8"/>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s>
  <conditionalFormatting sqref="I15 K15">
    <cfRule type="cellIs" dxfId="93" priority="10" stopIfTrue="1" operator="greaterThan">
      <formula>0</formula>
    </cfRule>
  </conditionalFormatting>
  <conditionalFormatting sqref="E24">
    <cfRule type="expression" dxfId="92" priority="34" stopIfTrue="1">
      <formula>NOT(ISERROR(SEARCH("CUMPLE",E24)))</formula>
    </cfRule>
  </conditionalFormatting>
  <conditionalFormatting sqref="G24">
    <cfRule type="expression" dxfId="91" priority="36" stopIfTrue="1">
      <formula>NOT(ISERROR(SEARCH("CUMPLE",G24)))</formula>
    </cfRule>
  </conditionalFormatting>
  <conditionalFormatting sqref="M15">
    <cfRule type="expression" dxfId="90" priority="22" stopIfTrue="1">
      <formula>NOT(ISERROR(SEARCH("CUMPLE",M15)))</formula>
    </cfRule>
  </conditionalFormatting>
  <conditionalFormatting sqref="O9:O12">
    <cfRule type="expression" dxfId="89" priority="24" stopIfTrue="1">
      <formula>NOT(ISERROR(SEARCH("CUMPLE",O9)))</formula>
    </cfRule>
  </conditionalFormatting>
  <conditionalFormatting sqref="P9:P12">
    <cfRule type="expression" dxfId="88" priority="26" stopIfTrue="1">
      <formula>NOT(ISERROR(SEARCH("CUMPLE",P9)))</formula>
    </cfRule>
  </conditionalFormatting>
  <conditionalFormatting sqref="K24">
    <cfRule type="expression" dxfId="87" priority="32" stopIfTrue="1">
      <formula>NOT(ISERROR(SEARCH("HABIL",K24)))</formula>
    </cfRule>
  </conditionalFormatting>
  <conditionalFormatting sqref="J9:L12">
    <cfRule type="expression" dxfId="86" priority="11" stopIfTrue="1">
      <formula>NOT(ISERROR(SEARCH("NO APORTA EXP",J9)))</formula>
    </cfRule>
  </conditionalFormatting>
  <conditionalFormatting sqref="E24">
    <cfRule type="expression" dxfId="85" priority="33" stopIfTrue="1">
      <formula>NOT(ISERROR(SEARCH("NO CUMPLE",E24)))</formula>
    </cfRule>
  </conditionalFormatting>
  <conditionalFormatting sqref="G24">
    <cfRule type="expression" dxfId="84" priority="35" stopIfTrue="1">
      <formula>NOT(ISERROR(SEARCH("NO CUMPLE",G24)))</formula>
    </cfRule>
  </conditionalFormatting>
  <conditionalFormatting sqref="M15">
    <cfRule type="expression" dxfId="83" priority="21" stopIfTrue="1">
      <formula>NOT(ISERROR(SEARCH("NO CUMPLE",M15)))</formula>
    </cfRule>
  </conditionalFormatting>
  <conditionalFormatting sqref="O9:O12">
    <cfRule type="expression" dxfId="82" priority="23" stopIfTrue="1">
      <formula>NOT(ISERROR(SEARCH("NO CUMPLE",O9)))</formula>
    </cfRule>
  </conditionalFormatting>
  <conditionalFormatting sqref="P9:P12">
    <cfRule type="expression" dxfId="81" priority="25" stopIfTrue="1">
      <formula>NOT(ISERROR(SEARCH("NO CUMPLE",P9)))</formula>
    </cfRule>
  </conditionalFormatting>
  <conditionalFormatting sqref="K24">
    <cfRule type="expression" dxfId="80" priority="31" stopIfTrue="1">
      <formula>NOT(ISERROR(SEARCH("NO HABIL",K24)))</formula>
    </cfRule>
  </conditionalFormatting>
  <conditionalFormatting sqref="A15">
    <cfRule type="expression" dxfId="79" priority="15" stopIfTrue="1">
      <formula>NOT(ISERROR(SEARCH("NO",A15)))</formula>
    </cfRule>
  </conditionalFormatting>
  <conditionalFormatting sqref="A16:A17">
    <cfRule type="expression" dxfId="78" priority="27" stopIfTrue="1">
      <formula>NOT(ISERROR(SEARCH("NO",A16)))</formula>
    </cfRule>
  </conditionalFormatting>
  <conditionalFormatting sqref="F15">
    <cfRule type="expression" dxfId="77" priority="13" stopIfTrue="1">
      <formula>NOT(ISERROR(SEARCH("NO",F15)))</formula>
    </cfRule>
  </conditionalFormatting>
  <conditionalFormatting sqref="I16 K16">
    <cfRule type="cellIs" dxfId="76" priority="5" stopIfTrue="1" operator="greaterThan">
      <formula>0</formula>
    </cfRule>
  </conditionalFormatting>
  <conditionalFormatting sqref="M16">
    <cfRule type="expression" dxfId="75" priority="9" stopIfTrue="1">
      <formula>NOT(ISERROR(SEARCH("CUMPLE",M16)))</formula>
    </cfRule>
  </conditionalFormatting>
  <conditionalFormatting sqref="M16">
    <cfRule type="expression" dxfId="74" priority="8" stopIfTrue="1">
      <formula>NOT(ISERROR(SEARCH("NO CUMPLE",M16)))</formula>
    </cfRule>
  </conditionalFormatting>
  <conditionalFormatting sqref="F16">
    <cfRule type="expression" dxfId="73" priority="6" stopIfTrue="1">
      <formula>NOT(ISERROR(SEARCH("NO",F16)))</formula>
    </cfRule>
  </conditionalFormatting>
  <conditionalFormatting sqref="I17 K17">
    <cfRule type="cellIs" dxfId="72" priority="1" stopIfTrue="1" operator="greaterThan">
      <formula>0</formula>
    </cfRule>
  </conditionalFormatting>
  <conditionalFormatting sqref="M17">
    <cfRule type="expression" dxfId="71" priority="4" stopIfTrue="1">
      <formula>NOT(ISERROR(SEARCH("CUMPLE",M17)))</formula>
    </cfRule>
  </conditionalFormatting>
  <conditionalFormatting sqref="M17">
    <cfRule type="expression" dxfId="70" priority="3" stopIfTrue="1">
      <formula>NOT(ISERROR(SEARCH("NO CUMPLE",M17)))</formula>
    </cfRule>
  </conditionalFormatting>
  <conditionalFormatting sqref="F17">
    <cfRule type="expression" dxfId="69" priority="2" stopIfTrue="1">
      <formula>NOT(ISERROR(SEARCH("NO",F17)))</formula>
    </cfRule>
  </conditionalFormatting>
  <pageMargins left="0.25" right="0.25" top="0.75" bottom="0.75" header="0.30000000000000004" footer="0.30000000000000004"/>
  <pageSetup paperSize="0" scale="55" fitToWidth="0" fitToHeight="0" orientation="landscape" horizontalDpi="0" verticalDpi="0" copies="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8"/>
  <sheetViews>
    <sheetView zoomScale="80" zoomScaleNormal="80" zoomScalePageLayoutView="80" workbookViewId="0">
      <selection activeCell="K15" sqref="K15:K16"/>
    </sheetView>
  </sheetViews>
  <sheetFormatPr baseColWidth="10" defaultColWidth="10.85546875" defaultRowHeight="15" x14ac:dyDescent="0.25"/>
  <cols>
    <col min="1" max="1" width="11.42578125" style="124" customWidth="1"/>
    <col min="2" max="2" width="13.140625" style="124" customWidth="1"/>
    <col min="3" max="3" width="23.85546875" style="124" customWidth="1"/>
    <col min="4" max="4" width="18.7109375" style="124" customWidth="1"/>
    <col min="5" max="5" width="15.42578125" style="124" customWidth="1"/>
    <col min="6" max="6" width="19.42578125" style="124" customWidth="1"/>
    <col min="7" max="7" width="11.42578125" style="124" customWidth="1"/>
    <col min="8" max="8" width="18.85546875" style="124" customWidth="1"/>
    <col min="9" max="9" width="17" style="124" customWidth="1"/>
    <col min="10" max="10" width="13.42578125" style="124" customWidth="1"/>
    <col min="11" max="12" width="11.42578125" style="124" customWidth="1"/>
    <col min="13" max="13" width="17.7109375" style="124" customWidth="1"/>
    <col min="14" max="14" width="15.140625" style="124" customWidth="1"/>
    <col min="15" max="15" width="14.7109375" style="124" customWidth="1"/>
    <col min="16" max="17" width="11.42578125" style="124" customWidth="1"/>
    <col min="18" max="18" width="14.7109375" style="124" customWidth="1"/>
    <col min="19" max="19" width="11.42578125" style="124" customWidth="1"/>
    <col min="20" max="16384" width="10.85546875" style="124"/>
  </cols>
  <sheetData>
    <row r="1" spans="1:18"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8" ht="12.75" customHeight="1" x14ac:dyDescent="0.25">
      <c r="A2" s="370" t="str">
        <f>'1'!A2:G6</f>
        <v xml:space="preserve">CONTRATAR EL MANTENIMIENTO Y MEJORAMIENTO DEL CERRAMIENTO PERIMETRAL DE LAS ESTACIONES VOR MARINILLA, OTU-REMEDIOS EN ANTIOQUIA Y QUIBDÓ EN CHOCÓ </v>
      </c>
      <c r="B2" s="370"/>
      <c r="C2" s="370"/>
      <c r="D2" s="370"/>
      <c r="E2" s="370"/>
      <c r="F2" s="370"/>
      <c r="G2" s="370"/>
      <c r="H2" s="334" t="s">
        <v>58</v>
      </c>
      <c r="I2" s="334"/>
      <c r="J2" s="335">
        <f>'1'!J2:L2</f>
        <v>332797515</v>
      </c>
      <c r="K2" s="335"/>
      <c r="L2" s="335"/>
      <c r="M2" s="34" t="s">
        <v>59</v>
      </c>
      <c r="N2" s="336"/>
      <c r="O2" s="336"/>
      <c r="P2" s="336"/>
      <c r="Q2" s="35"/>
      <c r="R2" s="36"/>
    </row>
    <row r="3" spans="1:18" ht="12.75" customHeight="1" x14ac:dyDescent="0.25">
      <c r="A3" s="370"/>
      <c r="B3" s="370"/>
      <c r="C3" s="370"/>
      <c r="D3" s="370"/>
      <c r="E3" s="370"/>
      <c r="F3" s="370"/>
      <c r="G3" s="370"/>
      <c r="H3" s="334" t="s">
        <v>60</v>
      </c>
      <c r="I3" s="334"/>
      <c r="J3" s="335">
        <f>J2*2</f>
        <v>665595030</v>
      </c>
      <c r="K3" s="335"/>
      <c r="L3" s="335"/>
      <c r="M3" s="37"/>
      <c r="N3" s="336"/>
      <c r="O3" s="336"/>
      <c r="P3" s="336"/>
      <c r="Q3" s="35"/>
      <c r="R3" s="36"/>
    </row>
    <row r="4" spans="1:18" ht="15" customHeight="1" x14ac:dyDescent="0.25">
      <c r="A4" s="370"/>
      <c r="B4" s="370"/>
      <c r="C4" s="370"/>
      <c r="D4" s="370"/>
      <c r="E4" s="370"/>
      <c r="F4" s="370"/>
      <c r="G4" s="370"/>
      <c r="H4" s="334" t="s">
        <v>61</v>
      </c>
      <c r="I4" s="334"/>
      <c r="J4" s="335">
        <f>J3/R34</f>
        <v>851.9703625765128</v>
      </c>
      <c r="K4" s="335"/>
      <c r="L4" s="335"/>
      <c r="M4" s="37" t="s">
        <v>62</v>
      </c>
      <c r="N4" s="336"/>
      <c r="O4" s="336"/>
      <c r="P4" s="336"/>
      <c r="Q4" s="38">
        <v>1990</v>
      </c>
      <c r="R4" s="39">
        <v>41025</v>
      </c>
    </row>
    <row r="5" spans="1:18" ht="15" customHeight="1" x14ac:dyDescent="0.25">
      <c r="A5" s="370"/>
      <c r="B5" s="370"/>
      <c r="C5" s="370"/>
      <c r="D5" s="370"/>
      <c r="E5" s="370"/>
      <c r="F5" s="370"/>
      <c r="G5" s="370"/>
      <c r="H5" s="334" t="s">
        <v>63</v>
      </c>
      <c r="I5" s="334"/>
      <c r="J5" s="40">
        <f>'[1]1'!J5</f>
        <v>4</v>
      </c>
      <c r="K5" s="41" t="s">
        <v>64</v>
      </c>
      <c r="L5" s="42">
        <f>J5*30</f>
        <v>120</v>
      </c>
      <c r="M5" s="37" t="s">
        <v>65</v>
      </c>
      <c r="N5" s="336"/>
      <c r="O5" s="336"/>
      <c r="P5" s="336"/>
      <c r="Q5" s="43">
        <v>1991</v>
      </c>
      <c r="R5" s="44">
        <v>51716</v>
      </c>
    </row>
    <row r="6" spans="1:18" ht="15" customHeight="1" x14ac:dyDescent="0.25">
      <c r="A6" s="370"/>
      <c r="B6" s="370"/>
      <c r="C6" s="370"/>
      <c r="D6" s="370"/>
      <c r="E6" s="370"/>
      <c r="F6" s="370"/>
      <c r="G6" s="370"/>
      <c r="H6" s="45"/>
      <c r="I6" s="45" t="s">
        <v>66</v>
      </c>
      <c r="J6" s="337">
        <f>J4/J5</f>
        <v>212.9925906441282</v>
      </c>
      <c r="K6" s="337"/>
      <c r="L6" s="337"/>
      <c r="M6" s="46" t="s">
        <v>67</v>
      </c>
      <c r="N6" s="336"/>
      <c r="O6" s="336"/>
      <c r="P6" s="336"/>
      <c r="Q6" s="43">
        <v>1992</v>
      </c>
      <c r="R6" s="44">
        <v>65190</v>
      </c>
    </row>
    <row r="7" spans="1:18" ht="45" customHeight="1" x14ac:dyDescent="0.25">
      <c r="A7" s="348" t="s">
        <v>68</v>
      </c>
      <c r="B7" s="348"/>
      <c r="C7" s="349">
        <v>5</v>
      </c>
      <c r="D7" s="350" t="str">
        <f>'PAG 2'!S6</f>
        <v>ORGANIZACIÓN HAR SAS</v>
      </c>
      <c r="E7" s="350"/>
      <c r="F7" s="350"/>
      <c r="G7" s="350"/>
      <c r="H7" s="350"/>
      <c r="I7" s="328">
        <v>1</v>
      </c>
      <c r="J7" s="329" t="str">
        <f>'[1]1'!J7</f>
        <v>EL INTEGRANTE QUE APORTE LA EXPERIENCIA DEBERA TENER COMO MINIMO EL 50% DE PARTICIPACION EN EL CONSORCIO O UNION TEMPORAL</v>
      </c>
      <c r="K7" s="329"/>
      <c r="L7" s="329"/>
      <c r="M7" s="47" t="s">
        <v>70</v>
      </c>
      <c r="N7" s="47" t="s">
        <v>71</v>
      </c>
      <c r="O7" s="339" t="s">
        <v>72</v>
      </c>
      <c r="P7" s="340" t="s">
        <v>73</v>
      </c>
      <c r="Q7" s="43">
        <v>1993</v>
      </c>
      <c r="R7" s="44">
        <v>81510</v>
      </c>
    </row>
    <row r="8" spans="1:18" ht="27" customHeight="1" x14ac:dyDescent="0.25">
      <c r="A8" s="348"/>
      <c r="B8" s="348"/>
      <c r="C8" s="349"/>
      <c r="D8" s="350"/>
      <c r="E8" s="350"/>
      <c r="F8" s="350"/>
      <c r="G8" s="350"/>
      <c r="H8" s="350"/>
      <c r="I8" s="328"/>
      <c r="J8" s="329"/>
      <c r="K8" s="329"/>
      <c r="L8" s="329"/>
      <c r="M8" s="48">
        <f>J4*60%</f>
        <v>511.18221754590763</v>
      </c>
      <c r="N8" s="48">
        <f>J6*60%</f>
        <v>127.79555438647691</v>
      </c>
      <c r="O8" s="339"/>
      <c r="P8" s="340"/>
      <c r="Q8" s="43"/>
      <c r="R8" s="44"/>
    </row>
    <row r="9" spans="1:18" ht="22.5" x14ac:dyDescent="0.25">
      <c r="A9" s="341" t="s">
        <v>74</v>
      </c>
      <c r="B9" s="341"/>
      <c r="C9" s="49" t="s">
        <v>75</v>
      </c>
      <c r="D9" s="400" t="str">
        <f>D7</f>
        <v>ORGANIZACIÓN HAR SAS</v>
      </c>
      <c r="E9" s="400"/>
      <c r="F9" s="400"/>
      <c r="G9" s="400"/>
      <c r="H9" s="400"/>
      <c r="I9" s="50">
        <v>1</v>
      </c>
      <c r="J9" s="51" t="str">
        <f>IF(H15=D9,"APORTA EXP","NO APORTA EXP")</f>
        <v>NO APORTA EXP</v>
      </c>
      <c r="K9" s="51" t="str">
        <f>IF(H16=D9,"APORTA EXP","NO APORTA EXP")</f>
        <v>NO APORTA EXP</v>
      </c>
      <c r="L9" s="51" t="str">
        <f>IF(H17=D9,"APORTA EXP","NO APORTA EXP")</f>
        <v>NO APORTA EXP</v>
      </c>
      <c r="M9" s="52">
        <f>IF(D9="","",(SUMIF(H15:H17,D9,$D21:$D23)))+D22</f>
        <v>0</v>
      </c>
      <c r="N9" s="52" t="e">
        <f>IF(D9="","",(SUMIF(H15:H17,D9,$F21:$F23)))+F22</f>
        <v>#DIV/0!</v>
      </c>
      <c r="O9" s="53" t="str">
        <f>IF(M9&gt;M8,"CUMPLE","NO CUMPLE")</f>
        <v>NO CUMPLE</v>
      </c>
      <c r="P9" s="54" t="e">
        <f>IF(N9&gt;N8,"CUMPLE","NO CUMPLE")</f>
        <v>#DIV/0!</v>
      </c>
      <c r="Q9" s="43">
        <v>1994</v>
      </c>
      <c r="R9" s="44">
        <v>98700</v>
      </c>
    </row>
    <row r="10" spans="1:18" ht="15.75" x14ac:dyDescent="0.25">
      <c r="A10" s="341"/>
      <c r="B10" s="341"/>
      <c r="C10" s="49" t="s">
        <v>76</v>
      </c>
      <c r="D10" s="400">
        <f>'PAG 3'!U5</f>
        <v>0</v>
      </c>
      <c r="E10" s="400"/>
      <c r="F10" s="400"/>
      <c r="G10" s="400"/>
      <c r="H10" s="400"/>
      <c r="I10" s="50"/>
      <c r="J10" s="51" t="str">
        <f>IF(H15=D10,"APORTA EXP","NO APORTA EXP")</f>
        <v>APORTA EXP</v>
      </c>
      <c r="K10" s="51" t="str">
        <f>IF(H16=D10,"APORTA EXP","NO APORTA EXP")</f>
        <v>APORTA EXP</v>
      </c>
      <c r="L10" s="51" t="str">
        <f>IF(H17=D10,"APORTA EXP","NO APORTA EXP")</f>
        <v>APORTA EXP</v>
      </c>
      <c r="M10" s="55"/>
      <c r="N10" s="55"/>
      <c r="O10" s="53" t="str">
        <f>IF(M10&gt;M8,"CUMPLE","NO CUMPLE")</f>
        <v>NO CUMPLE</v>
      </c>
      <c r="P10" s="54" t="str">
        <f>IF(N10&gt;N8,"CUMPLE","NO CUMPLE")</f>
        <v>NO CUMPLE</v>
      </c>
      <c r="Q10" s="43">
        <v>1995</v>
      </c>
      <c r="R10" s="44">
        <v>118933.5</v>
      </c>
    </row>
    <row r="11" spans="1:18" ht="15.75" x14ac:dyDescent="0.25">
      <c r="A11" s="341"/>
      <c r="B11" s="341"/>
      <c r="C11" s="49" t="s">
        <v>77</v>
      </c>
      <c r="D11" s="343"/>
      <c r="E11" s="343"/>
      <c r="F11" s="343"/>
      <c r="G11" s="343"/>
      <c r="H11" s="343"/>
      <c r="I11" s="50"/>
      <c r="J11" s="51" t="str">
        <f>IF(H15=D11,"APORTA EXP","NO APORTA EXP")</f>
        <v>APORTA EXP</v>
      </c>
      <c r="K11" s="51" t="str">
        <f>IF(H16=D11,"APORTA EXP","NO APORTA EXP")</f>
        <v>APORTA EXP</v>
      </c>
      <c r="L11" s="51" t="str">
        <f>IF(H17=D11,"APORTA EXP","NO APORTA EXP")</f>
        <v>APORTA EXP</v>
      </c>
      <c r="M11" s="55" t="str">
        <f>IF(D11="","",(SUMIF(H15:H17,D11,$D21:$D23)))</f>
        <v/>
      </c>
      <c r="N11" s="56" t="str">
        <f>IF(D11="","",(SUMIF(H15:H17,D11,$F21:$F23)))</f>
        <v/>
      </c>
      <c r="O11" s="53" t="str">
        <f>IF(M11&gt;M8,"CUMPLE","NO CUMPLE")</f>
        <v>CUMPLE</v>
      </c>
      <c r="P11" s="54" t="str">
        <f>IF(N11&gt;N8,"CUMPLE","NO CUMPLE")</f>
        <v>CUMPLE</v>
      </c>
      <c r="Q11" s="43">
        <v>1996</v>
      </c>
      <c r="R11" s="44">
        <v>142125</v>
      </c>
    </row>
    <row r="12" spans="1:18" ht="15.75" x14ac:dyDescent="0.25">
      <c r="A12" s="341"/>
      <c r="B12" s="341"/>
      <c r="C12" s="49" t="s">
        <v>78</v>
      </c>
      <c r="D12" s="343"/>
      <c r="E12" s="343"/>
      <c r="F12" s="343"/>
      <c r="G12" s="343"/>
      <c r="H12" s="343"/>
      <c r="I12" s="50"/>
      <c r="J12" s="51" t="str">
        <f>IF(H15=D12,"APORTA EXP","NO APORTA EXP")</f>
        <v>APORTA EXP</v>
      </c>
      <c r="K12" s="51" t="str">
        <f>IF(H16=D12,"APORTA EXP","NO APORTA EXP")</f>
        <v>APORTA EXP</v>
      </c>
      <c r="L12" s="51" t="str">
        <f>IF(H17=D12,"APORTA EXP","NO APORTA EXP")</f>
        <v>APORTA EXP</v>
      </c>
      <c r="M12" s="55" t="str">
        <f>IF(D12="","",(SUMIF(H15:H17,D12,$D21:$D23)))</f>
        <v/>
      </c>
      <c r="N12" s="56" t="str">
        <f>IF(D12="","",(SUMIF(H15:H17,D12,$F21:$F23)))</f>
        <v/>
      </c>
      <c r="O12" s="53" t="str">
        <f>IF(M12&gt;M8,"CUMPLE","NO CUMPLE")</f>
        <v>CUMPLE</v>
      </c>
      <c r="P12" s="54" t="str">
        <f>IF(N12&gt;N8,"CUMPLE","NO CUMPLE")</f>
        <v>CUMPLE</v>
      </c>
      <c r="Q12" s="43">
        <v>1997</v>
      </c>
      <c r="R12" s="44">
        <v>172005</v>
      </c>
    </row>
    <row r="13" spans="1:18" x14ac:dyDescent="0.25">
      <c r="A13" s="344" t="s">
        <v>79</v>
      </c>
      <c r="B13" s="344"/>
      <c r="C13" s="344"/>
      <c r="D13" s="344"/>
      <c r="E13" s="344"/>
      <c r="F13" s="344"/>
      <c r="G13" s="345" t="s">
        <v>80</v>
      </c>
      <c r="H13" s="345"/>
      <c r="I13" s="57">
        <f>COUNTA(D9:H12)</f>
        <v>2</v>
      </c>
      <c r="J13" s="346"/>
      <c r="K13" s="346"/>
      <c r="L13" s="346"/>
      <c r="M13" s="346"/>
      <c r="N13" s="346"/>
      <c r="O13" s="58"/>
      <c r="P13" s="59"/>
      <c r="Q13" s="43">
        <v>1998</v>
      </c>
      <c r="R13" s="44">
        <v>203826</v>
      </c>
    </row>
    <row r="14" spans="1:18" ht="36"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8" x14ac:dyDescent="0.25">
      <c r="A15" s="109" t="s">
        <v>34</v>
      </c>
      <c r="B15" s="8">
        <v>1</v>
      </c>
      <c r="C15" s="147"/>
      <c r="D15" s="148"/>
      <c r="E15" s="12"/>
      <c r="F15" s="9" t="s">
        <v>34</v>
      </c>
      <c r="G15" s="111"/>
      <c r="H15" s="8"/>
      <c r="I15" s="64"/>
      <c r="J15" s="65"/>
      <c r="K15" s="64"/>
      <c r="L15" s="66">
        <f>((K15-I15)/30)-J15</f>
        <v>0</v>
      </c>
      <c r="M15" s="338" t="s">
        <v>94</v>
      </c>
      <c r="N15" s="338"/>
      <c r="O15" s="338"/>
      <c r="P15" s="338"/>
      <c r="Q15" s="43">
        <v>2000</v>
      </c>
      <c r="R15" s="44">
        <v>260100</v>
      </c>
    </row>
    <row r="16" spans="1:18" x14ac:dyDescent="0.25">
      <c r="A16" s="109" t="s">
        <v>34</v>
      </c>
      <c r="B16" s="8">
        <v>2</v>
      </c>
      <c r="C16" s="147"/>
      <c r="D16" s="148"/>
      <c r="E16" s="12"/>
      <c r="F16" s="9" t="s">
        <v>34</v>
      </c>
      <c r="G16" s="111"/>
      <c r="H16" s="8"/>
      <c r="I16" s="64"/>
      <c r="J16" s="65"/>
      <c r="K16" s="64"/>
      <c r="L16" s="66">
        <f>((K16-I16)/30)-J16</f>
        <v>0</v>
      </c>
      <c r="M16" s="338" t="s">
        <v>94</v>
      </c>
      <c r="N16" s="338"/>
      <c r="O16" s="338"/>
      <c r="P16" s="338"/>
      <c r="Q16" s="43">
        <v>2001</v>
      </c>
      <c r="R16" s="44">
        <v>286000</v>
      </c>
    </row>
    <row r="17" spans="1:18" x14ac:dyDescent="0.25">
      <c r="A17" s="109" t="s">
        <v>34</v>
      </c>
      <c r="B17" s="8">
        <v>3</v>
      </c>
      <c r="C17" s="127"/>
      <c r="D17" s="63"/>
      <c r="E17" s="12"/>
      <c r="F17" s="9"/>
      <c r="G17" s="111"/>
      <c r="H17" s="63"/>
      <c r="I17" s="64"/>
      <c r="J17" s="112"/>
      <c r="K17" s="64"/>
      <c r="L17" s="66">
        <f>((K17-I17)/30)-J17</f>
        <v>0</v>
      </c>
      <c r="M17" s="338" t="s">
        <v>94</v>
      </c>
      <c r="N17" s="338"/>
      <c r="O17" s="338"/>
      <c r="P17" s="338"/>
      <c r="Q17" s="43">
        <v>2002</v>
      </c>
      <c r="R17" s="44">
        <v>309000</v>
      </c>
    </row>
    <row r="18" spans="1:18" x14ac:dyDescent="0.25">
      <c r="A18" s="377">
        <v>1</v>
      </c>
      <c r="B18" s="377"/>
      <c r="C18" s="377"/>
      <c r="D18" s="377"/>
      <c r="E18" s="377"/>
      <c r="F18" s="377"/>
      <c r="G18" s="377"/>
      <c r="H18" s="377"/>
      <c r="I18" s="377"/>
      <c r="J18" s="377"/>
      <c r="K18" s="377"/>
      <c r="L18" s="377"/>
      <c r="M18" s="377"/>
      <c r="N18" s="377"/>
      <c r="O18" s="377"/>
      <c r="P18" s="377"/>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c r="I20" s="355"/>
      <c r="J20" s="355"/>
      <c r="K20" s="355"/>
      <c r="L20" s="355"/>
      <c r="M20" s="355"/>
      <c r="N20" s="354">
        <f>L47</f>
        <v>0</v>
      </c>
      <c r="O20" s="354"/>
      <c r="P20" s="354"/>
      <c r="Q20" s="43"/>
      <c r="R20" s="44"/>
    </row>
    <row r="21" spans="1:18" ht="33" customHeight="1" x14ac:dyDescent="0.25">
      <c r="A21" s="352"/>
      <c r="B21" s="352"/>
      <c r="C21" s="67">
        <f>D15</f>
        <v>0</v>
      </c>
      <c r="D21" s="68">
        <f>IF(M15="CUMPLE",(E15*G15),0)</f>
        <v>0</v>
      </c>
      <c r="E21" s="356">
        <f>SUM(D21:D23)</f>
        <v>0</v>
      </c>
      <c r="F21" s="69" t="e">
        <f>D21/L15</f>
        <v>#DIV/0!</v>
      </c>
      <c r="G21" s="357" t="e">
        <f>SUM(F21:F23)</f>
        <v>#DIV/0!</v>
      </c>
      <c r="H21" s="355"/>
      <c r="I21" s="355"/>
      <c r="J21" s="355"/>
      <c r="K21" s="355"/>
      <c r="L21" s="355"/>
      <c r="M21" s="355"/>
      <c r="N21" s="354">
        <f>O56</f>
        <v>0</v>
      </c>
      <c r="O21" s="354"/>
      <c r="P21" s="354"/>
      <c r="Q21" s="43">
        <v>2005</v>
      </c>
      <c r="R21" s="44">
        <v>381500</v>
      </c>
    </row>
    <row r="22" spans="1:18" ht="15" customHeight="1" x14ac:dyDescent="0.25">
      <c r="A22" s="352"/>
      <c r="B22" s="352"/>
      <c r="C22" s="67">
        <f>D16</f>
        <v>0</v>
      </c>
      <c r="D22" s="68">
        <f>IF(M16="CUMPLE",(E16*G16),0)</f>
        <v>0</v>
      </c>
      <c r="E22" s="356"/>
      <c r="F22" s="69" t="e">
        <f>D22/L16</f>
        <v>#DIV/0!</v>
      </c>
      <c r="G22" s="357"/>
      <c r="H22" s="358"/>
      <c r="I22" s="358"/>
      <c r="J22" s="358"/>
      <c r="K22" s="358"/>
      <c r="L22" s="358"/>
      <c r="M22" s="358"/>
      <c r="N22" s="358"/>
      <c r="O22" s="358"/>
      <c r="P22" s="358"/>
      <c r="Q22" s="43">
        <v>2006</v>
      </c>
      <c r="R22" s="44">
        <v>408000</v>
      </c>
    </row>
    <row r="23" spans="1:18" x14ac:dyDescent="0.25">
      <c r="A23" s="352"/>
      <c r="B23" s="352"/>
      <c r="C23" s="67"/>
      <c r="D23" s="68"/>
      <c r="E23" s="356"/>
      <c r="F23" s="69"/>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NO CUMPLE</v>
      </c>
      <c r="F24" s="72" t="s">
        <v>103</v>
      </c>
      <c r="G24" s="71" t="e">
        <f>IF(G21="","",IF(L6&lt;=G21,"CUMPLE", "NO CUMPLE"))</f>
        <v>#DIV/0!</v>
      </c>
      <c r="H24" s="360" t="s">
        <v>50</v>
      </c>
      <c r="I24" s="360"/>
      <c r="J24" s="360"/>
      <c r="K24" s="361" t="s">
        <v>104</v>
      </c>
      <c r="L24" s="361"/>
      <c r="M24" s="73" t="s">
        <v>105</v>
      </c>
      <c r="N24" s="362">
        <f>+N19+N20+N21</f>
        <v>10</v>
      </c>
      <c r="O24" s="362"/>
      <c r="P24" s="362"/>
      <c r="Q24" s="43">
        <v>2008</v>
      </c>
      <c r="R24" s="44">
        <v>461500</v>
      </c>
    </row>
    <row r="25" spans="1:18" x14ac:dyDescent="0.25">
      <c r="A25" s="381" t="s">
        <v>106</v>
      </c>
      <c r="B25" s="381"/>
      <c r="C25" s="381"/>
      <c r="D25" s="381"/>
      <c r="E25" s="381"/>
      <c r="F25" s="381"/>
      <c r="G25" s="381"/>
      <c r="H25" s="381"/>
      <c r="K25" s="366"/>
      <c r="L25" s="366"/>
      <c r="M25" s="366"/>
      <c r="N25" s="366"/>
      <c r="O25" s="366"/>
      <c r="P25" s="366"/>
      <c r="Q25" s="74">
        <v>2009</v>
      </c>
      <c r="R25" s="44">
        <v>496900</v>
      </c>
    </row>
    <row r="26" spans="1:18" ht="58.5" customHeight="1" x14ac:dyDescent="0.25">
      <c r="A26" s="382"/>
      <c r="B26" s="382"/>
      <c r="C26" s="382"/>
      <c r="D26" s="382"/>
      <c r="E26" s="382"/>
      <c r="F26" s="382"/>
      <c r="G26" s="382"/>
      <c r="H26" s="382"/>
      <c r="I26" s="75"/>
      <c r="J26" s="75"/>
      <c r="K26" s="75"/>
      <c r="L26" s="75"/>
      <c r="M26" s="75"/>
      <c r="N26" s="75"/>
      <c r="O26" s="113"/>
      <c r="P26" s="114"/>
      <c r="Q26" s="74">
        <v>2010</v>
      </c>
      <c r="R26" s="44">
        <v>515000</v>
      </c>
    </row>
    <row r="27" spans="1:18" x14ac:dyDescent="0.25">
      <c r="A27" s="382"/>
      <c r="B27" s="382"/>
      <c r="C27" s="382"/>
      <c r="D27" s="382"/>
      <c r="E27" s="382"/>
      <c r="F27" s="382"/>
      <c r="G27" s="382"/>
      <c r="H27" s="382"/>
      <c r="I27" s="76"/>
      <c r="J27" s="77"/>
      <c r="K27" s="77"/>
      <c r="L27" s="78"/>
      <c r="M27" s="77"/>
      <c r="N27" s="76"/>
      <c r="O27" s="115"/>
      <c r="P27" s="114"/>
      <c r="Q27" s="74">
        <v>2011</v>
      </c>
      <c r="R27" s="44">
        <v>535600</v>
      </c>
    </row>
    <row r="28" spans="1:18" x14ac:dyDescent="0.25">
      <c r="A28" s="382"/>
      <c r="B28" s="382"/>
      <c r="C28" s="382"/>
      <c r="D28" s="382"/>
      <c r="E28" s="382"/>
      <c r="F28" s="382"/>
      <c r="G28" s="382"/>
      <c r="H28" s="382"/>
      <c r="I28" s="76"/>
      <c r="J28" s="77"/>
      <c r="K28" s="77"/>
      <c r="L28" s="78"/>
      <c r="M28" s="77"/>
      <c r="N28" s="76"/>
      <c r="O28" s="115"/>
      <c r="P28" s="114"/>
      <c r="Q28" s="74">
        <v>2012</v>
      </c>
      <c r="R28" s="44">
        <v>566700</v>
      </c>
    </row>
    <row r="29" spans="1:18" x14ac:dyDescent="0.25">
      <c r="A29" s="382"/>
      <c r="B29" s="382"/>
      <c r="C29" s="382"/>
      <c r="D29" s="382"/>
      <c r="E29" s="382"/>
      <c r="F29" s="382"/>
      <c r="G29" s="382"/>
      <c r="H29" s="382"/>
      <c r="I29" s="76"/>
      <c r="J29" s="77"/>
      <c r="K29" s="77"/>
      <c r="L29" s="78"/>
      <c r="M29" s="77"/>
      <c r="N29" s="76"/>
      <c r="O29" s="115"/>
      <c r="Q29" s="74">
        <v>2013</v>
      </c>
      <c r="R29" s="44">
        <v>589500</v>
      </c>
    </row>
    <row r="30" spans="1:18" ht="22.5" customHeight="1" x14ac:dyDescent="0.25">
      <c r="A30" s="382"/>
      <c r="B30" s="382"/>
      <c r="C30" s="382"/>
      <c r="D30" s="382"/>
      <c r="E30" s="382"/>
      <c r="F30" s="382"/>
      <c r="G30" s="382"/>
      <c r="H30" s="382"/>
      <c r="I30" s="79"/>
      <c r="J30" s="79"/>
      <c r="K30" s="79"/>
      <c r="L30" s="78"/>
      <c r="M30" s="77"/>
      <c r="N30" s="76"/>
      <c r="O30" s="115"/>
      <c r="Q30" s="74">
        <v>2014</v>
      </c>
      <c r="R30" s="44">
        <v>616000</v>
      </c>
    </row>
    <row r="31" spans="1:18" ht="15" customHeight="1" x14ac:dyDescent="0.25">
      <c r="A31" s="383"/>
      <c r="B31" s="383"/>
      <c r="C31" s="383"/>
      <c r="D31" s="383"/>
      <c r="E31" s="383"/>
      <c r="F31" s="383"/>
      <c r="G31" s="383"/>
      <c r="H31" s="383"/>
      <c r="I31" s="81"/>
      <c r="J31" s="81"/>
      <c r="K31" s="81"/>
      <c r="L31" s="81"/>
      <c r="M31" s="81"/>
      <c r="N31" s="81"/>
      <c r="Q31" s="74">
        <v>2015</v>
      </c>
      <c r="R31" s="44">
        <v>644350</v>
      </c>
    </row>
    <row r="32" spans="1:18" x14ac:dyDescent="0.25">
      <c r="A32" s="383"/>
      <c r="B32" s="383"/>
      <c r="C32" s="383"/>
      <c r="D32" s="383"/>
      <c r="E32" s="383"/>
      <c r="F32" s="383"/>
      <c r="G32" s="383"/>
      <c r="H32" s="383"/>
      <c r="I32" s="81"/>
      <c r="J32" s="81"/>
      <c r="K32" s="81"/>
      <c r="L32" s="81"/>
      <c r="M32" s="81"/>
      <c r="N32" s="81"/>
      <c r="Q32" s="74">
        <v>2016</v>
      </c>
      <c r="R32" s="44">
        <v>689455</v>
      </c>
    </row>
    <row r="33" spans="1:18" ht="15.75" thickBot="1" x14ac:dyDescent="0.3">
      <c r="A33" s="383"/>
      <c r="B33" s="383"/>
      <c r="C33" s="383"/>
      <c r="D33" s="383"/>
      <c r="E33" s="383"/>
      <c r="F33" s="383"/>
      <c r="G33" s="383"/>
      <c r="H33" s="383"/>
      <c r="I33" s="81"/>
      <c r="J33" s="81"/>
      <c r="K33" s="81"/>
      <c r="L33" s="81"/>
      <c r="M33" s="81"/>
      <c r="N33" s="81"/>
      <c r="Q33" s="82">
        <v>2017</v>
      </c>
      <c r="R33" s="83">
        <v>737717</v>
      </c>
    </row>
    <row r="34" spans="1:18" ht="15.75" thickBot="1" x14ac:dyDescent="0.3">
      <c r="A34" s="383"/>
      <c r="B34" s="383"/>
      <c r="C34" s="383"/>
      <c r="D34" s="383"/>
      <c r="E34" s="383"/>
      <c r="F34" s="383"/>
      <c r="G34" s="383"/>
      <c r="H34" s="383"/>
      <c r="I34" s="81"/>
      <c r="J34" s="81"/>
      <c r="K34" s="81"/>
      <c r="L34" s="81"/>
      <c r="M34" s="81"/>
      <c r="N34" s="81"/>
      <c r="Q34" s="82">
        <v>2018</v>
      </c>
      <c r="R34" s="83">
        <v>781242</v>
      </c>
    </row>
    <row r="35" spans="1:18" ht="15.75" thickBot="1" x14ac:dyDescent="0.3">
      <c r="A35" s="56"/>
      <c r="B35" s="56"/>
      <c r="C35" s="56"/>
      <c r="D35" s="56"/>
      <c r="E35" s="384"/>
      <c r="F35" s="384"/>
      <c r="G35" s="384"/>
      <c r="H35" s="384"/>
      <c r="I35" s="81"/>
      <c r="J35" s="81"/>
      <c r="K35" s="81"/>
      <c r="L35" s="81"/>
      <c r="M35" s="81"/>
      <c r="N35" s="81"/>
      <c r="Q35" s="82"/>
      <c r="R35" s="83"/>
    </row>
    <row r="36" spans="1:18" ht="15.75" thickBot="1" x14ac:dyDescent="0.3"/>
    <row r="37" spans="1:18" ht="15.75" thickBot="1" x14ac:dyDescent="0.3">
      <c r="D37" s="378"/>
      <c r="E37" s="378"/>
      <c r="F37" s="379"/>
      <c r="G37" s="379"/>
    </row>
    <row r="38" spans="1:18" ht="15.75" thickBot="1" x14ac:dyDescent="0.3">
      <c r="D38" s="380"/>
      <c r="E38" s="380"/>
      <c r="F38" s="379"/>
      <c r="G38" s="379"/>
    </row>
    <row r="39" spans="1:18" ht="15.75" thickBot="1" x14ac:dyDescent="0.3">
      <c r="D39" s="84"/>
      <c r="E39" s="85"/>
      <c r="F39" s="86"/>
      <c r="G39" s="385"/>
      <c r="I39" s="386"/>
      <c r="J39" s="386"/>
      <c r="K39" s="386"/>
      <c r="L39" s="87"/>
      <c r="M39" s="387"/>
      <c r="N39" s="387"/>
      <c r="O39" s="387"/>
      <c r="P39" s="387"/>
      <c r="Q39" s="387"/>
    </row>
    <row r="40" spans="1:18" ht="15" customHeight="1" thickBot="1" x14ac:dyDescent="0.3">
      <c r="D40" s="388"/>
      <c r="E40" s="388"/>
      <c r="F40" s="389"/>
      <c r="G40" s="385"/>
      <c r="I40" s="390"/>
      <c r="J40" s="390"/>
      <c r="K40" s="390"/>
      <c r="L40" s="87"/>
      <c r="M40" s="387"/>
      <c r="N40" s="387"/>
      <c r="O40" s="387"/>
      <c r="P40" s="387"/>
      <c r="Q40" s="387"/>
    </row>
    <row r="41" spans="1:18" ht="15.75" thickBot="1" x14ac:dyDescent="0.3">
      <c r="D41" s="388"/>
      <c r="E41" s="388"/>
      <c r="F41" s="389"/>
      <c r="G41" s="385"/>
      <c r="I41" s="88"/>
      <c r="J41" s="88"/>
      <c r="K41" s="88"/>
      <c r="L41" s="63"/>
      <c r="M41" s="387"/>
      <c r="N41" s="387"/>
      <c r="O41" s="387"/>
      <c r="P41" s="387"/>
      <c r="Q41" s="387"/>
    </row>
    <row r="42" spans="1:18" ht="15.75" thickBot="1" x14ac:dyDescent="0.3">
      <c r="D42" s="84"/>
      <c r="E42" s="85"/>
      <c r="F42" s="86"/>
      <c r="G42" s="385"/>
      <c r="I42" s="126"/>
      <c r="J42" s="126"/>
      <c r="K42" s="126"/>
      <c r="L42" s="9"/>
      <c r="M42" s="387"/>
      <c r="N42" s="387"/>
      <c r="O42" s="387"/>
      <c r="P42" s="387"/>
      <c r="Q42" s="387"/>
    </row>
    <row r="43" spans="1:18" x14ac:dyDescent="0.25">
      <c r="D43" s="90"/>
      <c r="I43" s="126"/>
      <c r="J43" s="126"/>
      <c r="K43" s="126"/>
      <c r="L43" s="9"/>
      <c r="M43" s="387"/>
      <c r="N43" s="387"/>
      <c r="O43" s="387"/>
      <c r="P43" s="387"/>
      <c r="Q43" s="387"/>
    </row>
    <row r="44" spans="1:18" ht="15.75" thickBot="1" x14ac:dyDescent="0.3">
      <c r="D44" s="90"/>
      <c r="I44" s="126"/>
      <c r="J44" s="126"/>
      <c r="K44" s="126"/>
      <c r="L44" s="9"/>
      <c r="M44" s="387"/>
      <c r="N44" s="387"/>
      <c r="O44" s="387"/>
      <c r="P44" s="387"/>
      <c r="Q44" s="387"/>
    </row>
    <row r="45" spans="1:18" ht="15.75" thickBot="1" x14ac:dyDescent="0.3">
      <c r="D45" s="378"/>
      <c r="E45" s="378"/>
      <c r="F45" s="379"/>
      <c r="G45" s="391"/>
      <c r="I45" s="126"/>
      <c r="J45" s="126"/>
      <c r="K45" s="126"/>
      <c r="L45" s="9"/>
      <c r="M45" s="387"/>
      <c r="N45" s="387"/>
      <c r="O45" s="387"/>
      <c r="P45" s="387"/>
      <c r="Q45" s="387"/>
    </row>
    <row r="46" spans="1:18" ht="15.75" thickBot="1" x14ac:dyDescent="0.3">
      <c r="D46" s="380"/>
      <c r="E46" s="380"/>
      <c r="F46" s="379"/>
      <c r="G46" s="391"/>
      <c r="I46" s="126"/>
      <c r="J46" s="126"/>
      <c r="K46" s="126"/>
      <c r="L46" s="91"/>
      <c r="M46" s="387"/>
      <c r="N46" s="387"/>
      <c r="O46" s="387"/>
      <c r="P46" s="387"/>
      <c r="Q46" s="387"/>
    </row>
    <row r="47" spans="1:18" ht="21.75" thickBot="1" x14ac:dyDescent="0.3">
      <c r="D47" s="92"/>
      <c r="E47" s="93"/>
      <c r="F47" s="94"/>
      <c r="G47" s="95"/>
      <c r="I47" s="126"/>
      <c r="J47" s="126"/>
      <c r="K47" s="126"/>
      <c r="L47" s="91"/>
      <c r="M47" s="96"/>
      <c r="N47" s="96"/>
      <c r="O47" s="96"/>
      <c r="P47" s="96"/>
      <c r="Q47" s="96"/>
    </row>
    <row r="48" spans="1:18" ht="15.75" thickBot="1" x14ac:dyDescent="0.3">
      <c r="D48" s="84"/>
      <c r="E48" s="85"/>
      <c r="F48" s="85"/>
      <c r="G48" s="385"/>
      <c r="I48" s="392"/>
      <c r="J48" s="392"/>
      <c r="K48" s="392"/>
      <c r="L48" s="116"/>
    </row>
    <row r="49" spans="4:15" ht="15.75" thickBot="1" x14ac:dyDescent="0.3">
      <c r="D49" s="388"/>
      <c r="E49" s="388"/>
      <c r="F49" s="389"/>
      <c r="G49" s="385"/>
      <c r="I49" s="342"/>
      <c r="J49" s="342"/>
      <c r="K49" s="9"/>
      <c r="L49" s="56"/>
      <c r="M49" s="63"/>
      <c r="N49" s="56"/>
      <c r="O49" s="63"/>
    </row>
    <row r="50" spans="4:15" ht="15.75" thickBot="1" x14ac:dyDescent="0.3">
      <c r="D50" s="388"/>
      <c r="E50" s="388"/>
      <c r="F50" s="389"/>
      <c r="G50" s="385"/>
      <c r="I50" s="342"/>
      <c r="J50" s="342"/>
      <c r="K50" s="9"/>
      <c r="L50" s="9"/>
      <c r="M50" s="9"/>
      <c r="N50" s="9"/>
      <c r="O50" s="56"/>
    </row>
    <row r="51" spans="4:15" ht="15.75" thickBot="1" x14ac:dyDescent="0.3">
      <c r="D51" s="84"/>
      <c r="E51" s="85"/>
      <c r="F51" s="97"/>
      <c r="G51" s="385"/>
      <c r="I51" s="88"/>
      <c r="J51" s="9"/>
      <c r="K51" s="9"/>
      <c r="L51" s="9"/>
      <c r="M51" s="9"/>
      <c r="N51" s="98"/>
      <c r="O51" s="125"/>
    </row>
    <row r="52" spans="4:15" ht="15.75" thickBot="1" x14ac:dyDescent="0.3">
      <c r="D52" s="90"/>
      <c r="I52" s="100"/>
      <c r="J52" s="9"/>
      <c r="K52" s="9"/>
      <c r="L52" s="9"/>
      <c r="M52" s="9"/>
      <c r="N52" s="98"/>
      <c r="O52" s="125"/>
    </row>
    <row r="53" spans="4:15" x14ac:dyDescent="0.25">
      <c r="D53" s="101"/>
      <c r="E53" s="102"/>
      <c r="F53" s="103"/>
      <c r="G53" s="103"/>
      <c r="I53" s="100"/>
      <c r="J53" s="9"/>
      <c r="K53" s="9"/>
      <c r="L53" s="9"/>
      <c r="M53" s="9"/>
      <c r="N53" s="98"/>
      <c r="O53" s="125"/>
    </row>
    <row r="54" spans="4:15" ht="15.75" thickBot="1" x14ac:dyDescent="0.3">
      <c r="D54" s="92"/>
      <c r="E54" s="93"/>
      <c r="F54" s="104"/>
      <c r="G54" s="95"/>
      <c r="I54" s="100"/>
      <c r="J54" s="9"/>
      <c r="K54" s="9"/>
      <c r="L54" s="9"/>
      <c r="M54" s="9"/>
      <c r="N54" s="98"/>
      <c r="O54" s="125"/>
    </row>
    <row r="55" spans="4:15" ht="15.75" thickBot="1" x14ac:dyDescent="0.3">
      <c r="D55" s="84"/>
      <c r="E55" s="85"/>
      <c r="F55" s="85"/>
      <c r="G55" s="385"/>
      <c r="I55" s="100"/>
      <c r="J55" s="9"/>
      <c r="K55" s="9"/>
      <c r="L55" s="9"/>
      <c r="M55" s="9"/>
      <c r="N55" s="98"/>
      <c r="O55" s="125"/>
    </row>
    <row r="56" spans="4:15" ht="15.75" thickBot="1" x14ac:dyDescent="0.3">
      <c r="D56" s="105"/>
      <c r="E56" s="105"/>
      <c r="F56" s="106"/>
      <c r="G56" s="385"/>
      <c r="I56" s="56"/>
      <c r="J56" s="56"/>
      <c r="K56" s="56"/>
      <c r="L56" s="9"/>
      <c r="M56" s="56"/>
      <c r="N56" s="107"/>
      <c r="O56" s="9"/>
    </row>
    <row r="57" spans="4:15" ht="15.75" thickBot="1" x14ac:dyDescent="0.3">
      <c r="D57" s="84"/>
      <c r="E57" s="84"/>
      <c r="F57" s="108"/>
      <c r="G57" s="385"/>
    </row>
    <row r="58" spans="4:15" ht="15.75" thickBot="1" x14ac:dyDescent="0.3">
      <c r="D58" s="84"/>
      <c r="E58" s="85"/>
      <c r="F58" s="97"/>
      <c r="G58" s="385"/>
    </row>
  </sheetData>
  <mergeCells count="76">
    <mergeCell ref="A1:B1"/>
    <mergeCell ref="C1:L1"/>
    <mergeCell ref="M1:P1"/>
    <mergeCell ref="A2:G6"/>
    <mergeCell ref="H2:I2"/>
    <mergeCell ref="J2:L2"/>
    <mergeCell ref="N2:P6"/>
    <mergeCell ref="H3:I3"/>
    <mergeCell ref="J3:L3"/>
    <mergeCell ref="H4:I4"/>
    <mergeCell ref="J4:L4"/>
    <mergeCell ref="H5:I5"/>
    <mergeCell ref="J6:L6"/>
    <mergeCell ref="O7:O8"/>
    <mergeCell ref="P7:P8"/>
    <mergeCell ref="A9:B12"/>
    <mergeCell ref="D9:H9"/>
    <mergeCell ref="D10:H10"/>
    <mergeCell ref="D11:H11"/>
    <mergeCell ref="D12:H12"/>
    <mergeCell ref="A7:B8"/>
    <mergeCell ref="C7:C8"/>
    <mergeCell ref="D7:H8"/>
    <mergeCell ref="I7:I8"/>
    <mergeCell ref="J7:L8"/>
    <mergeCell ref="M17:P17"/>
    <mergeCell ref="A13:F13"/>
    <mergeCell ref="G13:H13"/>
    <mergeCell ref="J13:N13"/>
    <mergeCell ref="M14:P14"/>
    <mergeCell ref="M15:P15"/>
    <mergeCell ref="M16:P16"/>
    <mergeCell ref="A18:P18"/>
    <mergeCell ref="A19:B23"/>
    <mergeCell ref="H19:M19"/>
    <mergeCell ref="N19:P19"/>
    <mergeCell ref="H20:K21"/>
    <mergeCell ref="L20:M20"/>
    <mergeCell ref="N20:P20"/>
    <mergeCell ref="E21:E23"/>
    <mergeCell ref="G21:G23"/>
    <mergeCell ref="L21:M21"/>
    <mergeCell ref="D37:E37"/>
    <mergeCell ref="F37:F38"/>
    <mergeCell ref="G37:G38"/>
    <mergeCell ref="D38:E38"/>
    <mergeCell ref="N21:P21"/>
    <mergeCell ref="H22:P23"/>
    <mergeCell ref="A25:H25"/>
    <mergeCell ref="K25:P25"/>
    <mergeCell ref="A26:H30"/>
    <mergeCell ref="A31:H34"/>
    <mergeCell ref="E35:H35"/>
    <mergeCell ref="A24:C24"/>
    <mergeCell ref="H24:J24"/>
    <mergeCell ref="K24:L24"/>
    <mergeCell ref="N24:P24"/>
    <mergeCell ref="G39:G42"/>
    <mergeCell ref="I39:K39"/>
    <mergeCell ref="M39:Q46"/>
    <mergeCell ref="D40:D41"/>
    <mergeCell ref="E40:E41"/>
    <mergeCell ref="F40:F41"/>
    <mergeCell ref="I40:K40"/>
    <mergeCell ref="D45:E45"/>
    <mergeCell ref="F45:F46"/>
    <mergeCell ref="G45:G46"/>
    <mergeCell ref="G55:G58"/>
    <mergeCell ref="D46:E46"/>
    <mergeCell ref="G48:G51"/>
    <mergeCell ref="I48:K48"/>
    <mergeCell ref="D49:D50"/>
    <mergeCell ref="E49:E50"/>
    <mergeCell ref="F49:F50"/>
    <mergeCell ref="I49:I50"/>
    <mergeCell ref="J49:J50"/>
  </mergeCells>
  <conditionalFormatting sqref="I17 K17">
    <cfRule type="cellIs" dxfId="68" priority="19" stopIfTrue="1" operator="greaterThan">
      <formula>0</formula>
    </cfRule>
  </conditionalFormatting>
  <conditionalFormatting sqref="E24">
    <cfRule type="expression" dxfId="67" priority="37" stopIfTrue="1">
      <formula>NOT(ISERROR(SEARCH("CUMPLE",E24)))</formula>
    </cfRule>
  </conditionalFormatting>
  <conditionalFormatting sqref="G24">
    <cfRule type="expression" dxfId="66" priority="41" stopIfTrue="1">
      <formula>NOT(ISERROR(SEARCH("CUMPLE",G24)))</formula>
    </cfRule>
  </conditionalFormatting>
  <conditionalFormatting sqref="M16:M17">
    <cfRule type="expression" dxfId="65" priority="35" stopIfTrue="1">
      <formula>NOT(ISERROR(SEARCH("CUMPLE",M16)))</formula>
    </cfRule>
  </conditionalFormatting>
  <conditionalFormatting sqref="O9:O12">
    <cfRule type="expression" dxfId="64" priority="21" stopIfTrue="1">
      <formula>NOT(ISERROR(SEARCH("CUMPLE",O9)))</formula>
    </cfRule>
  </conditionalFormatting>
  <conditionalFormatting sqref="P9:P12">
    <cfRule type="expression" dxfId="63" priority="25" stopIfTrue="1">
      <formula>NOT(ISERROR(SEARCH("CUMPLE",P9)))</formula>
    </cfRule>
  </conditionalFormatting>
  <conditionalFormatting sqref="K24">
    <cfRule type="expression" dxfId="62" priority="39" stopIfTrue="1">
      <formula>NOT(ISERROR(SEARCH("HABIL",K24)))</formula>
    </cfRule>
  </conditionalFormatting>
  <conditionalFormatting sqref="J9:L12">
    <cfRule type="expression" dxfId="61" priority="22" stopIfTrue="1">
      <formula>NOT(ISERROR(SEARCH("NO APORTA EXP",J9)))</formula>
    </cfRule>
  </conditionalFormatting>
  <conditionalFormatting sqref="E24">
    <cfRule type="expression" dxfId="60" priority="36" stopIfTrue="1">
      <formula>NOT(ISERROR(SEARCH("NO CUMPLE",E24)))</formula>
    </cfRule>
  </conditionalFormatting>
  <conditionalFormatting sqref="G24">
    <cfRule type="expression" dxfId="59" priority="40" stopIfTrue="1">
      <formula>NOT(ISERROR(SEARCH("NO CUMPLE",G24)))</formula>
    </cfRule>
  </conditionalFormatting>
  <conditionalFormatting sqref="M16:M17">
    <cfRule type="expression" dxfId="58" priority="34" stopIfTrue="1">
      <formula>NOT(ISERROR(SEARCH("NO CUMPLE",M16)))</formula>
    </cfRule>
  </conditionalFormatting>
  <conditionalFormatting sqref="O9:O12">
    <cfRule type="expression" dxfId="57" priority="20" stopIfTrue="1">
      <formula>NOT(ISERROR(SEARCH("NO CUMPLE",O9)))</formula>
    </cfRule>
  </conditionalFormatting>
  <conditionalFormatting sqref="P9:P12">
    <cfRule type="expression" dxfId="56" priority="24" stopIfTrue="1">
      <formula>NOT(ISERROR(SEARCH("NO CUMPLE",P9)))</formula>
    </cfRule>
  </conditionalFormatting>
  <conditionalFormatting sqref="K24">
    <cfRule type="expression" dxfId="55" priority="38" stopIfTrue="1">
      <formula>NOT(ISERROR(SEARCH("NO HABIL",K24)))</formula>
    </cfRule>
  </conditionalFormatting>
  <conditionalFormatting sqref="A15:A17">
    <cfRule type="expression" dxfId="54" priority="26" stopIfTrue="1">
      <formula>NOT(ISERROR(SEARCH("NO",A15)))</formula>
    </cfRule>
  </conditionalFormatting>
  <conditionalFormatting sqref="F17">
    <cfRule type="expression" dxfId="53" priority="32" stopIfTrue="1">
      <formula>NOT(ISERROR(SEARCH("NO",F17)))</formula>
    </cfRule>
  </conditionalFormatting>
  <conditionalFormatting sqref="I15 K15">
    <cfRule type="cellIs" dxfId="52" priority="4" stopIfTrue="1" operator="greaterThan">
      <formula>0</formula>
    </cfRule>
  </conditionalFormatting>
  <conditionalFormatting sqref="M15">
    <cfRule type="expression" dxfId="51" priority="8" stopIfTrue="1">
      <formula>NOT(ISERROR(SEARCH("CUMPLE",M15)))</formula>
    </cfRule>
  </conditionalFormatting>
  <conditionalFormatting sqref="M15">
    <cfRule type="expression" dxfId="50" priority="7" stopIfTrue="1">
      <formula>NOT(ISERROR(SEARCH("NO CUMPLE",M15)))</formula>
    </cfRule>
  </conditionalFormatting>
  <conditionalFormatting sqref="F15">
    <cfRule type="expression" dxfId="49" priority="5" stopIfTrue="1">
      <formula>NOT(ISERROR(SEARCH("NO",F15)))</formula>
    </cfRule>
  </conditionalFormatting>
  <conditionalFormatting sqref="I16 K16">
    <cfRule type="cellIs" dxfId="48" priority="1" stopIfTrue="1" operator="greaterThan">
      <formula>0</formula>
    </cfRule>
  </conditionalFormatting>
  <conditionalFormatting sqref="F16">
    <cfRule type="expression" dxfId="47" priority="2" stopIfTrue="1">
      <formula>NOT(ISERROR(SEARCH("NO",F16)))</formula>
    </cfRule>
  </conditionalFormatting>
  <pageMargins left="0.25" right="0.25" top="0.75" bottom="0.75" header="0.30000000000000004" footer="0.30000000000000004"/>
  <pageSetup paperSize="0" scale="55" fitToWidth="0" fitToHeight="0" orientation="landscape" horizontalDpi="0" verticalDpi="0" copies="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4"/>
  <sheetViews>
    <sheetView topLeftCell="B9" workbookViewId="0">
      <selection activeCell="K17" sqref="K17"/>
    </sheetView>
  </sheetViews>
  <sheetFormatPr baseColWidth="10" defaultColWidth="10.85546875" defaultRowHeight="15" x14ac:dyDescent="0.25"/>
  <cols>
    <col min="1" max="1" width="11.42578125" style="124" customWidth="1"/>
    <col min="2" max="2" width="13.140625" style="124" customWidth="1"/>
    <col min="3" max="3" width="23.85546875" style="124" customWidth="1"/>
    <col min="4" max="4" width="18.7109375" style="124" customWidth="1"/>
    <col min="5" max="5" width="15.42578125" style="124" customWidth="1"/>
    <col min="6" max="6" width="19.42578125" style="124" customWidth="1"/>
    <col min="7" max="7" width="11.42578125" style="124" customWidth="1"/>
    <col min="8" max="8" width="18.85546875" style="124" customWidth="1"/>
    <col min="9" max="9" width="17" style="124" customWidth="1"/>
    <col min="10" max="12" width="11.42578125" style="124" customWidth="1"/>
    <col min="13" max="13" width="19.140625" style="124" customWidth="1"/>
    <col min="14" max="14" width="15.140625" style="124" customWidth="1"/>
    <col min="15" max="15" width="14.7109375" style="124" customWidth="1"/>
    <col min="16" max="17" width="11.42578125" style="124" customWidth="1"/>
    <col min="18" max="18" width="14.7109375" style="124" customWidth="1"/>
    <col min="19" max="19" width="11.42578125" style="124" customWidth="1"/>
    <col min="20" max="16384" width="10.85546875" style="124"/>
  </cols>
  <sheetData>
    <row r="1" spans="1:19"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9" ht="12.75" customHeight="1" x14ac:dyDescent="0.25">
      <c r="A2" s="333" t="str">
        <f>'PAG 1'!B6</f>
        <v xml:space="preserve">CONTRATAR EL MANTENIMIENTO Y MEJORAMIENTO DEL CERRAMIENTO PERIMETRAL DE LAS ESTACIONES VOR MARINILLA, OTU-REMEDIOS EN ANTIOQUIA Y QUIBDÓ EN CHOCÓ </v>
      </c>
      <c r="B2" s="333"/>
      <c r="C2" s="333"/>
      <c r="D2" s="333"/>
      <c r="E2" s="333"/>
      <c r="F2" s="333"/>
      <c r="G2" s="333"/>
      <c r="H2" s="334" t="s">
        <v>58</v>
      </c>
      <c r="I2" s="334"/>
      <c r="J2" s="335">
        <f>'1'!J2:L2</f>
        <v>332797515</v>
      </c>
      <c r="K2" s="335"/>
      <c r="L2" s="335"/>
      <c r="M2" s="34" t="s">
        <v>59</v>
      </c>
      <c r="N2" s="336"/>
      <c r="O2" s="336"/>
      <c r="P2" s="336"/>
      <c r="Q2" s="35"/>
      <c r="R2" s="36"/>
    </row>
    <row r="3" spans="1:19" ht="12.75" customHeight="1" x14ac:dyDescent="0.25">
      <c r="A3" s="333"/>
      <c r="B3" s="333"/>
      <c r="C3" s="333"/>
      <c r="D3" s="333"/>
      <c r="E3" s="333"/>
      <c r="F3" s="333"/>
      <c r="G3" s="333"/>
      <c r="H3" s="334" t="s">
        <v>60</v>
      </c>
      <c r="I3" s="334"/>
      <c r="J3" s="335">
        <f>J2*2</f>
        <v>665595030</v>
      </c>
      <c r="K3" s="335"/>
      <c r="L3" s="335"/>
      <c r="M3" s="37"/>
      <c r="N3" s="336"/>
      <c r="O3" s="336"/>
      <c r="P3" s="336"/>
      <c r="Q3" s="35"/>
      <c r="R3" s="36"/>
    </row>
    <row r="4" spans="1:19" x14ac:dyDescent="0.25">
      <c r="A4" s="333"/>
      <c r="B4" s="333"/>
      <c r="C4" s="333"/>
      <c r="D4" s="333"/>
      <c r="E4" s="333"/>
      <c r="F4" s="333"/>
      <c r="G4" s="333"/>
      <c r="H4" s="334" t="s">
        <v>61</v>
      </c>
      <c r="I4" s="334"/>
      <c r="J4" s="335">
        <f>J3/R34</f>
        <v>851.9703625765128</v>
      </c>
      <c r="K4" s="335"/>
      <c r="L4" s="335"/>
      <c r="M4" s="37" t="s">
        <v>62</v>
      </c>
      <c r="N4" s="336"/>
      <c r="O4" s="336"/>
      <c r="P4" s="336"/>
      <c r="Q4" s="38">
        <v>1990</v>
      </c>
      <c r="R4" s="39">
        <v>41025</v>
      </c>
    </row>
    <row r="5" spans="1:19" x14ac:dyDescent="0.25">
      <c r="A5" s="333"/>
      <c r="B5" s="333"/>
      <c r="C5" s="333"/>
      <c r="D5" s="333"/>
      <c r="E5" s="333"/>
      <c r="F5" s="333"/>
      <c r="G5" s="333"/>
      <c r="H5" s="334" t="s">
        <v>63</v>
      </c>
      <c r="I5" s="334"/>
      <c r="J5" s="40">
        <v>4</v>
      </c>
      <c r="K5" s="41" t="s">
        <v>64</v>
      </c>
      <c r="L5" s="42">
        <f>J5*30</f>
        <v>120</v>
      </c>
      <c r="M5" s="37" t="s">
        <v>65</v>
      </c>
      <c r="N5" s="336"/>
      <c r="O5" s="336"/>
      <c r="P5" s="336"/>
      <c r="Q5" s="43">
        <v>1991</v>
      </c>
      <c r="R5" s="44">
        <v>51716</v>
      </c>
    </row>
    <row r="6" spans="1:19" ht="45.75" customHeight="1" x14ac:dyDescent="0.25">
      <c r="A6" s="333"/>
      <c r="B6" s="333"/>
      <c r="C6" s="333"/>
      <c r="D6" s="333"/>
      <c r="E6" s="333"/>
      <c r="F6" s="333"/>
      <c r="G6" s="333"/>
      <c r="H6" s="45"/>
      <c r="I6" s="45" t="s">
        <v>66</v>
      </c>
      <c r="J6" s="337">
        <f>J4/J5</f>
        <v>212.9925906441282</v>
      </c>
      <c r="K6" s="337"/>
      <c r="L6" s="337"/>
      <c r="M6" s="46" t="s">
        <v>67</v>
      </c>
      <c r="N6" s="336"/>
      <c r="O6" s="336"/>
      <c r="P6" s="336"/>
      <c r="Q6" s="43">
        <v>1992</v>
      </c>
      <c r="R6" s="44">
        <v>65190</v>
      </c>
    </row>
    <row r="7" spans="1:19" ht="68.25" customHeight="1" x14ac:dyDescent="0.25">
      <c r="A7" s="348" t="s">
        <v>68</v>
      </c>
      <c r="B7" s="348"/>
      <c r="C7" s="349">
        <v>6</v>
      </c>
      <c r="D7" s="349" t="str">
        <f>'PAG 2'!W6</f>
        <v>USCOM SAS</v>
      </c>
      <c r="E7" s="349"/>
      <c r="F7" s="349"/>
      <c r="G7" s="349"/>
      <c r="H7" s="349"/>
      <c r="I7" s="328">
        <v>1</v>
      </c>
      <c r="J7" s="329" t="s">
        <v>69</v>
      </c>
      <c r="K7" s="329"/>
      <c r="L7" s="329"/>
      <c r="M7" s="47" t="s">
        <v>70</v>
      </c>
      <c r="N7" s="47" t="s">
        <v>71</v>
      </c>
      <c r="O7" s="339" t="s">
        <v>72</v>
      </c>
      <c r="P7" s="340" t="s">
        <v>73</v>
      </c>
      <c r="Q7" s="43">
        <v>1993</v>
      </c>
      <c r="R7" s="44">
        <v>81510</v>
      </c>
    </row>
    <row r="8" spans="1:19" ht="33.75" customHeight="1" x14ac:dyDescent="0.25">
      <c r="A8" s="348"/>
      <c r="B8" s="348"/>
      <c r="C8" s="349"/>
      <c r="D8" s="349"/>
      <c r="E8" s="349"/>
      <c r="F8" s="349"/>
      <c r="G8" s="349"/>
      <c r="H8" s="349"/>
      <c r="I8" s="328"/>
      <c r="J8" s="329"/>
      <c r="K8" s="329"/>
      <c r="L8" s="329"/>
      <c r="M8" s="48">
        <f>J4*60%</f>
        <v>511.18221754590763</v>
      </c>
      <c r="N8" s="48">
        <f>J6*60%</f>
        <v>127.79555438647691</v>
      </c>
      <c r="O8" s="339"/>
      <c r="P8" s="340"/>
      <c r="Q8" s="43"/>
      <c r="R8" s="44"/>
    </row>
    <row r="9" spans="1:19" ht="22.5" x14ac:dyDescent="0.25">
      <c r="A9" s="341" t="s">
        <v>74</v>
      </c>
      <c r="B9" s="341"/>
      <c r="C9" s="49" t="s">
        <v>75</v>
      </c>
      <c r="D9" s="342" t="str">
        <f>D7</f>
        <v>USCOM SAS</v>
      </c>
      <c r="E9" s="342"/>
      <c r="F9" s="342"/>
      <c r="G9" s="342"/>
      <c r="H9" s="342"/>
      <c r="I9" s="50">
        <v>1</v>
      </c>
      <c r="J9" s="51" t="str">
        <f>IF(H15=D9,"APORTA EXP","NO APORTA EXP")</f>
        <v>APORTA EXP</v>
      </c>
      <c r="K9" s="51" t="str">
        <f>IF(H16=D9,"APORTA EXP","NO APORTA EXP")</f>
        <v>APORTA EXP</v>
      </c>
      <c r="L9" s="51" t="str">
        <f>IF(H17=D9,"APORTA EXP","NO APORTA EXP")</f>
        <v>NO APORTA EXP</v>
      </c>
      <c r="M9" s="52">
        <f>IF(D9="","",(SUMIF(H15:H17,D9,$D21:$D23)))</f>
        <v>2082.5424337958248</v>
      </c>
      <c r="N9" s="52">
        <f>IF(D9="","",(SUMIF(H15:H17,D9,$F21:$F23)))</f>
        <v>381.44084521489356</v>
      </c>
      <c r="O9" s="53" t="str">
        <f>IF(M9&gt;M8,"CUMPLE","NO CUMPLE")</f>
        <v>CUMPLE</v>
      </c>
      <c r="P9" s="54" t="str">
        <f>IF(N9&gt;N8,"CUMPLE","NO CUMPLE")</f>
        <v>CUMPLE</v>
      </c>
      <c r="Q9" s="43">
        <v>1994</v>
      </c>
      <c r="R9" s="44">
        <v>98700</v>
      </c>
    </row>
    <row r="10" spans="1:19" ht="22.5" x14ac:dyDescent="0.25">
      <c r="A10" s="341"/>
      <c r="B10" s="341"/>
      <c r="C10" s="49" t="s">
        <v>76</v>
      </c>
      <c r="D10" s="343"/>
      <c r="E10" s="343"/>
      <c r="F10" s="343"/>
      <c r="G10" s="343"/>
      <c r="H10" s="343"/>
      <c r="I10" s="50"/>
      <c r="J10" s="51" t="str">
        <f>IF(H15=D10,"APORTA EXP","NO APORTA EXP")</f>
        <v>NO APORTA EXP</v>
      </c>
      <c r="K10" s="51" t="str">
        <f>IF(H16=D10,"APORTA EXP","NO APORTA EXP")</f>
        <v>NO APORTA EXP</v>
      </c>
      <c r="L10" s="51" t="str">
        <f>IF(H17=D10,"APORTA EXP","NO APORTA EXP")</f>
        <v>APORTA EXP</v>
      </c>
      <c r="M10" s="55" t="str">
        <f>IF(D10="","",(SUMIF(H15:H17,D10,$D21)))</f>
        <v/>
      </c>
      <c r="N10" s="55" t="str">
        <f>IF(D10="","",(SUMIF(H15:H17,D10,$F21)))</f>
        <v/>
      </c>
      <c r="O10" s="53" t="str">
        <f>IF(M10&gt;M8,"CUMPLE","NO CUMPLE")</f>
        <v>CUMPLE</v>
      </c>
      <c r="P10" s="54" t="str">
        <f>IF(N10&gt;N8,"CUMPLE","NO CUMPLE")</f>
        <v>CUMPLE</v>
      </c>
      <c r="Q10" s="43">
        <v>1995</v>
      </c>
      <c r="R10" s="44">
        <v>118933.5</v>
      </c>
    </row>
    <row r="11" spans="1:19" ht="22.5" x14ac:dyDescent="0.25">
      <c r="A11" s="341"/>
      <c r="B11" s="341"/>
      <c r="C11" s="49" t="s">
        <v>77</v>
      </c>
      <c r="D11" s="343"/>
      <c r="E11" s="343"/>
      <c r="F11" s="343"/>
      <c r="G11" s="343"/>
      <c r="H11" s="343"/>
      <c r="I11" s="50"/>
      <c r="J11" s="51" t="str">
        <f>IF(H15=D11,"APORTA EXP","NO APORTA EXP")</f>
        <v>NO APORTA EXP</v>
      </c>
      <c r="K11" s="51" t="str">
        <f>IF(H16=D11,"APORTA EXP","NO APORTA EXP")</f>
        <v>NO APORTA EXP</v>
      </c>
      <c r="L11" s="51" t="str">
        <f>IF(H17=D11,"APORTA EXP","NO APORTA EXP")</f>
        <v>APORTA EXP</v>
      </c>
      <c r="M11" s="55" t="str">
        <f>IF(D11="","",(SUMIF(H15:H17,D11,$D21:$D23)))</f>
        <v/>
      </c>
      <c r="N11" s="56" t="str">
        <f>IF(D11="","",(SUMIF(H15:H17,D11,$F21:$F23)))</f>
        <v/>
      </c>
      <c r="O11" s="53" t="str">
        <f>IF(M11&gt;M8,"CUMPLE","NO CUMPLE")</f>
        <v>CUMPLE</v>
      </c>
      <c r="P11" s="54" t="str">
        <f>IF(N11&gt;N8,"CUMPLE","NO CUMPLE")</f>
        <v>CUMPLE</v>
      </c>
      <c r="Q11" s="43">
        <v>1996</v>
      </c>
      <c r="R11" s="44">
        <v>142125</v>
      </c>
    </row>
    <row r="12" spans="1:19" ht="22.5" x14ac:dyDescent="0.25">
      <c r="A12" s="341"/>
      <c r="B12" s="341"/>
      <c r="C12" s="49" t="s">
        <v>78</v>
      </c>
      <c r="D12" s="343"/>
      <c r="E12" s="343"/>
      <c r="F12" s="343"/>
      <c r="G12" s="343"/>
      <c r="H12" s="343"/>
      <c r="I12" s="50"/>
      <c r="J12" s="51" t="str">
        <f>IF(H15=D12,"APORTA EXP","NO APORTA EXP")</f>
        <v>NO APORTA EXP</v>
      </c>
      <c r="K12" s="51" t="str">
        <f>IF(H16=D12,"APORTA EXP","NO APORTA EXP")</f>
        <v>NO APORTA EXP</v>
      </c>
      <c r="L12" s="51" t="str">
        <f>IF(H17=D12,"APORTA EXP","NO APORTA EXP")</f>
        <v>APORTA EXP</v>
      </c>
      <c r="M12" s="55" t="str">
        <f>IF(D12="","",(SUMIF(H15:H17,D12,$D21:$D23)))</f>
        <v/>
      </c>
      <c r="N12" s="56" t="str">
        <f>IF(D12="","",(SUMIF(H15:H17,D12,$F21:$F23)))</f>
        <v/>
      </c>
      <c r="O12" s="53" t="str">
        <f>IF(M12&gt;M8,"CUMPLE","NO CUMPLE")</f>
        <v>CUMPLE</v>
      </c>
      <c r="P12" s="54" t="str">
        <f>IF(N12&gt;N8,"CUMPLE","NO CUMPLE")</f>
        <v>CUMPLE</v>
      </c>
      <c r="Q12" s="43">
        <v>1997</v>
      </c>
      <c r="R12" s="44">
        <v>172005</v>
      </c>
    </row>
    <row r="13" spans="1:19"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9" ht="90" customHeight="1"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9" ht="51" customHeight="1" x14ac:dyDescent="0.25">
      <c r="A15" s="62" t="s">
        <v>34</v>
      </c>
      <c r="B15" s="8">
        <v>1</v>
      </c>
      <c r="C15" s="77" t="s">
        <v>124</v>
      </c>
      <c r="D15" s="10" t="s">
        <v>159</v>
      </c>
      <c r="E15" s="12">
        <f>535222628.74/R31</f>
        <v>830.6396038488399</v>
      </c>
      <c r="F15" s="9" t="s">
        <v>34</v>
      </c>
      <c r="G15" s="111">
        <v>1</v>
      </c>
      <c r="H15" s="8" t="str">
        <f>D9</f>
        <v>USCOM SAS</v>
      </c>
      <c r="I15" s="64">
        <v>42191</v>
      </c>
      <c r="J15" s="65"/>
      <c r="K15" s="64">
        <v>42353</v>
      </c>
      <c r="L15" s="66">
        <f>((K15-I15)/30)-J15</f>
        <v>5.4</v>
      </c>
      <c r="M15" s="338" t="s">
        <v>94</v>
      </c>
      <c r="N15" s="338"/>
      <c r="O15" s="338"/>
      <c r="P15" s="338"/>
      <c r="Q15" s="43">
        <v>2000</v>
      </c>
      <c r="R15" s="44">
        <v>260100</v>
      </c>
      <c r="S15" s="124">
        <f>(K15-I15)/30-(30+30+21)</f>
        <v>-75.599999999999994</v>
      </c>
    </row>
    <row r="16" spans="1:19" ht="26.25" customHeight="1" x14ac:dyDescent="0.25">
      <c r="A16" s="62" t="s">
        <v>34</v>
      </c>
      <c r="B16" s="8">
        <v>2</v>
      </c>
      <c r="C16" s="165" t="s">
        <v>160</v>
      </c>
      <c r="D16" s="63" t="s">
        <v>161</v>
      </c>
      <c r="E16" s="12">
        <f>923550000/R33</f>
        <v>1251.9028299469851</v>
      </c>
      <c r="F16" s="9" t="s">
        <v>34</v>
      </c>
      <c r="G16" s="111">
        <v>1</v>
      </c>
      <c r="H16" s="8" t="str">
        <f>D9</f>
        <v>USCOM SAS</v>
      </c>
      <c r="I16" s="64">
        <v>42629</v>
      </c>
      <c r="J16" s="65"/>
      <c r="K16" s="64">
        <v>42794</v>
      </c>
      <c r="L16" s="66">
        <f>((K16-I16)/30)-J16</f>
        <v>5.5</v>
      </c>
      <c r="M16" s="338" t="s">
        <v>94</v>
      </c>
      <c r="N16" s="338"/>
      <c r="O16" s="338"/>
      <c r="P16" s="338"/>
      <c r="Q16" s="43">
        <v>2001</v>
      </c>
      <c r="R16" s="44">
        <v>286000</v>
      </c>
    </row>
    <row r="17" spans="1:18" ht="29.25" customHeight="1" x14ac:dyDescent="0.25">
      <c r="A17" s="62" t="s">
        <v>34</v>
      </c>
      <c r="B17" s="8">
        <v>3</v>
      </c>
      <c r="C17" s="77"/>
      <c r="D17" s="63"/>
      <c r="E17" s="12"/>
      <c r="F17" s="9"/>
      <c r="G17" s="111"/>
      <c r="H17" s="8"/>
      <c r="I17" s="64"/>
      <c r="J17" s="65"/>
      <c r="K17" s="64"/>
      <c r="L17" s="66"/>
      <c r="M17" s="338"/>
      <c r="N17" s="338"/>
      <c r="O17" s="338"/>
      <c r="P17" s="338"/>
      <c r="Q17" s="43">
        <v>2002</v>
      </c>
      <c r="R17" s="44">
        <v>309000</v>
      </c>
    </row>
    <row r="18" spans="1:18" x14ac:dyDescent="0.25">
      <c r="A18" s="351"/>
      <c r="B18" s="351"/>
      <c r="C18" s="351"/>
      <c r="D18" s="351"/>
      <c r="E18" s="351"/>
      <c r="F18" s="351"/>
      <c r="G18" s="351"/>
      <c r="H18" s="351"/>
      <c r="I18" s="351"/>
      <c r="J18" s="351"/>
      <c r="K18" s="351"/>
      <c r="L18" s="351"/>
      <c r="M18" s="351"/>
      <c r="N18" s="351"/>
      <c r="O18" s="351"/>
      <c r="P18" s="351"/>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c r="I20" s="355"/>
      <c r="J20" s="355"/>
      <c r="K20" s="355"/>
      <c r="L20" s="355"/>
      <c r="M20" s="355"/>
      <c r="N20" s="354"/>
      <c r="O20" s="354"/>
      <c r="P20" s="354"/>
      <c r="Q20" s="43"/>
      <c r="R20" s="44"/>
    </row>
    <row r="21" spans="1:18" ht="34.5" customHeight="1" x14ac:dyDescent="0.25">
      <c r="A21" s="352"/>
      <c r="B21" s="352"/>
      <c r="C21" s="67" t="str">
        <f>D15</f>
        <v>055-00-ICACOM-6-GRUAL-2015</v>
      </c>
      <c r="D21" s="68">
        <f>IF(M15="CUMPLE",(E15*G15),0)</f>
        <v>830.6396038488399</v>
      </c>
      <c r="E21" s="356">
        <f>SUM(D21:D23)</f>
        <v>2082.5424337958248</v>
      </c>
      <c r="F21" s="69">
        <f>D21/L15</f>
        <v>153.82214886089628</v>
      </c>
      <c r="G21" s="357">
        <f>SUM(F21:F23)</f>
        <v>381.44084521489356</v>
      </c>
      <c r="H21" s="355"/>
      <c r="I21" s="355"/>
      <c r="J21" s="355"/>
      <c r="K21" s="355"/>
      <c r="L21" s="355"/>
      <c r="M21" s="355"/>
      <c r="N21" s="354"/>
      <c r="O21" s="354"/>
      <c r="P21" s="354"/>
      <c r="Q21" s="43">
        <v>2005</v>
      </c>
      <c r="R21" s="44">
        <v>381500</v>
      </c>
    </row>
    <row r="22" spans="1:18" ht="26.25" customHeight="1" x14ac:dyDescent="0.25">
      <c r="A22" s="352"/>
      <c r="B22" s="352"/>
      <c r="C22" s="123" t="str">
        <f>D16</f>
        <v>96-6-10057-16</v>
      </c>
      <c r="D22" s="68">
        <f>IF(M16="CUMPLE",(E16*G16),0)</f>
        <v>1251.9028299469851</v>
      </c>
      <c r="E22" s="356"/>
      <c r="F22" s="69">
        <f>D22/L16</f>
        <v>227.61869635399728</v>
      </c>
      <c r="G22" s="357"/>
      <c r="H22" s="358"/>
      <c r="I22" s="358"/>
      <c r="J22" s="358"/>
      <c r="K22" s="358"/>
      <c r="L22" s="358"/>
      <c r="M22" s="358"/>
      <c r="N22" s="358"/>
      <c r="O22" s="358"/>
      <c r="P22" s="358"/>
      <c r="Q22" s="43">
        <v>2006</v>
      </c>
      <c r="R22" s="44">
        <v>408000</v>
      </c>
    </row>
    <row r="23" spans="1:18" ht="32.25" customHeight="1" x14ac:dyDescent="0.25">
      <c r="A23" s="352"/>
      <c r="B23" s="352"/>
      <c r="C23" s="123">
        <f>D17</f>
        <v>0</v>
      </c>
      <c r="D23" s="68"/>
      <c r="E23" s="356"/>
      <c r="F23" s="69"/>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CUMPLE</v>
      </c>
      <c r="F24" s="72" t="s">
        <v>103</v>
      </c>
      <c r="G24" s="71" t="str">
        <f>IF(G21="","",IF(L6&lt;=G21,"CUMPLE", "NO CUMPLE"))</f>
        <v>CUMPLE</v>
      </c>
      <c r="H24" s="360" t="s">
        <v>50</v>
      </c>
      <c r="I24" s="360"/>
      <c r="J24" s="360"/>
      <c r="K24" s="361" t="s">
        <v>104</v>
      </c>
      <c r="L24" s="361"/>
      <c r="M24" s="73" t="s">
        <v>105</v>
      </c>
      <c r="N24" s="362">
        <f>+N19+N20+N21</f>
        <v>10</v>
      </c>
      <c r="O24" s="362"/>
      <c r="P24" s="362"/>
      <c r="Q24" s="43">
        <v>2008</v>
      </c>
      <c r="R24" s="44">
        <v>461500</v>
      </c>
    </row>
    <row r="25" spans="1:18" x14ac:dyDescent="0.25">
      <c r="K25" s="366"/>
      <c r="L25" s="366"/>
      <c r="M25" s="366"/>
      <c r="N25" s="366"/>
      <c r="O25" s="366"/>
      <c r="P25" s="366"/>
      <c r="Q25" s="74">
        <v>2009</v>
      </c>
      <c r="R25" s="44">
        <v>496900</v>
      </c>
    </row>
    <row r="26" spans="1:18" ht="51" customHeight="1" x14ac:dyDescent="0.25">
      <c r="A26" s="367" t="s">
        <v>106</v>
      </c>
      <c r="B26" s="367"/>
      <c r="C26" s="367"/>
      <c r="D26" s="367"/>
      <c r="E26" s="367"/>
      <c r="F26" s="367"/>
      <c r="G26" s="367"/>
      <c r="H26" s="367"/>
      <c r="I26" s="75"/>
      <c r="J26" s="75"/>
      <c r="K26" s="75"/>
      <c r="L26" s="75"/>
      <c r="M26" s="75"/>
      <c r="N26" s="75"/>
      <c r="Q26" s="74">
        <v>2010</v>
      </c>
      <c r="R26" s="44">
        <v>515000</v>
      </c>
    </row>
    <row r="27" spans="1:18" ht="30" customHeight="1" x14ac:dyDescent="0.25">
      <c r="A27" s="368"/>
      <c r="B27" s="368"/>
      <c r="C27" s="368"/>
      <c r="D27" s="368"/>
      <c r="E27" s="368"/>
      <c r="F27" s="368"/>
      <c r="G27" s="368"/>
      <c r="H27" s="368"/>
      <c r="I27" s="76"/>
      <c r="J27" s="77"/>
      <c r="K27" s="77"/>
      <c r="L27" s="78"/>
      <c r="M27" s="77"/>
      <c r="N27" s="76"/>
      <c r="Q27" s="74">
        <v>2011</v>
      </c>
      <c r="R27" s="44">
        <v>535600</v>
      </c>
    </row>
    <row r="28" spans="1:18" ht="26.25" customHeight="1" x14ac:dyDescent="0.25">
      <c r="A28" s="368"/>
      <c r="B28" s="368"/>
      <c r="C28" s="368"/>
      <c r="D28" s="368"/>
      <c r="E28" s="368"/>
      <c r="F28" s="368"/>
      <c r="G28" s="368"/>
      <c r="H28" s="368"/>
      <c r="I28" s="76"/>
      <c r="J28" s="77"/>
      <c r="K28" s="77"/>
      <c r="L28" s="78"/>
      <c r="M28" s="77"/>
      <c r="N28" s="76"/>
      <c r="Q28" s="74">
        <v>2012</v>
      </c>
      <c r="R28" s="44">
        <v>566700</v>
      </c>
    </row>
    <row r="29" spans="1:18" ht="48" customHeight="1" x14ac:dyDescent="0.25">
      <c r="A29" s="368"/>
      <c r="B29" s="368"/>
      <c r="C29" s="368"/>
      <c r="D29" s="368"/>
      <c r="E29" s="368"/>
      <c r="F29" s="368"/>
      <c r="G29" s="368"/>
      <c r="H29" s="368"/>
      <c r="I29" s="76"/>
      <c r="J29" s="77"/>
      <c r="K29" s="77"/>
      <c r="L29" s="78"/>
      <c r="M29" s="77"/>
      <c r="N29" s="76"/>
      <c r="Q29" s="74">
        <v>2013</v>
      </c>
      <c r="R29" s="44">
        <v>589500</v>
      </c>
    </row>
    <row r="30" spans="1:18" ht="41.25" customHeight="1" x14ac:dyDescent="0.25">
      <c r="A30" s="368"/>
      <c r="B30" s="368"/>
      <c r="C30" s="368"/>
      <c r="D30" s="368"/>
      <c r="E30" s="368"/>
      <c r="F30" s="368"/>
      <c r="G30" s="368"/>
      <c r="H30" s="368"/>
      <c r="I30" s="79"/>
      <c r="J30" s="79"/>
      <c r="K30" s="79"/>
      <c r="L30" s="78"/>
      <c r="M30" s="77"/>
      <c r="N30" s="76"/>
      <c r="O30" s="80"/>
      <c r="Q30" s="74">
        <v>2014</v>
      </c>
      <c r="R30" s="44">
        <v>616000</v>
      </c>
    </row>
    <row r="31" spans="1:18" x14ac:dyDescent="0.25">
      <c r="A31" s="369"/>
      <c r="B31" s="369"/>
      <c r="C31" s="369"/>
      <c r="D31" s="369"/>
      <c r="E31" s="369"/>
      <c r="F31" s="369"/>
      <c r="G31" s="369"/>
      <c r="H31" s="369"/>
      <c r="I31" s="81"/>
      <c r="J31" s="81"/>
      <c r="K31" s="81"/>
      <c r="L31" s="81"/>
      <c r="M31" s="81"/>
      <c r="N31" s="81"/>
      <c r="Q31" s="74">
        <v>2015</v>
      </c>
      <c r="R31" s="44">
        <v>644350</v>
      </c>
    </row>
    <row r="32" spans="1:18" x14ac:dyDescent="0.25">
      <c r="A32" s="369"/>
      <c r="B32" s="369"/>
      <c r="C32" s="369"/>
      <c r="D32" s="369"/>
      <c r="E32" s="369"/>
      <c r="F32" s="369"/>
      <c r="G32" s="369"/>
      <c r="H32" s="369"/>
      <c r="I32" s="81"/>
      <c r="J32" s="81"/>
      <c r="K32" s="81"/>
      <c r="L32" s="81"/>
      <c r="M32" s="81"/>
      <c r="N32" s="81"/>
      <c r="Q32" s="74">
        <v>2016</v>
      </c>
      <c r="R32" s="44">
        <v>689455</v>
      </c>
    </row>
    <row r="33" spans="1:18" ht="15.75" thickBot="1" x14ac:dyDescent="0.3">
      <c r="A33" s="369"/>
      <c r="B33" s="369"/>
      <c r="C33" s="369"/>
      <c r="D33" s="369"/>
      <c r="E33" s="369"/>
      <c r="F33" s="369"/>
      <c r="G33" s="369"/>
      <c r="H33" s="369"/>
      <c r="I33" s="81"/>
      <c r="J33" s="81"/>
      <c r="K33" s="81"/>
      <c r="L33" s="81"/>
      <c r="M33" s="81"/>
      <c r="N33" s="81"/>
      <c r="Q33" s="82">
        <v>2017</v>
      </c>
      <c r="R33" s="83">
        <v>737717</v>
      </c>
    </row>
    <row r="34" spans="1:18" ht="15.75" thickBot="1" x14ac:dyDescent="0.3">
      <c r="A34" s="56"/>
      <c r="B34" s="56"/>
      <c r="C34" s="56"/>
      <c r="D34" s="56"/>
      <c r="E34" s="363"/>
      <c r="F34" s="364"/>
      <c r="G34" s="364"/>
      <c r="H34" s="365"/>
      <c r="I34" s="81"/>
      <c r="J34" s="81"/>
      <c r="K34" s="81"/>
      <c r="L34" s="81"/>
      <c r="M34" s="81"/>
      <c r="N34" s="81"/>
      <c r="Q34" s="82">
        <v>2018</v>
      </c>
      <c r="R34" s="83">
        <v>781242</v>
      </c>
    </row>
  </sheetData>
  <mergeCells count="53">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 ref="M16:P16"/>
    <mergeCell ref="O7:O8"/>
    <mergeCell ref="P7:P8"/>
    <mergeCell ref="A9:B12"/>
    <mergeCell ref="D9:H9"/>
    <mergeCell ref="D10:H10"/>
    <mergeCell ref="D11:H11"/>
    <mergeCell ref="D12:H12"/>
    <mergeCell ref="A13:F13"/>
    <mergeCell ref="G13:H13"/>
    <mergeCell ref="J13:N13"/>
    <mergeCell ref="M14:P14"/>
    <mergeCell ref="M15:P15"/>
    <mergeCell ref="A7:B8"/>
    <mergeCell ref="C7:C8"/>
    <mergeCell ref="D7:H8"/>
    <mergeCell ref="K24:L24"/>
    <mergeCell ref="N24:P24"/>
    <mergeCell ref="K25:P25"/>
    <mergeCell ref="M17:P17"/>
    <mergeCell ref="A18:P18"/>
    <mergeCell ref="A19:B23"/>
    <mergeCell ref="H19:M19"/>
    <mergeCell ref="N19:P19"/>
    <mergeCell ref="H20:K21"/>
    <mergeCell ref="L20:M20"/>
    <mergeCell ref="N20:P20"/>
    <mergeCell ref="E21:E23"/>
    <mergeCell ref="G21:G23"/>
    <mergeCell ref="L21:M21"/>
    <mergeCell ref="N21:P21"/>
    <mergeCell ref="H22:P23"/>
    <mergeCell ref="A26:H26"/>
    <mergeCell ref="A27:H30"/>
    <mergeCell ref="A31:H33"/>
    <mergeCell ref="E34:H34"/>
    <mergeCell ref="A24:C24"/>
    <mergeCell ref="H24:J24"/>
  </mergeCells>
  <conditionalFormatting sqref="J9:L12">
    <cfRule type="expression" priority="14" stopIfTrue="1">
      <formula>NOT(ISERROR(SEARCH("APORTA EXP",J9)))</formula>
    </cfRule>
  </conditionalFormatting>
  <conditionalFormatting sqref="E24">
    <cfRule type="expression" dxfId="46" priority="24" stopIfTrue="1">
      <formula>NOT(ISERROR(SEARCH("CUMPLE",E24)))</formula>
    </cfRule>
  </conditionalFormatting>
  <conditionalFormatting sqref="G24">
    <cfRule type="expression" dxfId="45" priority="28" stopIfTrue="1">
      <formula>NOT(ISERROR(SEARCH("CUMPLE",G24)))</formula>
    </cfRule>
  </conditionalFormatting>
  <conditionalFormatting sqref="M15 M17">
    <cfRule type="expression" dxfId="44" priority="22" stopIfTrue="1">
      <formula>NOT(ISERROR(SEARCH("CUMPLE",M15)))</formula>
    </cfRule>
  </conditionalFormatting>
  <conditionalFormatting sqref="O9:O12">
    <cfRule type="expression" dxfId="43" priority="12" stopIfTrue="1">
      <formula>NOT(ISERROR(SEARCH("CUMPLE",O9)))</formula>
    </cfRule>
  </conditionalFormatting>
  <conditionalFormatting sqref="P9:P12">
    <cfRule type="expression" dxfId="42" priority="16" stopIfTrue="1">
      <formula>NOT(ISERROR(SEARCH("CUMPLE",P9)))</formula>
    </cfRule>
  </conditionalFormatting>
  <conditionalFormatting sqref="K24">
    <cfRule type="expression" dxfId="41" priority="26" stopIfTrue="1">
      <formula>NOT(ISERROR(SEARCH("HABIL",K24)))</formula>
    </cfRule>
  </conditionalFormatting>
  <conditionalFormatting sqref="J9:L12">
    <cfRule type="expression" dxfId="40" priority="13" stopIfTrue="1">
      <formula>NOT(ISERROR(SEARCH("NO APORTA EXP",J9)))</formula>
    </cfRule>
  </conditionalFormatting>
  <conditionalFormatting sqref="E24">
    <cfRule type="expression" dxfId="39" priority="23" stopIfTrue="1">
      <formula>NOT(ISERROR(SEARCH("NO CUMPLE",E24)))</formula>
    </cfRule>
  </conditionalFormatting>
  <conditionalFormatting sqref="G24">
    <cfRule type="expression" dxfId="38" priority="27" stopIfTrue="1">
      <formula>NOT(ISERROR(SEARCH("NO CUMPLE",G24)))</formula>
    </cfRule>
  </conditionalFormatting>
  <conditionalFormatting sqref="M15 M17">
    <cfRule type="expression" dxfId="37" priority="21" stopIfTrue="1">
      <formula>NOT(ISERROR(SEARCH("NO CUMPLE",M15)))</formula>
    </cfRule>
  </conditionalFormatting>
  <conditionalFormatting sqref="O9:O12">
    <cfRule type="expression" dxfId="36" priority="11" stopIfTrue="1">
      <formula>NOT(ISERROR(SEARCH("NO CUMPLE",O9)))</formula>
    </cfRule>
  </conditionalFormatting>
  <conditionalFormatting sqref="P9:P12">
    <cfRule type="expression" dxfId="35" priority="15" stopIfTrue="1">
      <formula>NOT(ISERROR(SEARCH("NO CUMPLE",P9)))</formula>
    </cfRule>
  </conditionalFormatting>
  <conditionalFormatting sqref="K24">
    <cfRule type="expression" dxfId="34" priority="25" stopIfTrue="1">
      <formula>NOT(ISERROR(SEARCH("NO HABIL",K24)))</formula>
    </cfRule>
  </conditionalFormatting>
  <conditionalFormatting sqref="A15">
    <cfRule type="expression" dxfId="33" priority="17" stopIfTrue="1">
      <formula>NOT(ISERROR(SEARCH("NO",A15)))</formula>
    </cfRule>
  </conditionalFormatting>
  <conditionalFormatting sqref="A16:A17">
    <cfRule type="expression" dxfId="32" priority="19" stopIfTrue="1">
      <formula>NOT(ISERROR(SEARCH("NO",A16)))</formula>
    </cfRule>
  </conditionalFormatting>
  <conditionalFormatting sqref="F15">
    <cfRule type="expression" dxfId="31" priority="7" stopIfTrue="1">
      <formula>NOT(ISERROR(SEARCH("NO",F15)))</formula>
    </cfRule>
  </conditionalFormatting>
  <conditionalFormatting sqref="F17">
    <cfRule type="expression" dxfId="30" priority="9" stopIfTrue="1">
      <formula>NOT(ISERROR(SEARCH("NO",F17)))</formula>
    </cfRule>
  </conditionalFormatting>
  <conditionalFormatting sqref="I15 K15 K17 I17">
    <cfRule type="cellIs" dxfId="29" priority="6" stopIfTrue="1" operator="greaterThan">
      <formula>0</formula>
    </cfRule>
  </conditionalFormatting>
  <conditionalFormatting sqref="M16">
    <cfRule type="expression" dxfId="28" priority="5" stopIfTrue="1">
      <formula>NOT(ISERROR(SEARCH("CUMPLE",M16)))</formula>
    </cfRule>
  </conditionalFormatting>
  <conditionalFormatting sqref="M16">
    <cfRule type="expression" dxfId="27" priority="4" stopIfTrue="1">
      <formula>NOT(ISERROR(SEARCH("NO CUMPLE",M16)))</formula>
    </cfRule>
  </conditionalFormatting>
  <conditionalFormatting sqref="F16">
    <cfRule type="expression" dxfId="26" priority="2" stopIfTrue="1">
      <formula>NOT(ISERROR(SEARCH("NO",F16)))</formula>
    </cfRule>
  </conditionalFormatting>
  <conditionalFormatting sqref="I16 K16">
    <cfRule type="cellIs" dxfId="25" priority="1" stopIfTrue="1" operator="greaterThan">
      <formula>0</formula>
    </cfRule>
  </conditionalFormatting>
  <pageMargins left="0.25" right="0.25" top="0.37000000000000005" bottom="0.36000000000000004" header="0.30000000000000004" footer="0.30000000000000004"/>
  <pageSetup paperSize="0" scale="36" fitToWidth="0" fitToHeight="0" orientation="portrait" horizontalDpi="0" verticalDpi="0" copies="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4"/>
  <sheetViews>
    <sheetView topLeftCell="A7" workbookViewId="0">
      <selection activeCell="F17" sqref="F17"/>
    </sheetView>
  </sheetViews>
  <sheetFormatPr baseColWidth="10" defaultColWidth="10.85546875" defaultRowHeight="15" x14ac:dyDescent="0.25"/>
  <cols>
    <col min="1" max="1" width="11.42578125" style="141" customWidth="1"/>
    <col min="2" max="2" width="13.140625" style="141" customWidth="1"/>
    <col min="3" max="3" width="23.85546875" style="141" customWidth="1"/>
    <col min="4" max="4" width="18.7109375" style="141" customWidth="1"/>
    <col min="5" max="5" width="15.42578125" style="141" customWidth="1"/>
    <col min="6" max="6" width="19.42578125" style="141" customWidth="1"/>
    <col min="7" max="7" width="11.42578125" style="141" customWidth="1"/>
    <col min="8" max="8" width="18.85546875" style="141" customWidth="1"/>
    <col min="9" max="9" width="17" style="141" customWidth="1"/>
    <col min="10" max="12" width="11.42578125" style="141" customWidth="1"/>
    <col min="13" max="13" width="19.140625" style="141" customWidth="1"/>
    <col min="14" max="14" width="15.140625" style="141" customWidth="1"/>
    <col min="15" max="15" width="14.7109375" style="141" customWidth="1"/>
    <col min="16" max="17" width="11.42578125" style="141" customWidth="1"/>
    <col min="18" max="18" width="14.7109375" style="141" customWidth="1"/>
    <col min="19" max="19" width="11.42578125" style="141" customWidth="1"/>
    <col min="20" max="16384" width="10.85546875" style="141"/>
  </cols>
  <sheetData>
    <row r="1" spans="1:19" ht="63.75" customHeight="1" x14ac:dyDescent="0.25">
      <c r="A1" s="330"/>
      <c r="B1" s="330"/>
      <c r="C1" s="331" t="s">
        <v>55</v>
      </c>
      <c r="D1" s="331"/>
      <c r="E1" s="331"/>
      <c r="F1" s="331"/>
      <c r="G1" s="331"/>
      <c r="H1" s="331"/>
      <c r="I1" s="331"/>
      <c r="J1" s="331"/>
      <c r="K1" s="331"/>
      <c r="L1" s="331"/>
      <c r="M1" s="332" t="str">
        <f>'1'!M1:P1</f>
        <v>PROCESO 18000964 H4 A de 2018</v>
      </c>
      <c r="N1" s="332"/>
      <c r="O1" s="332"/>
      <c r="P1" s="332"/>
      <c r="Q1" s="32" t="s">
        <v>56</v>
      </c>
      <c r="R1" s="33" t="s">
        <v>57</v>
      </c>
    </row>
    <row r="2" spans="1:19" ht="12.75" customHeight="1" x14ac:dyDescent="0.25">
      <c r="A2" s="333" t="str">
        <f>'PAG 1'!B6</f>
        <v xml:space="preserve">CONTRATAR EL MANTENIMIENTO Y MEJORAMIENTO DEL CERRAMIENTO PERIMETRAL DE LAS ESTACIONES VOR MARINILLA, OTU-REMEDIOS EN ANTIOQUIA Y QUIBDÓ EN CHOCÓ </v>
      </c>
      <c r="B2" s="333"/>
      <c r="C2" s="333"/>
      <c r="D2" s="333"/>
      <c r="E2" s="333"/>
      <c r="F2" s="333"/>
      <c r="G2" s="333"/>
      <c r="H2" s="334" t="s">
        <v>58</v>
      </c>
      <c r="I2" s="334"/>
      <c r="J2" s="335">
        <f>'1'!J2:L2</f>
        <v>332797515</v>
      </c>
      <c r="K2" s="335"/>
      <c r="L2" s="335"/>
      <c r="M2" s="34" t="s">
        <v>59</v>
      </c>
      <c r="N2" s="336"/>
      <c r="O2" s="336"/>
      <c r="P2" s="336"/>
      <c r="Q2" s="35"/>
      <c r="R2" s="36"/>
    </row>
    <row r="3" spans="1:19" ht="12.75" customHeight="1" x14ac:dyDescent="0.25">
      <c r="A3" s="333"/>
      <c r="B3" s="333"/>
      <c r="C3" s="333"/>
      <c r="D3" s="333"/>
      <c r="E3" s="333"/>
      <c r="F3" s="333"/>
      <c r="G3" s="333"/>
      <c r="H3" s="334" t="s">
        <v>60</v>
      </c>
      <c r="I3" s="334"/>
      <c r="J3" s="335">
        <f>J2*2</f>
        <v>665595030</v>
      </c>
      <c r="K3" s="335"/>
      <c r="L3" s="335"/>
      <c r="M3" s="37"/>
      <c r="N3" s="336"/>
      <c r="O3" s="336"/>
      <c r="P3" s="336"/>
      <c r="Q3" s="35"/>
      <c r="R3" s="36"/>
    </row>
    <row r="4" spans="1:19" x14ac:dyDescent="0.25">
      <c r="A4" s="333"/>
      <c r="B4" s="333"/>
      <c r="C4" s="333"/>
      <c r="D4" s="333"/>
      <c r="E4" s="333"/>
      <c r="F4" s="333"/>
      <c r="G4" s="333"/>
      <c r="H4" s="334" t="s">
        <v>61</v>
      </c>
      <c r="I4" s="334"/>
      <c r="J4" s="335">
        <f>J3/R34</f>
        <v>851.9703625765128</v>
      </c>
      <c r="K4" s="335"/>
      <c r="L4" s="335"/>
      <c r="M4" s="37" t="s">
        <v>62</v>
      </c>
      <c r="N4" s="336"/>
      <c r="O4" s="336"/>
      <c r="P4" s="336"/>
      <c r="Q4" s="38">
        <v>1990</v>
      </c>
      <c r="R4" s="39">
        <v>41025</v>
      </c>
    </row>
    <row r="5" spans="1:19" x14ac:dyDescent="0.25">
      <c r="A5" s="333"/>
      <c r="B5" s="333"/>
      <c r="C5" s="333"/>
      <c r="D5" s="333"/>
      <c r="E5" s="333"/>
      <c r="F5" s="333"/>
      <c r="G5" s="333"/>
      <c r="H5" s="334" t="s">
        <v>63</v>
      </c>
      <c r="I5" s="334"/>
      <c r="J5" s="40">
        <v>4</v>
      </c>
      <c r="K5" s="41" t="s">
        <v>64</v>
      </c>
      <c r="L5" s="42">
        <f>J5*30</f>
        <v>120</v>
      </c>
      <c r="M5" s="37" t="s">
        <v>65</v>
      </c>
      <c r="N5" s="336"/>
      <c r="O5" s="336"/>
      <c r="P5" s="336"/>
      <c r="Q5" s="43">
        <v>1991</v>
      </c>
      <c r="R5" s="44">
        <v>51716</v>
      </c>
    </row>
    <row r="6" spans="1:19" ht="45.75" customHeight="1" x14ac:dyDescent="0.25">
      <c r="A6" s="333"/>
      <c r="B6" s="333"/>
      <c r="C6" s="333"/>
      <c r="D6" s="333"/>
      <c r="E6" s="333"/>
      <c r="F6" s="333"/>
      <c r="G6" s="333"/>
      <c r="H6" s="45"/>
      <c r="I6" s="45" t="s">
        <v>66</v>
      </c>
      <c r="J6" s="337">
        <f>J4/J5</f>
        <v>212.9925906441282</v>
      </c>
      <c r="K6" s="337"/>
      <c r="L6" s="337"/>
      <c r="M6" s="46" t="s">
        <v>67</v>
      </c>
      <c r="N6" s="336"/>
      <c r="O6" s="336"/>
      <c r="P6" s="336"/>
      <c r="Q6" s="43">
        <v>1992</v>
      </c>
      <c r="R6" s="44">
        <v>65190</v>
      </c>
    </row>
    <row r="7" spans="1:19" ht="68.25" customHeight="1" x14ac:dyDescent="0.25">
      <c r="A7" s="348" t="s">
        <v>68</v>
      </c>
      <c r="B7" s="348"/>
      <c r="C7" s="349">
        <v>7</v>
      </c>
      <c r="D7" s="349" t="str">
        <f>'PAG 2'!AA6</f>
        <v>ALCALA &amp; ESPINOSA DISEÑO Y CONSTRUCCION LTDA</v>
      </c>
      <c r="E7" s="349"/>
      <c r="F7" s="349"/>
      <c r="G7" s="349"/>
      <c r="H7" s="349"/>
      <c r="I7" s="328">
        <v>1</v>
      </c>
      <c r="J7" s="329" t="s">
        <v>69</v>
      </c>
      <c r="K7" s="329"/>
      <c r="L7" s="329"/>
      <c r="M7" s="47" t="s">
        <v>70</v>
      </c>
      <c r="N7" s="47" t="s">
        <v>71</v>
      </c>
      <c r="O7" s="339" t="s">
        <v>72</v>
      </c>
      <c r="P7" s="340" t="s">
        <v>73</v>
      </c>
      <c r="Q7" s="43">
        <v>1993</v>
      </c>
      <c r="R7" s="44">
        <v>81510</v>
      </c>
    </row>
    <row r="8" spans="1:19" ht="33.75" customHeight="1" x14ac:dyDescent="0.25">
      <c r="A8" s="348"/>
      <c r="B8" s="348"/>
      <c r="C8" s="349"/>
      <c r="D8" s="349"/>
      <c r="E8" s="349"/>
      <c r="F8" s="349"/>
      <c r="G8" s="349"/>
      <c r="H8" s="349"/>
      <c r="I8" s="328"/>
      <c r="J8" s="329"/>
      <c r="K8" s="329"/>
      <c r="L8" s="329"/>
      <c r="M8" s="48">
        <f>J4*60%</f>
        <v>511.18221754590763</v>
      </c>
      <c r="N8" s="48">
        <f>J6*60%</f>
        <v>127.79555438647691</v>
      </c>
      <c r="O8" s="339"/>
      <c r="P8" s="340"/>
      <c r="Q8" s="43"/>
      <c r="R8" s="44"/>
    </row>
    <row r="9" spans="1:19" ht="15.75" x14ac:dyDescent="0.25">
      <c r="A9" s="341" t="s">
        <v>74</v>
      </c>
      <c r="B9" s="341"/>
      <c r="C9" s="49" t="s">
        <v>75</v>
      </c>
      <c r="D9" s="342" t="str">
        <f>D7</f>
        <v>ALCALA &amp; ESPINOSA DISEÑO Y CONSTRUCCION LTDA</v>
      </c>
      <c r="E9" s="342"/>
      <c r="F9" s="342"/>
      <c r="G9" s="342"/>
      <c r="H9" s="342"/>
      <c r="I9" s="50">
        <v>1</v>
      </c>
      <c r="J9" s="51" t="str">
        <f>IF(H15=D9,"APORTA EXP","NO APORTA EXP")</f>
        <v>APORTA EXP</v>
      </c>
      <c r="K9" s="51" t="str">
        <f>IF(H16=D9,"APORTA EXP","NO APORTA EXP")</f>
        <v>APORTA EXP</v>
      </c>
      <c r="L9" s="51" t="str">
        <f>IF(H17=D9,"APORTA EXP","NO APORTA EXP")</f>
        <v>APORTA EXP</v>
      </c>
      <c r="M9" s="52">
        <f>IF(D9="","",(SUMIF(H15:H17,D9,$D21:$D23)))</f>
        <v>3478.4145411280065</v>
      </c>
      <c r="N9" s="52">
        <f>IF(D9="","",(SUMIF(H15:H17,D9,$F21:$F23)))</f>
        <v>919.31966291874369</v>
      </c>
      <c r="O9" s="53" t="str">
        <f>IF(M9&gt;M8,"CUMPLE","NO CUMPLE")</f>
        <v>CUMPLE</v>
      </c>
      <c r="P9" s="54" t="str">
        <f>IF(N9&gt;N8,"CUMPLE","NO CUMPLE")</f>
        <v>CUMPLE</v>
      </c>
      <c r="Q9" s="43">
        <v>1994</v>
      </c>
      <c r="R9" s="44">
        <v>98700</v>
      </c>
    </row>
    <row r="10" spans="1:19" ht="22.5" x14ac:dyDescent="0.25">
      <c r="A10" s="341"/>
      <c r="B10" s="341"/>
      <c r="C10" s="49" t="s">
        <v>76</v>
      </c>
      <c r="D10" s="343"/>
      <c r="E10" s="343"/>
      <c r="F10" s="343"/>
      <c r="G10" s="343"/>
      <c r="H10" s="343"/>
      <c r="I10" s="50"/>
      <c r="J10" s="51" t="str">
        <f>IF(H15=D10,"APORTA EXP","NO APORTA EXP")</f>
        <v>NO APORTA EXP</v>
      </c>
      <c r="K10" s="51" t="str">
        <f>IF(H16=D10,"APORTA EXP","NO APORTA EXP")</f>
        <v>NO APORTA EXP</v>
      </c>
      <c r="L10" s="51" t="str">
        <f>IF(H17=D10,"APORTA EXP","NO APORTA EXP")</f>
        <v>NO APORTA EXP</v>
      </c>
      <c r="M10" s="55" t="str">
        <f>IF(D10="","",(SUMIF(H15:H17,D10,$D21)))</f>
        <v/>
      </c>
      <c r="N10" s="55" t="str">
        <f>IF(D10="","",(SUMIF(H15:H17,D10,$F21)))</f>
        <v/>
      </c>
      <c r="O10" s="53" t="str">
        <f>IF(M10&gt;M8,"CUMPLE","NO CUMPLE")</f>
        <v>CUMPLE</v>
      </c>
      <c r="P10" s="54" t="str">
        <f>IF(N10&gt;N8,"CUMPLE","NO CUMPLE")</f>
        <v>CUMPLE</v>
      </c>
      <c r="Q10" s="43">
        <v>1995</v>
      </c>
      <c r="R10" s="44">
        <v>118933.5</v>
      </c>
    </row>
    <row r="11" spans="1:19" ht="22.5" x14ac:dyDescent="0.25">
      <c r="A11" s="341"/>
      <c r="B11" s="341"/>
      <c r="C11" s="49" t="s">
        <v>77</v>
      </c>
      <c r="D11" s="343"/>
      <c r="E11" s="343"/>
      <c r="F11" s="343"/>
      <c r="G11" s="343"/>
      <c r="H11" s="343"/>
      <c r="I11" s="50"/>
      <c r="J11" s="51" t="str">
        <f>IF(H15=D11,"APORTA EXP","NO APORTA EXP")</f>
        <v>NO APORTA EXP</v>
      </c>
      <c r="K11" s="51" t="str">
        <f>IF(H16=D11,"APORTA EXP","NO APORTA EXP")</f>
        <v>NO APORTA EXP</v>
      </c>
      <c r="L11" s="51" t="str">
        <f>IF(H17=D11,"APORTA EXP","NO APORTA EXP")</f>
        <v>NO APORTA EXP</v>
      </c>
      <c r="M11" s="55" t="str">
        <f>IF(D11="","",(SUMIF(H15:H17,D11,$D21:$D23)))</f>
        <v/>
      </c>
      <c r="N11" s="56" t="str">
        <f>IF(D11="","",(SUMIF(H15:H17,D11,$F21:$F23)))</f>
        <v/>
      </c>
      <c r="O11" s="53" t="str">
        <f>IF(M11&gt;M8,"CUMPLE","NO CUMPLE")</f>
        <v>CUMPLE</v>
      </c>
      <c r="P11" s="54" t="str">
        <f>IF(N11&gt;N8,"CUMPLE","NO CUMPLE")</f>
        <v>CUMPLE</v>
      </c>
      <c r="Q11" s="43">
        <v>1996</v>
      </c>
      <c r="R11" s="44">
        <v>142125</v>
      </c>
    </row>
    <row r="12" spans="1:19" ht="22.5" x14ac:dyDescent="0.25">
      <c r="A12" s="341"/>
      <c r="B12" s="341"/>
      <c r="C12" s="49" t="s">
        <v>78</v>
      </c>
      <c r="D12" s="343"/>
      <c r="E12" s="343"/>
      <c r="F12" s="343"/>
      <c r="G12" s="343"/>
      <c r="H12" s="343"/>
      <c r="I12" s="50"/>
      <c r="J12" s="51" t="str">
        <f>IF(H15=D12,"APORTA EXP","NO APORTA EXP")</f>
        <v>NO APORTA EXP</v>
      </c>
      <c r="K12" s="51" t="str">
        <f>IF(H16=D12,"APORTA EXP","NO APORTA EXP")</f>
        <v>NO APORTA EXP</v>
      </c>
      <c r="L12" s="51" t="str">
        <f>IF(H17=D12,"APORTA EXP","NO APORTA EXP")</f>
        <v>NO APORTA EXP</v>
      </c>
      <c r="M12" s="55" t="str">
        <f>IF(D12="","",(SUMIF(H15:H17,D12,$D21:$D23)))</f>
        <v/>
      </c>
      <c r="N12" s="56" t="str">
        <f>IF(D12="","",(SUMIF(H15:H17,D12,$F21:$F23)))</f>
        <v/>
      </c>
      <c r="O12" s="53" t="str">
        <f>IF(M12&gt;M8,"CUMPLE","NO CUMPLE")</f>
        <v>CUMPLE</v>
      </c>
      <c r="P12" s="54" t="str">
        <f>IF(N12&gt;N8,"CUMPLE","NO CUMPLE")</f>
        <v>CUMPLE</v>
      </c>
      <c r="Q12" s="43">
        <v>1997</v>
      </c>
      <c r="R12" s="44">
        <v>172005</v>
      </c>
    </row>
    <row r="13" spans="1:19" x14ac:dyDescent="0.25">
      <c r="A13" s="344" t="s">
        <v>79</v>
      </c>
      <c r="B13" s="344"/>
      <c r="C13" s="344"/>
      <c r="D13" s="344"/>
      <c r="E13" s="344"/>
      <c r="F13" s="344"/>
      <c r="G13" s="345" t="s">
        <v>80</v>
      </c>
      <c r="H13" s="345"/>
      <c r="I13" s="57">
        <f>COUNTA(D9:H12)</f>
        <v>1</v>
      </c>
      <c r="J13" s="346"/>
      <c r="K13" s="346"/>
      <c r="L13" s="346"/>
      <c r="M13" s="346"/>
      <c r="N13" s="346"/>
      <c r="O13" s="58"/>
      <c r="P13" s="59"/>
      <c r="Q13" s="43">
        <v>1998</v>
      </c>
      <c r="R13" s="44">
        <v>203826</v>
      </c>
    </row>
    <row r="14" spans="1:19" ht="90" customHeight="1" x14ac:dyDescent="0.25">
      <c r="A14" s="60" t="s">
        <v>81</v>
      </c>
      <c r="B14" s="61" t="s">
        <v>82</v>
      </c>
      <c r="C14" s="61" t="s">
        <v>83</v>
      </c>
      <c r="D14" s="61" t="s">
        <v>84</v>
      </c>
      <c r="E14" s="61" t="s">
        <v>85</v>
      </c>
      <c r="F14" s="61" t="s">
        <v>86</v>
      </c>
      <c r="G14" s="61" t="s">
        <v>87</v>
      </c>
      <c r="H14" s="61" t="s">
        <v>88</v>
      </c>
      <c r="I14" s="61" t="s">
        <v>89</v>
      </c>
      <c r="J14" s="61" t="s">
        <v>90</v>
      </c>
      <c r="K14" s="61" t="s">
        <v>91</v>
      </c>
      <c r="L14" s="61" t="s">
        <v>92</v>
      </c>
      <c r="M14" s="347" t="s">
        <v>93</v>
      </c>
      <c r="N14" s="347"/>
      <c r="O14" s="347"/>
      <c r="P14" s="347"/>
      <c r="Q14" s="43">
        <v>1999</v>
      </c>
      <c r="R14" s="44">
        <v>236460</v>
      </c>
    </row>
    <row r="15" spans="1:19" ht="38.25" customHeight="1" x14ac:dyDescent="0.25">
      <c r="A15" s="62" t="s">
        <v>34</v>
      </c>
      <c r="B15" s="8">
        <v>1</v>
      </c>
      <c r="C15" s="77" t="s">
        <v>163</v>
      </c>
      <c r="D15" s="63" t="s">
        <v>162</v>
      </c>
      <c r="E15" s="12">
        <f>1463391627.5/R33</f>
        <v>1983.6761624037401</v>
      </c>
      <c r="F15" s="9" t="s">
        <v>34</v>
      </c>
      <c r="G15" s="111">
        <v>1</v>
      </c>
      <c r="H15" s="8" t="str">
        <f>D9</f>
        <v>ALCALA &amp; ESPINOSA DISEÑO Y CONSTRUCCION LTDA</v>
      </c>
      <c r="I15" s="64">
        <v>42933</v>
      </c>
      <c r="J15" s="65"/>
      <c r="K15" s="64">
        <v>43138</v>
      </c>
      <c r="L15" s="66">
        <f>((K15-I15)/30)-J15</f>
        <v>6.833333333333333</v>
      </c>
      <c r="M15" s="338" t="s">
        <v>94</v>
      </c>
      <c r="N15" s="338"/>
      <c r="O15" s="338"/>
      <c r="P15" s="338"/>
      <c r="Q15" s="43">
        <v>2000</v>
      </c>
      <c r="R15" s="44">
        <v>260100</v>
      </c>
      <c r="S15" s="141">
        <f>(K15-I15)/30-(30+30+21)</f>
        <v>-74.166666666666671</v>
      </c>
    </row>
    <row r="16" spans="1:19" ht="66" customHeight="1" x14ac:dyDescent="0.25">
      <c r="A16" s="62" t="s">
        <v>34</v>
      </c>
      <c r="B16" s="8">
        <v>2</v>
      </c>
      <c r="C16" s="77" t="s">
        <v>164</v>
      </c>
      <c r="D16" s="63" t="s">
        <v>165</v>
      </c>
      <c r="E16" s="12">
        <f>572927877.81/R33</f>
        <v>776.62284834157265</v>
      </c>
      <c r="F16" s="9" t="s">
        <v>34</v>
      </c>
      <c r="G16" s="111">
        <v>1</v>
      </c>
      <c r="H16" s="8" t="str">
        <f>D9</f>
        <v>ALCALA &amp; ESPINOSA DISEÑO Y CONSTRUCCION LTDA</v>
      </c>
      <c r="I16" s="64">
        <v>42902</v>
      </c>
      <c r="J16" s="65"/>
      <c r="K16" s="64">
        <v>43084</v>
      </c>
      <c r="L16" s="66">
        <f>((K16-I16)/30)-J16</f>
        <v>6.0666666666666664</v>
      </c>
      <c r="M16" s="338" t="s">
        <v>94</v>
      </c>
      <c r="N16" s="338"/>
      <c r="O16" s="338"/>
      <c r="P16" s="338"/>
      <c r="Q16" s="43">
        <v>2001</v>
      </c>
      <c r="R16" s="44">
        <v>286000</v>
      </c>
    </row>
    <row r="17" spans="1:18" ht="65.25" customHeight="1" x14ac:dyDescent="0.25">
      <c r="A17" s="62" t="s">
        <v>34</v>
      </c>
      <c r="B17" s="8">
        <v>3</v>
      </c>
      <c r="C17" s="77" t="s">
        <v>166</v>
      </c>
      <c r="D17" s="63" t="s">
        <v>167</v>
      </c>
      <c r="E17" s="12">
        <f>495108343/R32</f>
        <v>718.11553038269358</v>
      </c>
      <c r="F17" s="9" t="s">
        <v>34</v>
      </c>
      <c r="G17" s="111">
        <v>1</v>
      </c>
      <c r="H17" s="8" t="str">
        <f>D9</f>
        <v>ALCALA &amp; ESPINOSA DISEÑO Y CONSTRUCCION LTDA</v>
      </c>
      <c r="I17" s="64">
        <v>42692</v>
      </c>
      <c r="J17" s="65"/>
      <c r="K17" s="64">
        <v>42735</v>
      </c>
      <c r="L17" s="66">
        <f>((K17-I17)/30)-J17</f>
        <v>1.4333333333333333</v>
      </c>
      <c r="M17" s="338" t="s">
        <v>94</v>
      </c>
      <c r="N17" s="338"/>
      <c r="O17" s="338"/>
      <c r="P17" s="338"/>
      <c r="Q17" s="43">
        <v>2002</v>
      </c>
      <c r="R17" s="44">
        <v>309000</v>
      </c>
    </row>
    <row r="18" spans="1:18" x14ac:dyDescent="0.25">
      <c r="A18" s="351"/>
      <c r="B18" s="351"/>
      <c r="C18" s="351"/>
      <c r="D18" s="351"/>
      <c r="E18" s="351"/>
      <c r="F18" s="351"/>
      <c r="G18" s="351"/>
      <c r="H18" s="351"/>
      <c r="I18" s="351"/>
      <c r="J18" s="351"/>
      <c r="K18" s="351"/>
      <c r="L18" s="351"/>
      <c r="M18" s="351"/>
      <c r="N18" s="351"/>
      <c r="O18" s="351"/>
      <c r="P18" s="351"/>
      <c r="Q18" s="43">
        <v>2003</v>
      </c>
      <c r="R18" s="44">
        <v>332000</v>
      </c>
    </row>
    <row r="19" spans="1:18" ht="36" customHeight="1" x14ac:dyDescent="0.25">
      <c r="A19" s="352" t="s">
        <v>95</v>
      </c>
      <c r="B19" s="352"/>
      <c r="C19" s="61" t="s">
        <v>82</v>
      </c>
      <c r="D19" s="61" t="s">
        <v>96</v>
      </c>
      <c r="E19" s="61" t="s">
        <v>72</v>
      </c>
      <c r="F19" s="61" t="s">
        <v>97</v>
      </c>
      <c r="G19" s="61" t="s">
        <v>73</v>
      </c>
      <c r="H19" s="353" t="s">
        <v>98</v>
      </c>
      <c r="I19" s="353"/>
      <c r="J19" s="353"/>
      <c r="K19" s="353"/>
      <c r="L19" s="353"/>
      <c r="M19" s="353"/>
      <c r="N19" s="354">
        <v>10</v>
      </c>
      <c r="O19" s="354"/>
      <c r="P19" s="354"/>
      <c r="Q19" s="43">
        <v>2004</v>
      </c>
      <c r="R19" s="44">
        <v>358000</v>
      </c>
    </row>
    <row r="20" spans="1:18" ht="36" customHeight="1" x14ac:dyDescent="0.25">
      <c r="A20" s="352"/>
      <c r="B20" s="352"/>
      <c r="C20" s="61"/>
      <c r="D20" s="61"/>
      <c r="E20" s="61"/>
      <c r="F20" s="61"/>
      <c r="G20" s="61"/>
      <c r="H20" s="355"/>
      <c r="I20" s="355"/>
      <c r="J20" s="355"/>
      <c r="K20" s="355"/>
      <c r="L20" s="355"/>
      <c r="M20" s="355"/>
      <c r="N20" s="354"/>
      <c r="O20" s="354"/>
      <c r="P20" s="354"/>
      <c r="Q20" s="43"/>
      <c r="R20" s="44"/>
    </row>
    <row r="21" spans="1:18" ht="34.5" customHeight="1" x14ac:dyDescent="0.25">
      <c r="A21" s="352"/>
      <c r="B21" s="352"/>
      <c r="C21" s="67" t="str">
        <f>D15</f>
        <v>20-6-10013-17</v>
      </c>
      <c r="D21" s="68">
        <f>IF(M15="CUMPLE",(E15*G15),0)</f>
        <v>1983.6761624037401</v>
      </c>
      <c r="E21" s="356">
        <f>SUM(D21:D23)</f>
        <v>3478.4145411280065</v>
      </c>
      <c r="F21" s="69">
        <f>D21/L15</f>
        <v>290.2940725468888</v>
      </c>
      <c r="G21" s="357">
        <f>SUM(F21:F23)</f>
        <v>919.31966291874369</v>
      </c>
      <c r="H21" s="355"/>
      <c r="I21" s="355"/>
      <c r="J21" s="355"/>
      <c r="K21" s="355"/>
      <c r="L21" s="355"/>
      <c r="M21" s="355"/>
      <c r="N21" s="354"/>
      <c r="O21" s="354"/>
      <c r="P21" s="354"/>
      <c r="Q21" s="43">
        <v>2005</v>
      </c>
      <c r="R21" s="44">
        <v>381500</v>
      </c>
    </row>
    <row r="22" spans="1:18" ht="26.25" customHeight="1" x14ac:dyDescent="0.25">
      <c r="A22" s="352"/>
      <c r="B22" s="352"/>
      <c r="C22" s="123" t="str">
        <f>D16</f>
        <v>00-249-2016</v>
      </c>
      <c r="D22" s="68">
        <f>IF(M16="CUMPLE",(E16*G16),0)</f>
        <v>776.62284834157265</v>
      </c>
      <c r="E22" s="356"/>
      <c r="F22" s="69">
        <f>D22/L16</f>
        <v>128.01475522113836</v>
      </c>
      <c r="G22" s="357"/>
      <c r="H22" s="358"/>
      <c r="I22" s="358"/>
      <c r="J22" s="358"/>
      <c r="K22" s="358"/>
      <c r="L22" s="358"/>
      <c r="M22" s="358"/>
      <c r="N22" s="358"/>
      <c r="O22" s="358"/>
      <c r="P22" s="358"/>
      <c r="Q22" s="43">
        <v>2006</v>
      </c>
      <c r="R22" s="44">
        <v>408000</v>
      </c>
    </row>
    <row r="23" spans="1:18" ht="32.25" customHeight="1" x14ac:dyDescent="0.25">
      <c r="A23" s="352"/>
      <c r="B23" s="352"/>
      <c r="C23" s="123" t="str">
        <f>D17</f>
        <v>00-231-2016</v>
      </c>
      <c r="D23" s="68">
        <f>IF(M17="CUMPLE",(E17*G17),0)</f>
        <v>718.11553038269358</v>
      </c>
      <c r="E23" s="356"/>
      <c r="F23" s="69">
        <f>D23/L17</f>
        <v>501.01083515071645</v>
      </c>
      <c r="G23" s="357"/>
      <c r="H23" s="358"/>
      <c r="I23" s="358"/>
      <c r="J23" s="358"/>
      <c r="K23" s="358"/>
      <c r="L23" s="358"/>
      <c r="M23" s="358"/>
      <c r="N23" s="358"/>
      <c r="O23" s="358"/>
      <c r="P23" s="358"/>
      <c r="Q23" s="43">
        <v>2007</v>
      </c>
      <c r="R23" s="44">
        <v>433700</v>
      </c>
    </row>
    <row r="24" spans="1:18" ht="21.75" thickBot="1" x14ac:dyDescent="0.4">
      <c r="A24" s="359"/>
      <c r="B24" s="359"/>
      <c r="C24" s="359"/>
      <c r="D24" s="70" t="s">
        <v>102</v>
      </c>
      <c r="E24" s="71" t="str">
        <f>IF(E21="","",IF(J4&lt;=E21,"CUMPLE", "NO CUMPLE"))</f>
        <v>CUMPLE</v>
      </c>
      <c r="F24" s="72" t="s">
        <v>103</v>
      </c>
      <c r="G24" s="71" t="str">
        <f>IF(G21="","",IF(L6&lt;=G21,"CUMPLE", "NO CUMPLE"))</f>
        <v>CUMPLE</v>
      </c>
      <c r="H24" s="360" t="s">
        <v>50</v>
      </c>
      <c r="I24" s="360"/>
      <c r="J24" s="360"/>
      <c r="K24" s="361" t="s">
        <v>104</v>
      </c>
      <c r="L24" s="361"/>
      <c r="M24" s="73" t="s">
        <v>105</v>
      </c>
      <c r="N24" s="362">
        <f>+N19+N20+N21</f>
        <v>10</v>
      </c>
      <c r="O24" s="362"/>
      <c r="P24" s="362"/>
      <c r="Q24" s="43">
        <v>2008</v>
      </c>
      <c r="R24" s="44">
        <v>461500</v>
      </c>
    </row>
    <row r="25" spans="1:18" x14ac:dyDescent="0.25">
      <c r="K25" s="366"/>
      <c r="L25" s="366"/>
      <c r="M25" s="366"/>
      <c r="N25" s="366"/>
      <c r="O25" s="366"/>
      <c r="P25" s="366"/>
      <c r="Q25" s="74">
        <v>2009</v>
      </c>
      <c r="R25" s="44">
        <v>496900</v>
      </c>
    </row>
    <row r="26" spans="1:18" ht="51" customHeight="1" x14ac:dyDescent="0.25">
      <c r="A26" s="367" t="s">
        <v>106</v>
      </c>
      <c r="B26" s="367"/>
      <c r="C26" s="367"/>
      <c r="D26" s="367"/>
      <c r="E26" s="367"/>
      <c r="F26" s="367"/>
      <c r="G26" s="367"/>
      <c r="H26" s="367"/>
      <c r="I26" s="75"/>
      <c r="J26" s="75"/>
      <c r="K26" s="75"/>
      <c r="L26" s="75"/>
      <c r="M26" s="75"/>
      <c r="N26" s="75"/>
      <c r="Q26" s="74">
        <v>2010</v>
      </c>
      <c r="R26" s="44">
        <v>515000</v>
      </c>
    </row>
    <row r="27" spans="1:18" ht="30" customHeight="1" x14ac:dyDescent="0.25">
      <c r="A27" s="368"/>
      <c r="B27" s="368"/>
      <c r="C27" s="368"/>
      <c r="D27" s="368"/>
      <c r="E27" s="368"/>
      <c r="F27" s="368"/>
      <c r="G27" s="368"/>
      <c r="H27" s="368"/>
      <c r="I27" s="76"/>
      <c r="J27" s="77"/>
      <c r="K27" s="77"/>
      <c r="L27" s="78"/>
      <c r="M27" s="77"/>
      <c r="N27" s="76"/>
      <c r="Q27" s="74">
        <v>2011</v>
      </c>
      <c r="R27" s="44">
        <v>535600</v>
      </c>
    </row>
    <row r="28" spans="1:18" ht="26.25" customHeight="1" x14ac:dyDescent="0.25">
      <c r="A28" s="368"/>
      <c r="B28" s="368"/>
      <c r="C28" s="368"/>
      <c r="D28" s="368"/>
      <c r="E28" s="368"/>
      <c r="F28" s="368"/>
      <c r="G28" s="368"/>
      <c r="H28" s="368"/>
      <c r="I28" s="76"/>
      <c r="J28" s="77"/>
      <c r="K28" s="77"/>
      <c r="L28" s="78"/>
      <c r="M28" s="77"/>
      <c r="N28" s="76"/>
      <c r="Q28" s="74">
        <v>2012</v>
      </c>
      <c r="R28" s="44">
        <v>566700</v>
      </c>
    </row>
    <row r="29" spans="1:18" ht="48" customHeight="1" x14ac:dyDescent="0.25">
      <c r="A29" s="368"/>
      <c r="B29" s="368"/>
      <c r="C29" s="368"/>
      <c r="D29" s="368"/>
      <c r="E29" s="368"/>
      <c r="F29" s="368"/>
      <c r="G29" s="368"/>
      <c r="H29" s="368"/>
      <c r="I29" s="76"/>
      <c r="J29" s="77"/>
      <c r="K29" s="77"/>
      <c r="L29" s="78"/>
      <c r="M29" s="77"/>
      <c r="N29" s="76"/>
      <c r="Q29" s="74">
        <v>2013</v>
      </c>
      <c r="R29" s="44">
        <v>589500</v>
      </c>
    </row>
    <row r="30" spans="1:18" ht="41.25" customHeight="1" x14ac:dyDescent="0.25">
      <c r="A30" s="368"/>
      <c r="B30" s="368"/>
      <c r="C30" s="368"/>
      <c r="D30" s="368"/>
      <c r="E30" s="368"/>
      <c r="F30" s="368"/>
      <c r="G30" s="368"/>
      <c r="H30" s="368"/>
      <c r="I30" s="79"/>
      <c r="J30" s="79"/>
      <c r="K30" s="79"/>
      <c r="L30" s="78"/>
      <c r="M30" s="77"/>
      <c r="N30" s="76"/>
      <c r="O30" s="80"/>
      <c r="Q30" s="74">
        <v>2014</v>
      </c>
      <c r="R30" s="44">
        <v>616000</v>
      </c>
    </row>
    <row r="31" spans="1:18" x14ac:dyDescent="0.25">
      <c r="A31" s="369"/>
      <c r="B31" s="369"/>
      <c r="C31" s="369"/>
      <c r="D31" s="369"/>
      <c r="E31" s="369"/>
      <c r="F31" s="369"/>
      <c r="G31" s="369"/>
      <c r="H31" s="369"/>
      <c r="I31" s="81"/>
      <c r="J31" s="81"/>
      <c r="K31" s="81"/>
      <c r="L31" s="81"/>
      <c r="M31" s="81"/>
      <c r="N31" s="81"/>
      <c r="Q31" s="74">
        <v>2015</v>
      </c>
      <c r="R31" s="44">
        <v>644350</v>
      </c>
    </row>
    <row r="32" spans="1:18" x14ac:dyDescent="0.25">
      <c r="A32" s="369"/>
      <c r="B32" s="369"/>
      <c r="C32" s="369"/>
      <c r="D32" s="369"/>
      <c r="E32" s="369"/>
      <c r="F32" s="369"/>
      <c r="G32" s="369"/>
      <c r="H32" s="369"/>
      <c r="I32" s="81"/>
      <c r="J32" s="81"/>
      <c r="K32" s="81"/>
      <c r="L32" s="81"/>
      <c r="M32" s="81"/>
      <c r="N32" s="81"/>
      <c r="Q32" s="74">
        <v>2016</v>
      </c>
      <c r="R32" s="44">
        <v>689455</v>
      </c>
    </row>
    <row r="33" spans="1:18" ht="15.75" thickBot="1" x14ac:dyDescent="0.3">
      <c r="A33" s="369"/>
      <c r="B33" s="369"/>
      <c r="C33" s="369"/>
      <c r="D33" s="369"/>
      <c r="E33" s="369"/>
      <c r="F33" s="369"/>
      <c r="G33" s="369"/>
      <c r="H33" s="369"/>
      <c r="I33" s="81"/>
      <c r="J33" s="81"/>
      <c r="K33" s="81"/>
      <c r="L33" s="81"/>
      <c r="M33" s="81"/>
      <c r="N33" s="81"/>
      <c r="Q33" s="82">
        <v>2017</v>
      </c>
      <c r="R33" s="83">
        <v>737717</v>
      </c>
    </row>
    <row r="34" spans="1:18" ht="15.75" thickBot="1" x14ac:dyDescent="0.3">
      <c r="A34" s="56"/>
      <c r="B34" s="56"/>
      <c r="C34" s="56"/>
      <c r="D34" s="56"/>
      <c r="E34" s="363"/>
      <c r="F34" s="364"/>
      <c r="G34" s="364"/>
      <c r="H34" s="365"/>
      <c r="I34" s="81"/>
      <c r="J34" s="81"/>
      <c r="K34" s="81"/>
      <c r="L34" s="81"/>
      <c r="M34" s="81"/>
      <c r="N34" s="81"/>
      <c r="Q34" s="82">
        <v>2018</v>
      </c>
      <c r="R34" s="83">
        <v>781242</v>
      </c>
    </row>
  </sheetData>
  <mergeCells count="53">
    <mergeCell ref="I7:I8"/>
    <mergeCell ref="J7:L8"/>
    <mergeCell ref="A1:B1"/>
    <mergeCell ref="C1:L1"/>
    <mergeCell ref="M1:P1"/>
    <mergeCell ref="A2:G6"/>
    <mergeCell ref="H2:I2"/>
    <mergeCell ref="J2:L2"/>
    <mergeCell ref="N2:P6"/>
    <mergeCell ref="H3:I3"/>
    <mergeCell ref="J3:L3"/>
    <mergeCell ref="H4:I4"/>
    <mergeCell ref="J4:L4"/>
    <mergeCell ref="H5:I5"/>
    <mergeCell ref="J6:L6"/>
    <mergeCell ref="M16:P16"/>
    <mergeCell ref="O7:O8"/>
    <mergeCell ref="P7:P8"/>
    <mergeCell ref="A9:B12"/>
    <mergeCell ref="D9:H9"/>
    <mergeCell ref="D10:H10"/>
    <mergeCell ref="D11:H11"/>
    <mergeCell ref="D12:H12"/>
    <mergeCell ref="A13:F13"/>
    <mergeCell ref="G13:H13"/>
    <mergeCell ref="J13:N13"/>
    <mergeCell ref="M14:P14"/>
    <mergeCell ref="M15:P15"/>
    <mergeCell ref="A7:B8"/>
    <mergeCell ref="C7:C8"/>
    <mergeCell ref="D7:H8"/>
    <mergeCell ref="K24:L24"/>
    <mergeCell ref="N24:P24"/>
    <mergeCell ref="K25:P25"/>
    <mergeCell ref="M17:P17"/>
    <mergeCell ref="A18:P18"/>
    <mergeCell ref="A19:B23"/>
    <mergeCell ref="H19:M19"/>
    <mergeCell ref="N19:P19"/>
    <mergeCell ref="H20:K21"/>
    <mergeCell ref="L20:M20"/>
    <mergeCell ref="N20:P20"/>
    <mergeCell ref="E21:E23"/>
    <mergeCell ref="G21:G23"/>
    <mergeCell ref="L21:M21"/>
    <mergeCell ref="N21:P21"/>
    <mergeCell ref="H22:P23"/>
    <mergeCell ref="A26:H26"/>
    <mergeCell ref="A27:H30"/>
    <mergeCell ref="A31:H33"/>
    <mergeCell ref="E34:H34"/>
    <mergeCell ref="A24:C24"/>
    <mergeCell ref="H24:J24"/>
  </mergeCells>
  <conditionalFormatting sqref="J9:L12">
    <cfRule type="expression" priority="18" stopIfTrue="1">
      <formula>NOT(ISERROR(SEARCH("APORTA EXP",J9)))</formula>
    </cfRule>
  </conditionalFormatting>
  <conditionalFormatting sqref="E24">
    <cfRule type="expression" dxfId="24" priority="28" stopIfTrue="1">
      <formula>NOT(ISERROR(SEARCH("CUMPLE",E24)))</formula>
    </cfRule>
  </conditionalFormatting>
  <conditionalFormatting sqref="G24">
    <cfRule type="expression" dxfId="23" priority="32" stopIfTrue="1">
      <formula>NOT(ISERROR(SEARCH("CUMPLE",G24)))</formula>
    </cfRule>
  </conditionalFormatting>
  <conditionalFormatting sqref="M15">
    <cfRule type="expression" dxfId="22" priority="26" stopIfTrue="1">
      <formula>NOT(ISERROR(SEARCH("CUMPLE",M15)))</formula>
    </cfRule>
  </conditionalFormatting>
  <conditionalFormatting sqref="O9:O12">
    <cfRule type="expression" dxfId="21" priority="16" stopIfTrue="1">
      <formula>NOT(ISERROR(SEARCH("CUMPLE",O9)))</formula>
    </cfRule>
  </conditionalFormatting>
  <conditionalFormatting sqref="P9:P12">
    <cfRule type="expression" dxfId="20" priority="20" stopIfTrue="1">
      <formula>NOT(ISERROR(SEARCH("CUMPLE",P9)))</formula>
    </cfRule>
  </conditionalFormatting>
  <conditionalFormatting sqref="K24">
    <cfRule type="expression" dxfId="19" priority="30" stopIfTrue="1">
      <formula>NOT(ISERROR(SEARCH("HABIL",K24)))</formula>
    </cfRule>
  </conditionalFormatting>
  <conditionalFormatting sqref="J9:L12">
    <cfRule type="expression" dxfId="18" priority="17" stopIfTrue="1">
      <formula>NOT(ISERROR(SEARCH("NO APORTA EXP",J9)))</formula>
    </cfRule>
  </conditionalFormatting>
  <conditionalFormatting sqref="E24">
    <cfRule type="expression" dxfId="17" priority="27" stopIfTrue="1">
      <formula>NOT(ISERROR(SEARCH("NO CUMPLE",E24)))</formula>
    </cfRule>
  </conditionalFormatting>
  <conditionalFormatting sqref="G24">
    <cfRule type="expression" dxfId="16" priority="31" stopIfTrue="1">
      <formula>NOT(ISERROR(SEARCH("NO CUMPLE",G24)))</formula>
    </cfRule>
  </conditionalFormatting>
  <conditionalFormatting sqref="M15">
    <cfRule type="expression" dxfId="15" priority="25" stopIfTrue="1">
      <formula>NOT(ISERROR(SEARCH("NO CUMPLE",M15)))</formula>
    </cfRule>
  </conditionalFormatting>
  <conditionalFormatting sqref="O9:O12">
    <cfRule type="expression" dxfId="14" priority="15" stopIfTrue="1">
      <formula>NOT(ISERROR(SEARCH("NO CUMPLE",O9)))</formula>
    </cfRule>
  </conditionalFormatting>
  <conditionalFormatting sqref="P9:P12">
    <cfRule type="expression" dxfId="13" priority="19" stopIfTrue="1">
      <formula>NOT(ISERROR(SEARCH("NO CUMPLE",P9)))</formula>
    </cfRule>
  </conditionalFormatting>
  <conditionalFormatting sqref="K24">
    <cfRule type="expression" dxfId="12" priority="29" stopIfTrue="1">
      <formula>NOT(ISERROR(SEARCH("NO HABIL",K24)))</formula>
    </cfRule>
  </conditionalFormatting>
  <conditionalFormatting sqref="A15">
    <cfRule type="expression" dxfId="11" priority="21" stopIfTrue="1">
      <formula>NOT(ISERROR(SEARCH("NO",A15)))</formula>
    </cfRule>
  </conditionalFormatting>
  <conditionalFormatting sqref="A16:A17">
    <cfRule type="expression" dxfId="10" priority="23" stopIfTrue="1">
      <formula>NOT(ISERROR(SEARCH("NO",A16)))</formula>
    </cfRule>
  </conditionalFormatting>
  <conditionalFormatting sqref="F15">
    <cfRule type="expression" dxfId="9" priority="11" stopIfTrue="1">
      <formula>NOT(ISERROR(SEARCH("NO",F15)))</formula>
    </cfRule>
  </conditionalFormatting>
  <conditionalFormatting sqref="I15 K15">
    <cfRule type="cellIs" dxfId="8" priority="10" stopIfTrue="1" operator="greaterThan">
      <formula>0</formula>
    </cfRule>
  </conditionalFormatting>
  <conditionalFormatting sqref="M16">
    <cfRule type="expression" dxfId="7" priority="9" stopIfTrue="1">
      <formula>NOT(ISERROR(SEARCH("CUMPLE",M16)))</formula>
    </cfRule>
  </conditionalFormatting>
  <conditionalFormatting sqref="M16">
    <cfRule type="expression" dxfId="6" priority="8" stopIfTrue="1">
      <formula>NOT(ISERROR(SEARCH("NO CUMPLE",M16)))</formula>
    </cfRule>
  </conditionalFormatting>
  <conditionalFormatting sqref="F16">
    <cfRule type="expression" dxfId="5" priority="6" stopIfTrue="1">
      <formula>NOT(ISERROR(SEARCH("NO",F16)))</formula>
    </cfRule>
  </conditionalFormatting>
  <conditionalFormatting sqref="I16 K16">
    <cfRule type="cellIs" dxfId="4" priority="5" stopIfTrue="1" operator="greaterThan">
      <formula>0</formula>
    </cfRule>
  </conditionalFormatting>
  <conditionalFormatting sqref="M17">
    <cfRule type="expression" dxfId="3" priority="4" stopIfTrue="1">
      <formula>NOT(ISERROR(SEARCH("CUMPLE",M17)))</formula>
    </cfRule>
  </conditionalFormatting>
  <conditionalFormatting sqref="M17">
    <cfRule type="expression" dxfId="2" priority="3" stopIfTrue="1">
      <formula>NOT(ISERROR(SEARCH("NO CUMPLE",M17)))</formula>
    </cfRule>
  </conditionalFormatting>
  <conditionalFormatting sqref="F17">
    <cfRule type="expression" dxfId="1" priority="2" stopIfTrue="1">
      <formula>NOT(ISERROR(SEARCH("NO",F17)))</formula>
    </cfRule>
  </conditionalFormatting>
  <conditionalFormatting sqref="I17 K17">
    <cfRule type="cellIs" dxfId="0" priority="1" stopIfTrue="1" operator="greaterThan">
      <formula>0</formula>
    </cfRule>
  </conditionalFormatting>
  <pageMargins left="0.25" right="0.25" top="0.37000000000000005" bottom="0.36000000000000004" header="0.30000000000000004" footer="0.30000000000000004"/>
  <pageSetup paperSize="0" scale="36" fitToWidth="0" fitToHeight="0" orientation="portrait"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16</vt:i4>
      </vt:variant>
    </vt:vector>
  </HeadingPairs>
  <TitlesOfParts>
    <vt:vector size="31" baseType="lpstr">
      <vt:lpstr>PAG 1</vt:lpstr>
      <vt:lpstr>PAG 2</vt:lpstr>
      <vt:lpstr>PAG 3</vt:lpstr>
      <vt:lpstr>pag 4</vt:lpstr>
      <vt:lpstr>pag 5</vt:lpstr>
      <vt:lpstr>PAG 6</vt:lpstr>
      <vt:lpstr>PAG 7</vt:lpstr>
      <vt:lpstr>resumen</vt:lpstr>
      <vt:lpstr>1</vt:lpstr>
      <vt:lpstr>2</vt:lpstr>
      <vt:lpstr>3</vt:lpstr>
      <vt:lpstr>4</vt:lpstr>
      <vt:lpstr>5</vt:lpstr>
      <vt:lpstr>6</vt:lpstr>
      <vt:lpstr>7</vt:lpstr>
      <vt:lpstr>'1'!Área_de_impresión</vt:lpstr>
      <vt:lpstr>'2'!Área_de_impresión</vt:lpstr>
      <vt:lpstr>'3'!Área_de_impresión</vt:lpstr>
      <vt:lpstr>'4'!Área_de_impresión</vt:lpstr>
      <vt:lpstr>'5'!Área_de_impresión</vt:lpstr>
      <vt:lpstr>'6'!Área_de_impresión</vt:lpstr>
      <vt:lpstr>'7'!Área_de_impresión</vt:lpstr>
      <vt:lpstr>'PAG 1'!Área_de_impresión</vt:lpstr>
      <vt:lpstr>'PAG 2'!Área_de_impresión</vt:lpstr>
      <vt:lpstr>'PAG 3'!Área_de_impresión</vt:lpstr>
      <vt:lpstr>'pag 4'!Área_de_impresión</vt:lpstr>
      <vt:lpstr>'pag 5'!Área_de_impresión</vt:lpstr>
      <vt:lpstr>'PAG 6'!Área_de_impresión</vt:lpstr>
      <vt:lpstr>'PAG 7'!Área_de_impresión</vt:lpstr>
      <vt:lpstr>resumen!Área_de_impresión</vt:lpstr>
      <vt:lpstr>resumen!Títulos_a_imprimir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Lopez Segura</dc:creator>
  <cp:lastModifiedBy>Rosa Elisa Gomez Toro</cp:lastModifiedBy>
  <cp:lastPrinted>2018-10-12T19:50:48Z</cp:lastPrinted>
  <dcterms:created xsi:type="dcterms:W3CDTF">2018-05-15T14:58:23Z</dcterms:created>
  <dcterms:modified xsi:type="dcterms:W3CDTF">2018-10-12T20:11:15Z</dcterms:modified>
</cp:coreProperties>
</file>