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ecretaria de Agricultura\2021\Proyecto Cereales\PROCESO SELECCIÓN ABREVIADA\apertura\"/>
    </mc:Choice>
  </mc:AlternateContent>
  <bookViews>
    <workbookView xWindow="-120" yWindow="-120" windowWidth="20730" windowHeight="11160" tabRatio="778" firstSheet="2" activeTab="2"/>
  </bookViews>
  <sheets>
    <sheet name="RESUMEN" sheetId="35" r:id="rId1"/>
    <sheet name="CROMOGRAMA" sheetId="22" r:id="rId2"/>
    <sheet name="PRESUPUESTO GENERAL" sheetId="5" r:id="rId3"/>
    <sheet name="Cuadro comparativo precios" sheetId="29" r:id="rId4"/>
    <sheet name="RESUMEN INSUMOS" sheetId="21" r:id="rId5"/>
    <sheet name="IN. PAPA." sheetId="10" r:id="rId6"/>
    <sheet name="IN. CEBOLLA B. " sheetId="11" r:id="rId7"/>
    <sheet name="IN. MAIZ." sheetId="12" r:id="rId8"/>
    <sheet name="IN. CEBADA." sheetId="13" r:id="rId9"/>
    <sheet name="IN. TRIGO." sheetId="14" r:id="rId10"/>
    <sheet name="IN. FORRAJE." sheetId="15" r:id="rId11"/>
    <sheet name="CONT. ORGANIZACIONES" sheetId="19" r:id="rId12"/>
    <sheet name="CONT. ALCALDIAS" sheetId="34" r:id="rId13"/>
    <sheet name="MANO DE OBRA CALIFICADA" sheetId="3" r:id="rId14"/>
    <sheet name="ECAS" sheetId="33" r:id="rId15"/>
    <sheet name="GASTOS_ADMIN" sheetId="23" r:id="rId16"/>
    <sheet name="Protocolo de Bioseguridad" sheetId="32" r:id="rId17"/>
  </sheets>
  <externalReferences>
    <externalReference r:id="rId18"/>
  </externalReferences>
  <definedNames>
    <definedName name="_xlnm._FilterDatabase" localSheetId="4" hidden="1">'RESUMEN INSUMOS'!$B$3:$G$41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23" l="1"/>
  <c r="I6" i="23"/>
  <c r="E49" i="21" l="1"/>
  <c r="H49" i="21" s="1"/>
  <c r="E48" i="21"/>
  <c r="H48" i="21" s="1"/>
  <c r="P23" i="35"/>
  <c r="P11" i="35"/>
  <c r="O26" i="35"/>
  <c r="P26" i="35"/>
  <c r="H12" i="35"/>
  <c r="G25" i="34"/>
  <c r="G8" i="35"/>
  <c r="M15" i="35"/>
  <c r="F32" i="34" l="1"/>
  <c r="F31" i="34"/>
  <c r="F30" i="34"/>
  <c r="F29" i="34"/>
  <c r="F28" i="34"/>
  <c r="D22" i="34"/>
  <c r="C21" i="34"/>
  <c r="D20" i="34"/>
  <c r="C20" i="34"/>
  <c r="D19" i="34"/>
  <c r="C19" i="34"/>
  <c r="E18" i="34"/>
  <c r="E17" i="34"/>
  <c r="E11" i="34"/>
  <c r="C22" i="34" s="1"/>
  <c r="G10" i="34"/>
  <c r="E21" i="34" s="1"/>
  <c r="I9" i="34"/>
  <c r="G9" i="34"/>
  <c r="E20" i="34" s="1"/>
  <c r="I8" i="34"/>
  <c r="G8" i="34"/>
  <c r="E19" i="34" s="1"/>
  <c r="I7" i="34"/>
  <c r="G7" i="34"/>
  <c r="I6" i="34"/>
  <c r="G6" i="34"/>
  <c r="G47" i="33"/>
  <c r="G48" i="33" s="1"/>
  <c r="G44" i="33"/>
  <c r="G45" i="33" s="1"/>
  <c r="F41" i="33"/>
  <c r="G41" i="33" s="1"/>
  <c r="G42" i="33" s="1"/>
  <c r="F38" i="33"/>
  <c r="G38" i="33" s="1"/>
  <c r="G39" i="33" s="1"/>
  <c r="F35" i="33"/>
  <c r="G35" i="33" s="1"/>
  <c r="F34" i="33"/>
  <c r="G34" i="33" s="1"/>
  <c r="F33" i="33"/>
  <c r="G33" i="33" s="1"/>
  <c r="G32" i="33"/>
  <c r="G28" i="33"/>
  <c r="G30" i="33" s="1"/>
  <c r="G57" i="33" s="1"/>
  <c r="J22" i="35" s="1"/>
  <c r="G25" i="33"/>
  <c r="G24" i="33"/>
  <c r="G23" i="33"/>
  <c r="G22" i="33"/>
  <c r="G19" i="33"/>
  <c r="G18" i="33"/>
  <c r="G17" i="33"/>
  <c r="G16" i="33"/>
  <c r="G20" i="33" s="1"/>
  <c r="G12" i="33"/>
  <c r="G14" i="33" s="1"/>
  <c r="G9" i="33"/>
  <c r="G8" i="33"/>
  <c r="G7" i="33"/>
  <c r="G55" i="33" l="1"/>
  <c r="J21" i="35" s="1"/>
  <c r="G56" i="33"/>
  <c r="J5" i="35"/>
  <c r="G26" i="33"/>
  <c r="F33" i="34"/>
  <c r="G11" i="34"/>
  <c r="I11" i="34"/>
  <c r="I12" i="34" s="1"/>
  <c r="G10" i="33"/>
  <c r="G36" i="33"/>
  <c r="E22" i="34" l="1"/>
  <c r="E23" i="34" s="1"/>
  <c r="G23" i="34" s="1"/>
  <c r="G27" i="34" s="1"/>
  <c r="N17" i="35" s="1"/>
  <c r="N24" i="35" s="1"/>
  <c r="C5" i="5"/>
  <c r="G54" i="33"/>
  <c r="G12" i="34"/>
  <c r="I19" i="5" s="1"/>
  <c r="G49" i="33"/>
  <c r="E27" i="5" s="1"/>
  <c r="H58" i="33" l="1"/>
  <c r="J13" i="35"/>
  <c r="I21" i="5"/>
  <c r="I20" i="5"/>
  <c r="I22" i="5"/>
  <c r="E57" i="33"/>
  <c r="E56" i="33"/>
  <c r="E55" i="33"/>
  <c r="E54" i="33"/>
  <c r="J14" i="35" l="1"/>
  <c r="J24" i="35" s="1"/>
  <c r="J16" i="35"/>
  <c r="J15" i="35"/>
  <c r="E58" i="33"/>
  <c r="D46" i="32" l="1"/>
  <c r="D45" i="32"/>
  <c r="D44" i="32"/>
  <c r="D43" i="32"/>
  <c r="D42" i="32"/>
  <c r="D41" i="32"/>
  <c r="F7" i="23"/>
  <c r="F45" i="32" l="1"/>
  <c r="F46" i="32"/>
  <c r="F44" i="32"/>
  <c r="F43" i="32"/>
  <c r="F42" i="32"/>
  <c r="F41" i="32"/>
  <c r="F40" i="32"/>
  <c r="E40" i="32"/>
  <c r="D40" i="32"/>
  <c r="D28" i="32"/>
  <c r="D35" i="32" s="1"/>
  <c r="F14" i="32"/>
  <c r="F15" i="32" s="1"/>
  <c r="F17" i="32" s="1"/>
  <c r="H21" i="23"/>
  <c r="H16" i="23"/>
  <c r="H15" i="23"/>
  <c r="H14" i="23"/>
  <c r="H17" i="23" l="1"/>
  <c r="F47" i="32"/>
  <c r="D23" i="32" s="1"/>
  <c r="F23" i="32" s="1"/>
  <c r="F25" i="32" s="1"/>
  <c r="F26" i="32" s="1"/>
  <c r="F35" i="32" s="1"/>
  <c r="H23" i="23"/>
  <c r="H19" i="23"/>
  <c r="H24" i="23"/>
  <c r="H20" i="23"/>
  <c r="F36" i="32" l="1"/>
  <c r="E30" i="5" s="1"/>
  <c r="K30" i="35" s="1"/>
  <c r="H25" i="23"/>
  <c r="H26" i="23" s="1"/>
  <c r="G5" i="3" l="1"/>
  <c r="K5" i="3" l="1"/>
  <c r="F9" i="3" l="1"/>
  <c r="H5" i="29"/>
  <c r="N16" i="19" l="1"/>
  <c r="F8" i="19"/>
  <c r="H60" i="29" l="1"/>
  <c r="F4" i="21"/>
  <c r="G4" i="21" s="1"/>
  <c r="H74" i="29"/>
  <c r="F46" i="21" s="1"/>
  <c r="H69" i="29"/>
  <c r="F49" i="21" s="1"/>
  <c r="H68" i="29"/>
  <c r="F48" i="21" s="1"/>
  <c r="H67" i="29"/>
  <c r="F47" i="21" s="1"/>
  <c r="H61" i="29"/>
  <c r="F50" i="21" s="1"/>
  <c r="H54" i="29"/>
  <c r="F69" i="21" s="1"/>
  <c r="H53" i="29"/>
  <c r="F68" i="21" s="1"/>
  <c r="H52" i="29"/>
  <c r="F67" i="21" s="1"/>
  <c r="H51" i="29"/>
  <c r="F66" i="21" s="1"/>
  <c r="H50" i="29"/>
  <c r="F65" i="21" s="1"/>
  <c r="H49" i="29"/>
  <c r="F64" i="21" s="1"/>
  <c r="G64" i="21" s="1"/>
  <c r="H48" i="29"/>
  <c r="F63" i="21" s="1"/>
  <c r="H42" i="29"/>
  <c r="F58" i="21" s="1"/>
  <c r="H41" i="29"/>
  <c r="F57" i="21" s="1"/>
  <c r="H40" i="29"/>
  <c r="F56" i="21" s="1"/>
  <c r="H39" i="29"/>
  <c r="H38" i="29"/>
  <c r="H37" i="29"/>
  <c r="H36" i="29"/>
  <c r="F39" i="21" s="1"/>
  <c r="H35" i="29"/>
  <c r="F38" i="21" s="1"/>
  <c r="H34" i="29"/>
  <c r="H33" i="29"/>
  <c r="H32" i="29"/>
  <c r="H31" i="29"/>
  <c r="H30" i="29"/>
  <c r="H29" i="29"/>
  <c r="H28" i="29"/>
  <c r="H27" i="29"/>
  <c r="H26" i="29"/>
  <c r="H25" i="29"/>
  <c r="H24" i="29"/>
  <c r="F25" i="21" s="1"/>
  <c r="H23" i="29"/>
  <c r="F24" i="21" s="1"/>
  <c r="H22" i="29"/>
  <c r="H21" i="29"/>
  <c r="H20" i="29"/>
  <c r="H19" i="29"/>
  <c r="F20" i="21" s="1"/>
  <c r="H18" i="29"/>
  <c r="F19" i="21" s="1"/>
  <c r="H17" i="29"/>
  <c r="H16" i="29"/>
  <c r="H15" i="29"/>
  <c r="H14" i="29"/>
  <c r="F14" i="21" s="1"/>
  <c r="H13" i="29"/>
  <c r="H12" i="29"/>
  <c r="H11" i="29"/>
  <c r="H10" i="29"/>
  <c r="H9" i="29"/>
  <c r="H8" i="29"/>
  <c r="F7" i="21" s="1"/>
  <c r="H7" i="29"/>
  <c r="F6" i="21" s="1"/>
  <c r="H6" i="29"/>
  <c r="E17" i="3"/>
  <c r="E18" i="3" s="1"/>
  <c r="E8" i="3"/>
  <c r="E7" i="3"/>
  <c r="E6" i="3"/>
  <c r="F10" i="21" l="1"/>
  <c r="F9" i="15" s="1"/>
  <c r="F11" i="21"/>
  <c r="F10" i="15" s="1"/>
  <c r="F21" i="21"/>
  <c r="F30" i="21"/>
  <c r="F29" i="13" s="1"/>
  <c r="F34" i="21"/>
  <c r="F16" i="21"/>
  <c r="F15" i="15" s="1"/>
  <c r="F12" i="21"/>
  <c r="F11" i="13" s="1"/>
  <c r="F22" i="21"/>
  <c r="F23" i="10" s="1"/>
  <c r="F26" i="21"/>
  <c r="F20" i="15" s="1"/>
  <c r="F31" i="21"/>
  <c r="F29" i="12" s="1"/>
  <c r="F35" i="21"/>
  <c r="F32" i="12" s="1"/>
  <c r="F40" i="21"/>
  <c r="F44" i="11" s="1"/>
  <c r="F8" i="21"/>
  <c r="F20" i="11" s="1"/>
  <c r="F17" i="21"/>
  <c r="F16" i="15" s="1"/>
  <c r="F5" i="21"/>
  <c r="G5" i="21" s="1"/>
  <c r="F9" i="21"/>
  <c r="F8" i="12" s="1"/>
  <c r="F23" i="21"/>
  <c r="F34" i="11" s="1"/>
  <c r="F27" i="21"/>
  <c r="F25" i="14" s="1"/>
  <c r="F32" i="21"/>
  <c r="F37" i="21"/>
  <c r="F32" i="13" s="1"/>
  <c r="F41" i="21"/>
  <c r="F30" i="15" s="1"/>
  <c r="F15" i="21"/>
  <c r="F17" i="13" s="1"/>
  <c r="F29" i="21"/>
  <c r="F28" i="14" s="1"/>
  <c r="F33" i="21"/>
  <c r="F55" i="21"/>
  <c r="F38" i="13" s="1"/>
  <c r="D6" i="5"/>
  <c r="E6" i="5" s="1"/>
  <c r="K29" i="35" s="1"/>
  <c r="F13" i="19"/>
  <c r="F12" i="19"/>
  <c r="F11" i="19"/>
  <c r="F10" i="19"/>
  <c r="F9" i="19"/>
  <c r="N7" i="23"/>
  <c r="N6" i="23"/>
  <c r="M18" i="3"/>
  <c r="M17" i="3"/>
  <c r="M8" i="3"/>
  <c r="M7" i="3"/>
  <c r="M6" i="3"/>
  <c r="M5" i="3"/>
  <c r="F32" i="15"/>
  <c r="F31" i="15"/>
  <c r="F19" i="15"/>
  <c r="F14" i="15"/>
  <c r="F11" i="15"/>
  <c r="F7" i="15"/>
  <c r="F4" i="15"/>
  <c r="F41" i="14"/>
  <c r="F40" i="14"/>
  <c r="F39" i="14"/>
  <c r="F36" i="14"/>
  <c r="F35" i="14"/>
  <c r="F22" i="14"/>
  <c r="F17" i="14"/>
  <c r="F16" i="14"/>
  <c r="F13" i="14"/>
  <c r="F12" i="14"/>
  <c r="F10" i="14"/>
  <c r="F7" i="14"/>
  <c r="F4" i="14"/>
  <c r="F40" i="13"/>
  <c r="F39" i="13"/>
  <c r="F35" i="13"/>
  <c r="F34" i="13"/>
  <c r="F22" i="13"/>
  <c r="F18" i="13"/>
  <c r="F16" i="13"/>
  <c r="F12" i="13"/>
  <c r="F7" i="13"/>
  <c r="F4" i="13"/>
  <c r="F43" i="12"/>
  <c r="F42" i="12"/>
  <c r="F41" i="12"/>
  <c r="F37" i="12"/>
  <c r="F36" i="12"/>
  <c r="F31" i="12"/>
  <c r="F25" i="12"/>
  <c r="F22" i="12"/>
  <c r="F16" i="12"/>
  <c r="F19" i="11"/>
  <c r="F12" i="12"/>
  <c r="F7" i="12"/>
  <c r="F4" i="12"/>
  <c r="F51" i="11"/>
  <c r="F50" i="11"/>
  <c r="F46" i="11"/>
  <c r="F45" i="11"/>
  <c r="F38" i="11"/>
  <c r="F35" i="11"/>
  <c r="F32" i="11"/>
  <c r="F23" i="11"/>
  <c r="F14" i="10"/>
  <c r="F17" i="11"/>
  <c r="F15" i="11"/>
  <c r="F11" i="11"/>
  <c r="F10" i="11"/>
  <c r="F9" i="11"/>
  <c r="F8" i="11"/>
  <c r="F7" i="11"/>
  <c r="F6" i="11"/>
  <c r="F5" i="11"/>
  <c r="F4" i="11"/>
  <c r="F41" i="10"/>
  <c r="F40" i="10"/>
  <c r="F36" i="10"/>
  <c r="F35" i="10"/>
  <c r="F31" i="10"/>
  <c r="F25" i="10"/>
  <c r="F24" i="10"/>
  <c r="F22" i="10"/>
  <c r="F20" i="10"/>
  <c r="F10" i="10"/>
  <c r="F9" i="10"/>
  <c r="F7" i="10"/>
  <c r="F4" i="10"/>
  <c r="J7" i="5"/>
  <c r="I7" i="5"/>
  <c r="H7" i="5"/>
  <c r="G7" i="5"/>
  <c r="F29" i="15" l="1"/>
  <c r="F33" i="14"/>
  <c r="F9" i="12"/>
  <c r="F9" i="13"/>
  <c r="G9" i="13" s="1"/>
  <c r="F9" i="14"/>
  <c r="G9" i="14" s="1"/>
  <c r="F24" i="11"/>
  <c r="F18" i="12"/>
  <c r="F15" i="10"/>
  <c r="F26" i="11"/>
  <c r="F24" i="15"/>
  <c r="F17" i="10"/>
  <c r="F8" i="14"/>
  <c r="G8" i="14" s="1"/>
  <c r="F8" i="15"/>
  <c r="G8" i="15" s="1"/>
  <c r="F33" i="11"/>
  <c r="F26" i="12"/>
  <c r="F16" i="10"/>
  <c r="F34" i="10"/>
  <c r="F18" i="11"/>
  <c r="F25" i="11"/>
  <c r="F10" i="12"/>
  <c r="F17" i="12"/>
  <c r="F35" i="12"/>
  <c r="F8" i="13"/>
  <c r="G8" i="13" s="1"/>
  <c r="F25" i="13"/>
  <c r="F19" i="14"/>
  <c r="F16" i="11"/>
  <c r="F43" i="11"/>
  <c r="F19" i="12"/>
  <c r="F19" i="13"/>
  <c r="G19" i="13" s="1"/>
  <c r="F11" i="10"/>
  <c r="F49" i="11"/>
  <c r="F11" i="12"/>
  <c r="F13" i="13"/>
  <c r="F33" i="13"/>
  <c r="G33" i="13" s="1"/>
  <c r="F23" i="14"/>
  <c r="G23" i="14" s="1"/>
  <c r="F34" i="14"/>
  <c r="G34" i="14" s="1"/>
  <c r="F39" i="10"/>
  <c r="F13" i="12"/>
  <c r="F40" i="12"/>
  <c r="F10" i="13"/>
  <c r="G10" i="13" s="1"/>
  <c r="F11" i="14"/>
  <c r="G11" i="14" s="1"/>
  <c r="F8" i="10"/>
  <c r="F23" i="13"/>
  <c r="G23" i="13" s="1"/>
  <c r="F18" i="14"/>
  <c r="G18" i="14" s="1"/>
  <c r="M7" i="23"/>
  <c r="L7" i="23"/>
  <c r="B24" i="5"/>
  <c r="B23" i="5"/>
  <c r="B22" i="5"/>
  <c r="B21" i="5"/>
  <c r="B20" i="5"/>
  <c r="B19" i="5"/>
  <c r="D24" i="5"/>
  <c r="D23" i="5"/>
  <c r="D22" i="5"/>
  <c r="D21" i="5"/>
  <c r="D20" i="5"/>
  <c r="D19" i="5"/>
  <c r="G32" i="15"/>
  <c r="G31" i="15"/>
  <c r="G30" i="15"/>
  <c r="G29" i="15"/>
  <c r="G26" i="15"/>
  <c r="G25" i="15"/>
  <c r="G24" i="15"/>
  <c r="G21" i="15"/>
  <c r="G20" i="15"/>
  <c r="G19" i="15"/>
  <c r="G16" i="15"/>
  <c r="G15" i="15"/>
  <c r="G14" i="15"/>
  <c r="G11" i="15"/>
  <c r="G10" i="15"/>
  <c r="G9" i="15"/>
  <c r="G7" i="15"/>
  <c r="G41" i="14"/>
  <c r="G40" i="14"/>
  <c r="G39" i="14"/>
  <c r="G36" i="14"/>
  <c r="G35" i="14"/>
  <c r="G33" i="14"/>
  <c r="G30" i="14"/>
  <c r="G29" i="14"/>
  <c r="G28" i="14"/>
  <c r="G25" i="14"/>
  <c r="G24" i="14"/>
  <c r="G22" i="14"/>
  <c r="G19" i="14"/>
  <c r="G17" i="14"/>
  <c r="G16" i="14"/>
  <c r="G13" i="14"/>
  <c r="G12" i="14"/>
  <c r="G10" i="14"/>
  <c r="G7" i="14"/>
  <c r="G40" i="13"/>
  <c r="G39" i="13"/>
  <c r="G38" i="13"/>
  <c r="G35" i="13"/>
  <c r="G34" i="13"/>
  <c r="G32" i="13"/>
  <c r="G29" i="13"/>
  <c r="G28" i="13"/>
  <c r="G25" i="13"/>
  <c r="G24" i="13"/>
  <c r="G22" i="13"/>
  <c r="G18" i="13"/>
  <c r="G17" i="13"/>
  <c r="G16" i="13"/>
  <c r="G13" i="13"/>
  <c r="G12" i="13"/>
  <c r="G11" i="13"/>
  <c r="G7" i="13"/>
  <c r="J29" i="5"/>
  <c r="I16" i="5"/>
  <c r="I29" i="5"/>
  <c r="G29" i="5"/>
  <c r="L18" i="3"/>
  <c r="L17" i="3"/>
  <c r="L8" i="3"/>
  <c r="L7" i="3"/>
  <c r="L6" i="3"/>
  <c r="L5" i="3"/>
  <c r="N5" i="3" s="1"/>
  <c r="C7" i="5" l="1"/>
  <c r="D5" i="5"/>
  <c r="H26" i="15"/>
  <c r="H25" i="15"/>
  <c r="H30" i="14"/>
  <c r="H29" i="14"/>
  <c r="G40" i="11"/>
  <c r="H40" i="11" s="1"/>
  <c r="G39" i="11"/>
  <c r="H39" i="11" s="1"/>
  <c r="G29" i="10"/>
  <c r="H29" i="10" s="1"/>
  <c r="D7" i="5" l="1"/>
  <c r="E5" i="5"/>
  <c r="G9" i="35" s="1"/>
  <c r="E7" i="5" l="1"/>
  <c r="I7" i="23" l="1"/>
  <c r="H6" i="23"/>
  <c r="H5" i="23"/>
  <c r="N5" i="23" l="1"/>
  <c r="L5" i="23"/>
  <c r="M5" i="23"/>
  <c r="L6" i="23"/>
  <c r="M6" i="23"/>
  <c r="O7" i="23"/>
  <c r="I5" i="23"/>
  <c r="H8" i="23"/>
  <c r="I8" i="23" l="1"/>
  <c r="O5" i="23"/>
  <c r="O6" i="23"/>
  <c r="H29" i="23" l="1"/>
  <c r="E28" i="5" s="1"/>
  <c r="O8" i="23"/>
  <c r="G45" i="21"/>
  <c r="K7" i="35" l="1"/>
  <c r="K9" i="35"/>
  <c r="K15" i="35"/>
  <c r="K19" i="35"/>
  <c r="K14" i="35"/>
  <c r="K22" i="35"/>
  <c r="K13" i="35"/>
  <c r="K16" i="35"/>
  <c r="K20" i="35"/>
  <c r="K5" i="35"/>
  <c r="K12" i="35"/>
  <c r="K6" i="35"/>
  <c r="K17" i="35"/>
  <c r="K21" i="35"/>
  <c r="K26" i="35"/>
  <c r="K32" i="35" s="1"/>
  <c r="K10" i="35"/>
  <c r="K18" i="35"/>
  <c r="F71" i="21"/>
  <c r="G70" i="21"/>
  <c r="G69" i="21"/>
  <c r="G68" i="21"/>
  <c r="G67" i="21"/>
  <c r="G66" i="21"/>
  <c r="G65" i="21"/>
  <c r="G63" i="21"/>
  <c r="G71" i="21" s="1"/>
  <c r="F59" i="21"/>
  <c r="E59" i="21"/>
  <c r="G55" i="21"/>
  <c r="G58" i="21"/>
  <c r="G57" i="21"/>
  <c r="G56" i="21"/>
  <c r="E51" i="21"/>
  <c r="F51" i="21"/>
  <c r="G50" i="21"/>
  <c r="G49" i="21"/>
  <c r="G48" i="21"/>
  <c r="G47" i="21"/>
  <c r="G46" i="21"/>
  <c r="G51" i="21" s="1"/>
  <c r="G33" i="21"/>
  <c r="E42" i="21"/>
  <c r="G7" i="10"/>
  <c r="F42" i="21"/>
  <c r="G41" i="21"/>
  <c r="G40" i="21"/>
  <c r="G39" i="21"/>
  <c r="G38" i="21"/>
  <c r="G37" i="21"/>
  <c r="G35" i="21"/>
  <c r="G34" i="21"/>
  <c r="G31" i="21"/>
  <c r="G30" i="21"/>
  <c r="G27" i="21"/>
  <c r="G26" i="21"/>
  <c r="G25" i="21"/>
  <c r="G24" i="21"/>
  <c r="G23" i="21"/>
  <c r="G22" i="21"/>
  <c r="G21" i="21"/>
  <c r="G20" i="21"/>
  <c r="G19" i="21"/>
  <c r="G17" i="21"/>
  <c r="G16" i="21"/>
  <c r="G15" i="21"/>
  <c r="G14" i="21"/>
  <c r="G12" i="21"/>
  <c r="G9" i="21"/>
  <c r="G8" i="21"/>
  <c r="O12" i="35" l="1"/>
  <c r="P12" i="35" s="1"/>
  <c r="K24" i="35"/>
  <c r="G59" i="21"/>
  <c r="G29" i="21"/>
  <c r="G32" i="21"/>
  <c r="G6" i="21"/>
  <c r="G7" i="21"/>
  <c r="G11" i="21"/>
  <c r="G10" i="21"/>
  <c r="L8" i="35" l="1"/>
  <c r="K34" i="35"/>
  <c r="L7" i="35"/>
  <c r="L16" i="35"/>
  <c r="L10" i="35"/>
  <c r="L15" i="35"/>
  <c r="L18" i="35"/>
  <c r="L12" i="35"/>
  <c r="L14" i="35"/>
  <c r="L6" i="35"/>
  <c r="L17" i="35"/>
  <c r="L5" i="35"/>
  <c r="L19" i="35"/>
  <c r="L22" i="35"/>
  <c r="L13" i="35"/>
  <c r="L9" i="35"/>
  <c r="L20" i="35"/>
  <c r="L21" i="35"/>
  <c r="G42" i="21"/>
  <c r="G74" i="21" s="1"/>
  <c r="L24" i="35" l="1"/>
  <c r="H29" i="5"/>
  <c r="G25" i="5"/>
  <c r="G18" i="19"/>
  <c r="G85" i="19"/>
  <c r="G84" i="19"/>
  <c r="G83" i="19"/>
  <c r="G82" i="19"/>
  <c r="G81" i="19"/>
  <c r="G80" i="19"/>
  <c r="G79" i="19"/>
  <c r="G78" i="19"/>
  <c r="G73" i="19"/>
  <c r="G72" i="19"/>
  <c r="G71" i="19"/>
  <c r="G70" i="19"/>
  <c r="G69" i="19"/>
  <c r="G68" i="19"/>
  <c r="G67" i="19"/>
  <c r="G66" i="19"/>
  <c r="G61" i="19"/>
  <c r="G60" i="19"/>
  <c r="G59" i="19"/>
  <c r="G58" i="19"/>
  <c r="G57" i="19"/>
  <c r="G56" i="19"/>
  <c r="G55" i="19"/>
  <c r="G54" i="19"/>
  <c r="G49" i="19"/>
  <c r="G48" i="19"/>
  <c r="G47" i="19"/>
  <c r="G46" i="19"/>
  <c r="G45" i="19"/>
  <c r="G44" i="19"/>
  <c r="G43" i="19"/>
  <c r="G42" i="19"/>
  <c r="G37" i="19"/>
  <c r="G36" i="19"/>
  <c r="G35" i="19"/>
  <c r="G34" i="19"/>
  <c r="G33" i="19"/>
  <c r="G32" i="19"/>
  <c r="G31" i="19"/>
  <c r="G30" i="19"/>
  <c r="D86" i="19"/>
  <c r="D13" i="19" s="1"/>
  <c r="C86" i="19"/>
  <c r="C13" i="19" s="1"/>
  <c r="D74" i="19"/>
  <c r="D12" i="19" s="1"/>
  <c r="C74" i="19"/>
  <c r="C12" i="19" s="1"/>
  <c r="D62" i="19"/>
  <c r="D11" i="19" s="1"/>
  <c r="C62" i="19"/>
  <c r="C11" i="19" s="1"/>
  <c r="D50" i="19"/>
  <c r="D10" i="19" s="1"/>
  <c r="C50" i="19"/>
  <c r="C10" i="19" s="1"/>
  <c r="D38" i="19"/>
  <c r="D9" i="19" s="1"/>
  <c r="C38" i="19"/>
  <c r="C9" i="19" s="1"/>
  <c r="D26" i="19"/>
  <c r="D8" i="19" s="1"/>
  <c r="C26" i="19"/>
  <c r="C8" i="19" s="1"/>
  <c r="G25" i="19"/>
  <c r="G24" i="19"/>
  <c r="G23" i="19"/>
  <c r="G22" i="19"/>
  <c r="G21" i="19"/>
  <c r="G20" i="19"/>
  <c r="G19" i="19"/>
  <c r="E14" i="19"/>
  <c r="F14" i="19"/>
  <c r="D14" i="19" l="1"/>
  <c r="G86" i="19"/>
  <c r="G13" i="19" s="1"/>
  <c r="G15" i="5" s="1"/>
  <c r="G26" i="19"/>
  <c r="G8" i="19" s="1"/>
  <c r="H25" i="5"/>
  <c r="G74" i="19"/>
  <c r="G12" i="19" s="1"/>
  <c r="G14" i="5" s="1"/>
  <c r="G62" i="19"/>
  <c r="G11" i="19" s="1"/>
  <c r="G13" i="5" s="1"/>
  <c r="G50" i="19"/>
  <c r="G10" i="19" s="1"/>
  <c r="G12" i="5" s="1"/>
  <c r="G38" i="19"/>
  <c r="G9" i="19" s="1"/>
  <c r="G11" i="5" s="1"/>
  <c r="C14" i="19"/>
  <c r="G10" i="5" l="1"/>
  <c r="G16" i="5" s="1"/>
  <c r="G31" i="5" s="1"/>
  <c r="H10" i="5" s="1"/>
  <c r="M13" i="35"/>
  <c r="G14" i="19"/>
  <c r="M17" i="35" l="1"/>
  <c r="M16" i="35"/>
  <c r="M14" i="35"/>
  <c r="M18" i="35"/>
  <c r="M24" i="35"/>
  <c r="H15" i="5"/>
  <c r="I25" i="5" l="1"/>
  <c r="H13" i="5"/>
  <c r="H14" i="5"/>
  <c r="H12" i="5"/>
  <c r="H11" i="5"/>
  <c r="I31" i="5" l="1"/>
  <c r="H16" i="5"/>
  <c r="H31" i="5" s="1"/>
  <c r="J13" i="5" l="1"/>
  <c r="J11" i="5"/>
  <c r="J14" i="5"/>
  <c r="J10" i="5"/>
  <c r="J12" i="5"/>
  <c r="J15" i="5"/>
  <c r="G18" i="3"/>
  <c r="H18" i="3" s="1"/>
  <c r="E24" i="5" s="1"/>
  <c r="G17" i="3"/>
  <c r="C23" i="5" s="1"/>
  <c r="E26" i="3"/>
  <c r="D26" i="3"/>
  <c r="D19" i="3"/>
  <c r="C19" i="3"/>
  <c r="J16" i="5" l="1"/>
  <c r="C24" i="5"/>
  <c r="K18" i="3"/>
  <c r="N18" i="3" s="1"/>
  <c r="H17" i="3"/>
  <c r="K17" i="3"/>
  <c r="N17" i="3" s="1"/>
  <c r="D9" i="3"/>
  <c r="C9" i="3"/>
  <c r="G8" i="3"/>
  <c r="K8" i="3" s="1"/>
  <c r="G7" i="3"/>
  <c r="K7" i="3" s="1"/>
  <c r="G6" i="3"/>
  <c r="K6" i="3" s="1"/>
  <c r="E23" i="5" l="1"/>
  <c r="H19" i="3"/>
  <c r="N19" i="3"/>
  <c r="C20" i="5"/>
  <c r="C19" i="5"/>
  <c r="C22" i="5"/>
  <c r="C21" i="5"/>
  <c r="N7" i="3"/>
  <c r="H5" i="3"/>
  <c r="H7" i="3"/>
  <c r="E21" i="5" s="1"/>
  <c r="N8" i="3"/>
  <c r="N6" i="3"/>
  <c r="H6" i="3"/>
  <c r="E20" i="5" s="1"/>
  <c r="H8" i="3"/>
  <c r="E22" i="5" s="1"/>
  <c r="E19" i="5" l="1"/>
  <c r="E25" i="5" s="1"/>
  <c r="H9" i="3"/>
  <c r="G10" i="3" s="1"/>
  <c r="F24" i="3" s="1"/>
  <c r="N9" i="3"/>
  <c r="G20" i="3"/>
  <c r="F25" i="3" s="1"/>
  <c r="H26" i="35" l="1"/>
  <c r="H6" i="35"/>
  <c r="O6" i="35" s="1"/>
  <c r="P6" i="35" s="1"/>
  <c r="H13" i="35"/>
  <c r="O13" i="35" s="1"/>
  <c r="P13" i="35" s="1"/>
  <c r="H18" i="35"/>
  <c r="O18" i="35" s="1"/>
  <c r="P18" i="35" s="1"/>
  <c r="H21" i="35"/>
  <c r="O21" i="35" s="1"/>
  <c r="P21" i="35" s="1"/>
  <c r="H8" i="35"/>
  <c r="O8" i="35" s="1"/>
  <c r="P8" i="35" s="1"/>
  <c r="H14" i="35"/>
  <c r="O14" i="35" s="1"/>
  <c r="P14" i="35" s="1"/>
  <c r="H19" i="35"/>
  <c r="O19" i="35" s="1"/>
  <c r="P19" i="35" s="1"/>
  <c r="H22" i="35"/>
  <c r="O22" i="35" s="1"/>
  <c r="P22" i="35" s="1"/>
  <c r="H15" i="35"/>
  <c r="O15" i="35" s="1"/>
  <c r="P15" i="35" s="1"/>
  <c r="H20" i="35"/>
  <c r="O20" i="35" s="1"/>
  <c r="P20" i="35" s="1"/>
  <c r="H5" i="35"/>
  <c r="H9" i="35"/>
  <c r="O9" i="35" s="1"/>
  <c r="P9" i="35" s="1"/>
  <c r="H16" i="35"/>
  <c r="O16" i="35" s="1"/>
  <c r="P16" i="35" s="1"/>
  <c r="H7" i="35"/>
  <c r="O7" i="35" s="1"/>
  <c r="P7" i="35" s="1"/>
  <c r="H17" i="35"/>
  <c r="O17" i="35" s="1"/>
  <c r="P17" i="35" s="1"/>
  <c r="L35" i="5"/>
  <c r="F26" i="3"/>
  <c r="H32" i="15"/>
  <c r="H31" i="15"/>
  <c r="H30" i="15"/>
  <c r="H21" i="15"/>
  <c r="H20" i="15"/>
  <c r="H19" i="15"/>
  <c r="H16" i="15"/>
  <c r="H15" i="15"/>
  <c r="H11" i="15"/>
  <c r="H10" i="15"/>
  <c r="H9" i="15"/>
  <c r="H7" i="15"/>
  <c r="G4" i="15"/>
  <c r="H4" i="15" s="1"/>
  <c r="H5" i="15" s="1"/>
  <c r="H41" i="14"/>
  <c r="H40" i="14"/>
  <c r="H36" i="14"/>
  <c r="H35" i="14"/>
  <c r="H34" i="14"/>
  <c r="G37" i="14"/>
  <c r="G31" i="14"/>
  <c r="G26" i="14"/>
  <c r="H25" i="14"/>
  <c r="H24" i="14"/>
  <c r="H23" i="14"/>
  <c r="H22" i="14"/>
  <c r="H19" i="14"/>
  <c r="H18" i="14"/>
  <c r="H17" i="14"/>
  <c r="H13" i="14"/>
  <c r="H12" i="14"/>
  <c r="H11" i="14"/>
  <c r="H10" i="14"/>
  <c r="H9" i="14"/>
  <c r="H8" i="14"/>
  <c r="H7" i="14"/>
  <c r="G4" i="14"/>
  <c r="H4" i="14" s="1"/>
  <c r="H5" i="14" s="1"/>
  <c r="H13" i="13"/>
  <c r="H33" i="13"/>
  <c r="H29" i="13"/>
  <c r="H28" i="13"/>
  <c r="H40" i="13"/>
  <c r="H39" i="13"/>
  <c r="H38" i="13"/>
  <c r="H35" i="13"/>
  <c r="H34" i="13"/>
  <c r="H32" i="13"/>
  <c r="H25" i="13"/>
  <c r="H24" i="13"/>
  <c r="H23" i="13"/>
  <c r="H19" i="13"/>
  <c r="H18" i="13"/>
  <c r="H17" i="13"/>
  <c r="H12" i="13"/>
  <c r="H11" i="13"/>
  <c r="H10" i="13"/>
  <c r="H9" i="13"/>
  <c r="H8" i="13"/>
  <c r="H7" i="13"/>
  <c r="G4" i="13"/>
  <c r="H4" i="13" s="1"/>
  <c r="H5" i="13" s="1"/>
  <c r="G23" i="12"/>
  <c r="H23" i="12" s="1"/>
  <c r="H24" i="35" l="1"/>
  <c r="O5" i="35"/>
  <c r="G42" i="14"/>
  <c r="G20" i="14"/>
  <c r="G27" i="15"/>
  <c r="G17" i="15"/>
  <c r="G22" i="15"/>
  <c r="G33" i="15"/>
  <c r="G5" i="15"/>
  <c r="G12" i="15"/>
  <c r="G5" i="14"/>
  <c r="H22" i="15"/>
  <c r="H14" i="15"/>
  <c r="H17" i="15" s="1"/>
  <c r="H8" i="15"/>
  <c r="H12" i="15" s="1"/>
  <c r="H29" i="15"/>
  <c r="H33" i="15" s="1"/>
  <c r="H24" i="15"/>
  <c r="H27" i="15" s="1"/>
  <c r="G14" i="14"/>
  <c r="H14" i="14"/>
  <c r="H26" i="14"/>
  <c r="H16" i="14"/>
  <c r="H20" i="14" s="1"/>
  <c r="H33" i="14"/>
  <c r="H37" i="14" s="1"/>
  <c r="H39" i="14"/>
  <c r="H42" i="14" s="1"/>
  <c r="H28" i="14"/>
  <c r="H31" i="14" s="1"/>
  <c r="G36" i="13"/>
  <c r="G26" i="13"/>
  <c r="H36" i="13"/>
  <c r="H14" i="13"/>
  <c r="G20" i="13"/>
  <c r="G30" i="13"/>
  <c r="G5" i="13"/>
  <c r="H41" i="13"/>
  <c r="H22" i="13"/>
  <c r="H26" i="13" s="1"/>
  <c r="H30" i="13"/>
  <c r="G41" i="13"/>
  <c r="G14" i="13"/>
  <c r="H16" i="13"/>
  <c r="H20" i="13" s="1"/>
  <c r="P5" i="35" l="1"/>
  <c r="G43" i="14"/>
  <c r="C14" i="5" s="1"/>
  <c r="E14" i="5" s="1"/>
  <c r="G42" i="13"/>
  <c r="C13" i="5" s="1"/>
  <c r="E13" i="5" s="1"/>
  <c r="G34" i="15"/>
  <c r="C15" i="5" s="1"/>
  <c r="E15" i="5" s="1"/>
  <c r="H34" i="15"/>
  <c r="D15" i="5" s="1"/>
  <c r="H43" i="14"/>
  <c r="D14" i="5" s="1"/>
  <c r="H42" i="13"/>
  <c r="D13" i="5" s="1"/>
  <c r="G30" i="12" l="1"/>
  <c r="H30" i="12" s="1"/>
  <c r="G26" i="12"/>
  <c r="H26" i="12" s="1"/>
  <c r="G25" i="12"/>
  <c r="H25" i="12" s="1"/>
  <c r="G10" i="12"/>
  <c r="H10" i="12" s="1"/>
  <c r="G9" i="12"/>
  <c r="H9" i="12" s="1"/>
  <c r="G8" i="12"/>
  <c r="H8" i="12" s="1"/>
  <c r="G41" i="12"/>
  <c r="H41" i="12" s="1"/>
  <c r="G43" i="12"/>
  <c r="H43" i="12" s="1"/>
  <c r="G42" i="12"/>
  <c r="H42" i="12" s="1"/>
  <c r="G40" i="12"/>
  <c r="G37" i="12"/>
  <c r="H37" i="12" s="1"/>
  <c r="G36" i="12"/>
  <c r="G35" i="12"/>
  <c r="H35" i="12" s="1"/>
  <c r="G32" i="12"/>
  <c r="H32" i="12" s="1"/>
  <c r="G31" i="12"/>
  <c r="G29" i="12"/>
  <c r="H29" i="12" s="1"/>
  <c r="G24" i="12"/>
  <c r="H24" i="12" s="1"/>
  <c r="G22" i="12"/>
  <c r="H22" i="12" s="1"/>
  <c r="G19" i="12"/>
  <c r="H19" i="12" s="1"/>
  <c r="G18" i="12"/>
  <c r="H18" i="12" s="1"/>
  <c r="G17" i="12"/>
  <c r="H17" i="12" s="1"/>
  <c r="G16" i="12"/>
  <c r="G13" i="12"/>
  <c r="H13" i="12" s="1"/>
  <c r="G12" i="12"/>
  <c r="H12" i="12" s="1"/>
  <c r="G11" i="12"/>
  <c r="H11" i="12" s="1"/>
  <c r="G7" i="12"/>
  <c r="G4" i="12"/>
  <c r="H4" i="12" s="1"/>
  <c r="H5" i="12" s="1"/>
  <c r="G44" i="11"/>
  <c r="H44" i="11" s="1"/>
  <c r="G30" i="11"/>
  <c r="H30" i="11" s="1"/>
  <c r="G17" i="11"/>
  <c r="H17" i="11" s="1"/>
  <c r="G12" i="11"/>
  <c r="H12" i="11" s="1"/>
  <c r="G9" i="11"/>
  <c r="H9" i="11" s="1"/>
  <c r="G8" i="11"/>
  <c r="H8" i="11" s="1"/>
  <c r="G6" i="11"/>
  <c r="H6" i="11" s="1"/>
  <c r="G10" i="11"/>
  <c r="H10" i="11" s="1"/>
  <c r="G7" i="11"/>
  <c r="H7" i="11" s="1"/>
  <c r="G5" i="11"/>
  <c r="G11" i="11"/>
  <c r="H11" i="11" s="1"/>
  <c r="G51" i="11"/>
  <c r="H51" i="11" s="1"/>
  <c r="G50" i="11"/>
  <c r="H50" i="11" s="1"/>
  <c r="G49" i="11"/>
  <c r="G46" i="11"/>
  <c r="H46" i="11" s="1"/>
  <c r="G45" i="11"/>
  <c r="H45" i="11" s="1"/>
  <c r="G43" i="11"/>
  <c r="G38" i="11"/>
  <c r="H38" i="11" s="1"/>
  <c r="H41" i="11" s="1"/>
  <c r="G35" i="11"/>
  <c r="H35" i="11" s="1"/>
  <c r="G34" i="11"/>
  <c r="H34" i="11" s="1"/>
  <c r="G33" i="11"/>
  <c r="H33" i="11" s="1"/>
  <c r="G32" i="11"/>
  <c r="H32" i="11" s="1"/>
  <c r="G31" i="11"/>
  <c r="H31" i="11" s="1"/>
  <c r="G29" i="11"/>
  <c r="G26" i="11"/>
  <c r="H26" i="11" s="1"/>
  <c r="G25" i="11"/>
  <c r="H25" i="11" s="1"/>
  <c r="G24" i="11"/>
  <c r="H24" i="11" s="1"/>
  <c r="G23" i="11"/>
  <c r="G20" i="11"/>
  <c r="H20" i="11" s="1"/>
  <c r="G19" i="11"/>
  <c r="H19" i="11" s="1"/>
  <c r="G18" i="11"/>
  <c r="H18" i="11" s="1"/>
  <c r="G16" i="11"/>
  <c r="H16" i="11" s="1"/>
  <c r="G15" i="11"/>
  <c r="G4" i="11"/>
  <c r="G40" i="10"/>
  <c r="H40" i="10" s="1"/>
  <c r="G41" i="10"/>
  <c r="H41" i="10" s="1"/>
  <c r="G39" i="10"/>
  <c r="H39" i="10" s="1"/>
  <c r="G35" i="10"/>
  <c r="H35" i="10" s="1"/>
  <c r="G36" i="10"/>
  <c r="H36" i="10" s="1"/>
  <c r="G34" i="10"/>
  <c r="H34" i="10" s="1"/>
  <c r="G30" i="10"/>
  <c r="H30" i="10" s="1"/>
  <c r="G31" i="10"/>
  <c r="G28" i="10"/>
  <c r="H28" i="10" s="1"/>
  <c r="H7" i="10"/>
  <c r="G9" i="10"/>
  <c r="H9" i="10" s="1"/>
  <c r="G21" i="10"/>
  <c r="H21" i="10" s="1"/>
  <c r="G22" i="10"/>
  <c r="H22" i="10" s="1"/>
  <c r="G23" i="10"/>
  <c r="H23" i="10" s="1"/>
  <c r="G24" i="10"/>
  <c r="H24" i="10" s="1"/>
  <c r="G25" i="10"/>
  <c r="H25" i="10" s="1"/>
  <c r="G20" i="10"/>
  <c r="H20" i="10" s="1"/>
  <c r="G17" i="10"/>
  <c r="H17" i="10" s="1"/>
  <c r="G16" i="10"/>
  <c r="H16" i="10" s="1"/>
  <c r="G15" i="10"/>
  <c r="H15" i="10" s="1"/>
  <c r="G14" i="10"/>
  <c r="H14" i="10" s="1"/>
  <c r="G11" i="10"/>
  <c r="H11" i="10" s="1"/>
  <c r="G10" i="10"/>
  <c r="H10" i="10" s="1"/>
  <c r="G8" i="10"/>
  <c r="H8" i="10" s="1"/>
  <c r="G4" i="10"/>
  <c r="H4" i="10" s="1"/>
  <c r="H5" i="10" s="1"/>
  <c r="H7" i="12" l="1"/>
  <c r="H14" i="12" s="1"/>
  <c r="G14" i="12"/>
  <c r="G44" i="12"/>
  <c r="G38" i="12"/>
  <c r="H27" i="12"/>
  <c r="G27" i="12"/>
  <c r="G20" i="12"/>
  <c r="G33" i="12"/>
  <c r="G5" i="12"/>
  <c r="H16" i="12"/>
  <c r="H20" i="12" s="1"/>
  <c r="H31" i="12"/>
  <c r="H33" i="12" s="1"/>
  <c r="H40" i="12"/>
  <c r="H44" i="12" s="1"/>
  <c r="H36" i="12"/>
  <c r="H38" i="12" s="1"/>
  <c r="G27" i="11"/>
  <c r="G13" i="11"/>
  <c r="H5" i="11"/>
  <c r="H4" i="11"/>
  <c r="G47" i="11"/>
  <c r="H43" i="11"/>
  <c r="H47" i="11" s="1"/>
  <c r="G21" i="11"/>
  <c r="G41" i="11"/>
  <c r="G36" i="11"/>
  <c r="G52" i="11"/>
  <c r="H15" i="11"/>
  <c r="H21" i="11" s="1"/>
  <c r="H29" i="11"/>
  <c r="H36" i="11" s="1"/>
  <c r="H23" i="11"/>
  <c r="H27" i="11" s="1"/>
  <c r="H49" i="11"/>
  <c r="H52" i="11" s="1"/>
  <c r="G32" i="10"/>
  <c r="H42" i="10"/>
  <c r="G42" i="10"/>
  <c r="H37" i="10"/>
  <c r="H31" i="10"/>
  <c r="H32" i="10" s="1"/>
  <c r="G37" i="10"/>
  <c r="H26" i="10"/>
  <c r="G26" i="10"/>
  <c r="H18" i="10"/>
  <c r="G18" i="10"/>
  <c r="H12" i="10"/>
  <c r="G12" i="10"/>
  <c r="G5" i="10"/>
  <c r="G43" i="10" l="1"/>
  <c r="C10" i="5" s="1"/>
  <c r="E10" i="5" s="1"/>
  <c r="G45" i="12"/>
  <c r="C12" i="5" s="1"/>
  <c r="E12" i="5" s="1"/>
  <c r="H45" i="12"/>
  <c r="D12" i="5" s="1"/>
  <c r="H13" i="11"/>
  <c r="H53" i="11" s="1"/>
  <c r="D11" i="5" s="1"/>
  <c r="G53" i="11"/>
  <c r="C11" i="5" s="1"/>
  <c r="E11" i="5" s="1"/>
  <c r="H43" i="10"/>
  <c r="D10" i="5" s="1"/>
  <c r="C25" i="5" l="1"/>
  <c r="E16" i="5" l="1"/>
  <c r="G10" i="35" s="1"/>
  <c r="G24" i="35" l="1"/>
  <c r="O10" i="35"/>
  <c r="E29" i="5"/>
  <c r="E31" i="5" s="1"/>
  <c r="P10" i="35" l="1"/>
  <c r="O24" i="35"/>
  <c r="E33" i="5"/>
  <c r="F6" i="5" s="1"/>
  <c r="E34" i="5"/>
  <c r="F28" i="5" l="1"/>
  <c r="F15" i="5"/>
  <c r="F19" i="5"/>
  <c r="F23" i="5"/>
  <c r="F27" i="5"/>
  <c r="F29" i="5" s="1"/>
  <c r="F13" i="5"/>
  <c r="F14" i="5"/>
  <c r="J22" i="5"/>
  <c r="F20" i="5"/>
  <c r="F10" i="5"/>
  <c r="J21" i="5"/>
  <c r="J20" i="5"/>
  <c r="F22" i="5"/>
  <c r="F12" i="5"/>
  <c r="F11" i="5"/>
  <c r="F21" i="5"/>
  <c r="J19" i="5"/>
  <c r="F30" i="5"/>
  <c r="F24" i="5"/>
  <c r="F5" i="5"/>
  <c r="F7" i="5" s="1"/>
  <c r="J25" i="5" l="1"/>
  <c r="J31" i="5" s="1"/>
  <c r="F25" i="5"/>
  <c r="F16" i="5"/>
  <c r="F33" i="5" s="1"/>
  <c r="F31" i="5" l="1"/>
  <c r="I16" i="35"/>
  <c r="O28" i="35" l="1"/>
  <c r="I15" i="35"/>
  <c r="I17" i="35"/>
  <c r="I14" i="35"/>
  <c r="I20" i="35"/>
  <c r="I22" i="35"/>
  <c r="I13" i="35"/>
  <c r="I6" i="35"/>
  <c r="I9" i="35"/>
  <c r="I8" i="35"/>
  <c r="I10" i="35"/>
  <c r="I21" i="35"/>
  <c r="I12" i="35"/>
  <c r="I5" i="35"/>
  <c r="P24" i="35"/>
  <c r="P28" i="35" s="1"/>
  <c r="I18" i="35"/>
  <c r="I19" i="35"/>
  <c r="I7" i="35"/>
  <c r="I24" i="35" l="1"/>
</calcChain>
</file>

<file path=xl/comments1.xml><?xml version="1.0" encoding="utf-8"?>
<comments xmlns="http://schemas.openxmlformats.org/spreadsheetml/2006/main">
  <authors>
    <author>MIPC</author>
  </authors>
  <commentList>
    <comment ref="A27" authorId="0" shapeId="0">
      <text>
        <r>
          <rPr>
            <b/>
            <sz val="9"/>
            <color indexed="81"/>
            <rFont val="Tahoma"/>
            <family val="2"/>
          </rPr>
          <t>de donde sale el valor de cada uno de estos item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Hay valores que corresponden a cálculos que no se encuentran en el archivo Excel, además de valores que provienen de otro documento, se solicita tener en cuenta la observación 1 de este documento.</t>
        </r>
      </text>
    </comment>
    <comment ref="E27" authorId="0" shapeId="0">
      <text>
        <r>
          <rPr>
            <b/>
            <sz val="9"/>
            <color indexed="81"/>
            <rFont val="Tahoma"/>
            <family val="2"/>
          </rPr>
          <t>Valor conectado a otro documento</t>
        </r>
      </text>
    </comment>
  </commentList>
</comments>
</file>

<file path=xl/comments2.xml><?xml version="1.0" encoding="utf-8"?>
<comments xmlns="http://schemas.openxmlformats.org/spreadsheetml/2006/main">
  <authors>
    <author>wilson camues</author>
  </authors>
  <commentList>
    <comment ref="F30" authorId="0" shapeId="0">
      <text>
        <r>
          <rPr>
            <b/>
            <sz val="9"/>
            <color indexed="81"/>
            <rFont val="Tahoma"/>
            <family val="2"/>
          </rPr>
          <t>wilson camues:</t>
        </r>
        <r>
          <rPr>
            <sz val="9"/>
            <color indexed="81"/>
            <rFont val="Tahoma"/>
            <family val="2"/>
          </rPr>
          <t xml:space="preserve">
viene por 200 ML</t>
        </r>
      </text>
    </comment>
  </commentList>
</comments>
</file>

<file path=xl/comments3.xml><?xml version="1.0" encoding="utf-8"?>
<comments xmlns="http://schemas.openxmlformats.org/spreadsheetml/2006/main">
  <authors>
    <author>LENOVO</author>
  </authors>
  <commentList>
    <comment ref="D11" authorId="0" shapeId="0">
      <text>
        <r>
          <rPr>
            <b/>
            <sz val="9"/>
            <color indexed="81"/>
            <rFont val="Tahoma"/>
            <family val="2"/>
          </rPr>
          <t xml:space="preserve">=4,08*3horas*20 días
</t>
        </r>
      </text>
    </comment>
  </commentList>
</comments>
</file>

<file path=xl/sharedStrings.xml><?xml version="1.0" encoding="utf-8"?>
<sst xmlns="http://schemas.openxmlformats.org/spreadsheetml/2006/main" count="1550" uniqueCount="577">
  <si>
    <t>TOTAL</t>
  </si>
  <si>
    <t>SEMILLA</t>
  </si>
  <si>
    <t>ACTIVIDADES</t>
  </si>
  <si>
    <t>CANTIDAD</t>
  </si>
  <si>
    <t>DETALLE</t>
  </si>
  <si>
    <t>% INVERSION</t>
  </si>
  <si>
    <t>SUBTOTAL</t>
  </si>
  <si>
    <t>Valor a cofinanciar SGR</t>
  </si>
  <si>
    <t>MESES</t>
  </si>
  <si>
    <t>PARCELA PAPA (1/2has)</t>
  </si>
  <si>
    <t>PARCELA CEBOLLA BULBO (1/2 has)</t>
  </si>
  <si>
    <t>PARCELA MAIZ (1/2)</t>
  </si>
  <si>
    <t>PARCELA TRIGO (1/2Has)</t>
  </si>
  <si>
    <t>PARCELA CEBADA (1/2Has)</t>
  </si>
  <si>
    <t>PARCELA FORRAJES (1/2Has)</t>
  </si>
  <si>
    <t>COSTO UNITARIO</t>
  </si>
  <si>
    <t xml:space="preserve">MESES </t>
  </si>
  <si>
    <t>MUNICIPIOS</t>
  </si>
  <si>
    <t>COSTO TOTAL</t>
  </si>
  <si>
    <t>UNIDAD</t>
  </si>
  <si>
    <t>1.1.1</t>
  </si>
  <si>
    <t>1.1.2</t>
  </si>
  <si>
    <t>HERRAMIENTAS</t>
  </si>
  <si>
    <t>TOTAL DEL PROYECTO</t>
  </si>
  <si>
    <t>INSUMOS PARCELAS DEMOSTRATIVAS</t>
  </si>
  <si>
    <t>MANO DE OBRA CALIFICADA</t>
  </si>
  <si>
    <t>CANTIDAD / 1/2Has</t>
  </si>
  <si>
    <t>PRECIO UNITARIO</t>
  </si>
  <si>
    <t>Kg</t>
  </si>
  <si>
    <t>L</t>
  </si>
  <si>
    <t>bulto (50Kg)</t>
  </si>
  <si>
    <t>DAP</t>
  </si>
  <si>
    <t>KCL</t>
  </si>
  <si>
    <t>Lb</t>
  </si>
  <si>
    <t xml:space="preserve">BOMBA DE ESPALDA </t>
  </si>
  <si>
    <t>20L</t>
  </si>
  <si>
    <t>KIT BIOSEGUIRIDAD</t>
  </si>
  <si>
    <t>mascarilla+guantes</t>
  </si>
  <si>
    <t>SACAS PLASTICAS</t>
  </si>
  <si>
    <t>SACA 50Kg</t>
  </si>
  <si>
    <t>INSUMOS Y HERRAMIENTAS PARA  ADELANTAR PROCESOS DEMOSTRATIVOS DE MANEJO AGRONÓMICO EN EL CULTIVO DE PAPA</t>
  </si>
  <si>
    <t>Carbonato de Calcio y oxido de magnesio</t>
  </si>
  <si>
    <t>NOMBRE COMERCIAL</t>
  </si>
  <si>
    <t>Semilla certificada Capiro</t>
  </si>
  <si>
    <t>Papa Capiro Comercial</t>
  </si>
  <si>
    <t>enmienda triple</t>
  </si>
  <si>
    <t>fertilizante SIR</t>
  </si>
  <si>
    <t>cosmo R</t>
  </si>
  <si>
    <t>Elementos menores</t>
  </si>
  <si>
    <t>Materia Organica</t>
  </si>
  <si>
    <t>FERTILIZANTE FOLIAR</t>
  </si>
  <si>
    <t>FERTILIZANTE EDAFICO</t>
  </si>
  <si>
    <t>Clorhidrato de Oxitetraciclina</t>
  </si>
  <si>
    <t>Penthyopirad</t>
  </si>
  <si>
    <t>Fontelis</t>
  </si>
  <si>
    <t>Trivia</t>
  </si>
  <si>
    <t>Cymoxanil + Propineb</t>
  </si>
  <si>
    <t>Fitoraz</t>
  </si>
  <si>
    <t>Thiabendazole + Trifloxistrobin</t>
  </si>
  <si>
    <t>Nativo</t>
  </si>
  <si>
    <t>Pyraclostrobin + Epoxiconazole</t>
  </si>
  <si>
    <t>Opera</t>
  </si>
  <si>
    <t>Fluopicolide + Propineb</t>
  </si>
  <si>
    <t>Litro</t>
  </si>
  <si>
    <t xml:space="preserve">FUNGICIDAS </t>
  </si>
  <si>
    <t>INSECTICIDAS</t>
  </si>
  <si>
    <t>Fertilizante compuesto (10-11-29-2-5-3)</t>
  </si>
  <si>
    <t>fertilizante Reabone</t>
  </si>
  <si>
    <t>Elementos menores y secundarios</t>
  </si>
  <si>
    <t>Cosmoquel balance menores</t>
  </si>
  <si>
    <t>Sulfato de magnesio</t>
  </si>
  <si>
    <t>Kelatex magnesio</t>
  </si>
  <si>
    <t>Fosfito de potasio</t>
  </si>
  <si>
    <t>Prevenphos</t>
  </si>
  <si>
    <t>Boro</t>
  </si>
  <si>
    <t>Cosmo ion Boro</t>
  </si>
  <si>
    <t>Spinetoram</t>
  </si>
  <si>
    <t>Exalt</t>
  </si>
  <si>
    <t>Cyanthraniliprole</t>
  </si>
  <si>
    <t>Preza</t>
  </si>
  <si>
    <t>Cloranthraniliprole</t>
  </si>
  <si>
    <t>Coragen</t>
  </si>
  <si>
    <t>ADICIONALES</t>
  </si>
  <si>
    <t>Glifosato</t>
  </si>
  <si>
    <t>Roundup</t>
  </si>
  <si>
    <t>Quelatos y citratos</t>
  </si>
  <si>
    <t>Cosmo aguas</t>
  </si>
  <si>
    <t>Alcoholes lauricos y etioxilados</t>
  </si>
  <si>
    <t>Inex - A</t>
  </si>
  <si>
    <t>Gal</t>
  </si>
  <si>
    <t>Royal condor</t>
  </si>
  <si>
    <t>4 PARCELAS PROYECTO (40.000m2)</t>
  </si>
  <si>
    <t>PARCELA (5.000m2)</t>
  </si>
  <si>
    <t>INSUMOS Y HERRAMIENTAS PARA  ADELANTAR PROCESOS DEMOSTRATIVOS DE MANEJO AGRONÓMICO EN EL CULTIVO DE CEBOLLA DE BULBO</t>
  </si>
  <si>
    <t>Semilla certificada Cebolla</t>
  </si>
  <si>
    <t>Cebolla rexor o cristal White Comercial</t>
  </si>
  <si>
    <t>Polisombra</t>
  </si>
  <si>
    <t>postes Guadua</t>
  </si>
  <si>
    <t>unidad</t>
  </si>
  <si>
    <t>puntillas (1¨)</t>
  </si>
  <si>
    <t>m lineal</t>
  </si>
  <si>
    <t>grapas</t>
  </si>
  <si>
    <t>grapadora industrial</t>
  </si>
  <si>
    <t>mano de obra no calificada</t>
  </si>
  <si>
    <t>jornal</t>
  </si>
  <si>
    <t>SEMILLA y SEMILLERO TEMPORAL</t>
  </si>
  <si>
    <t>estimulador de crecimiento</t>
  </si>
  <si>
    <t>Proggib</t>
  </si>
  <si>
    <t>frasco (500g)</t>
  </si>
  <si>
    <t>plastico calibre 6</t>
  </si>
  <si>
    <t>fosfato Diamonico</t>
  </si>
  <si>
    <t>Urea (39-0-0-5-3)</t>
  </si>
  <si>
    <t>Cloruro de Potasio (0-0-60)</t>
  </si>
  <si>
    <t>Boscalid</t>
  </si>
  <si>
    <t>Cantus</t>
  </si>
  <si>
    <t>Oxyfluorfen</t>
  </si>
  <si>
    <t>Goal</t>
  </si>
  <si>
    <t>INSUMOS Y HERRAMIENTAS PARA  ADELANTAR PROCESOS DEMOSTRATIVOS DE MANEJO AGRONÓMICO EN EL CULTIVO DE MAIZ</t>
  </si>
  <si>
    <t>Semilla certificada Maiz Blanco semestral</t>
  </si>
  <si>
    <t>Suflt</t>
  </si>
  <si>
    <t>Sulfato de Amonio (21-0-0-24)</t>
  </si>
  <si>
    <t>Clorothalonil</t>
  </si>
  <si>
    <t>Daconil</t>
  </si>
  <si>
    <t>Propiconazole</t>
  </si>
  <si>
    <t>Tilt</t>
  </si>
  <si>
    <t>MATRACA (CHUZO) para MAIZ</t>
  </si>
  <si>
    <t>Clorathraniliprole</t>
  </si>
  <si>
    <t>Thiodicarb</t>
  </si>
  <si>
    <t>Larvin</t>
  </si>
  <si>
    <t>Fipronil</t>
  </si>
  <si>
    <t>Regent</t>
  </si>
  <si>
    <t>Betacylfutrin</t>
  </si>
  <si>
    <t>Connect Duo</t>
  </si>
  <si>
    <t>1/2L</t>
  </si>
  <si>
    <t>INSUMOS Y HERRAMIENTAS PARA  ADELANTAR PROCESOS DEMOSTRATIVOS DE MANEJO AGRONÓMICO EN EL CULTIVO DE CEBADA</t>
  </si>
  <si>
    <t xml:space="preserve">Semilla certificada Cebada semestral CEBADA L-128  grano y forraje </t>
  </si>
  <si>
    <t>Fenalce L-128</t>
  </si>
  <si>
    <t>Carboxim + thiram</t>
  </si>
  <si>
    <t>Vitavax</t>
  </si>
  <si>
    <t>Metsulfuron metil</t>
  </si>
  <si>
    <t>Eureka</t>
  </si>
  <si>
    <t>sobre (200g)</t>
  </si>
  <si>
    <t>Materia Organica (compostada)</t>
  </si>
  <si>
    <t>INSUMOS Y HERRAMIENTAS PARA  ADELANTAR PROCESOS DEMOSTRATIVOS DE MANEJO AGRONÓMICO EN EL CULTIVO DE TRIGO</t>
  </si>
  <si>
    <t xml:space="preserve">Semilla certificada Trigo semestral grano y forraje </t>
  </si>
  <si>
    <t>Maiz Blanco Comercial (UDENAR granizo 100)</t>
  </si>
  <si>
    <t xml:space="preserve">FNC FENIX Semilla  </t>
  </si>
  <si>
    <t>kg</t>
  </si>
  <si>
    <t xml:space="preserve">Pasto forrajero Rye grass </t>
  </si>
  <si>
    <t xml:space="preserve">Semilla certificada Pasto Forrajero  </t>
  </si>
  <si>
    <t xml:space="preserve"> COMPONENTE. MANO DE OBRA CALIFICADA ACOMPAÑAMIENTO TECNICO AGRÍCOLA O AGRÓNOMO</t>
  </si>
  <si>
    <t xml:space="preserve">CARGA PRESTACIONAL MENSUAL (IBC 40%) </t>
  </si>
  <si>
    <t>Pago de obligaciones legales.</t>
  </si>
  <si>
    <t xml:space="preserve">N° </t>
  </si>
  <si>
    <t xml:space="preserve">MUNICIPIOS </t>
  </si>
  <si>
    <t>PROFESIONALES Y/O TECNICOS</t>
  </si>
  <si>
    <t>VALOR PAGO/ UNITARIO</t>
  </si>
  <si>
    <t>AUXILIO TRANSPORTE/ MES</t>
  </si>
  <si>
    <t>VALOR TOTAL/MES</t>
  </si>
  <si>
    <t>VALOR TOTAL/ CONTRATO</t>
  </si>
  <si>
    <t>DEDICACIÓN</t>
  </si>
  <si>
    <t>TOTAL INVERSIÓN</t>
  </si>
  <si>
    <t>GUAITARILLA</t>
  </si>
  <si>
    <t>IMUES</t>
  </si>
  <si>
    <t>OSPINA</t>
  </si>
  <si>
    <t>SAPUYES</t>
  </si>
  <si>
    <t>ACOMPAÑAMIENTO TECNICO GUAITARILLA</t>
  </si>
  <si>
    <t>ACOMPAÑAMIENTO TECNICO IMUES</t>
  </si>
  <si>
    <t>ACOMPAÑAMIENTO TECNICO OSPINA</t>
  </si>
  <si>
    <t>ACOMPAÑAMIENTO TECNICO SAPUYES</t>
  </si>
  <si>
    <t>RESULTADOS</t>
  </si>
  <si>
    <t>360 pequeños productores con acceso a acompañamiento tecnico e instrucción profesional que les permitan implementar practicas agronomicas adecuadas para optimizar la producción de cereales, forrajes y hortalizas, en la subregión Sabana, del departamento de Nariño</t>
  </si>
  <si>
    <t>4 municipios de la subregión Sabana beneficiados con dotación de bancos de maquinaria agrícola para alquiler a bajo costo y paquete tecnologico con 6 parcelas demostrativas para adelantar procesos productivos de cereales, forrajes y hortalizas.</t>
  </si>
  <si>
    <t>1.1 Producto</t>
  </si>
  <si>
    <t>2.1 Producto</t>
  </si>
  <si>
    <t>PRODUCTO</t>
  </si>
  <si>
    <t>OBJETIVO ESPECIFICO</t>
  </si>
  <si>
    <t>N°</t>
  </si>
  <si>
    <t>0.0</t>
  </si>
  <si>
    <t xml:space="preserve">
2. Objetivo especifico. Implementar  Prácticas Agronomicas para la preparación del suelo y el mantenimiento de los cultivos de cereales, forrajes y hortalizas, de 360 pequeños productores de la subregión Sabana del departamento de Nariño
</t>
  </si>
  <si>
    <t>1. Objetivo Especifico. Facilitar el acceso a herramientas y mecanismos agrícolas, que permitan la preparación de los suelos para 360 pequeños productores de la subregión Sabana.</t>
  </si>
  <si>
    <t>CONTRATACIÓN DE PERSONAL PARA LA EJECUCIÓN DEL PROYECTO</t>
  </si>
  <si>
    <t xml:space="preserve">realización de contratación de personal calificado para la operación y supervisión del proyecto </t>
  </si>
  <si>
    <t>Dotación de maquinaria para la preparación de suelos agricolas en lineas productivas de cereales, forrajes y hortalizas, como rastrillo, surcadora, arado, remolque, corta pastos y silopack para cada uno de los 4 bancos de maquinaria agrícola.</t>
  </si>
  <si>
    <t>1.1.3</t>
  </si>
  <si>
    <t>Verificación de predios facilitados por asociaciones participantes para adelantar procesos productivos y demostrativos para las escuelas de campo (ECA´s), 6 Hectareas por Municipio.</t>
  </si>
  <si>
    <t>1.1.4</t>
  </si>
  <si>
    <t>1.1.5</t>
  </si>
  <si>
    <t>Aporte de combustibles para el funcionamiento de la maquinaria durante los 3 primeros meses de ejecución por parte del proyecto</t>
  </si>
  <si>
    <t>1.1.6</t>
  </si>
  <si>
    <t>Dotación de insumos y herramientas basicas para adelantar procesos productivos en las parcelas demostrativas de papa, cebolla de bulbo, maiz, cebada, trigo y forrajes.</t>
  </si>
  <si>
    <t>verificación y adecuación depositos municipales para el resguardo de los bancos de maquinaria verde.</t>
  </si>
  <si>
    <t>2.1.1</t>
  </si>
  <si>
    <t>2.1.2</t>
  </si>
  <si>
    <t>2.1.3</t>
  </si>
  <si>
    <t>2.1.4</t>
  </si>
  <si>
    <t>2.1.5</t>
  </si>
  <si>
    <t>Visita de campo a fincas de participantes, verificación de plan operativo y caracterización cultivos transitorios relacionados con Hortalizas, cereales y forrajes.</t>
  </si>
  <si>
    <t xml:space="preserve">ECA´s demostrativa en manejo agronomico y MIPE (manejo integrado de plagas y enfermedades) del cultivo papa y cebolla de bulbo </t>
  </si>
  <si>
    <t>ECA´s demostrativa en manejo agronomico y MIPE (manejo integrado de plagas y enfermedades) del cultivo cereales: Maiz, cebada y Trigo</t>
  </si>
  <si>
    <t>ECA´s demostrativa en manejo y aplicación de maquinaria verde para la preparación del suelo.</t>
  </si>
  <si>
    <t xml:space="preserve">verificación de cumplimiento sobre  planes de alquiler o arrendamiento de maquinaria </t>
  </si>
  <si>
    <t>2.1.6</t>
  </si>
  <si>
    <t>2.1.7</t>
  </si>
  <si>
    <t>2.1.8</t>
  </si>
  <si>
    <t>2.1.9</t>
  </si>
  <si>
    <t>ECA´s demostrativa en manejo agronomico y MIPE (manejo integrado de plagas y enfermedades) en forrajes y practica de Ensilaje mecanico.</t>
  </si>
  <si>
    <t xml:space="preserve">acompañamiento tecnico a las organizaciones, sobre labores de preparación del suelo para establecimiento de cultivos de hortalizas, cereales y forrajes </t>
  </si>
  <si>
    <t>socialización liquidación del proyecto con participantes de los 4 municipios priorizados</t>
  </si>
  <si>
    <t>socialización de ejecución del proyecto con las organizaciones participantes de los 4 municipios priorizados</t>
  </si>
  <si>
    <t>acompañamiento tecnico para adelantar labores de cosecha y poscosecha de cultivos de hortalizas (papa, cebolla de bulbo), cereales (maiz, trigo, cebada) y forrajes (pasturas)</t>
  </si>
  <si>
    <t>2.1.10</t>
  </si>
  <si>
    <t xml:space="preserve"> COMPONENTE. MANO DE OBRA CALIFICADA ACOMPAÑAMIENTO SOCIO EMPRESARIAL</t>
  </si>
  <si>
    <t>D. Prestación de servicios profesionales: Tenicos Social, administradores de empresas, economista o a fines con experiencia minima de 12 meses en manejo de COMUNIDADES y ACTIVIDADES SOCIO EMPRESARIALES, reconocimiento de las zonas a laborar, facilidad de movilización y dedicación prioritaria al proyecto.</t>
  </si>
  <si>
    <t>INVERSIÓN MANO DE OBRA CALIFICADA PARA LA EJECUCIÓN DEL PROYECTO</t>
  </si>
  <si>
    <t>MUNICIPIOS ATENDIDOS</t>
  </si>
  <si>
    <t xml:space="preserve">N° MESES DE DURACIÓN </t>
  </si>
  <si>
    <t>PROFESIONALES A CONTRATAR</t>
  </si>
  <si>
    <t>COSTOS MENSUALES</t>
  </si>
  <si>
    <t>COMPONENTE SOCIO- EMPRESARIAL</t>
  </si>
  <si>
    <t>TOTAL INVERSION</t>
  </si>
  <si>
    <t>GUAITARILLA E IMUES</t>
  </si>
  <si>
    <t>OSPINA Y SAPUYES</t>
  </si>
  <si>
    <t>COMPONENTE PRODUCTIVO</t>
  </si>
  <si>
    <t>ENCUENTROS CON PARTICIPANTES</t>
  </si>
  <si>
    <t>GASTOS ADMINISTRATIVOS Y OPERACIONALES</t>
  </si>
  <si>
    <t>COMPONENTE. CONTRAPARTIDA BENEFICIARIOS REFLEJADA EN ACTIVIDADES CON MANO DE OBRA NO CALIFICADA.</t>
  </si>
  <si>
    <t>JORNALES</t>
  </si>
  <si>
    <t>BENEFICIARIOS</t>
  </si>
  <si>
    <t>COSTO. UNITARIO</t>
  </si>
  <si>
    <t>COSTO. TOTAL</t>
  </si>
  <si>
    <t>apertura de parcelas</t>
  </si>
  <si>
    <t>limpieza, eliminación de malezas</t>
  </si>
  <si>
    <t>transporte a centro de acopio</t>
  </si>
  <si>
    <t xml:space="preserve">Fortalecer los procesos productivos sobre los cultivos  de cereales, forrajes y hortalizas de  360 pequeños productores de los municipios de Ospina, Sapuyes, Imues y Guatarilla; Subregión Sabana del departamento de Nariño. </t>
  </si>
  <si>
    <t>trazado parcelas demostrativas</t>
  </si>
  <si>
    <t>siembra de papa</t>
  </si>
  <si>
    <t>siembra de cebolla de bulbo</t>
  </si>
  <si>
    <t>siembra de maiz blanco</t>
  </si>
  <si>
    <t>siembra de cebada</t>
  </si>
  <si>
    <t>siembra de trigo</t>
  </si>
  <si>
    <t>cosecha de parcelas demostrativas</t>
  </si>
  <si>
    <t>Actividades realizadas mediante mano de obra no calificada para la preparación del terreno, siembra de parcelas demostrativas, mantenimiento agronómico,  labores de cosecha y poscosecha relacionadas con cultivo de papa, cebolla de bulbo, maiz, cebada, trigo y forrajes</t>
  </si>
  <si>
    <t>fertilización y mantenimiento parcelas papa</t>
  </si>
  <si>
    <t>fertilización y mantenimiento parcelas cebada</t>
  </si>
  <si>
    <t>fertilización y mantenimiento parcelas trigo</t>
  </si>
  <si>
    <t>fertilización y mantenimiento parcelas pasto forrajero</t>
  </si>
  <si>
    <t>fumigaciones preventiva y curativa de parcelas papa</t>
  </si>
  <si>
    <t>COSTO MUNICIPIO</t>
  </si>
  <si>
    <t>Adecuación deposito maquinaria</t>
  </si>
  <si>
    <t>operarios</t>
  </si>
  <si>
    <t>filtros</t>
  </si>
  <si>
    <t>aceites</t>
  </si>
  <si>
    <t xml:space="preserve">polizas </t>
  </si>
  <si>
    <t>Actividades realizadas a traves de ADMINISTRACIONES LOCALES (ALCALDIAS)   para el sostenimiento primario de maquinaria verde operada por los municipios de GUAITARILLA, IMUES, OSPINA E IMUES, en labores de preparación de terreno, en actividades agricolas relacionadas con cultivo de papa, cebolla de bulbo, maiz, cebada, trigo y forrajes</t>
  </si>
  <si>
    <t>Cultivo de papa</t>
  </si>
  <si>
    <t>Cultivo de cebolla de bulbo</t>
  </si>
  <si>
    <t>Cultivo de maiz blanco</t>
  </si>
  <si>
    <t>Cultivo de cebada</t>
  </si>
  <si>
    <t>Cultivo de trigo</t>
  </si>
  <si>
    <t>Cultivo de pasto forrajero</t>
  </si>
  <si>
    <t>LABORES DE MANEJO</t>
  </si>
  <si>
    <t>COMPONENTE. CONTRAPARTIDA BENEFICIARIOS REFLEJADA EN ACTIVIDADES CON MANO DE OBRA NO CALIFICADA PARA EL CULTIVO DE PAPA</t>
  </si>
  <si>
    <t>COMPONENTE. CONTRAPARTIDA BENEFICIARIOS REFLEJADA EN ACTIVIDADES CON MANO DE OBRA NO CALIFICADA PARA EL CULTIVO DE CEBOLLA DE BULBO</t>
  </si>
  <si>
    <t xml:space="preserve">fumigaciones preventiva y curativa de parcelas </t>
  </si>
  <si>
    <t>COMPONENTE. CONTRAPARTIDA BENEFICIARIOS REFLEJADA EN ACTIVIDADES CON MANO DE OBRA NO CALIFICADA PARA EL CULTIVO DE MAIZ BLANCO</t>
  </si>
  <si>
    <t>fertilización y mantenimiento parcelas maiz blanco</t>
  </si>
  <si>
    <t>fertilización y mantenimiento parcelas cebolla de bulbo</t>
  </si>
  <si>
    <t>COMPONENTE. CONTRAPARTIDA BENEFICIARIOS REFLEJADA EN ACTIVIDADES CON MANO DE OBRA NO CALIFICADA PARA EL CULTIVO DE CEBADA</t>
  </si>
  <si>
    <t>COMPONENTE. CONTRAPARTIDA BENEFICIARIOS REFLEJADA EN ACTIVIDADES CON MANO DE OBRA NO CALIFICADA PARA EL CULTIVO DE TRIGO</t>
  </si>
  <si>
    <t>COMPONENTE. CONTRAPARTIDA BENEFICIARIOS REFLEJADA EN ACTIVIDADES CON MANO DE OBRA NO CALIFICADA PARA EL CULTIVO DE FORRAJES</t>
  </si>
  <si>
    <t>siembra de pasto forrajero</t>
  </si>
  <si>
    <t>VALOR SOLICITADO SGR</t>
  </si>
  <si>
    <t>VALOR CONTR. PARTICPANTES</t>
  </si>
  <si>
    <t>VALOR CONTR. ALCALDIAS</t>
  </si>
  <si>
    <t>Taller para la asesoria tecnica en procesos de fortalecimiento socio empresarial, contabilidad basica.</t>
  </si>
  <si>
    <t>fertilizante compuesto (12-24-12-10-1,5)</t>
  </si>
  <si>
    <t xml:space="preserve">Nitro xtend </t>
  </si>
  <si>
    <t>cupricina</t>
  </si>
  <si>
    <t>SEMILLAS</t>
  </si>
  <si>
    <t>MATERIALES SEMILLERO CEBOLLA BULBO</t>
  </si>
  <si>
    <t>MUNICIPIO</t>
  </si>
  <si>
    <t>VEREDA</t>
  </si>
  <si>
    <t>ORGANIZACIÓN</t>
  </si>
  <si>
    <t>SAN JOSE</t>
  </si>
  <si>
    <t>ASAGROPYAMB 20 JULIO</t>
  </si>
  <si>
    <t>EL CARMEN</t>
  </si>
  <si>
    <t>NEIRA SANTA ANA</t>
  </si>
  <si>
    <t>EL ALIZAL</t>
  </si>
  <si>
    <t>ASOAGROALIZAL</t>
  </si>
  <si>
    <t xml:space="preserve">SANTA ROSA </t>
  </si>
  <si>
    <t>ASPROLAGO</t>
  </si>
  <si>
    <t>LAS MERCEDES</t>
  </si>
  <si>
    <t>SAMESUR</t>
  </si>
  <si>
    <t>ASOCUNCHILA</t>
  </si>
  <si>
    <t>SAN MIGUEL</t>
  </si>
  <si>
    <t>LA UNION</t>
  </si>
  <si>
    <t>LA FLORESTA</t>
  </si>
  <si>
    <t>LA CRUZ</t>
  </si>
  <si>
    <t>SAN JORGE</t>
  </si>
  <si>
    <t>CRECER</t>
  </si>
  <si>
    <t>CONTRAPARTIDA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</si>
  <si>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</si>
  <si>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</si>
  <si>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</si>
  <si>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</si>
  <si>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</si>
  <si>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</si>
  <si>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</si>
  <si>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</si>
  <si>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</si>
  <si>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</si>
  <si>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CRONOGRAMA DE ACTIVIDADES</t>
  </si>
  <si>
    <t>2.1.11</t>
  </si>
  <si>
    <t xml:space="preserve">ENCUENTROS   PARA  EL ACOMPAÑAMIENTO TECNICO PRODUCTIVO  DEL PROYECTO </t>
  </si>
  <si>
    <t>VALOR UNITARIO</t>
  </si>
  <si>
    <t>N° DE ENCUENTROS</t>
  </si>
  <si>
    <t>BENEFICIARIOS ATENTIDOS</t>
  </si>
  <si>
    <t xml:space="preserve">VALOR </t>
  </si>
  <si>
    <t>COSTOS GLOBAL:  ENCUENTROS</t>
  </si>
  <si>
    <t>ECAS DEMOSTRATIVAS PARA EL MANEJO TECNICO AGRONOMICO</t>
  </si>
  <si>
    <t>SOCIALIZACIÓN EJECUCIÓN</t>
  </si>
  <si>
    <t>SOCIALIZACIÓN CIERRE</t>
  </si>
  <si>
    <t>MESES A CONTRATAR</t>
  </si>
  <si>
    <t xml:space="preserve"> COMPONENTE 1. CONTRATACIÓN PROFESIONALES A CARGO COORDINACIÓN  Y OPERACIÓN PROYECTO</t>
  </si>
  <si>
    <t>CARGA PRESTACIONAL MENSUAL (IBC 40%)  Pago de obligaciones legales.</t>
  </si>
  <si>
    <t>PERFIL PROFESIONAL</t>
  </si>
  <si>
    <t>CARGO</t>
  </si>
  <si>
    <t>PAGO/MES</t>
  </si>
  <si>
    <t>AUXILIO TRANSPORTE/MES</t>
  </si>
  <si>
    <t>COSTO TOTAL CONTRATO</t>
  </si>
  <si>
    <t>COORDINADOR PRODUCTIVO</t>
  </si>
  <si>
    <t>Abogado, con experiencia en documentación legal y seguimiento de procesos juridicos administrativos</t>
  </si>
  <si>
    <t>SUPERVISOR GENERAL ADMINISTRATIVO LEGAL</t>
  </si>
  <si>
    <t>TOTAL CONTRATACIÓN</t>
  </si>
  <si>
    <t>snack y refresco</t>
  </si>
  <si>
    <t>A. Prestación de servicios profesionales: Tenicos agropecuarios, agrícolas, ingenieros agrónomos o a fines con experiencia minima de 12 meses en manejo de cultivos productivos de HORTALIZAS (papa, cebolla de bulbo), CEREALES  (maíz, trigo, cebada) Y/O FORRAJES (pastos en general); reconocimiento de las zonas a laborar, facilidad de movilización y dedicación prioritaria al proyecto.</t>
  </si>
  <si>
    <t>DESCRIPCIÓN</t>
  </si>
  <si>
    <t>RESPONSABLE</t>
  </si>
  <si>
    <t>Se asume como adecuaciones levantamiento de techo en lamina para area de minima de 5 m x 7m (35m2) en predio municipal que garantiza su resguardo y custodia</t>
  </si>
  <si>
    <t>garantia de respaldo contra riesgos o accidentes fortuitos propios de la operación en campo de la maquinaria durante el desarrollo del proyecto</t>
  </si>
  <si>
    <t>administración local municipal, aprobación certificada mediante alcalde representante y validada a traves de CDP</t>
  </si>
  <si>
    <t>MANO DE OBRA</t>
  </si>
  <si>
    <t>LAMINA DE ZINC 3,66m x 0,80m</t>
  </si>
  <si>
    <t>AMARRAS, PUNTILLAS</t>
  </si>
  <si>
    <t>Uni</t>
  </si>
  <si>
    <t>uni</t>
  </si>
  <si>
    <t>TRANSPORTE</t>
  </si>
  <si>
    <t>contratación de operarios con perfil tecnico agricola, con experiencia en manejo de maquinaria verde, adecuación de suelos agricolas minima de 1 AÑO.</t>
  </si>
  <si>
    <t>acompañamiento tecnico a las organizaciones, sobre labores mantenimiento y sanidad  vegetal sobre cultivos de hortalizas (papa, cebolla de bulbo), cereales (maiz, trigo, cebada) y forrajes (pasturas), manejo de residuos solidos</t>
  </si>
  <si>
    <t>Thiabendazole + Tebuconazole</t>
  </si>
  <si>
    <t>2.1.12</t>
  </si>
  <si>
    <t>1.1.7</t>
  </si>
  <si>
    <t>apoyo a la supervisión general. (producto 2: servicio de asistencia tecnica agropecuaria dirigida a pequeños productores)</t>
  </si>
  <si>
    <t>Apoyo a la supervision general. (producto 1: servicio de apoyo para acceso a maquinaria y equipos)</t>
  </si>
  <si>
    <t>FORTALECIMIENTO DE LOS PROCESOS PRODUCTIVOS EN CULTIVOS  DE CEREALES, FORRAJES Y HORTALIZAS PARA PEQUEÑOS PRODUCTORES DE LA SUBREGIÓN SABANA DEL DEPARTAMENTO DE NARIÑO.</t>
  </si>
  <si>
    <t>NOMBRE COMERCIAL (GUIA)</t>
  </si>
  <si>
    <t>PERFIL PLACA FACIL 5m x0,098m</t>
  </si>
  <si>
    <t>administrador</t>
  </si>
  <si>
    <t>profesional administrativo (economista, administrador, o contador), con conocimientos propios en la ejecución de proyectos, con experiencia minima de 2 años</t>
  </si>
  <si>
    <r>
      <t xml:space="preserve">Beauveria bassiana </t>
    </r>
    <r>
      <rPr>
        <sz val="12"/>
        <color theme="1"/>
        <rFont val="Arial"/>
        <family val="2"/>
      </rPr>
      <t>cepa</t>
    </r>
  </si>
  <si>
    <t>Senasa</t>
  </si>
  <si>
    <r>
      <t xml:space="preserve">Bacillus subtilis </t>
    </r>
    <r>
      <rPr>
        <sz val="11"/>
        <color rgb="FF000000"/>
        <rFont val="Arial"/>
        <family val="2"/>
      </rPr>
      <t>QST 173</t>
    </r>
  </si>
  <si>
    <t>serenade</t>
  </si>
  <si>
    <r>
      <t xml:space="preserve">Ruda </t>
    </r>
    <r>
      <rPr>
        <i/>
        <sz val="12"/>
        <color theme="1"/>
        <rFont val="Arial"/>
        <family val="2"/>
      </rPr>
      <t>Ruta graveolens</t>
    </r>
    <r>
      <rPr>
        <sz val="12"/>
        <color theme="1"/>
        <rFont val="Arial"/>
        <family val="2"/>
      </rPr>
      <t xml:space="preserve"> </t>
    </r>
  </si>
  <si>
    <t>rutinal</t>
  </si>
  <si>
    <t>Extracto de Neem (Azadiractina al 70%)</t>
  </si>
  <si>
    <t>natural neem</t>
  </si>
  <si>
    <t>Reynoutria sachalinensis</t>
  </si>
  <si>
    <t>regalia maxx</t>
  </si>
  <si>
    <t>Bacillus thuringiensis</t>
  </si>
  <si>
    <t>flower BT</t>
  </si>
  <si>
    <t>250g</t>
  </si>
  <si>
    <t>El cronograma esta planteado para 12 meses y en los estudios previos en 2.5. PLAZO Y VIGENCIA DEL CONTRATO, Esta planteado para un término de 10 meses.</t>
  </si>
  <si>
    <t>ok</t>
  </si>
  <si>
    <t>PENSIÓN 12%</t>
  </si>
  <si>
    <t>SALUD 8,5%</t>
  </si>
  <si>
    <t>ACOMPAÑAMIENTO SOCIO-EMPRESARIAL GUAITARILLA E IMUES</t>
  </si>
  <si>
    <t>ACOMPAÑAMIENTO SOCIO-EMPRESARIAL OSPINA Y SAPUYES</t>
  </si>
  <si>
    <t>VALOR CONTR. ORGANIZACIONES</t>
  </si>
  <si>
    <t>VALOR PARCIAL</t>
  </si>
  <si>
    <t>OK</t>
  </si>
  <si>
    <t>REFRIGERIO/ PARTICIPANTE SOCIALIZACION</t>
  </si>
  <si>
    <t>REFRIGERIO II/ PARTICIPANTE TALLER</t>
  </si>
  <si>
    <t>N° SESIONES</t>
  </si>
  <si>
    <t xml:space="preserve">TALLERES COMPONENTE SOCIO- EMPRESARIAL, CONTABILIDAD </t>
  </si>
  <si>
    <t>RESUMEN: INVERSIÓN   ENCUENTROS PARA LA EJECUCIÓN DEL PROYECTO</t>
  </si>
  <si>
    <t>Póliza Salarios y Prestaciones Sociales</t>
  </si>
  <si>
    <t>Poliza de Anticipo (100% del valor del anticipo) (20/100)</t>
  </si>
  <si>
    <t xml:space="preserve">COMBUSTIBLE (DIESEL*3MESES) </t>
  </si>
  <si>
    <t>MAQUINARIA VERDE -  COMBUSTIBLE</t>
  </si>
  <si>
    <t>RIESGOS 6,96%</t>
  </si>
  <si>
    <t>CONTRATACIÓN PROFESIONALES A CARGO COORDINACIÓN  Y OPERACIÓN PROYECTO</t>
  </si>
  <si>
    <t xml:space="preserve">combustible/mes: </t>
  </si>
  <si>
    <t>VALOR  UNIT</t>
  </si>
  <si>
    <t xml:space="preserve">Carbonato de Calcio y oxido de magnesio </t>
  </si>
  <si>
    <t>Gal por 4 LT</t>
  </si>
  <si>
    <t>sobre (20g)</t>
  </si>
  <si>
    <t xml:space="preserve">Oxyfluorfen- </t>
  </si>
  <si>
    <t>(Goal) - Galigan</t>
  </si>
  <si>
    <t>Cebolla rexor o cristal White Comercial- takki</t>
  </si>
  <si>
    <t>(Preza)- ciromazina</t>
  </si>
  <si>
    <t>(Coragen) - ampligo</t>
  </si>
  <si>
    <t>(Exalt)-mitipyr</t>
  </si>
  <si>
    <t>COMPARACIÓN PRECIOS INSUMOS</t>
  </si>
  <si>
    <t>INFORMACIÓN PROVEEDORES</t>
  </si>
  <si>
    <t xml:space="preserve">AGRICOLA SAN JOSE </t>
  </si>
  <si>
    <t xml:space="preserve">AGRINAR </t>
  </si>
  <si>
    <t>AGROTUQUERRES</t>
  </si>
  <si>
    <t>VALOR PROMEDIO</t>
  </si>
  <si>
    <t>ITEM</t>
  </si>
  <si>
    <t>Kg(litro)</t>
  </si>
  <si>
    <t>Carboxim + thiram (vitavax)</t>
  </si>
  <si>
    <t>KL</t>
  </si>
  <si>
    <r>
      <rPr>
        <sz val="12"/>
        <rFont val="Arial"/>
        <family val="2"/>
      </rPr>
      <t>Spinetoram</t>
    </r>
    <r>
      <rPr>
        <sz val="12"/>
        <color rgb="FFFF0000"/>
        <rFont val="Arial"/>
        <family val="2"/>
      </rPr>
      <t xml:space="preserve"> (Exalt- mitipyr))</t>
    </r>
  </si>
  <si>
    <r>
      <t>Cyanthraniliprole</t>
    </r>
    <r>
      <rPr>
        <sz val="12"/>
        <color rgb="FFFF0000"/>
        <rFont val="Arial"/>
        <family val="2"/>
      </rPr>
      <t xml:space="preserve"> (preza - ciromazina)</t>
    </r>
  </si>
  <si>
    <t>Cloranthraniliprole (Coragen - ampligo)</t>
  </si>
  <si>
    <t>200 ML</t>
  </si>
  <si>
    <t>Thiodicarb-Larvin</t>
  </si>
  <si>
    <t>KG</t>
  </si>
  <si>
    <t>Oxyfluorfen (Goal - Galigan)</t>
  </si>
  <si>
    <t>COMPARACIÓN PRECIOS MATERIALES</t>
  </si>
  <si>
    <t>Sistemas Siglo XXI</t>
  </si>
  <si>
    <t>AGRINAR</t>
  </si>
  <si>
    <t>Prov 3</t>
  </si>
  <si>
    <t>Valor Promedio</t>
  </si>
  <si>
    <t>pastilla  (10g)</t>
  </si>
  <si>
    <t>COMPARACIÓN PRECIOS SEMILLAS</t>
  </si>
  <si>
    <t>UNICO PROVEEDOR SEMILLAS</t>
  </si>
  <si>
    <t>PROV 1</t>
  </si>
  <si>
    <t>PROV 2</t>
  </si>
  <si>
    <t>FENALCE</t>
  </si>
  <si>
    <t>AGRO GLOBAL</t>
  </si>
  <si>
    <t>PROV 3</t>
  </si>
  <si>
    <t>ANALISIS DE SUELOS: Teniendo en cuenta el tipo de cultivos a implementar el estudio de suelos deberá analizar: Propiedades Físicas y químicas del Suelo; Composición química, saturación de bases y relaciones iónicas;  Fertilización Edáfica y foliar.</t>
  </si>
  <si>
    <t>almuerzo: sopa, plato de arroz con carne y/o pollo, plátano y/o papa y vaso de jugo</t>
  </si>
  <si>
    <t>Ingeniero agronómo, especialista  y/o a fines con experiencia minima 2 años en gerencia de proyectos productivos a fines con la propuesta  y conocimiento encaminado a la mecanización de suelos agrícolas</t>
  </si>
  <si>
    <t>Carbonato de Calcio y oxido de magnesio,0-9-0-40(CaO)</t>
  </si>
  <si>
    <t>gastos de combustibles  seran asumidos por los municipios despues del 3 mes de operación del proyecto.administración local municipal, aprobación certificada mediante alcalde representante y validada a traves de CDP</t>
  </si>
  <si>
    <t>durante los 3 meses de la etapa de operación se trabaja en promedio 3 horas diarias  en campo  la maquinaria</t>
  </si>
  <si>
    <t xml:space="preserve"> de la ficha tecnica del equipo adquirido. Comsumible a consideración de las recomendaciones del proveedor de la maquinaria adquirida</t>
  </si>
  <si>
    <t>Valor total del Proyecto</t>
  </si>
  <si>
    <t xml:space="preserve">COSTO / UNITARIO </t>
  </si>
  <si>
    <t>COSTOS OPERACIONALES DEL PROYECTO</t>
  </si>
  <si>
    <t>Arrendamiento inmueble (oficinas y almacenamiento).</t>
  </si>
  <si>
    <t>Servicios generales (agua, luz, internet) oficina administrativa</t>
  </si>
  <si>
    <t>Papeleria para manejo operativo</t>
  </si>
  <si>
    <t>Sub Total Costos operacionales</t>
  </si>
  <si>
    <t>GASTOS LEGALIZACIÓN</t>
  </si>
  <si>
    <t>Estampilla Pro-Cultura de Nariño</t>
  </si>
  <si>
    <t>Estampillas Pro - Universidad de Nariño</t>
  </si>
  <si>
    <t>Estampillas Pro- Desarrollo Departamental</t>
  </si>
  <si>
    <t>Sub Total Gastos Legalización</t>
  </si>
  <si>
    <t xml:space="preserve">TOTAL ADMINISTRACIÓN </t>
  </si>
  <si>
    <t>SECRETARIA DE AGRICULTURA</t>
  </si>
  <si>
    <t>DEPARTAMENTO DE NARIÑO</t>
  </si>
  <si>
    <t xml:space="preserve">PRESUPUESTO BIOSEGURIDAD COVID-19 </t>
  </si>
  <si>
    <t>ACTIVIDAD 1</t>
  </si>
  <si>
    <t>PRESUPUESTO IMPLEMENTACION PROTOCOLO DE BIOSEGURIDAD POR COVID-19</t>
  </si>
  <si>
    <t>CARGO / OFICIO</t>
  </si>
  <si>
    <t>SUELDO Y/O</t>
  </si>
  <si>
    <t>TIEMPO</t>
  </si>
  <si>
    <t>PARTICIPACIÓN</t>
  </si>
  <si>
    <t>VALOR</t>
  </si>
  <si>
    <t>JORNAL MENSUAL</t>
  </si>
  <si>
    <t>(Personas)</t>
  </si>
  <si>
    <t>(Meses)</t>
  </si>
  <si>
    <t>TOTAL (% Mes)</t>
  </si>
  <si>
    <t xml:space="preserve">PARCIAL </t>
  </si>
  <si>
    <t>(1)</t>
  </si>
  <si>
    <t>(2)</t>
  </si>
  <si>
    <t>(3)</t>
  </si>
  <si>
    <t>(4)</t>
  </si>
  <si>
    <t>(1)*(2)*(3)*(4) = (5)</t>
  </si>
  <si>
    <t>1. COSTOS DIRECTOS PERSONAL IMPLEMENTACION PROTOCOLO BIOSEGURIDAD COVID-19</t>
  </si>
  <si>
    <t>1.1 PERSONAL PROFESIONAL</t>
  </si>
  <si>
    <t>Inspector Seguridad y Salud en el Trabajo COVID-19</t>
  </si>
  <si>
    <t>SUBTOTAL COSTOS DE PERSONAL = SUMATORIA DE (5) = (6)</t>
  </si>
  <si>
    <t>FACTOR PRESTACIONAL (7)</t>
  </si>
  <si>
    <t xml:space="preserve">TOTAL COSTO DIRECTO PERSONAL IMPLEMENTACIÓN PROTOCOLO BIOSEGURIDAD COVID-19 = (6) * (7) = (A) </t>
  </si>
  <si>
    <t>2. COSTOS DIRECTOS INSUMOS IMPLEMENTACION DEL PROTOCOLO DE BIOSEGURIDAD COVID-19</t>
  </si>
  <si>
    <t>2.1 IMPLEMENTACION PROTOCOLO BIOSEGURIDAD COVID-19 (ESPECIFICACION INVIAS 102.1P</t>
  </si>
  <si>
    <t>VALOR TOTAL</t>
  </si>
  <si>
    <t>(8)</t>
  </si>
  <si>
    <t>(9)</t>
  </si>
  <si>
    <t>(8)*(9) = (10)</t>
  </si>
  <si>
    <t xml:space="preserve">Insumos Implementación Protocolo de Bioseguridad COVID-19 </t>
  </si>
  <si>
    <t>MES</t>
  </si>
  <si>
    <t>TOTAL COSTO DIRECTO INSUMOS IMPLEMENTACIÓN PROTOCOLO BIOSEGURIDAD COVID-19 = = SUMATORIA DE (10) = (B)</t>
  </si>
  <si>
    <t>TOTAL COSTO DIRECTO IMPLEMENTACIÓN PROTOCOLO BIOSEGURIDAD COVID-19 = (A) + (B) = (C)</t>
  </si>
  <si>
    <t>1.1 Gastos Administración Bioseguridad</t>
  </si>
  <si>
    <t>1.2.1 Impuesto Seguridad Ciudadana</t>
  </si>
  <si>
    <t>1.2.2 Estampilla Pro Desarrollo</t>
  </si>
  <si>
    <t>1.2.3 Estampilla Pro Cultura</t>
  </si>
  <si>
    <t>1.2.4 Estampilla UDENAR</t>
  </si>
  <si>
    <t>1.2.5 FIC</t>
  </si>
  <si>
    <t>1.2.6 Pólizas</t>
  </si>
  <si>
    <t>ADMINISTRACIÓN (D)</t>
  </si>
  <si>
    <t>TOTAL COSTO IMPLEMENTACIÓN PROTOCOLO BIOSEGURIDAD COVID-19 = (C) + (D)</t>
  </si>
  <si>
    <t xml:space="preserve">PRESUPUESTO IMPLEMENTACION PROTOCOLO DE BIOSEGURIDAD POR COVID-19 </t>
  </si>
  <si>
    <t>INSUMOS</t>
  </si>
  <si>
    <t>CANTIDADES MÁXIMAS</t>
  </si>
  <si>
    <t>CANTIDAD MES</t>
  </si>
  <si>
    <t>VALOR. UNITARIO</t>
  </si>
  <si>
    <t>Alcohol Antiséptico 70%. Ingrediente activo alcohol etílico potabilizado al 96%. Debe contar con registro INVIMA</t>
  </si>
  <si>
    <t>0,006 Litro por día por persona</t>
  </si>
  <si>
    <t xml:space="preserve">Gel Antibacterial . Antiséptico para manos. Anticorrosivo. PH entre 6 y 7,5. Gel en base Glicerina + Alcohol antiséptico al 70%. Contenido de agua máximo 30%. Adicionado con emulientes y humectantes.( Debe contar con registro INVIMA) </t>
  </si>
  <si>
    <t>0,003 litros por día por persona.</t>
  </si>
  <si>
    <t>Jabón líquido antibacterial (Agente limpiador 6%. Agente humectante 3%, PH 5,5 a 7,0.)</t>
  </si>
  <si>
    <t>0,005 litros por día por persona</t>
  </si>
  <si>
    <t xml:space="preserve">Hipoclorito de uso doméstico (Hipoclorito de sodio al 5%(NaOCl), solución acuosa, libre de partículas, de control bacteriológico y microbiológico) </t>
  </si>
  <si>
    <t>0,05 litros por cada litro de solución a 2500 ppm, para lavado rutinario.</t>
  </si>
  <si>
    <t>Tapabocas reutilizable en tela ( especificaciones de la Resolución 666 del 24 de abril de 2020 y el documento soporte GIPS18 expedidos por el Ministerio de Salud.)</t>
  </si>
  <si>
    <t>Unidad</t>
  </si>
  <si>
    <t>4 unidades por mes por persona</t>
  </si>
  <si>
    <t xml:space="preserve">Toalla De Manos Doblada En Z Blanca Hoja Doble 3 Fajos </t>
  </si>
  <si>
    <t>120 unidades por mes por persona</t>
  </si>
  <si>
    <t>COSTO DIRECTO INSUMOS IMPLEMENTACION PROTOCOLO DE BIOSEGURIDAD POR COVID-19/MES = SUMATORIA (13)</t>
  </si>
  <si>
    <r>
      <t>Nota 1:</t>
    </r>
    <r>
      <rPr>
        <sz val="10"/>
        <rFont val="Century Gothic"/>
        <family val="2"/>
      </rPr>
      <t xml:space="preserve"> Se reconocerá a los Contratistas solamente gastos de administración, sobre el valor a pagar por el ítem de la Implementación del Protocolo de Bioseguridad por COVID-19, según la especificación técnica y no se reconocerá imprevistos ni utilidad o algún otro costo. </t>
    </r>
  </si>
  <si>
    <r>
      <rPr>
        <b/>
        <sz val="10"/>
        <rFont val="Century Gothic"/>
        <family val="2"/>
      </rPr>
      <t>Nota 2</t>
    </r>
    <r>
      <rPr>
        <sz val="10"/>
        <rFont val="Century Gothic"/>
        <family val="2"/>
      </rPr>
      <t xml:space="preserve">: Estos precios serán los valores máximos a reconocer, los cuales han sido obtenidos del Estudio de Mercado de la Secretaria de Agricultura del Departamento de Nariño. Los precios del listado estarán sujetos a modificaciones en caso de existir nuevos lineamientos por Colombia Compra Eficiente, insumos nuevos o que las condiciones locales no permitan conseguir estos precios. </t>
    </r>
  </si>
  <si>
    <t xml:space="preserve">1.2 Impuestos y Legalización </t>
  </si>
  <si>
    <t>Costos implementación protocolo de bioseguriad COVID - 19</t>
  </si>
  <si>
    <t>grapadora industrial modelo egt002</t>
  </si>
  <si>
    <t>grapas por 1000 und de 14 mm</t>
  </si>
  <si>
    <t>estimulador de crecimiento, fitorregulador de crecimiento, a base de ácido giberélico, que acelera el crecimiento vegetativo de los brotes o yemas</t>
  </si>
  <si>
    <t>UND equipo de proteccion personal para aplicar agroquimicos</t>
  </si>
  <si>
    <t>KIT BIOSEGUIRIDAD incluye gafas, mascarilla, guantes, chaqueta antifluido, mascara respiradora</t>
  </si>
  <si>
    <t>combustible/mes:  JOHN DEERE 5075E DIESEL 4.08 Gal/hr informacion de la ficha tecnica del equipo, en etapa de operación se trabajara en promedio 3 horas diarias</t>
  </si>
  <si>
    <t>BOMBA DE ESPALDA ,Capacidad del Tanque : 1 20 L :  5.28 gl ; Sistema de Inyección y Presión : Presión Hidráulica. Piston y Cámara Externos; Capacidad de la Cámara : 1 L, probada en fábrica a 300 psi. ; Presión de Trabajo : 40 psi +/- 10%; ; Rango de Presión : 1 - 13.79 bar / 14.7 psi.; Palancazos Por Minuto : 10 Con Boquilla de 600 cc/min., Peso Neto : 6 kg / 12 lb ; Dimensiones sin Empaque : Alto 52.5 cm Ancho 22 cm Largo 43 cm</t>
  </si>
  <si>
    <t>ECA demostrativa donde a través del técnico productivo se brindarán pautas y herramientas técnicas para el mantenimiento y desarrollo del cultivo de  ray grass, entre estas labores las aplicaciones de enmiendas edáficas, fertilizaciones foliares, fumigaciones preventivas y curativas, bajo conocimientos teóricos previos suministrados a través de datos puntuales y fortalecimiento de conocimientos propios de los agricultores con respecto a estas líneas productivas, condiciones de fertilización, plagas y enfermedades presentes en la región.Adicionalmente se usará maquinaria encaminada al proceso de recolección de pastos a través del corte mecánico y posterior ensilaje como materia prima de abastecimiento animal Para ello se garantizará un espacio de aprendizaje como lo son las parcelas demostrativas, ubicadas en cada municipio de acuerdo a las organizaciones postuladas.</t>
  </si>
  <si>
    <t>plegables alusivos al proyecto</t>
  </si>
  <si>
    <t>se entregara por una sola vez a los 360 beneficiarios un lapicero ,  una tabla plastica,  una libreta y el  material impreso  didactico y de apoyo correspondiente a la tematica de cada eca</t>
  </si>
  <si>
    <t>TOTAL NUMERO DE PERSONAS</t>
  </si>
  <si>
    <t>PRECIO</t>
  </si>
  <si>
    <t>ECAS Y SOCIALIZACIONES</t>
  </si>
  <si>
    <t>•	Socialización de ejecución del proyecto con las organizaciones participantes de los 4 municipios priorizados
•	ECA´s demostrativa en manejo y aplicación de maquinaria verde para la preparación del suelo y manejo medio ambiental enfocado a la conservación del suelo, 1 jornada teórica de 6 horas cada una por cada grupo y 3 jornadas prácticas de 6 horas por grupo
•	ECA´s demostrativa en manejo agronómico y MIPE (manejo integrado de plagas y enfermedades) del cultivo papa y cebolla de bulbo, 2 jornadas teórica de 6 horas cada una por cada grupo y 4 jornadas 
prácticas de 6 horas por grupo"
•	ECA´s demostrativa en manejo agronómico y MIPE (manejo integrado de plagas y enfermedades) del cultivo cereales: Maíz, cebada y Trigo, 2 jornadas teórica de 6 horas cada una por cada grupo  y 4 jornadas prácticas de 6 horas por grupo"
•	ECA´s demostrativa en manejo agronómico y MIPE (manejo integrado de plagas y enfermedades) en forrajes y practica de Ensilaje mecánico. 2 jornadas teórica de 6 horas cada una por cada grupo y 4 jornadas prácticas de 6 horas por grupo
•	socialización liquidación del proyecto con participantes de los 4 municipios priorizados</t>
  </si>
  <si>
    <t>•	Socialización
•	"ECA Demostrativa, 30 personas por grupo; 3 grupos por  municipio (90 personas por municipio)"
•	"ECA Demostrativa, 30 personas por grupo; 3 grupos por  municipio (90 personas por municipio)"
•	"ECA Demostrativa, 30 personas por grupo; 3 grupos por  municipio (90 personas por municipio)"
•	"ECA Demostrativa, 30 personas por grupo; 3 grupos por municipio (90 personas por municipio)"
•	Socialización</t>
  </si>
  <si>
    <t>MATERIALES APOYO</t>
  </si>
  <si>
    <t>TABLA PLASTICA O MADERA</t>
  </si>
  <si>
    <t>LAPICERO</t>
  </si>
  <si>
    <t>AGENDA O BLOCK</t>
  </si>
  <si>
    <t>MATERIAL DIDACTICO DE CLASE ENTREGA EN CADA UNA DE LAS ECAS (4)</t>
  </si>
  <si>
    <t>REFRIGERIO ECA</t>
  </si>
  <si>
    <t>SAPUYES , OSPINA, IMUES, GUAITARILLA</t>
  </si>
  <si>
    <t>ALMUERZOS ECA</t>
  </si>
  <si>
    <t>REFRIGERIO SOCIALIZACION INICIAL</t>
  </si>
  <si>
    <t>REFRIGERIO SOCIALIZACION FINAL</t>
  </si>
  <si>
    <t>MATERIAL DIDACTICO DE CLASE ENTREGA EN  fortalecimiento empresarial</t>
  </si>
  <si>
    <t>MATERIAL DIDACTICO DE CLASE ENTREGA  HERRAMIENTAS CONTABLES</t>
  </si>
  <si>
    <t>REFRIGERIO DE HERRAMIENTAS CONTABLES</t>
  </si>
  <si>
    <t>REFRIGERIO fortalecimiento empresarial</t>
  </si>
  <si>
    <t>Fortalecimiento social</t>
  </si>
  <si>
    <t>1 jornada teórica de 8 horas cada una por cada grupo y 1 jornada práctica de 8 horas por 
grupo. Tiempo total teoría (1 jornada*8 horas* 3 grupos) 24 horas.</t>
  </si>
  <si>
    <t>30 personas por grupo; 3 grupos por municipio (90 personas por municipio), 4 municipios atendidos. Total 360 
beneficiarios</t>
  </si>
  <si>
    <t>Herramientas contables básicas</t>
  </si>
  <si>
    <t>1 jordana teórica de 8 horas cada una por cada grupo y 2 jornadas prácticas de 6 horas por grupo. Tiempo total teoría (1 jornada*8 horas* 3 grupos) 24 horas</t>
  </si>
  <si>
    <t>ECA demostrativa donde a través del técnico productivo se brindarán pautas y herramientas técnicas para el mantenimiento y desarrollo del cultivo de papa y de cebolla de bulbo, entre estas labores las aplicaciones de enmiendas edáficas, fertilizaciones foliares, fumigaciones preventivas y curativas, bajo conocimientos teóricos previos suministrados a través de datos puntuales y fortalecimiento de conocimientos propios de los agricultores con respecto a estas líneas productivas, condiciones de fertilización, plagas y enfermedades presentes en la región. Para ello se garantizará un espacio deaprendizaje como lo son las parcelas demostrativas, ubicadas en cada municipio de acuerdo a las organizaciones postulada</t>
  </si>
  <si>
    <t>ECA´s demostrativa en manejo y aplicación de maquinaria verde para la preparación del suelo y manejo medio ambiental enfocado a la conservación del sueloECA demostrativa donde a través del técnico productivo se brindarán pautas del manejo, operatividad y uso indicado del banco de maquinaria agrícola para la preparación del  suelo teniendo en cuenta las condiciones  topográficas mínimas, línea productiva (cereales, forrajes, hortalizas), seguridad para la operación y personal idóneo para su manejo</t>
  </si>
  <si>
    <t>ECA demostrativa donde a través del técnico productivo se brindarán pautas y herramientas técnicas para el mantenimiento y desarrollo del cultivo de maíz blanco, cebada y de trigo, entre estas labores las aplicaciones de enmiendas edáficas, fertilizaciones foliares, fumigaciones preventivas y curativas, bajo conocimientos teóricos previos suministrados a través de datos puntuales y fortalecimiento de conocimientos propios de los agricultores con respecto a estas líneas productivas, condiciones de fertilización, plagas y enfermedades presentes en la región. 
Para ello se garantizará un espacio de aprendizaje como lo son las parcelas demostrativas,ubicadas en cada municipio de acuerdo a las organizaciones postuladas</t>
  </si>
  <si>
    <t>PAPELERIA/ SOCIALIZACIÓN</t>
  </si>
  <si>
    <t>PAPELERIA / TALLER</t>
  </si>
  <si>
    <t xml:space="preserve">SAPUYES </t>
  </si>
  <si>
    <t>INSUMOS/ MAQUINARIA</t>
  </si>
  <si>
    <t>ACOMPAÑAMIENTO TECNICO</t>
  </si>
  <si>
    <t>ENCUENTROS Y ECA´s</t>
  </si>
  <si>
    <t xml:space="preserve">GASTOS ADMINISTRATIVOS </t>
  </si>
  <si>
    <t>CONT. PARTICIPANTES</t>
  </si>
  <si>
    <t>CONT. ALCALDIAS</t>
  </si>
  <si>
    <t>VALOR SOLICITADO A SGR</t>
  </si>
  <si>
    <t>VALOR TOTAL INVERSIÓN</t>
  </si>
  <si>
    <t>acompañamiento tecnico a las organizaciones, sobre labores mantenimiento y sanidad  vegetal sobre cultivos de hortalizas (papa, cebolla de bulbo), cereales (maiz, trigo, cebada) y forrajes (pasturas) manejo de residuos solidos</t>
  </si>
  <si>
    <t>APOYO A LA SUPERVISIÓN</t>
  </si>
  <si>
    <t xml:space="preserve"> (Kg)</t>
  </si>
  <si>
    <t>(Kg)</t>
  </si>
  <si>
    <t>CANTIDAD / Kg por  1/2Has</t>
  </si>
  <si>
    <t>CANTIDAD /Kg por  1/2Has</t>
  </si>
  <si>
    <t>TOTAL DE LA OPERACIÓN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</si>
</sst>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5" formatCode="&quot;$&quot;#,##0;\-&quot;$&quot;#,##0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\ #,##0;\-&quot;$&quot;\ #,##0"/>
    <numFmt numFmtId="165" formatCode="&quot;$&quot;\ #,##0;[Red]\-&quot;$&quot;\ #,##0"/>
    <numFmt numFmtId="166" formatCode="_-&quot;$&quot;\ * #,##0_-;\-&quot;$&quot;\ * #,##0_-;_-&quot;$&quot;\ * &quot;-&quot;_-;_-@_-"/>
    <numFmt numFmtId="167" formatCode="_-&quot;$&quot;\ * #,##0.00_-;\-&quot;$&quot;\ * #,##0.00_-;_-&quot;$&quot;\ * &quot;-&quot;??_-;_-@_-"/>
    <numFmt numFmtId="168" formatCode="0.0%"/>
    <numFmt numFmtId="169" formatCode="_-[$$-240A]\ * #,##0_-;\-[$$-240A]\ * #,##0_-;_-[$$-240A]\ * &quot;-&quot;??_-;_-@_-"/>
    <numFmt numFmtId="170" formatCode="0.0"/>
    <numFmt numFmtId="171" formatCode="_-&quot;$&quot;\ * #,##0.00_-;\-&quot;$&quot;\ * #,##0.00_-;_-&quot;$&quot;\ * &quot;-&quot;_-;_-@_-"/>
    <numFmt numFmtId="172" formatCode="&quot;$&quot;\ #,##0"/>
    <numFmt numFmtId="173" formatCode="&quot;$&quot;\ #,##0.00"/>
    <numFmt numFmtId="174" formatCode="_-&quot;$&quot;\ * #,##0.000_-;\-&quot;$&quot;\ * #,##0.000_-;_-&quot;$&quot;\ * &quot;-&quot;_-;_-@_-"/>
    <numFmt numFmtId="175" formatCode="_-&quot;$&quot;\ * #,##0_-;\-&quot;$&quot;\ * #,##0_-;_-&quot;$&quot;\ * &quot;-&quot;??_-;_-@_-"/>
    <numFmt numFmtId="176" formatCode="_(* #,##0_);_(* \(#,##0\);_(* &quot;-&quot;??_);_(@_)"/>
    <numFmt numFmtId="177" formatCode="_(&quot;$&quot;\ * #,##0.00_);_(&quot;$&quot;\ * \(#,##0.00\);_(&quot;$&quot;\ * &quot;-&quot;??_);_(@_)"/>
    <numFmt numFmtId="178" formatCode="_(* #,##0.000_);_(* \(#,##0.000\);_(* &quot;-&quot;??_);_(@_)"/>
    <numFmt numFmtId="179" formatCode="_(&quot;$&quot;\ * #,##0_);_(&quot;$&quot;\ * \(#,##0\);_(&quot;$&quot;\ * &quot;-&quot;_);_(@_)"/>
    <numFmt numFmtId="180" formatCode="#,##0.000"/>
    <numFmt numFmtId="181" formatCode="0.0000000000%"/>
    <numFmt numFmtId="182" formatCode="0.000%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2"/>
      <color rgb="FF000000"/>
      <name val="Arial"/>
      <family val="2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Arial"/>
      <family val="2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i/>
      <sz val="12"/>
      <color theme="1"/>
      <name val="Arial"/>
      <family val="2"/>
    </font>
    <font>
      <i/>
      <sz val="11"/>
      <color rgb="FF000000"/>
      <name val="Arial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9"/>
      <color theme="1"/>
      <name val="Arial"/>
      <family val="2"/>
    </font>
    <font>
      <b/>
      <sz val="8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sz val="11"/>
      <color rgb="FFFF0000"/>
      <name val="Arial"/>
      <family val="2"/>
    </font>
    <font>
      <b/>
      <sz val="9"/>
      <color theme="1"/>
      <name val="Arial"/>
      <family val="2"/>
    </font>
    <font>
      <sz val="9"/>
      <color indexed="81"/>
      <name val="Tahoma"/>
      <family val="2"/>
    </font>
    <font>
      <b/>
      <sz val="12"/>
      <name val="Century Gothic"/>
      <family val="2"/>
    </font>
    <font>
      <b/>
      <sz val="10"/>
      <name val="Century Gothic"/>
      <family val="2"/>
    </font>
    <font>
      <b/>
      <sz val="9"/>
      <name val="Century Gothic"/>
      <family val="2"/>
    </font>
    <font>
      <sz val="8"/>
      <name val="Century Gothic"/>
      <family val="2"/>
    </font>
    <font>
      <sz val="10"/>
      <name val="Century Gothic"/>
      <family val="2"/>
    </font>
    <font>
      <sz val="9"/>
      <name val="Century Gothic"/>
      <family val="2"/>
    </font>
    <font>
      <sz val="11"/>
      <color indexed="8"/>
      <name val="Calibri"/>
      <family val="2"/>
    </font>
    <font>
      <b/>
      <sz val="11"/>
      <name val="Century Gothic"/>
      <family val="2"/>
    </font>
    <font>
      <b/>
      <sz val="11"/>
      <color theme="1"/>
      <name val="Arial Narrow"/>
      <family val="2"/>
    </font>
    <font>
      <b/>
      <sz val="11"/>
      <name val="Arial"/>
      <family val="2"/>
    </font>
    <font>
      <sz val="11"/>
      <color theme="1"/>
      <name val="Calibri"/>
      <family val="2"/>
    </font>
    <font>
      <b/>
      <sz val="11"/>
      <color rgb="FFFF0000"/>
      <name val="Arial"/>
      <family val="2"/>
    </font>
    <font>
      <b/>
      <sz val="11"/>
      <color rgb="FFFF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FF00"/>
        <bgColor indexed="64"/>
      </patternFill>
    </fill>
  </fills>
  <borders count="2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6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41" fontId="1" fillId="0" borderId="0" applyFont="0" applyFill="0" applyBorder="0" applyAlignment="0" applyProtection="0"/>
    <xf numFmtId="0" fontId="9" fillId="0" borderId="0"/>
    <xf numFmtId="0" fontId="9" fillId="0" borderId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177" fontId="43" fillId="0" borderId="0" applyFont="0" applyFill="0" applyBorder="0" applyAlignment="0" applyProtection="0"/>
    <xf numFmtId="177" fontId="43" fillId="0" borderId="0" applyFont="0" applyFill="0" applyBorder="0" applyAlignment="0" applyProtection="0"/>
    <xf numFmtId="43" fontId="9" fillId="0" borderId="0" applyFont="0" applyFill="0" applyBorder="0" applyAlignment="0" applyProtection="0"/>
    <xf numFmtId="179" fontId="43" fillId="0" borderId="0" applyFont="0" applyFill="0" applyBorder="0" applyAlignment="0" applyProtection="0"/>
    <xf numFmtId="180" fontId="9" fillId="0" borderId="0" applyFont="0" applyFill="0" applyBorder="0" applyAlignment="0" applyProtection="0"/>
  </cellStyleXfs>
  <cellXfs count="771">
    <xf numFmtId="0" fontId="0" fillId="0" borderId="0" xfId="0"/>
    <xf numFmtId="0" fontId="0" fillId="0" borderId="2" xfId="0" applyBorder="1"/>
    <xf numFmtId="166" fontId="0" fillId="0" borderId="2" xfId="1" applyFont="1" applyBorder="1"/>
    <xf numFmtId="166" fontId="2" fillId="2" borderId="2" xfId="0" applyNumberFormat="1" applyFont="1" applyFill="1" applyBorder="1"/>
    <xf numFmtId="166" fontId="0" fillId="0" borderId="0" xfId="0" applyNumberFormat="1"/>
    <xf numFmtId="0" fontId="0" fillId="4" borderId="2" xfId="0" applyFont="1" applyFill="1" applyBorder="1"/>
    <xf numFmtId="166" fontId="0" fillId="4" borderId="2" xfId="1" applyFont="1" applyFill="1" applyBorder="1"/>
    <xf numFmtId="166" fontId="0" fillId="0" borderId="0" xfId="1" applyFont="1"/>
    <xf numFmtId="0" fontId="2" fillId="6" borderId="2" xfId="0" applyFont="1" applyFill="1" applyBorder="1"/>
    <xf numFmtId="0" fontId="0" fillId="6" borderId="2" xfId="0" applyFont="1" applyFill="1" applyBorder="1"/>
    <xf numFmtId="166" fontId="2" fillId="6" borderId="2" xfId="1" applyFont="1" applyFill="1" applyBorder="1" applyAlignment="1"/>
    <xf numFmtId="9" fontId="2" fillId="6" borderId="2" xfId="2" applyFont="1" applyFill="1" applyBorder="1" applyAlignment="1"/>
    <xf numFmtId="41" fontId="2" fillId="6" borderId="2" xfId="4" applyFont="1" applyFill="1" applyBorder="1" applyAlignment="1"/>
    <xf numFmtId="166" fontId="1" fillId="4" borderId="2" xfId="1" applyFont="1" applyFill="1" applyBorder="1" applyAlignment="1"/>
    <xf numFmtId="41" fontId="1" fillId="4" borderId="2" xfId="4" applyFont="1" applyFill="1" applyBorder="1" applyAlignment="1"/>
    <xf numFmtId="41" fontId="0" fillId="4" borderId="2" xfId="4" applyFont="1" applyFill="1" applyBorder="1"/>
    <xf numFmtId="166" fontId="2" fillId="2" borderId="2" xfId="1" applyFont="1" applyFill="1" applyBorder="1"/>
    <xf numFmtId="166" fontId="5" fillId="4" borderId="2" xfId="1" applyFont="1" applyFill="1" applyBorder="1"/>
    <xf numFmtId="0" fontId="6" fillId="4" borderId="2" xfId="0" applyFont="1" applyFill="1" applyBorder="1" applyAlignment="1">
      <alignment horizontal="center"/>
    </xf>
    <xf numFmtId="166" fontId="2" fillId="4" borderId="2" xfId="1" applyFont="1" applyFill="1" applyBorder="1"/>
    <xf numFmtId="0" fontId="2" fillId="3" borderId="2" xfId="0" applyFont="1" applyFill="1" applyBorder="1" applyAlignment="1">
      <alignment horizontal="center" vertical="center" wrapText="1"/>
    </xf>
    <xf numFmtId="41" fontId="2" fillId="3" borderId="2" xfId="4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/>
    </xf>
    <xf numFmtId="41" fontId="0" fillId="4" borderId="2" xfId="4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6" fontId="0" fillId="0" borderId="2" xfId="1" applyFont="1" applyBorder="1" applyAlignment="1">
      <alignment horizontal="center" vertical="center"/>
    </xf>
    <xf numFmtId="166" fontId="0" fillId="4" borderId="2" xfId="1" applyFont="1" applyFill="1" applyBorder="1" applyAlignment="1">
      <alignment horizontal="center" vertical="center"/>
    </xf>
    <xf numFmtId="41" fontId="0" fillId="0" borderId="0" xfId="4" applyFont="1"/>
    <xf numFmtId="166" fontId="7" fillId="0" borderId="0" xfId="1" applyFont="1"/>
    <xf numFmtId="171" fontId="0" fillId="0" borderId="0" xfId="1" applyNumberFormat="1" applyFont="1"/>
    <xf numFmtId="166" fontId="5" fillId="6" borderId="2" xfId="1" applyFont="1" applyFill="1" applyBorder="1"/>
    <xf numFmtId="0" fontId="2" fillId="4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0" fillId="2" borderId="2" xfId="0" applyFill="1" applyBorder="1"/>
    <xf numFmtId="0" fontId="0" fillId="0" borderId="0" xfId="0" applyFont="1"/>
    <xf numFmtId="0" fontId="11" fillId="6" borderId="2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/>
    </xf>
    <xf numFmtId="0" fontId="11" fillId="6" borderId="2" xfId="0" applyFont="1" applyFill="1" applyBorder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166" fontId="11" fillId="6" borderId="2" xfId="1" applyFont="1" applyFill="1" applyBorder="1" applyAlignment="1">
      <alignment horizontal="center"/>
    </xf>
    <xf numFmtId="0" fontId="11" fillId="6" borderId="9" xfId="0" applyFont="1" applyFill="1" applyBorder="1" applyAlignment="1">
      <alignment horizontal="center" vertical="center" wrapText="1"/>
    </xf>
    <xf numFmtId="166" fontId="12" fillId="0" borderId="2" xfId="1" applyFont="1" applyBorder="1" applyAlignment="1">
      <alignment horizontal="center"/>
    </xf>
    <xf numFmtId="0" fontId="12" fillId="6" borderId="2" xfId="0" applyFont="1" applyFill="1" applyBorder="1" applyAlignment="1">
      <alignment horizontal="center"/>
    </xf>
    <xf numFmtId="166" fontId="12" fillId="6" borderId="2" xfId="1" applyFont="1" applyFill="1" applyBorder="1" applyAlignment="1">
      <alignment horizontal="center"/>
    </xf>
    <xf numFmtId="166" fontId="12" fillId="4" borderId="2" xfId="1" applyFont="1" applyFill="1" applyBorder="1" applyAlignment="1">
      <alignment horizontal="center"/>
    </xf>
    <xf numFmtId="166" fontId="11" fillId="6" borderId="2" xfId="0" applyNumberFormat="1" applyFont="1" applyFill="1" applyBorder="1" applyAlignment="1">
      <alignment horizontal="center"/>
    </xf>
    <xf numFmtId="0" fontId="12" fillId="4" borderId="2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9" borderId="2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wrapText="1"/>
    </xf>
    <xf numFmtId="0" fontId="11" fillId="6" borderId="2" xfId="0" applyFont="1" applyFill="1" applyBorder="1" applyAlignment="1">
      <alignment horizontal="center" wrapText="1"/>
    </xf>
    <xf numFmtId="0" fontId="12" fillId="0" borderId="0" xfId="0" applyFont="1" applyAlignment="1">
      <alignment horizontal="center" wrapText="1"/>
    </xf>
    <xf numFmtId="0" fontId="12" fillId="4" borderId="9" xfId="0" applyFont="1" applyFill="1" applyBorder="1" applyAlignment="1">
      <alignment horizontal="center" vertical="center"/>
    </xf>
    <xf numFmtId="166" fontId="13" fillId="4" borderId="2" xfId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" fontId="12" fillId="4" borderId="9" xfId="0" applyNumberFormat="1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4" borderId="0" xfId="0" applyFont="1" applyFill="1"/>
    <xf numFmtId="0" fontId="0" fillId="0" borderId="2" xfId="0" applyFont="1" applyBorder="1" applyAlignment="1">
      <alignment horizontal="left" vertical="center"/>
    </xf>
    <xf numFmtId="0" fontId="0" fillId="0" borderId="5" xfId="0" applyFont="1" applyBorder="1" applyAlignment="1">
      <alignment horizontal="center" vertical="center"/>
    </xf>
    <xf numFmtId="166" fontId="0" fillId="0" borderId="5" xfId="1" applyFont="1" applyBorder="1" applyAlignment="1">
      <alignment vertical="center"/>
    </xf>
    <xf numFmtId="9" fontId="0" fillId="0" borderId="2" xfId="2" applyFont="1" applyBorder="1" applyAlignment="1">
      <alignment horizontal="center" vertical="center"/>
    </xf>
    <xf numFmtId="166" fontId="0" fillId="0" borderId="2" xfId="0" applyNumberFormat="1" applyFont="1" applyBorder="1"/>
    <xf numFmtId="0" fontId="2" fillId="2" borderId="2" xfId="0" applyFont="1" applyFill="1" applyBorder="1" applyAlignment="1">
      <alignment horizontal="center" vertical="center"/>
    </xf>
    <xf numFmtId="166" fontId="2" fillId="2" borderId="2" xfId="1" applyFont="1" applyFill="1" applyBorder="1" applyAlignment="1">
      <alignment horizontal="center" vertical="center"/>
    </xf>
    <xf numFmtId="9" fontId="2" fillId="8" borderId="2" xfId="2" applyFont="1" applyFill="1" applyBorder="1" applyAlignment="1">
      <alignment horizontal="center" vertical="center"/>
    </xf>
    <xf numFmtId="0" fontId="4" fillId="8" borderId="0" xfId="0" applyFont="1" applyFill="1"/>
    <xf numFmtId="166" fontId="2" fillId="2" borderId="0" xfId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41" fontId="11" fillId="4" borderId="2" xfId="4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left" vertical="center" wrapText="1"/>
    </xf>
    <xf numFmtId="0" fontId="12" fillId="4" borderId="2" xfId="0" applyFont="1" applyFill="1" applyBorder="1" applyAlignment="1">
      <alignment vertical="center"/>
    </xf>
    <xf numFmtId="0" fontId="12" fillId="4" borderId="4" xfId="0" applyFont="1" applyFill="1" applyBorder="1" applyAlignment="1">
      <alignment horizontal="left" vertical="center"/>
    </xf>
    <xf numFmtId="0" fontId="11" fillId="4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justify" vertical="center" wrapText="1"/>
    </xf>
    <xf numFmtId="0" fontId="12" fillId="4" borderId="2" xfId="0" applyFont="1" applyFill="1" applyBorder="1" applyAlignment="1">
      <alignment vertical="center" wrapText="1"/>
    </xf>
    <xf numFmtId="1" fontId="2" fillId="4" borderId="5" xfId="0" applyNumberFormat="1" applyFont="1" applyFill="1" applyBorder="1" applyAlignment="1">
      <alignment horizontal="center" vertical="center" wrapText="1"/>
    </xf>
    <xf numFmtId="170" fontId="2" fillId="2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166" fontId="2" fillId="5" borderId="4" xfId="1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166" fontId="15" fillId="5" borderId="4" xfId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166" fontId="2" fillId="4" borderId="14" xfId="1" applyFont="1" applyFill="1" applyBorder="1" applyAlignment="1">
      <alignment horizontal="center" vertical="center"/>
    </xf>
    <xf numFmtId="166" fontId="15" fillId="4" borderId="14" xfId="1" applyFont="1" applyFill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10" borderId="0" xfId="0" applyFill="1"/>
    <xf numFmtId="0" fontId="2" fillId="10" borderId="0" xfId="0" applyFont="1" applyFill="1"/>
    <xf numFmtId="166" fontId="2" fillId="10" borderId="0" xfId="1" applyFont="1" applyFill="1"/>
    <xf numFmtId="0" fontId="16" fillId="0" borderId="2" xfId="0" applyFont="1" applyBorder="1"/>
    <xf numFmtId="0" fontId="0" fillId="0" borderId="2" xfId="0" applyBorder="1" applyAlignment="1">
      <alignment horizontal="center"/>
    </xf>
    <xf numFmtId="0" fontId="17" fillId="2" borderId="2" xfId="0" applyFont="1" applyFill="1" applyBorder="1"/>
    <xf numFmtId="41" fontId="0" fillId="2" borderId="2" xfId="4" applyFont="1" applyFill="1" applyBorder="1"/>
    <xf numFmtId="41" fontId="1" fillId="4" borderId="2" xfId="4" applyFont="1" applyFill="1" applyBorder="1" applyAlignment="1">
      <alignment wrapText="1"/>
    </xf>
    <xf numFmtId="41" fontId="0" fillId="4" borderId="2" xfId="4" applyFont="1" applyFill="1" applyBorder="1" applyAlignment="1"/>
    <xf numFmtId="41" fontId="0" fillId="0" borderId="2" xfId="4" applyFont="1" applyBorder="1" applyAlignment="1"/>
    <xf numFmtId="166" fontId="2" fillId="3" borderId="2" xfId="1" applyFont="1" applyFill="1" applyBorder="1" applyAlignment="1">
      <alignment horizontal="center" vertical="center"/>
    </xf>
    <xf numFmtId="10" fontId="2" fillId="6" borderId="2" xfId="2" applyNumberFormat="1" applyFont="1" applyFill="1" applyBorder="1" applyAlignment="1"/>
    <xf numFmtId="0" fontId="12" fillId="4" borderId="9" xfId="0" applyFont="1" applyFill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/>
    </xf>
    <xf numFmtId="0" fontId="11" fillId="6" borderId="11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vertical="center" wrapText="1"/>
    </xf>
    <xf numFmtId="0" fontId="11" fillId="6" borderId="11" xfId="0" applyFont="1" applyFill="1" applyBorder="1" applyAlignment="1">
      <alignment vertical="center" wrapText="1"/>
    </xf>
    <xf numFmtId="166" fontId="11" fillId="6" borderId="4" xfId="1" applyFont="1" applyFill="1" applyBorder="1" applyAlignment="1">
      <alignment horizontal="center"/>
    </xf>
    <xf numFmtId="166" fontId="12" fillId="0" borderId="4" xfId="1" applyFont="1" applyBorder="1" applyAlignment="1">
      <alignment horizontal="center"/>
    </xf>
    <xf numFmtId="166" fontId="12" fillId="0" borderId="0" xfId="1" applyFont="1" applyBorder="1" applyAlignment="1">
      <alignment horizontal="center"/>
    </xf>
    <xf numFmtId="0" fontId="0" fillId="0" borderId="14" xfId="0" applyBorder="1"/>
    <xf numFmtId="166" fontId="12" fillId="0" borderId="14" xfId="1" applyFont="1" applyBorder="1" applyAlignment="1">
      <alignment horizontal="center"/>
    </xf>
    <xf numFmtId="0" fontId="11" fillId="6" borderId="2" xfId="0" applyFont="1" applyFill="1" applyBorder="1"/>
    <xf numFmtId="0" fontId="12" fillId="6" borderId="2" xfId="0" applyFont="1" applyFill="1" applyBorder="1"/>
    <xf numFmtId="166" fontId="11" fillId="6" borderId="2" xfId="1" applyFont="1" applyFill="1" applyBorder="1"/>
    <xf numFmtId="41" fontId="11" fillId="6" borderId="2" xfId="4" applyFont="1" applyFill="1" applyBorder="1"/>
    <xf numFmtId="41" fontId="11" fillId="6" borderId="2" xfId="4" applyFont="1" applyFill="1" applyBorder="1" applyAlignment="1">
      <alignment horizontal="center"/>
    </xf>
    <xf numFmtId="166" fontId="11" fillId="4" borderId="0" xfId="1" applyFont="1" applyFill="1" applyBorder="1" applyAlignment="1">
      <alignment horizontal="center"/>
    </xf>
    <xf numFmtId="166" fontId="12" fillId="4" borderId="14" xfId="1" applyFont="1" applyFill="1" applyBorder="1" applyAlignment="1">
      <alignment horizontal="center"/>
    </xf>
    <xf numFmtId="166" fontId="11" fillId="4" borderId="14" xfId="1" applyFont="1" applyFill="1" applyBorder="1" applyAlignment="1">
      <alignment horizontal="center"/>
    </xf>
    <xf numFmtId="165" fontId="18" fillId="0" borderId="1" xfId="0" applyNumberFormat="1" applyFont="1" applyBorder="1" applyAlignment="1">
      <alignment horizontal="right" vertical="center"/>
    </xf>
    <xf numFmtId="165" fontId="18" fillId="0" borderId="18" xfId="0" applyNumberFormat="1" applyFont="1" applyBorder="1" applyAlignment="1">
      <alignment horizontal="right" vertical="center"/>
    </xf>
    <xf numFmtId="0" fontId="19" fillId="3" borderId="17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166" fontId="20" fillId="0" borderId="18" xfId="1" applyFont="1" applyBorder="1" applyAlignment="1">
      <alignment horizontal="center" vertical="center"/>
    </xf>
    <xf numFmtId="166" fontId="21" fillId="0" borderId="18" xfId="0" applyNumberFormat="1" applyFont="1" applyBorder="1" applyAlignment="1">
      <alignment horizontal="center" vertical="center"/>
    </xf>
    <xf numFmtId="0" fontId="0" fillId="11" borderId="2" xfId="0" applyFill="1" applyBorder="1"/>
    <xf numFmtId="0" fontId="0" fillId="12" borderId="2" xfId="0" applyFill="1" applyBorder="1"/>
    <xf numFmtId="0" fontId="0" fillId="4" borderId="2" xfId="0" applyFill="1" applyBorder="1"/>
    <xf numFmtId="0" fontId="0" fillId="3" borderId="2" xfId="0" applyFill="1" applyBorder="1"/>
    <xf numFmtId="0" fontId="22" fillId="11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6" fontId="0" fillId="0" borderId="2" xfId="0" applyNumberFormat="1" applyFont="1" applyBorder="1" applyAlignment="1">
      <alignment horizontal="center" vertical="center"/>
    </xf>
    <xf numFmtId="41" fontId="2" fillId="6" borderId="2" xfId="4" applyFont="1" applyFill="1" applyBorder="1" applyAlignment="1">
      <alignment horizontal="center" vertical="center"/>
    </xf>
    <xf numFmtId="166" fontId="2" fillId="6" borderId="2" xfId="1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9" fontId="0" fillId="4" borderId="0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6" borderId="2" xfId="0" applyFont="1" applyFill="1" applyBorder="1" applyAlignment="1">
      <alignment vertical="center"/>
    </xf>
    <xf numFmtId="166" fontId="2" fillId="6" borderId="2" xfId="0" applyNumberFormat="1" applyFont="1" applyFill="1" applyBorder="1" applyAlignment="1">
      <alignment vertical="center"/>
    </xf>
    <xf numFmtId="166" fontId="2" fillId="6" borderId="2" xfId="0" applyNumberFormat="1" applyFont="1" applyFill="1" applyBorder="1" applyAlignment="1">
      <alignment horizontal="center" vertical="center"/>
    </xf>
    <xf numFmtId="166" fontId="0" fillId="0" borderId="0" xfId="0" applyNumberFormat="1" applyFont="1" applyAlignment="1">
      <alignment horizontal="center" vertical="center"/>
    </xf>
    <xf numFmtId="166" fontId="0" fillId="0" borderId="2" xfId="1" applyFont="1" applyBorder="1" applyAlignment="1">
      <alignment horizontal="center"/>
    </xf>
    <xf numFmtId="0" fontId="16" fillId="0" borderId="2" xfId="0" applyFont="1" applyBorder="1" applyAlignment="1">
      <alignment horizontal="center" vertical="center"/>
    </xf>
    <xf numFmtId="41" fontId="0" fillId="0" borderId="2" xfId="4" applyFont="1" applyBorder="1" applyAlignment="1">
      <alignment horizontal="center" vertical="center"/>
    </xf>
    <xf numFmtId="166" fontId="2" fillId="0" borderId="2" xfId="1" applyFont="1" applyBorder="1"/>
    <xf numFmtId="0" fontId="2" fillId="0" borderId="2" xfId="0" applyFont="1" applyBorder="1"/>
    <xf numFmtId="0" fontId="0" fillId="10" borderId="2" xfId="0" applyFill="1" applyBorder="1"/>
    <xf numFmtId="166" fontId="0" fillId="10" borderId="2" xfId="1" applyFont="1" applyFill="1" applyBorder="1"/>
    <xf numFmtId="0" fontId="11" fillId="4" borderId="2" xfId="0" applyFont="1" applyFill="1" applyBorder="1" applyAlignment="1">
      <alignment horizontal="left" vertical="center" wrapText="1"/>
    </xf>
    <xf numFmtId="0" fontId="11" fillId="4" borderId="4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vertical="center" wrapText="1"/>
    </xf>
    <xf numFmtId="0" fontId="12" fillId="4" borderId="9" xfId="0" applyFont="1" applyFill="1" applyBorder="1" applyAlignment="1">
      <alignment horizontal="center" vertical="center"/>
    </xf>
    <xf numFmtId="0" fontId="25" fillId="13" borderId="0" xfId="0" applyFont="1" applyFill="1" applyAlignment="1">
      <alignment horizontal="center"/>
    </xf>
    <xf numFmtId="0" fontId="24" fillId="13" borderId="2" xfId="0" applyFont="1" applyFill="1" applyBorder="1" applyAlignment="1">
      <alignment horizontal="center" vertical="center" wrapText="1"/>
    </xf>
    <xf numFmtId="0" fontId="10" fillId="13" borderId="2" xfId="0" applyFont="1" applyFill="1" applyBorder="1" applyAlignment="1">
      <alignment horizontal="center" vertical="center" wrapText="1"/>
    </xf>
    <xf numFmtId="0" fontId="18" fillId="13" borderId="0" xfId="0" applyFont="1" applyFill="1" applyAlignment="1">
      <alignment horizontal="center" vertical="center"/>
    </xf>
    <xf numFmtId="0" fontId="25" fillId="13" borderId="2" xfId="0" applyFont="1" applyFill="1" applyBorder="1" applyAlignment="1">
      <alignment horizontal="center"/>
    </xf>
    <xf numFmtId="0" fontId="18" fillId="13" borderId="2" xfId="0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64" fontId="0" fillId="0" borderId="5" xfId="1" applyNumberFormat="1" applyFont="1" applyBorder="1" applyAlignment="1">
      <alignment vertical="center"/>
    </xf>
    <xf numFmtId="0" fontId="0" fillId="4" borderId="2" xfId="0" applyFill="1" applyBorder="1" applyAlignment="1">
      <alignment horizontal="center" vertical="center" wrapText="1"/>
    </xf>
    <xf numFmtId="172" fontId="0" fillId="0" borderId="5" xfId="1" applyNumberFormat="1" applyFont="1" applyBorder="1" applyAlignment="1">
      <alignment vertical="center"/>
    </xf>
    <xf numFmtId="172" fontId="2" fillId="6" borderId="2" xfId="1" applyNumberFormat="1" applyFont="1" applyFill="1" applyBorder="1" applyAlignment="1"/>
    <xf numFmtId="164" fontId="0" fillId="0" borderId="0" xfId="1" applyNumberFormat="1" applyFont="1"/>
    <xf numFmtId="164" fontId="2" fillId="6" borderId="2" xfId="1" applyNumberFormat="1" applyFont="1" applyFill="1" applyBorder="1" applyAlignment="1"/>
    <xf numFmtId="172" fontId="2" fillId="6" borderId="2" xfId="0" applyNumberFormat="1" applyFont="1" applyFill="1" applyBorder="1" applyAlignment="1">
      <alignment horizontal="right" wrapText="1"/>
    </xf>
    <xf numFmtId="164" fontId="2" fillId="2" borderId="2" xfId="1" applyNumberFormat="1" applyFont="1" applyFill="1" applyBorder="1"/>
    <xf numFmtId="172" fontId="2" fillId="2" borderId="2" xfId="1" applyNumberFormat="1" applyFont="1" applyFill="1" applyBorder="1"/>
    <xf numFmtId="0" fontId="0" fillId="15" borderId="2" xfId="0" applyFill="1" applyBorder="1"/>
    <xf numFmtId="164" fontId="5" fillId="6" borderId="5" xfId="1" applyNumberFormat="1" applyFont="1" applyFill="1" applyBorder="1"/>
    <xf numFmtId="168" fontId="0" fillId="6" borderId="11" xfId="2" applyNumberFormat="1" applyFont="1" applyFill="1" applyBorder="1" applyAlignment="1">
      <alignment horizontal="center" vertical="center" wrapText="1"/>
    </xf>
    <xf numFmtId="10" fontId="2" fillId="3" borderId="3" xfId="0" applyNumberFormat="1" applyFont="1" applyFill="1" applyBorder="1" applyAlignment="1">
      <alignment horizontal="center" vertical="center"/>
    </xf>
    <xf numFmtId="10" fontId="0" fillId="4" borderId="2" xfId="2" applyNumberFormat="1" applyFont="1" applyFill="1" applyBorder="1"/>
    <xf numFmtId="10" fontId="5" fillId="6" borderId="5" xfId="2" applyNumberFormat="1" applyFont="1" applyFill="1" applyBorder="1"/>
    <xf numFmtId="10" fontId="0" fillId="6" borderId="4" xfId="2" applyNumberFormat="1" applyFont="1" applyFill="1" applyBorder="1" applyAlignment="1">
      <alignment horizontal="center" vertical="center" wrapText="1"/>
    </xf>
    <xf numFmtId="10" fontId="2" fillId="6" borderId="2" xfId="2" applyNumberFormat="1" applyFont="1" applyFill="1" applyBorder="1" applyAlignment="1">
      <alignment horizontal="right" vertical="center" wrapText="1"/>
    </xf>
    <xf numFmtId="10" fontId="2" fillId="2" borderId="2" xfId="2" applyNumberFormat="1" applyFont="1" applyFill="1" applyBorder="1"/>
    <xf numFmtId="10" fontId="2" fillId="4" borderId="2" xfId="1" applyNumberFormat="1" applyFont="1" applyFill="1" applyBorder="1"/>
    <xf numFmtId="10" fontId="2" fillId="4" borderId="2" xfId="0" applyNumberFormat="1" applyFont="1" applyFill="1" applyBorder="1"/>
    <xf numFmtId="10" fontId="0" fillId="0" borderId="0" xfId="0" applyNumberFormat="1"/>
    <xf numFmtId="10" fontId="0" fillId="6" borderId="11" xfId="2" applyNumberFormat="1" applyFont="1" applyFill="1" applyBorder="1" applyAlignment="1">
      <alignment horizontal="center" vertical="center" wrapText="1"/>
    </xf>
    <xf numFmtId="10" fontId="0" fillId="0" borderId="0" xfId="1" applyNumberFormat="1" applyFont="1"/>
    <xf numFmtId="10" fontId="0" fillId="6" borderId="9" xfId="2" applyNumberFormat="1" applyFont="1" applyFill="1" applyBorder="1" applyAlignment="1">
      <alignment horizontal="center" vertical="center" wrapText="1"/>
    </xf>
    <xf numFmtId="164" fontId="0" fillId="0" borderId="2" xfId="1" applyNumberFormat="1" applyFont="1" applyBorder="1" applyAlignment="1">
      <alignment horizontal="center" vertical="center"/>
    </xf>
    <xf numFmtId="0" fontId="2" fillId="6" borderId="4" xfId="0" applyFont="1" applyFill="1" applyBorder="1" applyAlignment="1">
      <alignment horizontal="left" vertical="center" wrapText="1"/>
    </xf>
    <xf numFmtId="0" fontId="2" fillId="2" borderId="4" xfId="0" applyFont="1" applyFill="1" applyBorder="1"/>
    <xf numFmtId="166" fontId="2" fillId="6" borderId="9" xfId="0" applyNumberFormat="1" applyFont="1" applyFill="1" applyBorder="1" applyAlignment="1">
      <alignment horizontal="left" vertical="center" wrapText="1"/>
    </xf>
    <xf numFmtId="166" fontId="2" fillId="2" borderId="9" xfId="1" applyFont="1" applyFill="1" applyBorder="1"/>
    <xf numFmtId="0" fontId="2" fillId="4" borderId="3" xfId="0" applyFont="1" applyFill="1" applyBorder="1" applyAlignment="1">
      <alignment horizontal="center"/>
    </xf>
    <xf numFmtId="0" fontId="0" fillId="6" borderId="4" xfId="0" applyFont="1" applyFill="1" applyBorder="1" applyAlignment="1">
      <alignment horizontal="left" vertical="center" wrapText="1"/>
    </xf>
    <xf numFmtId="166" fontId="2" fillId="6" borderId="11" xfId="0" applyNumberFormat="1" applyFont="1" applyFill="1" applyBorder="1" applyAlignment="1">
      <alignment horizontal="left" vertical="center" wrapText="1"/>
    </xf>
    <xf numFmtId="166" fontId="2" fillId="2" borderId="11" xfId="1" applyFont="1" applyFill="1" applyBorder="1"/>
    <xf numFmtId="9" fontId="2" fillId="6" borderId="16" xfId="2" applyFont="1" applyFill="1" applyBorder="1" applyAlignment="1">
      <alignment wrapText="1"/>
    </xf>
    <xf numFmtId="10" fontId="2" fillId="6" borderId="16" xfId="2" applyNumberFormat="1" applyFont="1" applyFill="1" applyBorder="1" applyAlignment="1">
      <alignment wrapText="1"/>
    </xf>
    <xf numFmtId="10" fontId="2" fillId="6" borderId="7" xfId="2" applyNumberFormat="1" applyFont="1" applyFill="1" applyBorder="1" applyAlignment="1">
      <alignment wrapText="1"/>
    </xf>
    <xf numFmtId="0" fontId="2" fillId="6" borderId="4" xfId="0" applyFont="1" applyFill="1" applyBorder="1"/>
    <xf numFmtId="0" fontId="2" fillId="6" borderId="9" xfId="0" applyFont="1" applyFill="1" applyBorder="1"/>
    <xf numFmtId="0" fontId="0" fillId="6" borderId="2" xfId="0" applyFill="1" applyBorder="1"/>
    <xf numFmtId="2" fontId="0" fillId="0" borderId="2" xfId="0" applyNumberFormat="1" applyBorder="1"/>
    <xf numFmtId="2" fontId="2" fillId="10" borderId="0" xfId="0" applyNumberFormat="1" applyFont="1" applyFill="1"/>
    <xf numFmtId="170" fontId="2" fillId="10" borderId="0" xfId="0" applyNumberFormat="1" applyFont="1" applyFill="1"/>
    <xf numFmtId="167" fontId="0" fillId="0" borderId="0" xfId="0" applyNumberFormat="1"/>
    <xf numFmtId="2" fontId="0" fillId="0" borderId="0" xfId="0" applyNumberFormat="1"/>
    <xf numFmtId="2" fontId="2" fillId="3" borderId="2" xfId="0" applyNumberFormat="1" applyFont="1" applyFill="1" applyBorder="1" applyAlignment="1">
      <alignment horizontal="center" vertical="center" wrapText="1"/>
    </xf>
    <xf numFmtId="10" fontId="0" fillId="4" borderId="2" xfId="2" applyNumberFormat="1" applyFont="1" applyFill="1" applyBorder="1" applyAlignment="1">
      <alignment vertical="center"/>
    </xf>
    <xf numFmtId="164" fontId="0" fillId="0" borderId="0" xfId="1" applyNumberFormat="1" applyFont="1" applyAlignment="1">
      <alignment vertical="center"/>
    </xf>
    <xf numFmtId="41" fontId="0" fillId="0" borderId="0" xfId="0" applyNumberFormat="1"/>
    <xf numFmtId="0" fontId="3" fillId="5" borderId="2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wrapText="1"/>
    </xf>
    <xf numFmtId="166" fontId="27" fillId="0" borderId="0" xfId="0" applyNumberFormat="1" applyFont="1"/>
    <xf numFmtId="0" fontId="10" fillId="4" borderId="2" xfId="0" applyFont="1" applyFill="1" applyBorder="1" applyAlignment="1">
      <alignment horizontal="center" vertical="center" wrapText="1"/>
    </xf>
    <xf numFmtId="174" fontId="2" fillId="2" borderId="2" xfId="0" applyNumberFormat="1" applyFont="1" applyFill="1" applyBorder="1"/>
    <xf numFmtId="164" fontId="0" fillId="0" borderId="0" xfId="0" applyNumberFormat="1"/>
    <xf numFmtId="172" fontId="0" fillId="0" borderId="0" xfId="0" applyNumberFormat="1"/>
    <xf numFmtId="0" fontId="16" fillId="5" borderId="2" xfId="0" applyFont="1" applyFill="1" applyBorder="1"/>
    <xf numFmtId="41" fontId="0" fillId="5" borderId="2" xfId="4" applyFont="1" applyFill="1" applyBorder="1" applyAlignment="1"/>
    <xf numFmtId="41" fontId="0" fillId="5" borderId="2" xfId="4" applyFont="1" applyFill="1" applyBorder="1"/>
    <xf numFmtId="0" fontId="0" fillId="5" borderId="2" xfId="0" applyFill="1" applyBorder="1" applyAlignment="1">
      <alignment horizontal="center"/>
    </xf>
    <xf numFmtId="0" fontId="12" fillId="4" borderId="9" xfId="0" applyFont="1" applyFill="1" applyBorder="1" applyAlignment="1">
      <alignment horizontal="center" vertical="center"/>
    </xf>
    <xf numFmtId="0" fontId="12" fillId="0" borderId="0" xfId="0" applyFont="1"/>
    <xf numFmtId="0" fontId="28" fillId="16" borderId="3" xfId="0" applyFont="1" applyFill="1" applyBorder="1" applyAlignment="1">
      <alignment horizontal="center" vertical="center" wrapText="1"/>
    </xf>
    <xf numFmtId="0" fontId="29" fillId="17" borderId="2" xfId="0" applyFont="1" applyFill="1" applyBorder="1" applyAlignment="1">
      <alignment horizontal="center" vertical="center" wrapText="1"/>
    </xf>
    <xf numFmtId="0" fontId="29" fillId="17" borderId="2" xfId="0" applyFont="1" applyFill="1" applyBorder="1" applyAlignment="1">
      <alignment horizontal="left" vertical="center" wrapText="1"/>
    </xf>
    <xf numFmtId="0" fontId="29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43" fontId="30" fillId="0" borderId="2" xfId="7" applyFont="1" applyFill="1" applyBorder="1" applyAlignment="1">
      <alignment horizontal="right" vertical="center"/>
    </xf>
    <xf numFmtId="43" fontId="30" fillId="18" borderId="23" xfId="7" applyFont="1" applyFill="1" applyBorder="1" applyAlignment="1">
      <alignment horizontal="right" vertical="center"/>
    </xf>
    <xf numFmtId="0" fontId="12" fillId="4" borderId="2" xfId="0" applyFont="1" applyFill="1" applyBorder="1" applyAlignment="1">
      <alignment horizontal="left" vertical="center"/>
    </xf>
    <xf numFmtId="0" fontId="12" fillId="0" borderId="9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left" vertical="center" wrapText="1"/>
    </xf>
    <xf numFmtId="0" fontId="13" fillId="4" borderId="2" xfId="0" applyFont="1" applyFill="1" applyBorder="1" applyAlignment="1">
      <alignment horizontal="center"/>
    </xf>
    <xf numFmtId="0" fontId="13" fillId="4" borderId="9" xfId="0" applyFont="1" applyFill="1" applyBorder="1" applyAlignment="1">
      <alignment horizontal="center" vertical="center"/>
    </xf>
    <xf numFmtId="0" fontId="34" fillId="0" borderId="0" xfId="0" applyFont="1"/>
    <xf numFmtId="0" fontId="12" fillId="0" borderId="2" xfId="0" applyFont="1" applyBorder="1" applyAlignment="1">
      <alignment horizontal="center"/>
    </xf>
    <xf numFmtId="16" fontId="12" fillId="0" borderId="9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43" fontId="30" fillId="0" borderId="2" xfId="7" applyFont="1" applyBorder="1" applyAlignment="1">
      <alignment horizontal="right" vertical="center"/>
    </xf>
    <xf numFmtId="43" fontId="30" fillId="18" borderId="2" xfId="7" applyFont="1" applyFill="1" applyBorder="1" applyAlignment="1">
      <alignment horizontal="right" vertical="center"/>
    </xf>
    <xf numFmtId="0" fontId="29" fillId="0" borderId="2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43" fontId="30" fillId="0" borderId="0" xfId="7" applyFont="1" applyFill="1" applyBorder="1" applyAlignment="1">
      <alignment horizontal="right" vertical="center"/>
    </xf>
    <xf numFmtId="0" fontId="12" fillId="0" borderId="2" xfId="0" applyFont="1" applyBorder="1" applyAlignment="1">
      <alignment horizontal="left" vertical="center" wrapText="1"/>
    </xf>
    <xf numFmtId="166" fontId="0" fillId="0" borderId="2" xfId="1" applyFont="1" applyBorder="1" applyAlignment="1">
      <alignment vertical="center"/>
    </xf>
    <xf numFmtId="41" fontId="0" fillId="0" borderId="9" xfId="4" applyFont="1" applyBorder="1" applyAlignment="1">
      <alignment vertical="center"/>
    </xf>
    <xf numFmtId="168" fontId="0" fillId="4" borderId="2" xfId="2" applyNumberFormat="1" applyFont="1" applyFill="1" applyBorder="1" applyAlignment="1">
      <alignment vertical="center"/>
    </xf>
    <xf numFmtId="164" fontId="0" fillId="4" borderId="2" xfId="1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4" borderId="2" xfId="0" applyFont="1" applyFill="1" applyBorder="1" applyAlignment="1">
      <alignment wrapText="1"/>
    </xf>
    <xf numFmtId="166" fontId="0" fillId="4" borderId="2" xfId="1" applyFont="1" applyFill="1" applyBorder="1" applyAlignment="1">
      <alignment wrapText="1"/>
    </xf>
    <xf numFmtId="41" fontId="0" fillId="4" borderId="2" xfId="4" applyFont="1" applyFill="1" applyBorder="1" applyAlignment="1">
      <alignment wrapText="1"/>
    </xf>
    <xf numFmtId="0" fontId="0" fillId="0" borderId="14" xfId="0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Alignment="1">
      <alignment horizontal="left"/>
    </xf>
    <xf numFmtId="0" fontId="2" fillId="0" borderId="2" xfId="0" applyFont="1" applyFill="1" applyBorder="1"/>
    <xf numFmtId="0" fontId="2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12" fillId="14" borderId="0" xfId="0" applyFont="1" applyFill="1" applyAlignment="1">
      <alignment horizontal="left"/>
    </xf>
    <xf numFmtId="41" fontId="2" fillId="6" borderId="2" xfId="0" applyNumberFormat="1" applyFont="1" applyFill="1" applyBorder="1"/>
    <xf numFmtId="0" fontId="2" fillId="3" borderId="2" xfId="0" applyFont="1" applyFill="1" applyBorder="1" applyAlignment="1">
      <alignment horizontal="center" vertical="center" wrapText="1"/>
    </xf>
    <xf numFmtId="175" fontId="2" fillId="2" borderId="2" xfId="8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vertical="center" wrapText="1"/>
    </xf>
    <xf numFmtId="0" fontId="0" fillId="4" borderId="2" xfId="0" applyFill="1" applyBorder="1" applyAlignment="1">
      <alignment horizontal="center" vertical="center"/>
    </xf>
    <xf numFmtId="168" fontId="4" fillId="4" borderId="2" xfId="0" applyNumberFormat="1" applyFont="1" applyFill="1" applyBorder="1" applyAlignment="1">
      <alignment horizontal="right"/>
    </xf>
    <xf numFmtId="168" fontId="9" fillId="0" borderId="2" xfId="6" applyNumberFormat="1" applyBorder="1" applyAlignment="1">
      <alignment horizontal="right" vertical="center"/>
    </xf>
    <xf numFmtId="173" fontId="0" fillId="4" borderId="2" xfId="7" applyNumberFormat="1" applyFont="1" applyFill="1" applyBorder="1" applyAlignment="1">
      <alignment horizontal="center" vertical="center"/>
    </xf>
    <xf numFmtId="173" fontId="2" fillId="2" borderId="2" xfId="7" applyNumberFormat="1" applyFont="1" applyFill="1" applyBorder="1" applyAlignment="1">
      <alignment horizontal="center"/>
    </xf>
    <xf numFmtId="173" fontId="2" fillId="0" borderId="2" xfId="7" applyNumberFormat="1" applyFont="1" applyBorder="1"/>
    <xf numFmtId="173" fontId="2" fillId="2" borderId="2" xfId="7" applyNumberFormat="1" applyFont="1" applyFill="1" applyBorder="1"/>
    <xf numFmtId="173" fontId="5" fillId="6" borderId="2" xfId="7" applyNumberFormat="1" applyFont="1" applyFill="1" applyBorder="1"/>
    <xf numFmtId="173" fontId="0" fillId="0" borderId="0" xfId="0" applyNumberFormat="1" applyFont="1" applyAlignment="1">
      <alignment horizontal="center" vertical="center"/>
    </xf>
    <xf numFmtId="0" fontId="39" fillId="2" borderId="5" xfId="9" applyFont="1" applyFill="1" applyBorder="1" applyAlignment="1">
      <alignment horizontal="center"/>
    </xf>
    <xf numFmtId="0" fontId="39" fillId="2" borderId="10" xfId="9" applyFont="1" applyFill="1" applyBorder="1" applyAlignment="1">
      <alignment horizontal="center"/>
    </xf>
    <xf numFmtId="0" fontId="39" fillId="2" borderId="3" xfId="9" applyFont="1" applyFill="1" applyBorder="1" applyAlignment="1">
      <alignment horizontal="center"/>
    </xf>
    <xf numFmtId="0" fontId="39" fillId="2" borderId="3" xfId="9" quotePrefix="1" applyFont="1" applyFill="1" applyBorder="1" applyAlignment="1">
      <alignment horizontal="center"/>
    </xf>
    <xf numFmtId="0" fontId="39" fillId="0" borderId="4" xfId="9" applyFont="1" applyBorder="1"/>
    <xf numFmtId="176" fontId="40" fillId="0" borderId="11" xfId="10" applyNumberFormat="1" applyFont="1" applyBorder="1" applyAlignment="1"/>
    <xf numFmtId="176" fontId="40" fillId="0" borderId="9" xfId="10" applyNumberFormat="1" applyFont="1" applyBorder="1" applyAlignment="1"/>
    <xf numFmtId="0" fontId="39" fillId="2" borderId="4" xfId="9" applyFont="1" applyFill="1" applyBorder="1"/>
    <xf numFmtId="176" fontId="41" fillId="2" borderId="11" xfId="10" applyNumberFormat="1" applyFont="1" applyFill="1" applyBorder="1"/>
    <xf numFmtId="43" fontId="41" fillId="2" borderId="11" xfId="10" applyFont="1" applyFill="1" applyBorder="1"/>
    <xf numFmtId="176" fontId="41" fillId="2" borderId="9" xfId="10" applyNumberFormat="1" applyFont="1" applyFill="1" applyBorder="1"/>
    <xf numFmtId="0" fontId="42" fillId="0" borderId="2" xfId="9" applyFont="1" applyBorder="1" applyAlignment="1">
      <alignment vertical="center" wrapText="1"/>
    </xf>
    <xf numFmtId="177" fontId="42" fillId="0" borderId="2" xfId="11" applyFont="1" applyFill="1" applyBorder="1" applyAlignment="1">
      <alignment horizontal="right" vertical="center"/>
    </xf>
    <xf numFmtId="4" fontId="42" fillId="0" borderId="2" xfId="9" applyNumberFormat="1" applyFont="1" applyBorder="1" applyAlignment="1">
      <alignment horizontal="center" vertical="center"/>
    </xf>
    <xf numFmtId="4" fontId="42" fillId="4" borderId="2" xfId="9" applyNumberFormat="1" applyFont="1" applyFill="1" applyBorder="1" applyAlignment="1">
      <alignment horizontal="center" vertical="center"/>
    </xf>
    <xf numFmtId="177" fontId="42" fillId="0" borderId="2" xfId="11" applyFont="1" applyFill="1" applyBorder="1" applyAlignment="1">
      <alignment vertical="center"/>
    </xf>
    <xf numFmtId="177" fontId="39" fillId="0" borderId="2" xfId="12" applyFont="1" applyBorder="1"/>
    <xf numFmtId="4" fontId="39" fillId="0" borderId="2" xfId="9" applyNumberFormat="1" applyFont="1" applyBorder="1" applyAlignment="1">
      <alignment horizontal="center"/>
    </xf>
    <xf numFmtId="177" fontId="39" fillId="2" borderId="2" xfId="12" applyFont="1" applyFill="1" applyBorder="1"/>
    <xf numFmtId="0" fontId="41" fillId="0" borderId="14" xfId="9" applyFont="1" applyBorder="1" applyAlignment="1">
      <alignment horizontal="center"/>
    </xf>
    <xf numFmtId="0" fontId="37" fillId="0" borderId="0" xfId="9" applyFont="1" applyAlignment="1">
      <alignment horizontal="center" vertical="center"/>
    </xf>
    <xf numFmtId="0" fontId="37" fillId="0" borderId="15" xfId="9" applyFont="1" applyBorder="1" applyAlignment="1">
      <alignment horizontal="center" vertical="center"/>
    </xf>
    <xf numFmtId="0" fontId="39" fillId="2" borderId="5" xfId="9" applyFont="1" applyFill="1" applyBorder="1" applyAlignment="1">
      <alignment horizontal="center" vertical="top" wrapText="1"/>
    </xf>
    <xf numFmtId="49" fontId="39" fillId="2" borderId="3" xfId="9" applyNumberFormat="1" applyFont="1" applyFill="1" applyBorder="1" applyAlignment="1">
      <alignment horizontal="center" vertical="top" wrapText="1"/>
    </xf>
    <xf numFmtId="44" fontId="39" fillId="2" borderId="2" xfId="9" applyNumberFormat="1" applyFont="1" applyFill="1" applyBorder="1" applyAlignment="1">
      <alignment horizontal="center" vertical="center" wrapText="1"/>
    </xf>
    <xf numFmtId="49" fontId="39" fillId="2" borderId="2" xfId="9" applyNumberFormat="1" applyFont="1" applyFill="1" applyBorder="1" applyAlignment="1">
      <alignment horizontal="left" vertical="top" wrapText="1"/>
    </xf>
    <xf numFmtId="49" fontId="42" fillId="2" borderId="2" xfId="9" applyNumberFormat="1" applyFont="1" applyFill="1" applyBorder="1" applyAlignment="1">
      <alignment horizontal="left" vertical="top" wrapText="1"/>
    </xf>
    <xf numFmtId="44" fontId="44" fillId="19" borderId="2" xfId="9" applyNumberFormat="1" applyFont="1" applyFill="1" applyBorder="1" applyAlignment="1">
      <alignment horizontal="center" vertical="center" wrapText="1"/>
    </xf>
    <xf numFmtId="0" fontId="39" fillId="0" borderId="4" xfId="9" applyFont="1" applyBorder="1" applyAlignment="1">
      <alignment horizontal="left" vertical="top" wrapText="1"/>
    </xf>
    <xf numFmtId="0" fontId="39" fillId="0" borderId="11" xfId="9" applyFont="1" applyBorder="1" applyAlignment="1">
      <alignment horizontal="left" vertical="top" wrapText="1"/>
    </xf>
    <xf numFmtId="177" fontId="39" fillId="0" borderId="9" xfId="9" applyNumberFormat="1" applyFont="1" applyBorder="1" applyAlignment="1">
      <alignment horizontal="left" vertical="top" wrapText="1"/>
    </xf>
    <xf numFmtId="176" fontId="38" fillId="2" borderId="5" xfId="13" applyNumberFormat="1" applyFont="1" applyFill="1" applyBorder="1" applyAlignment="1">
      <alignment horizontal="center" vertical="center" wrapText="1"/>
    </xf>
    <xf numFmtId="176" fontId="38" fillId="2" borderId="5" xfId="13" applyNumberFormat="1" applyFont="1" applyFill="1" applyBorder="1" applyAlignment="1">
      <alignment horizontal="center" vertical="center"/>
    </xf>
    <xf numFmtId="0" fontId="38" fillId="2" borderId="3" xfId="9" applyFont="1" applyFill="1" applyBorder="1" applyAlignment="1">
      <alignment horizontal="center" vertical="center"/>
    </xf>
    <xf numFmtId="0" fontId="41" fillId="4" borderId="2" xfId="13" applyNumberFormat="1" applyFont="1" applyFill="1" applyBorder="1" applyAlignment="1">
      <alignment horizontal="justify" vertical="center" wrapText="1"/>
    </xf>
    <xf numFmtId="176" fontId="41" fillId="4" borderId="9" xfId="13" applyNumberFormat="1" applyFont="1" applyFill="1" applyBorder="1" applyAlignment="1">
      <alignment horizontal="center" vertical="center"/>
    </xf>
    <xf numFmtId="178" fontId="41" fillId="4" borderId="9" xfId="13" applyNumberFormat="1" applyFont="1" applyFill="1" applyBorder="1" applyAlignment="1">
      <alignment horizontal="center" vertical="center" wrapText="1"/>
    </xf>
    <xf numFmtId="2" fontId="41" fillId="4" borderId="2" xfId="13" applyNumberFormat="1" applyFont="1" applyFill="1" applyBorder="1" applyAlignment="1">
      <alignment horizontal="center" vertical="center"/>
    </xf>
    <xf numFmtId="166" fontId="41" fillId="4" borderId="2" xfId="1" applyFont="1" applyFill="1" applyBorder="1" applyAlignment="1">
      <alignment horizontal="center" vertical="center"/>
    </xf>
    <xf numFmtId="177" fontId="41" fillId="4" borderId="2" xfId="13" applyNumberFormat="1" applyFont="1" applyFill="1" applyBorder="1" applyAlignment="1">
      <alignment horizontal="center" vertical="center"/>
    </xf>
    <xf numFmtId="0" fontId="41" fillId="4" borderId="3" xfId="13" applyNumberFormat="1" applyFont="1" applyFill="1" applyBorder="1" applyAlignment="1">
      <alignment horizontal="justify" vertical="center" wrapText="1"/>
    </xf>
    <xf numFmtId="176" fontId="41" fillId="4" borderId="9" xfId="13" applyNumberFormat="1" applyFont="1" applyFill="1" applyBorder="1" applyAlignment="1">
      <alignment horizontal="center" vertical="center" wrapText="1"/>
    </xf>
    <xf numFmtId="177" fontId="38" fillId="2" borderId="2" xfId="14" applyNumberFormat="1" applyFont="1" applyFill="1" applyBorder="1" applyAlignment="1">
      <alignment vertical="center"/>
    </xf>
    <xf numFmtId="0" fontId="38" fillId="0" borderId="4" xfId="9" applyFont="1" applyBorder="1" applyAlignment="1">
      <alignment horizontal="left"/>
    </xf>
    <xf numFmtId="0" fontId="38" fillId="0" borderId="11" xfId="9" applyFont="1" applyBorder="1" applyAlignment="1">
      <alignment horizontal="left"/>
    </xf>
    <xf numFmtId="180" fontId="38" fillId="0" borderId="9" xfId="15" applyFont="1" applyFill="1" applyBorder="1"/>
    <xf numFmtId="10" fontId="0" fillId="6" borderId="2" xfId="2" applyNumberFormat="1" applyFont="1" applyFill="1" applyBorder="1"/>
    <xf numFmtId="0" fontId="12" fillId="0" borderId="2" xfId="0" applyFont="1" applyBorder="1" applyAlignment="1">
      <alignment horizontal="center" vertical="center" wrapText="1"/>
    </xf>
    <xf numFmtId="0" fontId="2" fillId="4" borderId="2" xfId="0" applyFont="1" applyFill="1" applyBorder="1"/>
    <xf numFmtId="41" fontId="0" fillId="4" borderId="9" xfId="4" applyFont="1" applyFill="1" applyBorder="1"/>
    <xf numFmtId="168" fontId="0" fillId="4" borderId="2" xfId="2" applyNumberFormat="1" applyFont="1" applyFill="1" applyBorder="1"/>
    <xf numFmtId="164" fontId="0" fillId="4" borderId="2" xfId="1" applyNumberFormat="1" applyFont="1" applyFill="1" applyBorder="1"/>
    <xf numFmtId="0" fontId="0" fillId="4" borderId="0" xfId="0" applyFill="1"/>
    <xf numFmtId="0" fontId="0" fillId="4" borderId="2" xfId="0" applyFill="1" applyBorder="1" applyAlignment="1">
      <alignment vertical="center"/>
    </xf>
    <xf numFmtId="166" fontId="4" fillId="4" borderId="2" xfId="1" applyFont="1" applyFill="1" applyBorder="1"/>
    <xf numFmtId="0" fontId="12" fillId="4" borderId="0" xfId="0" applyFont="1" applyFill="1" applyAlignment="1">
      <alignment horizontal="center"/>
    </xf>
    <xf numFmtId="0" fontId="12" fillId="4" borderId="0" xfId="0" applyFont="1" applyFill="1" applyAlignment="1">
      <alignment horizontal="left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2" borderId="2" xfId="0" applyFont="1" applyFill="1" applyBorder="1" applyAlignment="1">
      <alignment horizontal="center" vertical="center"/>
    </xf>
    <xf numFmtId="41" fontId="2" fillId="2" borderId="2" xfId="4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41" fontId="2" fillId="0" borderId="2" xfId="4" applyFont="1" applyFill="1" applyBorder="1" applyAlignment="1">
      <alignment horizontal="center" vertical="center"/>
    </xf>
    <xf numFmtId="0" fontId="23" fillId="4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66" fontId="2" fillId="0" borderId="0" xfId="1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41" fontId="2" fillId="5" borderId="2" xfId="4" applyFont="1" applyFill="1" applyBorder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41" fontId="2" fillId="3" borderId="2" xfId="4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top" wrapText="1"/>
    </xf>
    <xf numFmtId="166" fontId="1" fillId="4" borderId="2" xfId="1" applyFont="1" applyFill="1" applyBorder="1" applyAlignment="1">
      <alignment horizontal="center" vertical="center"/>
    </xf>
    <xf numFmtId="0" fontId="23" fillId="0" borderId="10" xfId="0" applyFont="1" applyBorder="1" applyAlignment="1">
      <alignment vertical="center" wrapText="1"/>
    </xf>
    <xf numFmtId="0" fontId="23" fillId="0" borderId="3" xfId="0" applyFont="1" applyBorder="1" applyAlignment="1">
      <alignment vertical="center" wrapText="1"/>
    </xf>
    <xf numFmtId="0" fontId="23" fillId="0" borderId="2" xfId="0" applyFont="1" applyBorder="1" applyAlignment="1">
      <alignment vertical="center" wrapText="1"/>
    </xf>
    <xf numFmtId="41" fontId="2" fillId="4" borderId="2" xfId="4" applyFont="1" applyFill="1" applyBorder="1" applyAlignment="1">
      <alignment horizontal="center" vertical="center"/>
    </xf>
    <xf numFmtId="166" fontId="2" fillId="4" borderId="2" xfId="0" applyNumberFormat="1" applyFont="1" applyFill="1" applyBorder="1"/>
    <xf numFmtId="0" fontId="0" fillId="0" borderId="0" xfId="0" applyAlignment="1">
      <alignment horizontal="center" vertical="center"/>
    </xf>
    <xf numFmtId="0" fontId="0" fillId="4" borderId="2" xfId="0" applyFill="1" applyBorder="1" applyAlignment="1">
      <alignment horizontal="left" vertical="top" wrapText="1"/>
    </xf>
    <xf numFmtId="0" fontId="0" fillId="4" borderId="2" xfId="0" applyFill="1" applyBorder="1" applyAlignment="1">
      <alignment horizontal="center"/>
    </xf>
    <xf numFmtId="166" fontId="0" fillId="4" borderId="2" xfId="0" applyNumberFormat="1" applyFill="1" applyBorder="1" applyAlignment="1">
      <alignment horizontal="right"/>
    </xf>
    <xf numFmtId="166" fontId="0" fillId="4" borderId="2" xfId="0" applyNumberFormat="1" applyFill="1" applyBorder="1"/>
    <xf numFmtId="166" fontId="0" fillId="5" borderId="2" xfId="0" applyNumberFormat="1" applyFill="1" applyBorder="1"/>
    <xf numFmtId="0" fontId="16" fillId="0" borderId="2" xfId="0" applyFont="1" applyBorder="1" applyAlignment="1">
      <alignment vertical="center" wrapText="1"/>
    </xf>
    <xf numFmtId="2" fontId="0" fillId="0" borderId="2" xfId="0" applyNumberFormat="1" applyBorder="1" applyAlignment="1">
      <alignment horizontal="center" vertical="center"/>
    </xf>
    <xf numFmtId="41" fontId="0" fillId="0" borderId="2" xfId="4" applyFont="1" applyBorder="1" applyAlignment="1">
      <alignment vertical="center"/>
    </xf>
    <xf numFmtId="41" fontId="0" fillId="4" borderId="2" xfId="4" applyFont="1" applyFill="1" applyBorder="1" applyAlignment="1">
      <alignment vertical="center"/>
    </xf>
    <xf numFmtId="166" fontId="0" fillId="4" borderId="2" xfId="0" applyNumberFormat="1" applyFill="1" applyBorder="1" applyAlignment="1">
      <alignment vertical="center"/>
    </xf>
    <xf numFmtId="0" fontId="3" fillId="4" borderId="0" xfId="0" applyFont="1" applyFill="1" applyAlignment="1">
      <alignment horizontal="center" wrapText="1"/>
    </xf>
    <xf numFmtId="0" fontId="3" fillId="0" borderId="0" xfId="0" applyFont="1" applyAlignment="1">
      <alignment horizontal="center" wrapText="1"/>
    </xf>
    <xf numFmtId="166" fontId="1" fillId="0" borderId="2" xfId="1" applyFont="1" applyFill="1" applyBorder="1" applyAlignment="1">
      <alignment horizontal="center" vertical="center" wrapText="1"/>
    </xf>
    <xf numFmtId="41" fontId="1" fillId="0" borderId="2" xfId="4" applyFont="1" applyFill="1" applyBorder="1" applyAlignment="1">
      <alignment horizontal="center" vertical="center" wrapText="1"/>
    </xf>
    <xf numFmtId="41" fontId="0" fillId="0" borderId="2" xfId="4" applyFont="1" applyFill="1" applyBorder="1" applyAlignment="1">
      <alignment horizontal="center" vertical="center"/>
    </xf>
    <xf numFmtId="166" fontId="0" fillId="0" borderId="2" xfId="1" applyFont="1" applyFill="1" applyBorder="1"/>
    <xf numFmtId="0" fontId="0" fillId="0" borderId="14" xfId="0" applyBorder="1" applyAlignment="1">
      <alignment vertical="center" wrapText="1"/>
    </xf>
    <xf numFmtId="0" fontId="11" fillId="4" borderId="4" xfId="0" applyFont="1" applyFill="1" applyBorder="1" applyAlignment="1">
      <alignment horizontal="center" vertical="center" wrapText="1"/>
    </xf>
    <xf numFmtId="166" fontId="4" fillId="0" borderId="2" xfId="1" applyFont="1" applyFill="1" applyBorder="1"/>
    <xf numFmtId="169" fontId="0" fillId="0" borderId="2" xfId="0" applyNumberFormat="1" applyFont="1" applyFill="1" applyBorder="1" applyAlignment="1"/>
    <xf numFmtId="10" fontId="0" fillId="0" borderId="2" xfId="2" applyNumberFormat="1" applyFont="1" applyFill="1" applyBorder="1"/>
    <xf numFmtId="172" fontId="0" fillId="0" borderId="5" xfId="1" applyNumberFormat="1" applyFont="1" applyFill="1" applyBorder="1" applyAlignment="1">
      <alignment vertical="center"/>
    </xf>
    <xf numFmtId="166" fontId="0" fillId="0" borderId="5" xfId="1" applyFont="1" applyFill="1" applyBorder="1" applyAlignment="1">
      <alignment vertical="center"/>
    </xf>
    <xf numFmtId="0" fontId="0" fillId="0" borderId="0" xfId="0" applyFill="1"/>
    <xf numFmtId="166" fontId="0" fillId="0" borderId="2" xfId="1" applyFont="1" applyFill="1" applyBorder="1" applyAlignment="1">
      <alignment vertical="center"/>
    </xf>
    <xf numFmtId="172" fontId="2" fillId="6" borderId="2" xfId="0" applyNumberFormat="1" applyFont="1" applyFill="1" applyBorder="1" applyAlignment="1">
      <alignment horizontal="right" vertical="center" wrapText="1"/>
    </xf>
    <xf numFmtId="0" fontId="34" fillId="4" borderId="2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/>
    </xf>
    <xf numFmtId="166" fontId="12" fillId="0" borderId="2" xfId="1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 wrapText="1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/>
    <xf numFmtId="0" fontId="12" fillId="0" borderId="0" xfId="0" applyFont="1" applyFill="1" applyAlignment="1">
      <alignment horizontal="left"/>
    </xf>
    <xf numFmtId="0" fontId="23" fillId="0" borderId="2" xfId="0" applyFont="1" applyBorder="1" applyAlignment="1">
      <alignment horizontal="left" vertical="center" wrapText="1"/>
    </xf>
    <xf numFmtId="165" fontId="45" fillId="0" borderId="0" xfId="0" applyNumberFormat="1" applyFont="1"/>
    <xf numFmtId="0" fontId="13" fillId="4" borderId="2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wrapText="1"/>
    </xf>
    <xf numFmtId="0" fontId="13" fillId="0" borderId="2" xfId="0" applyFont="1" applyFill="1" applyBorder="1" applyAlignment="1">
      <alignment horizontal="center"/>
    </xf>
    <xf numFmtId="166" fontId="13" fillId="0" borderId="2" xfId="1" applyFont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173" fontId="0" fillId="0" borderId="0" xfId="0" applyNumberFormat="1"/>
    <xf numFmtId="0" fontId="0" fillId="14" borderId="0" xfId="0" applyFill="1"/>
    <xf numFmtId="0" fontId="0" fillId="20" borderId="0" xfId="0" applyFill="1"/>
    <xf numFmtId="0" fontId="12" fillId="0" borderId="0" xfId="0" applyFont="1" applyAlignment="1">
      <alignment vertical="center"/>
    </xf>
    <xf numFmtId="166" fontId="11" fillId="4" borderId="2" xfId="1" applyFont="1" applyFill="1" applyBorder="1" applyAlignment="1">
      <alignment vertical="center"/>
    </xf>
    <xf numFmtId="0" fontId="12" fillId="4" borderId="0" xfId="0" applyFont="1" applyFill="1" applyAlignment="1">
      <alignment vertical="center"/>
    </xf>
    <xf numFmtId="166" fontId="11" fillId="0" borderId="2" xfId="1" applyFont="1" applyBorder="1" applyAlignment="1">
      <alignment vertical="center"/>
    </xf>
    <xf numFmtId="10" fontId="11" fillId="0" borderId="2" xfId="1" applyNumberFormat="1" applyFont="1" applyBorder="1" applyAlignment="1">
      <alignment vertical="center"/>
    </xf>
    <xf numFmtId="166" fontId="11" fillId="0" borderId="2" xfId="0" applyNumberFormat="1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181" fontId="12" fillId="0" borderId="0" xfId="2" applyNumberFormat="1" applyFont="1" applyAlignment="1">
      <alignment vertical="center"/>
    </xf>
    <xf numFmtId="0" fontId="11" fillId="0" borderId="2" xfId="0" applyFont="1" applyBorder="1" applyAlignment="1">
      <alignment vertical="center"/>
    </xf>
    <xf numFmtId="166" fontId="12" fillId="0" borderId="0" xfId="1" applyFont="1" applyAlignment="1">
      <alignment vertical="center"/>
    </xf>
    <xf numFmtId="0" fontId="11" fillId="4" borderId="9" xfId="0" applyFont="1" applyFill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10" fontId="47" fillId="0" borderId="0" xfId="2" applyNumberFormat="1" applyFont="1" applyFill="1" applyBorder="1" applyAlignment="1">
      <alignment horizontal="center" vertical="center"/>
    </xf>
    <xf numFmtId="166" fontId="2" fillId="0" borderId="2" xfId="0" applyNumberFormat="1" applyFont="1" applyBorder="1"/>
    <xf numFmtId="166" fontId="11" fillId="0" borderId="0" xfId="1" applyFont="1" applyBorder="1" applyAlignment="1">
      <alignment vertical="center"/>
    </xf>
    <xf numFmtId="166" fontId="0" fillId="4" borderId="0" xfId="0" applyNumberFormat="1" applyFill="1"/>
    <xf numFmtId="166" fontId="11" fillId="20" borderId="2" xfId="0" applyNumberFormat="1" applyFont="1" applyFill="1" applyBorder="1" applyAlignment="1">
      <alignment vertical="center"/>
    </xf>
    <xf numFmtId="0" fontId="12" fillId="5" borderId="2" xfId="0" applyFont="1" applyFill="1" applyBorder="1" applyAlignment="1">
      <alignment horizontal="left" vertical="center" wrapText="1"/>
    </xf>
    <xf numFmtId="0" fontId="12" fillId="5" borderId="2" xfId="0" applyFont="1" applyFill="1" applyBorder="1" applyAlignment="1">
      <alignment horizontal="justify" vertical="center" wrapText="1"/>
    </xf>
    <xf numFmtId="0" fontId="12" fillId="5" borderId="2" xfId="0" applyFont="1" applyFill="1" applyBorder="1" applyAlignment="1">
      <alignment vertical="center" wrapText="1"/>
    </xf>
    <xf numFmtId="166" fontId="11" fillId="20" borderId="2" xfId="1" applyFont="1" applyFill="1" applyBorder="1" applyAlignment="1">
      <alignment vertical="center"/>
    </xf>
    <xf numFmtId="10" fontId="46" fillId="0" borderId="2" xfId="1" applyNumberFormat="1" applyFont="1" applyBorder="1" applyAlignment="1">
      <alignment vertical="center"/>
    </xf>
    <xf numFmtId="0" fontId="46" fillId="0" borderId="2" xfId="0" applyFont="1" applyBorder="1" applyAlignment="1">
      <alignment vertical="center"/>
    </xf>
    <xf numFmtId="166" fontId="12" fillId="0" borderId="0" xfId="0" applyNumberFormat="1" applyFont="1" applyAlignment="1">
      <alignment vertical="center"/>
    </xf>
    <xf numFmtId="171" fontId="11" fillId="6" borderId="2" xfId="1" applyNumberFormat="1" applyFont="1" applyFill="1" applyBorder="1" applyAlignment="1">
      <alignment vertical="center"/>
    </xf>
    <xf numFmtId="10" fontId="12" fillId="0" borderId="2" xfId="0" applyNumberFormat="1" applyFont="1" applyBorder="1" applyAlignment="1">
      <alignment vertical="center"/>
    </xf>
    <xf numFmtId="10" fontId="11" fillId="6" borderId="2" xfId="1" applyNumberFormat="1" applyFont="1" applyFill="1" applyBorder="1" applyAlignment="1">
      <alignment vertical="center"/>
    </xf>
    <xf numFmtId="173" fontId="12" fillId="0" borderId="0" xfId="0" applyNumberFormat="1" applyFont="1" applyAlignment="1">
      <alignment vertical="center"/>
    </xf>
    <xf numFmtId="166" fontId="12" fillId="5" borderId="0" xfId="0" applyNumberFormat="1" applyFont="1" applyFill="1" applyAlignment="1">
      <alignment vertical="center"/>
    </xf>
    <xf numFmtId="173" fontId="0" fillId="20" borderId="0" xfId="0" applyNumberFormat="1" applyFill="1"/>
    <xf numFmtId="171" fontId="11" fillId="0" borderId="2" xfId="1" applyNumberFormat="1" applyFont="1" applyBorder="1" applyAlignment="1">
      <alignment vertical="center"/>
    </xf>
    <xf numFmtId="171" fontId="12" fillId="0" borderId="2" xfId="0" applyNumberFormat="1" applyFont="1" applyBorder="1" applyAlignment="1">
      <alignment vertical="center"/>
    </xf>
    <xf numFmtId="182" fontId="11" fillId="0" borderId="2" xfId="1" applyNumberFormat="1" applyFont="1" applyBorder="1" applyAlignment="1">
      <alignment vertical="center"/>
    </xf>
    <xf numFmtId="171" fontId="11" fillId="20" borderId="2" xfId="1" applyNumberFormat="1" applyFont="1" applyFill="1" applyBorder="1" applyAlignment="1">
      <alignment horizontal="left" vertical="center" wrapText="1"/>
    </xf>
    <xf numFmtId="171" fontId="11" fillId="20" borderId="2" xfId="0" applyNumberFormat="1" applyFont="1" applyFill="1" applyBorder="1" applyAlignment="1">
      <alignment horizontal="left" vertical="center" wrapText="1"/>
    </xf>
    <xf numFmtId="167" fontId="12" fillId="0" borderId="0" xfId="0" applyNumberFormat="1" applyFont="1" applyAlignment="1">
      <alignment vertical="center"/>
    </xf>
    <xf numFmtId="171" fontId="11" fillId="4" borderId="2" xfId="1" applyNumberFormat="1" applyFont="1" applyFill="1" applyBorder="1" applyAlignment="1">
      <alignment vertical="center"/>
    </xf>
    <xf numFmtId="171" fontId="46" fillId="20" borderId="0" xfId="0" applyNumberFormat="1" applyFont="1" applyFill="1" applyAlignment="1">
      <alignment horizontal="center" vertical="center" wrapText="1"/>
    </xf>
    <xf numFmtId="171" fontId="46" fillId="20" borderId="2" xfId="1" applyNumberFormat="1" applyFont="1" applyFill="1" applyBorder="1" applyAlignment="1">
      <alignment vertical="center"/>
    </xf>
    <xf numFmtId="0" fontId="29" fillId="14" borderId="5" xfId="0" applyFont="1" applyFill="1" applyBorder="1" applyAlignment="1">
      <alignment horizontal="center" vertical="center" wrapText="1"/>
    </xf>
    <xf numFmtId="0" fontId="12" fillId="14" borderId="2" xfId="0" applyFont="1" applyFill="1" applyBorder="1" applyAlignment="1">
      <alignment horizontal="left" vertical="center" wrapText="1"/>
    </xf>
    <xf numFmtId="0" fontId="12" fillId="14" borderId="2" xfId="0" applyFont="1" applyFill="1" applyBorder="1" applyAlignment="1">
      <alignment horizontal="center"/>
    </xf>
    <xf numFmtId="0" fontId="12" fillId="14" borderId="2" xfId="0" applyFont="1" applyFill="1" applyBorder="1" applyAlignment="1">
      <alignment horizontal="center" vertical="center"/>
    </xf>
    <xf numFmtId="43" fontId="30" fillId="14" borderId="2" xfId="7" applyFont="1" applyFill="1" applyBorder="1" applyAlignment="1">
      <alignment horizontal="right" vertical="center"/>
    </xf>
    <xf numFmtId="0" fontId="12" fillId="14" borderId="0" xfId="0" applyFont="1" applyFill="1"/>
    <xf numFmtId="0" fontId="12" fillId="14" borderId="2" xfId="0" applyFont="1" applyFill="1" applyBorder="1" applyAlignment="1">
      <alignment horizontal="center" vertical="center" wrapText="1"/>
    </xf>
    <xf numFmtId="166" fontId="12" fillId="14" borderId="2" xfId="1" applyFont="1" applyFill="1" applyBorder="1" applyAlignment="1">
      <alignment horizontal="center"/>
    </xf>
    <xf numFmtId="166" fontId="12" fillId="14" borderId="4" xfId="1" applyFont="1" applyFill="1" applyBorder="1" applyAlignment="1">
      <alignment horizontal="center"/>
    </xf>
    <xf numFmtId="3" fontId="0" fillId="4" borderId="0" xfId="0" applyNumberFormat="1" applyFill="1"/>
    <xf numFmtId="164" fontId="0" fillId="4" borderId="0" xfId="0" applyNumberFormat="1" applyFill="1"/>
    <xf numFmtId="10" fontId="0" fillId="4" borderId="0" xfId="0" applyNumberFormat="1" applyFill="1"/>
    <xf numFmtId="166" fontId="11" fillId="6" borderId="2" xfId="1" applyNumberFormat="1" applyFont="1" applyFill="1" applyBorder="1" applyAlignment="1">
      <alignment vertical="center"/>
    </xf>
    <xf numFmtId="0" fontId="7" fillId="0" borderId="2" xfId="0" applyFont="1" applyFill="1" applyBorder="1"/>
    <xf numFmtId="0" fontId="27" fillId="4" borderId="2" xfId="0" applyFont="1" applyFill="1" applyBorder="1"/>
    <xf numFmtId="166" fontId="27" fillId="4" borderId="2" xfId="1" applyFont="1" applyFill="1" applyBorder="1"/>
    <xf numFmtId="166" fontId="27" fillId="0" borderId="2" xfId="1" applyFont="1" applyFill="1" applyBorder="1"/>
    <xf numFmtId="10" fontId="27" fillId="0" borderId="2" xfId="2" applyNumberFormat="1" applyFont="1" applyFill="1" applyBorder="1"/>
    <xf numFmtId="10" fontId="7" fillId="6" borderId="5" xfId="2" applyNumberFormat="1" applyFont="1" applyFill="1" applyBorder="1"/>
    <xf numFmtId="166" fontId="7" fillId="6" borderId="9" xfId="0" applyNumberFormat="1" applyFont="1" applyFill="1" applyBorder="1" applyAlignment="1">
      <alignment horizontal="left" vertical="center" wrapText="1"/>
    </xf>
    <xf numFmtId="166" fontId="48" fillId="6" borderId="2" xfId="0" applyNumberFormat="1" applyFont="1" applyFill="1" applyBorder="1" applyAlignment="1">
      <alignment horizontal="center"/>
    </xf>
    <xf numFmtId="0" fontId="34" fillId="4" borderId="2" xfId="0" applyFont="1" applyFill="1" applyBorder="1" applyAlignment="1">
      <alignment horizontal="center" vertical="center"/>
    </xf>
    <xf numFmtId="166" fontId="34" fillId="0" borderId="2" xfId="1" applyFont="1" applyBorder="1" applyAlignment="1">
      <alignment horizontal="center"/>
    </xf>
    <xf numFmtId="166" fontId="48" fillId="6" borderId="2" xfId="1" applyFont="1" applyFill="1" applyBorder="1" applyAlignment="1">
      <alignment horizontal="center"/>
    </xf>
    <xf numFmtId="166" fontId="27" fillId="0" borderId="2" xfId="1" applyFont="1" applyBorder="1" applyAlignment="1">
      <alignment horizontal="center" vertical="center"/>
    </xf>
    <xf numFmtId="166" fontId="7" fillId="6" borderId="2" xfId="0" applyNumberFormat="1" applyFont="1" applyFill="1" applyBorder="1" applyAlignment="1">
      <alignment vertical="center"/>
    </xf>
    <xf numFmtId="173" fontId="7" fillId="6" borderId="2" xfId="7" applyNumberFormat="1" applyFont="1" applyFill="1" applyBorder="1"/>
    <xf numFmtId="0" fontId="11" fillId="4" borderId="4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14" borderId="14" xfId="0" applyFont="1" applyFill="1" applyBorder="1" applyAlignment="1">
      <alignment horizontal="center" vertical="center" wrapText="1"/>
    </xf>
    <xf numFmtId="0" fontId="11" fillId="14" borderId="0" xfId="0" applyFont="1" applyFill="1" applyBorder="1" applyAlignment="1">
      <alignment horizontal="center" vertical="center" wrapText="1"/>
    </xf>
    <xf numFmtId="0" fontId="15" fillId="11" borderId="2" xfId="0" applyFont="1" applyFill="1" applyBorder="1" applyAlignment="1">
      <alignment horizontal="center" vertical="center"/>
    </xf>
    <xf numFmtId="0" fontId="22" fillId="11" borderId="2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wrapText="1"/>
    </xf>
    <xf numFmtId="0" fontId="2" fillId="11" borderId="11" xfId="0" applyFont="1" applyFill="1" applyBorder="1" applyAlignment="1">
      <alignment horizontal="center" wrapText="1"/>
    </xf>
    <xf numFmtId="0" fontId="2" fillId="11" borderId="9" xfId="0" applyFont="1" applyFill="1" applyBorder="1" applyAlignment="1">
      <alignment horizontal="center" wrapText="1"/>
    </xf>
    <xf numFmtId="10" fontId="0" fillId="4" borderId="14" xfId="0" applyNumberFormat="1" applyFill="1" applyBorder="1" applyAlignment="1">
      <alignment horizontal="center"/>
    </xf>
    <xf numFmtId="10" fontId="0" fillId="4" borderId="0" xfId="0" applyNumberFormat="1" applyFill="1" applyBorder="1" applyAlignment="1">
      <alignment horizontal="center"/>
    </xf>
    <xf numFmtId="0" fontId="0" fillId="0" borderId="14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2" fillId="3" borderId="16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0" borderId="14" xfId="0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0" fillId="6" borderId="12" xfId="0" applyFont="1" applyFill="1" applyBorder="1" applyAlignment="1">
      <alignment horizontal="center"/>
    </xf>
    <xf numFmtId="0" fontId="0" fillId="6" borderId="9" xfId="0" applyFont="1" applyFill="1" applyBorder="1" applyAlignment="1">
      <alignment horizontal="center"/>
    </xf>
    <xf numFmtId="0" fontId="0" fillId="6" borderId="11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28" fillId="2" borderId="8" xfId="0" applyFont="1" applyFill="1" applyBorder="1" applyAlignment="1">
      <alignment horizontal="center" vertical="center" wrapText="1"/>
    </xf>
    <xf numFmtId="0" fontId="28" fillId="2" borderId="16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43" fontId="29" fillId="17" borderId="3" xfId="7" applyFont="1" applyFill="1" applyBorder="1" applyAlignment="1">
      <alignment horizontal="center" vertical="center" wrapText="1"/>
    </xf>
    <xf numFmtId="43" fontId="29" fillId="17" borderId="2" xfId="7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28" fillId="2" borderId="3" xfId="0" applyFont="1" applyFill="1" applyBorder="1" applyAlignment="1">
      <alignment horizontal="center" vertical="center" wrapText="1"/>
    </xf>
    <xf numFmtId="43" fontId="35" fillId="0" borderId="24" xfId="7" applyFont="1" applyFill="1" applyBorder="1" applyAlignment="1">
      <alignment horizontal="center" vertical="center"/>
    </xf>
    <xf numFmtId="43" fontId="35" fillId="0" borderId="3" xfId="7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2" fillId="4" borderId="0" xfId="0" applyFont="1" applyFill="1" applyAlignment="1">
      <alignment horizontal="left"/>
    </xf>
    <xf numFmtId="0" fontId="11" fillId="6" borderId="2" xfId="0" applyFont="1" applyFill="1" applyBorder="1" applyAlignment="1">
      <alignment horizontal="center"/>
    </xf>
    <xf numFmtId="0" fontId="12" fillId="0" borderId="14" xfId="0" applyFont="1" applyFill="1" applyBorder="1" applyAlignment="1">
      <alignment horizontal="left"/>
    </xf>
    <xf numFmtId="0" fontId="12" fillId="0" borderId="0" xfId="0" applyFont="1" applyFill="1" applyAlignment="1">
      <alignment horizontal="left"/>
    </xf>
    <xf numFmtId="0" fontId="12" fillId="0" borderId="14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0" xfId="0" applyFont="1" applyFill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66" fontId="0" fillId="4" borderId="14" xfId="0" applyNumberFormat="1" applyFill="1" applyBorder="1" applyAlignment="1">
      <alignment horizontal="center" vertical="center" wrapText="1"/>
    </xf>
    <xf numFmtId="166" fontId="0" fillId="4" borderId="0" xfId="0" applyNumberFormat="1" applyFill="1" applyAlignment="1">
      <alignment horizontal="center" vertical="center" wrapText="1"/>
    </xf>
    <xf numFmtId="166" fontId="0" fillId="4" borderId="22" xfId="0" applyNumberFormat="1" applyFill="1" applyBorder="1" applyAlignment="1">
      <alignment horizontal="center" vertical="center" wrapText="1"/>
    </xf>
    <xf numFmtId="166" fontId="0" fillId="4" borderId="0" xfId="0" applyNumberForma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166" fontId="0" fillId="0" borderId="2" xfId="1" applyFont="1" applyBorder="1" applyAlignment="1">
      <alignment horizontal="center" wrapText="1"/>
    </xf>
    <xf numFmtId="166" fontId="0" fillId="5" borderId="2" xfId="1" applyFont="1" applyFill="1" applyBorder="1" applyAlignment="1">
      <alignment horizontal="center" wrapText="1"/>
    </xf>
    <xf numFmtId="0" fontId="0" fillId="4" borderId="14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8" fillId="3" borderId="16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166" fontId="1" fillId="4" borderId="2" xfId="1" applyFont="1" applyFill="1" applyBorder="1" applyAlignment="1">
      <alignment horizontal="center" wrapText="1"/>
    </xf>
    <xf numFmtId="166" fontId="0" fillId="4" borderId="2" xfId="1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0" fillId="2" borderId="4" xfId="0" applyFont="1" applyFill="1" applyBorder="1" applyAlignment="1">
      <alignment horizontal="center"/>
    </xf>
    <xf numFmtId="0" fontId="0" fillId="2" borderId="11" xfId="0" applyFont="1" applyFill="1" applyBorder="1" applyAlignment="1">
      <alignment horizontal="center"/>
    </xf>
    <xf numFmtId="0" fontId="0" fillId="2" borderId="9" xfId="0" applyFont="1" applyFill="1" applyBorder="1" applyAlignment="1">
      <alignment horizontal="center"/>
    </xf>
    <xf numFmtId="166" fontId="2" fillId="5" borderId="4" xfId="1" applyFont="1" applyFill="1" applyBorder="1" applyAlignment="1">
      <alignment horizontal="center" vertical="center"/>
    </xf>
    <xf numFmtId="166" fontId="2" fillId="5" borderId="9" xfId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66" fontId="0" fillId="0" borderId="2" xfId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top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166" fontId="15" fillId="5" borderId="4" xfId="1" applyFont="1" applyFill="1" applyBorder="1" applyAlignment="1">
      <alignment horizontal="center" vertical="center"/>
    </xf>
    <xf numFmtId="166" fontId="15" fillId="5" borderId="9" xfId="1" applyFont="1" applyFill="1" applyBorder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10" borderId="4" xfId="0" applyFont="1" applyFill="1" applyBorder="1" applyAlignment="1">
      <alignment horizontal="center" vertical="center"/>
    </xf>
    <xf numFmtId="0" fontId="23" fillId="10" borderId="11" xfId="0" applyFont="1" applyFill="1" applyBorder="1" applyAlignment="1">
      <alignment horizontal="center" vertical="center"/>
    </xf>
    <xf numFmtId="0" fontId="23" fillId="10" borderId="9" xfId="0" applyFont="1" applyFill="1" applyBorder="1" applyAlignment="1">
      <alignment horizontal="center" vertical="center"/>
    </xf>
    <xf numFmtId="41" fontId="2" fillId="10" borderId="4" xfId="4" applyFont="1" applyFill="1" applyBorder="1" applyAlignment="1">
      <alignment horizontal="center" vertical="center"/>
    </xf>
    <xf numFmtId="41" fontId="2" fillId="10" borderId="11" xfId="4" applyFont="1" applyFill="1" applyBorder="1" applyAlignment="1">
      <alignment horizontal="center" vertical="center"/>
    </xf>
    <xf numFmtId="41" fontId="2" fillId="10" borderId="9" xfId="4" applyFont="1" applyFill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41" fontId="2" fillId="10" borderId="2" xfId="4" applyFont="1" applyFill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center" wrapText="1"/>
    </xf>
    <xf numFmtId="166" fontId="2" fillId="4" borderId="6" xfId="0" applyNumberFormat="1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166" fontId="23" fillId="4" borderId="0" xfId="0" applyNumberFormat="1" applyFont="1" applyFill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3" fillId="6" borderId="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164" fontId="0" fillId="0" borderId="2" xfId="7" applyNumberFormat="1" applyFont="1" applyFill="1" applyBorder="1" applyAlignment="1">
      <alignment horizontal="center" vertical="center"/>
    </xf>
    <xf numFmtId="164" fontId="0" fillId="4" borderId="2" xfId="7" applyNumberFormat="1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 wrapText="1"/>
    </xf>
    <xf numFmtId="0" fontId="5" fillId="11" borderId="11" xfId="0" applyFont="1" applyFill="1" applyBorder="1" applyAlignment="1">
      <alignment horizontal="center" vertical="center" wrapText="1"/>
    </xf>
    <xf numFmtId="0" fontId="5" fillId="11" borderId="9" xfId="0" applyFont="1" applyFill="1" applyBorder="1" applyAlignment="1">
      <alignment horizontal="center" vertical="center" wrapText="1"/>
    </xf>
    <xf numFmtId="0" fontId="0" fillId="6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right" vertical="center"/>
    </xf>
    <xf numFmtId="0" fontId="2" fillId="2" borderId="11" xfId="0" applyFont="1" applyFill="1" applyBorder="1" applyAlignment="1">
      <alignment horizontal="right" vertical="center"/>
    </xf>
    <xf numFmtId="0" fontId="2" fillId="2" borderId="9" xfId="0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left"/>
    </xf>
    <xf numFmtId="0" fontId="2" fillId="6" borderId="2" xfId="0" applyFont="1" applyFill="1" applyBorder="1" applyAlignment="1">
      <alignment horizontal="right"/>
    </xf>
    <xf numFmtId="0" fontId="4" fillId="0" borderId="4" xfId="6" applyFont="1" applyBorder="1" applyAlignment="1">
      <alignment horizontal="left"/>
    </xf>
    <xf numFmtId="0" fontId="4" fillId="0" borderId="11" xfId="6" applyFont="1" applyBorder="1" applyAlignment="1">
      <alignment horizontal="left"/>
    </xf>
    <xf numFmtId="0" fontId="4" fillId="0" borderId="9" xfId="6" applyFont="1" applyBorder="1" applyAlignment="1">
      <alignment horizontal="left"/>
    </xf>
    <xf numFmtId="0" fontId="5" fillId="2" borderId="2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/>
    </xf>
    <xf numFmtId="0" fontId="39" fillId="2" borderId="5" xfId="9" applyFont="1" applyFill="1" applyBorder="1" applyAlignment="1">
      <alignment horizontal="center" vertical="center"/>
    </xf>
    <xf numFmtId="0" fontId="39" fillId="2" borderId="10" xfId="9" applyFont="1" applyFill="1" applyBorder="1" applyAlignment="1">
      <alignment horizontal="center" vertical="center"/>
    </xf>
    <xf numFmtId="0" fontId="39" fillId="2" borderId="3" xfId="9" applyFont="1" applyFill="1" applyBorder="1" applyAlignment="1">
      <alignment horizontal="center" vertical="center"/>
    </xf>
    <xf numFmtId="0" fontId="37" fillId="0" borderId="6" xfId="9" applyFont="1" applyBorder="1" applyAlignment="1">
      <alignment horizontal="center" vertical="center"/>
    </xf>
    <xf numFmtId="0" fontId="37" fillId="0" borderId="12" xfId="9" applyFont="1" applyBorder="1" applyAlignment="1">
      <alignment horizontal="center" vertical="center"/>
    </xf>
    <xf numFmtId="0" fontId="37" fillId="0" borderId="13" xfId="9" applyFont="1" applyBorder="1" applyAlignment="1">
      <alignment horizontal="center" vertical="center"/>
    </xf>
    <xf numFmtId="0" fontId="37" fillId="0" borderId="8" xfId="9" applyFont="1" applyBorder="1" applyAlignment="1">
      <alignment horizontal="center" vertical="center"/>
    </xf>
    <xf numFmtId="0" fontId="37" fillId="0" borderId="16" xfId="9" applyFont="1" applyBorder="1" applyAlignment="1">
      <alignment horizontal="center" vertical="center"/>
    </xf>
    <xf numFmtId="0" fontId="37" fillId="0" borderId="7" xfId="9" applyFont="1" applyBorder="1" applyAlignment="1">
      <alignment horizontal="center" vertical="center"/>
    </xf>
    <xf numFmtId="0" fontId="37" fillId="2" borderId="4" xfId="9" applyFont="1" applyFill="1" applyBorder="1" applyAlignment="1">
      <alignment horizontal="center" vertical="center" wrapText="1"/>
    </xf>
    <xf numFmtId="0" fontId="37" fillId="2" borderId="11" xfId="9" applyFont="1" applyFill="1" applyBorder="1" applyAlignment="1">
      <alignment horizontal="center" vertical="center" wrapText="1"/>
    </xf>
    <xf numFmtId="0" fontId="37" fillId="2" borderId="9" xfId="9" applyFont="1" applyFill="1" applyBorder="1" applyAlignment="1">
      <alignment horizontal="center" vertical="center" wrapText="1"/>
    </xf>
    <xf numFmtId="0" fontId="38" fillId="2" borderId="4" xfId="9" applyFont="1" applyFill="1" applyBorder="1" applyAlignment="1">
      <alignment horizontal="center" vertical="center" wrapText="1"/>
    </xf>
    <xf numFmtId="0" fontId="38" fillId="2" borderId="11" xfId="9" applyFont="1" applyFill="1" applyBorder="1" applyAlignment="1">
      <alignment horizontal="center" vertical="center" wrapText="1"/>
    </xf>
    <xf numFmtId="0" fontId="38" fillId="2" borderId="9" xfId="9" applyFont="1" applyFill="1" applyBorder="1" applyAlignment="1">
      <alignment horizontal="center" vertical="center" wrapText="1"/>
    </xf>
    <xf numFmtId="0" fontId="39" fillId="2" borderId="4" xfId="9" applyFont="1" applyFill="1" applyBorder="1" applyAlignment="1">
      <alignment horizontal="left" vertical="top" wrapText="1"/>
    </xf>
    <xf numFmtId="0" fontId="39" fillId="2" borderId="11" xfId="9" applyFont="1" applyFill="1" applyBorder="1" applyAlignment="1">
      <alignment horizontal="left" vertical="top" wrapText="1"/>
    </xf>
    <xf numFmtId="0" fontId="39" fillId="2" borderId="9" xfId="9" applyFont="1" applyFill="1" applyBorder="1" applyAlignment="1">
      <alignment horizontal="left" vertical="top" wrapText="1"/>
    </xf>
    <xf numFmtId="0" fontId="39" fillId="0" borderId="4" xfId="9" applyFont="1" applyBorder="1" applyAlignment="1">
      <alignment horizontal="left"/>
    </xf>
    <xf numFmtId="0" fontId="39" fillId="0" borderId="11" xfId="9" applyFont="1" applyBorder="1" applyAlignment="1">
      <alignment horizontal="left"/>
    </xf>
    <xf numFmtId="0" fontId="39" fillId="0" borderId="9" xfId="9" applyFont="1" applyBorder="1" applyAlignment="1">
      <alignment horizontal="left"/>
    </xf>
    <xf numFmtId="0" fontId="39" fillId="2" borderId="4" xfId="9" applyFont="1" applyFill="1" applyBorder="1" applyAlignment="1">
      <alignment horizontal="left"/>
    </xf>
    <xf numFmtId="0" fontId="39" fillId="2" borderId="11" xfId="9" applyFont="1" applyFill="1" applyBorder="1" applyAlignment="1">
      <alignment horizontal="left"/>
    </xf>
    <xf numFmtId="0" fontId="39" fillId="2" borderId="9" xfId="9" applyFont="1" applyFill="1" applyBorder="1" applyAlignment="1">
      <alignment horizontal="left"/>
    </xf>
    <xf numFmtId="0" fontId="39" fillId="0" borderId="4" xfId="9" applyFont="1" applyBorder="1" applyAlignment="1">
      <alignment horizontal="left" vertical="top" wrapText="1"/>
    </xf>
    <xf numFmtId="0" fontId="39" fillId="0" borderId="11" xfId="9" applyFont="1" applyBorder="1" applyAlignment="1">
      <alignment horizontal="left" vertical="top" wrapText="1"/>
    </xf>
    <xf numFmtId="0" fontId="39" fillId="0" borderId="9" xfId="9" applyFont="1" applyBorder="1" applyAlignment="1">
      <alignment horizontal="left" vertical="top" wrapText="1"/>
    </xf>
    <xf numFmtId="0" fontId="39" fillId="2" borderId="5" xfId="9" applyFont="1" applyFill="1" applyBorder="1" applyAlignment="1">
      <alignment horizontal="center" vertical="center" wrapText="1"/>
    </xf>
    <xf numFmtId="0" fontId="39" fillId="2" borderId="3" xfId="9" applyFont="1" applyFill="1" applyBorder="1" applyAlignment="1">
      <alignment horizontal="center" vertical="center" wrapText="1"/>
    </xf>
    <xf numFmtId="0" fontId="39" fillId="2" borderId="6" xfId="9" applyFont="1" applyFill="1" applyBorder="1" applyAlignment="1">
      <alignment horizontal="center" vertical="top" wrapText="1"/>
    </xf>
    <xf numFmtId="0" fontId="39" fillId="2" borderId="13" xfId="9" applyFont="1" applyFill="1" applyBorder="1" applyAlignment="1">
      <alignment horizontal="center" vertical="top" wrapText="1"/>
    </xf>
    <xf numFmtId="49" fontId="39" fillId="2" borderId="8" xfId="9" applyNumberFormat="1" applyFont="1" applyFill="1" applyBorder="1" applyAlignment="1">
      <alignment horizontal="center" vertical="top" wrapText="1"/>
    </xf>
    <xf numFmtId="49" fontId="39" fillId="2" borderId="7" xfId="9" applyNumberFormat="1" applyFont="1" applyFill="1" applyBorder="1" applyAlignment="1">
      <alignment horizontal="center" vertical="top" wrapText="1"/>
    </xf>
    <xf numFmtId="0" fontId="42" fillId="0" borderId="5" xfId="9" applyFont="1" applyBorder="1" applyAlignment="1">
      <alignment horizontal="justify" vertical="top" wrapText="1"/>
    </xf>
    <xf numFmtId="0" fontId="42" fillId="0" borderId="3" xfId="9" applyFont="1" applyBorder="1" applyAlignment="1">
      <alignment horizontal="justify" vertical="top" wrapText="1"/>
    </xf>
    <xf numFmtId="0" fontId="42" fillId="0" borderId="5" xfId="9" applyFont="1" applyBorder="1" applyAlignment="1">
      <alignment horizontal="center" vertical="center" wrapText="1"/>
    </xf>
    <xf numFmtId="0" fontId="42" fillId="0" borderId="3" xfId="9" applyFont="1" applyBorder="1" applyAlignment="1">
      <alignment horizontal="center" vertical="center" wrapText="1"/>
    </xf>
    <xf numFmtId="2" fontId="42" fillId="4" borderId="5" xfId="9" applyNumberFormat="1" applyFont="1" applyFill="1" applyBorder="1" applyAlignment="1">
      <alignment horizontal="center" vertical="center" wrapText="1"/>
    </xf>
    <xf numFmtId="2" fontId="42" fillId="4" borderId="3" xfId="9" applyNumberFormat="1" applyFont="1" applyFill="1" applyBorder="1" applyAlignment="1">
      <alignment horizontal="center" vertical="center" wrapText="1"/>
    </xf>
    <xf numFmtId="177" fontId="42" fillId="0" borderId="6" xfId="9" applyNumberFormat="1" applyFont="1" applyBorder="1" applyAlignment="1">
      <alignment horizontal="center" vertical="center" wrapText="1"/>
    </xf>
    <xf numFmtId="177" fontId="42" fillId="0" borderId="13" xfId="9" applyNumberFormat="1" applyFont="1" applyBorder="1" applyAlignment="1">
      <alignment horizontal="center" vertical="center" wrapText="1"/>
    </xf>
    <xf numFmtId="177" fontId="42" fillId="0" borderId="8" xfId="9" applyNumberFormat="1" applyFont="1" applyBorder="1" applyAlignment="1">
      <alignment horizontal="center" vertical="center" wrapText="1"/>
    </xf>
    <xf numFmtId="177" fontId="42" fillId="0" borderId="7" xfId="9" applyNumberFormat="1" applyFont="1" applyBorder="1" applyAlignment="1">
      <alignment horizontal="center" vertical="center" wrapText="1"/>
    </xf>
    <xf numFmtId="44" fontId="42" fillId="0" borderId="5" xfId="9" applyNumberFormat="1" applyFont="1" applyBorder="1" applyAlignment="1">
      <alignment horizontal="center" vertical="center" wrapText="1"/>
    </xf>
    <xf numFmtId="44" fontId="42" fillId="0" borderId="3" xfId="9" applyNumberFormat="1" applyFont="1" applyBorder="1" applyAlignment="1">
      <alignment horizontal="center" vertical="center" wrapText="1"/>
    </xf>
    <xf numFmtId="0" fontId="44" fillId="19" borderId="4" xfId="9" applyFont="1" applyFill="1" applyBorder="1" applyAlignment="1">
      <alignment horizontal="left" vertical="top" wrapText="1"/>
    </xf>
    <xf numFmtId="0" fontId="44" fillId="19" borderId="11" xfId="9" applyFont="1" applyFill="1" applyBorder="1" applyAlignment="1">
      <alignment horizontal="left" vertical="top" wrapText="1"/>
    </xf>
    <xf numFmtId="0" fontId="44" fillId="19" borderId="9" xfId="9" applyFont="1" applyFill="1" applyBorder="1" applyAlignment="1">
      <alignment horizontal="left" vertical="top" wrapText="1"/>
    </xf>
    <xf numFmtId="49" fontId="39" fillId="2" borderId="4" xfId="9" applyNumberFormat="1" applyFont="1" applyFill="1" applyBorder="1" applyAlignment="1">
      <alignment horizontal="left" vertical="top" wrapText="1"/>
    </xf>
    <xf numFmtId="49" fontId="39" fillId="2" borderId="11" xfId="9" applyNumberFormat="1" applyFont="1" applyFill="1" applyBorder="1" applyAlignment="1">
      <alignment horizontal="left" vertical="top" wrapText="1"/>
    </xf>
    <xf numFmtId="49" fontId="39" fillId="2" borderId="9" xfId="9" applyNumberFormat="1" applyFont="1" applyFill="1" applyBorder="1" applyAlignment="1">
      <alignment horizontal="left" vertical="top" wrapText="1"/>
    </xf>
    <xf numFmtId="10" fontId="39" fillId="2" borderId="4" xfId="2" applyNumberFormat="1" applyFont="1" applyFill="1" applyBorder="1" applyAlignment="1">
      <alignment horizontal="center" vertical="center"/>
    </xf>
    <xf numFmtId="10" fontId="39" fillId="2" borderId="9" xfId="2" applyNumberFormat="1" applyFont="1" applyFill="1" applyBorder="1" applyAlignment="1">
      <alignment horizontal="center" vertical="center"/>
    </xf>
    <xf numFmtId="10" fontId="42" fillId="2" borderId="4" xfId="2" applyNumberFormat="1" applyFont="1" applyFill="1" applyBorder="1" applyAlignment="1">
      <alignment horizontal="center" vertical="center"/>
    </xf>
    <xf numFmtId="10" fontId="42" fillId="2" borderId="9" xfId="2" applyNumberFormat="1" applyFont="1" applyFill="1" applyBorder="1" applyAlignment="1">
      <alignment horizontal="center" vertical="center"/>
    </xf>
    <xf numFmtId="10" fontId="39" fillId="2" borderId="4" xfId="2" applyNumberFormat="1" applyFont="1" applyFill="1" applyBorder="1" applyAlignment="1">
      <alignment horizontal="center" vertical="top" wrapText="1"/>
    </xf>
    <xf numFmtId="10" fontId="39" fillId="2" borderId="9" xfId="2" applyNumberFormat="1" applyFont="1" applyFill="1" applyBorder="1" applyAlignment="1">
      <alignment horizontal="center" vertical="top" wrapText="1"/>
    </xf>
    <xf numFmtId="0" fontId="41" fillId="0" borderId="4" xfId="9" applyFont="1" applyBorder="1" applyAlignment="1">
      <alignment horizontal="justify" vertical="center"/>
    </xf>
    <xf numFmtId="0" fontId="41" fillId="0" borderId="11" xfId="9" applyFont="1" applyBorder="1" applyAlignment="1">
      <alignment horizontal="justify" vertical="center"/>
    </xf>
    <xf numFmtId="0" fontId="41" fillId="0" borderId="9" xfId="9" applyFont="1" applyBorder="1" applyAlignment="1">
      <alignment horizontal="justify" vertical="center"/>
    </xf>
    <xf numFmtId="0" fontId="38" fillId="2" borderId="5" xfId="9" applyFont="1" applyFill="1" applyBorder="1" applyAlignment="1">
      <alignment horizontal="center" vertical="center"/>
    </xf>
    <xf numFmtId="0" fontId="38" fillId="2" borderId="3" xfId="9" applyFont="1" applyFill="1" applyBorder="1" applyAlignment="1">
      <alignment horizontal="center" vertical="center"/>
    </xf>
    <xf numFmtId="176" fontId="38" fillId="2" borderId="5" xfId="13" applyNumberFormat="1" applyFont="1" applyFill="1" applyBorder="1" applyAlignment="1">
      <alignment horizontal="center" vertical="center"/>
    </xf>
    <xf numFmtId="176" fontId="38" fillId="2" borderId="3" xfId="13" applyNumberFormat="1" applyFont="1" applyFill="1" applyBorder="1" applyAlignment="1">
      <alignment horizontal="center" vertical="center"/>
    </xf>
    <xf numFmtId="176" fontId="38" fillId="2" borderId="5" xfId="13" applyNumberFormat="1" applyFont="1" applyFill="1" applyBorder="1" applyAlignment="1">
      <alignment horizontal="center" vertical="center" wrapText="1"/>
    </xf>
    <xf numFmtId="176" fontId="38" fillId="2" borderId="3" xfId="13" applyNumberFormat="1" applyFont="1" applyFill="1" applyBorder="1" applyAlignment="1">
      <alignment horizontal="center" vertical="center" wrapText="1"/>
    </xf>
    <xf numFmtId="0" fontId="38" fillId="2" borderId="4" xfId="9" applyFont="1" applyFill="1" applyBorder="1" applyAlignment="1">
      <alignment horizontal="left" vertical="center"/>
    </xf>
    <xf numFmtId="0" fontId="38" fillId="2" borderId="11" xfId="9" applyFont="1" applyFill="1" applyBorder="1" applyAlignment="1">
      <alignment horizontal="left" vertical="center"/>
    </xf>
    <xf numFmtId="0" fontId="38" fillId="2" borderId="9" xfId="9" applyFont="1" applyFill="1" applyBorder="1" applyAlignment="1">
      <alignment horizontal="left" vertical="center"/>
    </xf>
    <xf numFmtId="0" fontId="38" fillId="0" borderId="6" xfId="9" applyFont="1" applyBorder="1" applyAlignment="1">
      <alignment horizontal="justify" vertical="center" wrapText="1"/>
    </xf>
    <xf numFmtId="0" fontId="38" fillId="0" borderId="12" xfId="9" applyFont="1" applyBorder="1" applyAlignment="1">
      <alignment horizontal="justify" vertical="center" wrapText="1"/>
    </xf>
    <xf numFmtId="0" fontId="38" fillId="0" borderId="13" xfId="9" applyFont="1" applyBorder="1" applyAlignment="1">
      <alignment horizontal="justify" vertical="center" wrapText="1"/>
    </xf>
    <xf numFmtId="0" fontId="38" fillId="0" borderId="14" xfId="9" applyFont="1" applyBorder="1" applyAlignment="1">
      <alignment horizontal="justify" vertical="center" wrapText="1"/>
    </xf>
    <xf numFmtId="0" fontId="38" fillId="0" borderId="0" xfId="9" applyFont="1" applyAlignment="1">
      <alignment horizontal="justify" vertical="center" wrapText="1"/>
    </xf>
    <xf numFmtId="0" fontId="38" fillId="0" borderId="15" xfId="9" applyFont="1" applyBorder="1" applyAlignment="1">
      <alignment horizontal="justify" vertical="center" wrapText="1"/>
    </xf>
    <xf numFmtId="0" fontId="38" fillId="0" borderId="8" xfId="9" applyFont="1" applyBorder="1" applyAlignment="1">
      <alignment horizontal="justify" vertical="center" wrapText="1"/>
    </xf>
    <xf numFmtId="0" fontId="38" fillId="0" borderId="16" xfId="9" applyFont="1" applyBorder="1" applyAlignment="1">
      <alignment horizontal="justify" vertical="center" wrapText="1"/>
    </xf>
    <xf numFmtId="0" fontId="38" fillId="0" borderId="7" xfId="9" applyFont="1" applyBorder="1" applyAlignment="1">
      <alignment horizontal="justify" vertical="center" wrapText="1"/>
    </xf>
    <xf numFmtId="169" fontId="0" fillId="4" borderId="2" xfId="0" applyNumberFormat="1" applyFont="1" applyFill="1" applyBorder="1" applyAlignment="1"/>
    <xf numFmtId="169" fontId="27" fillId="4" borderId="2" xfId="0" applyNumberFormat="1" applyFont="1" applyFill="1" applyBorder="1" applyAlignment="1"/>
    <xf numFmtId="166" fontId="5" fillId="6" borderId="5" xfId="1" applyFont="1" applyFill="1" applyBorder="1"/>
    <xf numFmtId="166" fontId="0" fillId="6" borderId="5" xfId="1" applyFont="1" applyFill="1" applyBorder="1" applyAlignment="1">
      <alignment vertical="center"/>
    </xf>
    <xf numFmtId="166" fontId="0" fillId="6" borderId="5" xfId="1" applyNumberFormat="1" applyFont="1" applyFill="1" applyBorder="1" applyAlignment="1">
      <alignment vertical="center"/>
    </xf>
    <xf numFmtId="164" fontId="0" fillId="6" borderId="5" xfId="1" applyNumberFormat="1" applyFont="1" applyFill="1" applyBorder="1" applyAlignment="1">
      <alignment vertical="center"/>
    </xf>
    <xf numFmtId="166" fontId="0" fillId="4" borderId="0" xfId="1" applyFont="1" applyFill="1"/>
    <xf numFmtId="5" fontId="27" fillId="4" borderId="0" xfId="1" applyNumberFormat="1" applyFont="1" applyFill="1"/>
    <xf numFmtId="173" fontId="27" fillId="4" borderId="0" xfId="0" applyNumberFormat="1" applyFont="1" applyFill="1"/>
    <xf numFmtId="166" fontId="49" fillId="0" borderId="9" xfId="5" applyNumberFormat="1" applyFont="1" applyFill="1" applyBorder="1" applyAlignment="1" applyProtection="1">
      <alignment horizontal="center" vertical="center" wrapText="1"/>
    </xf>
  </cellXfs>
  <cellStyles count="16">
    <cellStyle name="Millares" xfId="7" builtinId="3"/>
    <cellStyle name="Millares [0]" xfId="4" builtinId="6"/>
    <cellStyle name="Millares 17" xfId="10"/>
    <cellStyle name="Millares 2 2" xfId="13"/>
    <cellStyle name="Moneda" xfId="8" builtinId="4"/>
    <cellStyle name="Moneda [0]" xfId="1" builtinId="7"/>
    <cellStyle name="Moneda [0] 2 2 2" xfId="14"/>
    <cellStyle name="Moneda 13" xfId="11"/>
    <cellStyle name="Moneda 14" xfId="12"/>
    <cellStyle name="Moneda 2 3" xfId="15"/>
    <cellStyle name="Normal" xfId="0" builtinId="0"/>
    <cellStyle name="Normal 2" xfId="3"/>
    <cellStyle name="Normal 2 2" xfId="6"/>
    <cellStyle name="Normal 3 2" xfId="9"/>
    <cellStyle name="Normal 6" xfId="5"/>
    <cellStyle name="Porcentaje" xfId="2" builtinId="5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752474</xdr:colOff>
      <xdr:row>34</xdr:row>
      <xdr:rowOff>66675</xdr:rowOff>
    </xdr:from>
    <xdr:to>
      <xdr:col>5</xdr:col>
      <xdr:colOff>2571749</xdr:colOff>
      <xdr:row>62</xdr:row>
      <xdr:rowOff>57151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0E11B92-6A32-4CDD-97DC-CF71B62D6B8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2227" t="4297" r="12141" b="14963"/>
        <a:stretch/>
      </xdr:blipFill>
      <xdr:spPr>
        <a:xfrm>
          <a:off x="752474" y="12525375"/>
          <a:ext cx="7629525" cy="5324476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63</xdr:row>
      <xdr:rowOff>133350</xdr:rowOff>
    </xdr:from>
    <xdr:to>
      <xdr:col>5</xdr:col>
      <xdr:colOff>2628900</xdr:colOff>
      <xdr:row>89</xdr:row>
      <xdr:rowOff>9525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F5303E-B6FC-4923-815A-032A7DDC959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9957" t="4688" r="10823" b="14703"/>
        <a:stretch/>
      </xdr:blipFill>
      <xdr:spPr>
        <a:xfrm>
          <a:off x="800100" y="18116550"/>
          <a:ext cx="7639050" cy="48291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NOVO\AppData\Local\Microsoft\Windows\INetCache\Content.Outlook\E24ZK0EE\PRESUPUESTO%20MAQUINARIA%20VERD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CROMOGRAMA"/>
      <sheetName val="PRESUPUESTO GENERAL"/>
      <sheetName val="MANO DE OBRA CALIFICADA"/>
      <sheetName val="GASTOS_ADMIN"/>
      <sheetName val="APOYO A LA SUPERVISIÓN"/>
      <sheetName val="CONT. ORGANIZACIONES"/>
      <sheetName val="CONT. ALCALDIAS"/>
      <sheetName val="IN. PAPA."/>
      <sheetName val="IN. CEBOLLA B. "/>
      <sheetName val="IN. MAIZ."/>
      <sheetName val="IN. CEBADA."/>
      <sheetName val="IN. TRIGO."/>
      <sheetName val="IN. FORRAJE."/>
      <sheetName val="RESUMEN INSUMOS"/>
      <sheetName val="FACTOR MULTIPLICADOR"/>
      <sheetName val="COSTOS LEGALIZACIÓN"/>
      <sheetName val="DETALLE MAQUINARIA"/>
    </sheetNames>
    <sheetDataSet>
      <sheetData sheetId="0"/>
      <sheetData sheetId="1"/>
      <sheetData sheetId="2">
        <row r="17">
          <cell r="H17">
            <v>21200000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4"/>
  <sheetViews>
    <sheetView topLeftCell="F3" zoomScale="60" zoomScaleNormal="60" workbookViewId="0">
      <pane ySplit="1" topLeftCell="A6" activePane="bottomLeft" state="frozen"/>
      <selection activeCell="B3" sqref="B3"/>
      <selection pane="bottomLeft" activeCell="O33" sqref="O33"/>
    </sheetView>
  </sheetViews>
  <sheetFormatPr baseColWidth="10" defaultColWidth="11.5703125" defaultRowHeight="15" x14ac:dyDescent="0.25"/>
  <cols>
    <col min="1" max="1" width="11.5703125" style="437"/>
    <col min="2" max="2" width="25.28515625" style="437" customWidth="1"/>
    <col min="3" max="3" width="13.42578125" style="437" customWidth="1"/>
    <col min="4" max="4" width="20.5703125" style="273" customWidth="1"/>
    <col min="5" max="5" width="13" style="448" customWidth="1"/>
    <col min="6" max="6" width="79.42578125" style="437" customWidth="1"/>
    <col min="7" max="7" width="23.28515625" style="437" customWidth="1"/>
    <col min="8" max="8" width="23.140625" style="437" customWidth="1"/>
    <col min="9" max="9" width="19.42578125" style="437" customWidth="1"/>
    <col min="10" max="10" width="22.140625" style="437" customWidth="1"/>
    <col min="11" max="11" width="24.5703125" style="437" customWidth="1"/>
    <col min="12" max="12" width="22" style="437" customWidth="1"/>
    <col min="13" max="13" width="23.85546875" style="437" customWidth="1"/>
    <col min="14" max="14" width="23" style="437" customWidth="1"/>
    <col min="15" max="15" width="24.7109375" style="437" customWidth="1"/>
    <col min="16" max="16" width="25.140625" style="437" customWidth="1"/>
    <col min="17" max="17" width="16.85546875" style="437" bestFit="1" customWidth="1"/>
    <col min="18" max="16384" width="11.5703125" style="437"/>
  </cols>
  <sheetData>
    <row r="2" spans="2:17" ht="75.75" customHeight="1" x14ac:dyDescent="0.25">
      <c r="B2" s="509" t="s">
        <v>355</v>
      </c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</row>
    <row r="3" spans="2:17" ht="55.5" customHeight="1" x14ac:dyDescent="0.25">
      <c r="B3" s="79" t="s">
        <v>176</v>
      </c>
      <c r="C3" s="80" t="s">
        <v>175</v>
      </c>
      <c r="D3" s="81" t="s">
        <v>170</v>
      </c>
      <c r="E3" s="81" t="s">
        <v>177</v>
      </c>
      <c r="F3" s="81" t="s">
        <v>2</v>
      </c>
      <c r="G3" s="81" t="s">
        <v>562</v>
      </c>
      <c r="H3" s="81" t="s">
        <v>563</v>
      </c>
      <c r="I3" s="81"/>
      <c r="J3" s="81" t="s">
        <v>564</v>
      </c>
      <c r="K3" s="81" t="s">
        <v>565</v>
      </c>
      <c r="L3" s="81"/>
      <c r="M3" s="81" t="s">
        <v>566</v>
      </c>
      <c r="N3" s="81" t="s">
        <v>567</v>
      </c>
      <c r="O3" s="81" t="s">
        <v>568</v>
      </c>
      <c r="P3" s="81" t="s">
        <v>569</v>
      </c>
    </row>
    <row r="4" spans="2:17" s="439" customFormat="1" ht="36" customHeight="1" x14ac:dyDescent="0.25">
      <c r="B4" s="511" t="s">
        <v>181</v>
      </c>
      <c r="C4" s="512"/>
      <c r="D4" s="513"/>
      <c r="E4" s="82" t="s">
        <v>178</v>
      </c>
      <c r="F4" s="84" t="s">
        <v>182</v>
      </c>
      <c r="G4" s="84"/>
      <c r="H4" s="85"/>
      <c r="I4" s="85"/>
      <c r="J4" s="85"/>
      <c r="K4" s="85"/>
      <c r="L4" s="85"/>
      <c r="M4" s="85"/>
      <c r="N4" s="85"/>
      <c r="O4" s="438"/>
      <c r="P4" s="85"/>
    </row>
    <row r="5" spans="2:17" ht="28.5" x14ac:dyDescent="0.25">
      <c r="B5" s="514" t="s">
        <v>180</v>
      </c>
      <c r="C5" s="515" t="s">
        <v>173</v>
      </c>
      <c r="D5" s="517" t="s">
        <v>172</v>
      </c>
      <c r="E5" s="83" t="s">
        <v>20</v>
      </c>
      <c r="F5" s="84" t="s">
        <v>209</v>
      </c>
      <c r="G5" s="84"/>
      <c r="H5" s="467">
        <f>+'PRESUPUESTO GENERAL'!E25*5.5%</f>
        <v>4498163.6412533335</v>
      </c>
      <c r="I5" s="441">
        <f>+H5/H24</f>
        <v>5.5000000323336413E-2</v>
      </c>
      <c r="J5" s="453">
        <f>+ECAS!G14</f>
        <v>1080000</v>
      </c>
      <c r="K5" s="467">
        <f>+('PRESUPUESTO GENERAL'!E28+'PRESUPUESTO GENERAL'!E6+'PRESUPUESTO GENERAL'!E30)*1.75%</f>
        <v>1579510.9374800003</v>
      </c>
      <c r="L5" s="441">
        <f>+K5/K24</f>
        <v>1.749999997207996E-2</v>
      </c>
      <c r="M5" s="443"/>
      <c r="N5" s="443"/>
      <c r="O5" s="473">
        <f>SUM(G5,H5,J5,K5)</f>
        <v>7157674.5787333343</v>
      </c>
      <c r="P5" s="440">
        <f>SUM(M5:O5)</f>
        <v>7157674.5787333343</v>
      </c>
      <c r="Q5" s="444"/>
    </row>
    <row r="6" spans="2:17" ht="42.75" x14ac:dyDescent="0.25">
      <c r="B6" s="514"/>
      <c r="C6" s="515"/>
      <c r="D6" s="518"/>
      <c r="E6" s="83" t="s">
        <v>21</v>
      </c>
      <c r="F6" s="454" t="s">
        <v>185</v>
      </c>
      <c r="G6" s="84"/>
      <c r="H6" s="467">
        <f>+'PRESUPUESTO GENERAL'!E25*7%</f>
        <v>5724935.5434133345</v>
      </c>
      <c r="I6" s="441">
        <f>+H6/H24</f>
        <v>7.0000000411519089E-2</v>
      </c>
      <c r="J6" s="440"/>
      <c r="K6" s="467">
        <f>+('PRESUPUESTO GENERAL'!E28+'PRESUPUESTO GENERAL'!E6+'PRESUPUESTO GENERAL'!E30)*0.65%</f>
        <v>586675.49106400006</v>
      </c>
      <c r="L6" s="441">
        <f>+K6/K24</f>
        <v>6.4999999896296987E-3</v>
      </c>
      <c r="M6" s="443"/>
      <c r="N6" s="443"/>
      <c r="O6" s="473">
        <f t="shared" ref="O6:O10" si="0">SUM(G6,H6,J6,K6)</f>
        <v>6311611.0344773345</v>
      </c>
      <c r="P6" s="440">
        <f t="shared" ref="P6:P23" si="1">SUM(M6:O6)</f>
        <v>6311611.0344773345</v>
      </c>
    </row>
    <row r="7" spans="2:17" ht="28.5" x14ac:dyDescent="0.25">
      <c r="B7" s="514"/>
      <c r="C7" s="515"/>
      <c r="D7" s="518"/>
      <c r="E7" s="83" t="s">
        <v>184</v>
      </c>
      <c r="F7" s="454" t="s">
        <v>191</v>
      </c>
      <c r="G7" s="84"/>
      <c r="H7" s="467">
        <f>+'PRESUPUESTO GENERAL'!E25*7%</f>
        <v>5724935.5434133345</v>
      </c>
      <c r="I7" s="441">
        <f>+H7/H24</f>
        <v>7.0000000411519089E-2</v>
      </c>
      <c r="J7" s="445"/>
      <c r="K7" s="467">
        <f>+('PRESUPUESTO GENERAL'!E28+'PRESUPUESTO GENERAL'!E6+'PRESUPUESTO GENERAL'!E30)*0.47%</f>
        <v>424211.50892319996</v>
      </c>
      <c r="L7" s="441">
        <f>+K7/K24</f>
        <v>4.6999999925014741E-3</v>
      </c>
      <c r="M7" s="443"/>
      <c r="N7" s="443"/>
      <c r="O7" s="473">
        <f t="shared" si="0"/>
        <v>6149147.0523365345</v>
      </c>
      <c r="P7" s="440">
        <f t="shared" si="1"/>
        <v>6149147.0523365345</v>
      </c>
    </row>
    <row r="8" spans="2:17" ht="57.75" customHeight="1" x14ac:dyDescent="0.25">
      <c r="B8" s="514"/>
      <c r="C8" s="516"/>
      <c r="D8" s="518"/>
      <c r="E8" s="83" t="s">
        <v>186</v>
      </c>
      <c r="F8" s="84" t="s">
        <v>183</v>
      </c>
      <c r="G8" s="470">
        <f>+'PRESUPUESTO GENERAL'!E48</f>
        <v>0</v>
      </c>
      <c r="H8" s="467">
        <f>+'PRESUPUESTO GENERAL'!E25*5.5%</f>
        <v>4498163.6412533335</v>
      </c>
      <c r="I8" s="441">
        <f>+H8/H24</f>
        <v>5.5000000323336413E-2</v>
      </c>
      <c r="J8" s="445"/>
      <c r="K8" s="467">
        <v>7220621.5724800471</v>
      </c>
      <c r="L8" s="469">
        <f>+K8/K24</f>
        <v>8.000000146779658E-2</v>
      </c>
      <c r="M8" s="443"/>
      <c r="N8" s="443"/>
      <c r="O8" s="473">
        <f t="shared" si="0"/>
        <v>11718785.213733381</v>
      </c>
      <c r="P8" s="440">
        <f t="shared" si="1"/>
        <v>11718785.213733381</v>
      </c>
    </row>
    <row r="9" spans="2:17" ht="54.75" customHeight="1" x14ac:dyDescent="0.25">
      <c r="B9" s="514"/>
      <c r="C9" s="516"/>
      <c r="D9" s="518"/>
      <c r="E9" s="83" t="s">
        <v>187</v>
      </c>
      <c r="F9" s="84" t="s">
        <v>188</v>
      </c>
      <c r="G9" s="471">
        <f>+'PRESUPUESTO GENERAL'!E5</f>
        <v>22058400.000000015</v>
      </c>
      <c r="H9" s="467">
        <f>+'PRESUPUESTO GENERAL'!E25*5.5%</f>
        <v>4498163.6412533335</v>
      </c>
      <c r="I9" s="458">
        <f>+H9/H24</f>
        <v>5.5000000323336413E-2</v>
      </c>
      <c r="J9" s="459"/>
      <c r="K9" s="467">
        <f>+('PRESUPUESTO GENERAL'!E28+'PRESUPUESTO GENERAL'!E6+'PRESUPUESTO GENERAL'!E30)*2.3%</f>
        <v>2075928.660688</v>
      </c>
      <c r="L9" s="441">
        <f>+K9/K24</f>
        <v>2.2999999963305085E-2</v>
      </c>
      <c r="M9" s="443"/>
      <c r="N9" s="443"/>
      <c r="O9" s="473">
        <f t="shared" si="0"/>
        <v>28632492.30194135</v>
      </c>
      <c r="P9" s="440">
        <f t="shared" si="1"/>
        <v>28632492.30194135</v>
      </c>
    </row>
    <row r="10" spans="2:17" ht="48.75" customHeight="1" x14ac:dyDescent="0.25">
      <c r="B10" s="514"/>
      <c r="C10" s="516"/>
      <c r="D10" s="518"/>
      <c r="E10" s="83" t="s">
        <v>189</v>
      </c>
      <c r="F10" s="84" t="s">
        <v>190</v>
      </c>
      <c r="G10" s="470">
        <f>+'PRESUPUESTO GENERAL'!E16</f>
        <v>126510418.66666666</v>
      </c>
      <c r="H10" s="467">
        <v>6133859.0300000003</v>
      </c>
      <c r="I10" s="441">
        <f>+H10/H24</f>
        <v>7.499999456206978E-2</v>
      </c>
      <c r="J10" s="445"/>
      <c r="K10" s="467">
        <f>+('PRESUPUESTO GENERAL'!E28+'PRESUPUESTO GENERAL'!E6+'PRESUPUESTO GENERAL'!E30)*9.95%</f>
        <v>8980647.9016720001</v>
      </c>
      <c r="L10" s="441">
        <f>+K10/K24</f>
        <v>9.9499999841254613E-2</v>
      </c>
      <c r="M10" s="443"/>
      <c r="N10" s="443"/>
      <c r="O10" s="473">
        <f t="shared" si="0"/>
        <v>141624925.59833866</v>
      </c>
      <c r="P10" s="440">
        <f t="shared" si="1"/>
        <v>141624925.59833866</v>
      </c>
      <c r="Q10" s="446"/>
    </row>
    <row r="11" spans="2:17" ht="30" x14ac:dyDescent="0.25">
      <c r="B11" s="85"/>
      <c r="C11" s="85"/>
      <c r="D11" s="86"/>
      <c r="E11" s="87" t="s">
        <v>352</v>
      </c>
      <c r="F11" s="172" t="s">
        <v>354</v>
      </c>
      <c r="G11" s="257"/>
      <c r="H11" s="468"/>
      <c r="I11" s="441"/>
      <c r="J11" s="445"/>
      <c r="K11" s="467">
        <v>0</v>
      </c>
      <c r="L11" s="441"/>
      <c r="M11" s="443"/>
      <c r="N11" s="443"/>
      <c r="O11" s="474">
        <v>37608368</v>
      </c>
      <c r="P11" s="440">
        <f t="shared" si="1"/>
        <v>37608368</v>
      </c>
    </row>
    <row r="12" spans="2:17" ht="54" customHeight="1" x14ac:dyDescent="0.25">
      <c r="B12" s="519" t="s">
        <v>179</v>
      </c>
      <c r="C12" s="521" t="s">
        <v>174</v>
      </c>
      <c r="D12" s="519" t="s">
        <v>171</v>
      </c>
      <c r="E12" s="87" t="s">
        <v>192</v>
      </c>
      <c r="F12" s="455" t="s">
        <v>197</v>
      </c>
      <c r="G12" s="88"/>
      <c r="H12" s="467">
        <f>+'PRESUPUESTO GENERAL'!E17*6.5%</f>
        <v>0</v>
      </c>
      <c r="I12" s="441">
        <f>+H12/H24</f>
        <v>0</v>
      </c>
      <c r="J12" s="445"/>
      <c r="K12" s="467">
        <f>+('PRESUPUESTO GENERAL'!E28+'PRESUPUESTO GENERAL'!E6+'PRESUPUESTO GENERAL'!E30)*0.58%</f>
        <v>523495.05356480001</v>
      </c>
      <c r="L12" s="441">
        <f>+K12/K24</f>
        <v>5.7999999907464997E-3</v>
      </c>
      <c r="M12" s="443"/>
      <c r="N12" s="443"/>
      <c r="O12" s="473">
        <f t="shared" ref="O12:O22" si="2">SUM(G12,H12,J12,K12)</f>
        <v>523495.05356480001</v>
      </c>
      <c r="P12" s="440">
        <f t="shared" si="1"/>
        <v>523495.05356480001</v>
      </c>
    </row>
    <row r="13" spans="2:17" ht="32.25" customHeight="1" x14ac:dyDescent="0.25">
      <c r="B13" s="514"/>
      <c r="C13" s="515"/>
      <c r="D13" s="514"/>
      <c r="E13" s="83" t="s">
        <v>193</v>
      </c>
      <c r="F13" s="84" t="s">
        <v>200</v>
      </c>
      <c r="G13" s="84"/>
      <c r="H13" s="467">
        <f>+'PRESUPUESTO GENERAL'!E25*6.5%</f>
        <v>5316011.5760266669</v>
      </c>
      <c r="I13" s="441">
        <f>+H13/H24</f>
        <v>6.5000000382124848E-2</v>
      </c>
      <c r="J13" s="453">
        <f>+ECAS!G54/4</f>
        <v>5019120</v>
      </c>
      <c r="K13" s="467">
        <f>+('PRESUPUESTO GENERAL'!E28+'PRESUPUESTO GENERAL'!E6+'PRESUPUESTO GENERAL'!E30)*13.3%</f>
        <v>12004283.124848001</v>
      </c>
      <c r="L13" s="441">
        <f>+K13/K24</f>
        <v>0.13299999978780769</v>
      </c>
      <c r="M13" s="457">
        <f>+'CONT. ORGANIZACIONES'!G8</f>
        <v>21200000.000000007</v>
      </c>
      <c r="N13" s="442"/>
      <c r="O13" s="473">
        <f t="shared" si="2"/>
        <v>22339414.700874668</v>
      </c>
      <c r="P13" s="440">
        <f t="shared" si="1"/>
        <v>43539414.700874671</v>
      </c>
    </row>
    <row r="14" spans="2:17" ht="39" customHeight="1" x14ac:dyDescent="0.25">
      <c r="B14" s="514"/>
      <c r="C14" s="515"/>
      <c r="D14" s="514"/>
      <c r="E14" s="83" t="s">
        <v>194</v>
      </c>
      <c r="F14" s="84" t="s">
        <v>198</v>
      </c>
      <c r="G14" s="84"/>
      <c r="H14" s="467">
        <f>+'PRESUPUESTO GENERAL'!E25*6.5%</f>
        <v>5316011.5760266669</v>
      </c>
      <c r="I14" s="441">
        <f>+H14/H24</f>
        <v>6.5000000382124848E-2</v>
      </c>
      <c r="J14" s="453">
        <f>+J13</f>
        <v>5019120</v>
      </c>
      <c r="K14" s="467">
        <f>+('PRESUPUESTO GENERAL'!E28+'PRESUPUESTO GENERAL'!E6+'PRESUPUESTO GENERAL'!E30)*13.3%</f>
        <v>12004283.124848001</v>
      </c>
      <c r="L14" s="441">
        <f>+K14/K24</f>
        <v>0.13299999978780769</v>
      </c>
      <c r="M14" s="457">
        <f>+M13</f>
        <v>21200000.000000007</v>
      </c>
      <c r="N14" s="443"/>
      <c r="O14" s="473">
        <f t="shared" si="2"/>
        <v>22339414.700874668</v>
      </c>
      <c r="P14" s="440">
        <f t="shared" si="1"/>
        <v>43539414.700874671</v>
      </c>
    </row>
    <row r="15" spans="2:17" ht="37.5" customHeight="1" x14ac:dyDescent="0.25">
      <c r="B15" s="514"/>
      <c r="C15" s="515"/>
      <c r="D15" s="514"/>
      <c r="E15" s="83" t="s">
        <v>195</v>
      </c>
      <c r="F15" s="84" t="s">
        <v>199</v>
      </c>
      <c r="G15" s="84"/>
      <c r="H15" s="467">
        <f>+'PRESUPUESTO GENERAL'!E25*6.5%</f>
        <v>5316011.5760266669</v>
      </c>
      <c r="I15" s="441">
        <f>+H15/H24</f>
        <v>6.5000000382124848E-2</v>
      </c>
      <c r="J15" s="453">
        <f>+J13</f>
        <v>5019120</v>
      </c>
      <c r="K15" s="467">
        <f>+('PRESUPUESTO GENERAL'!E28+'PRESUPUESTO GENERAL'!E6+'PRESUPUESTO GENERAL'!E30)*13.3%</f>
        <v>12004283.124848001</v>
      </c>
      <c r="L15" s="441">
        <f>+K15/K24</f>
        <v>0.13299999978780769</v>
      </c>
      <c r="M15" s="457">
        <f>'[1]PRESUPUESTO GENERAL'!H17</f>
        <v>21200000</v>
      </c>
      <c r="N15" s="443"/>
      <c r="O15" s="473">
        <f t="shared" si="2"/>
        <v>22339414.700874668</v>
      </c>
      <c r="P15" s="440">
        <f t="shared" si="1"/>
        <v>43539414.700874671</v>
      </c>
    </row>
    <row r="16" spans="2:17" ht="33.75" customHeight="1" x14ac:dyDescent="0.25">
      <c r="B16" s="514"/>
      <c r="C16" s="515"/>
      <c r="D16" s="514"/>
      <c r="E16" s="83" t="s">
        <v>196</v>
      </c>
      <c r="F16" s="84" t="s">
        <v>206</v>
      </c>
      <c r="G16" s="84"/>
      <c r="H16" s="467">
        <f>+'PRESUPUESTO GENERAL'!E25*6.5%</f>
        <v>5316011.5760266669</v>
      </c>
      <c r="I16" s="441">
        <f>+H16/H24</f>
        <v>6.5000000382124848E-2</v>
      </c>
      <c r="J16" s="453">
        <f>+J13</f>
        <v>5019120</v>
      </c>
      <c r="K16" s="467">
        <f>+('PRESUPUESTO GENERAL'!E28+'PRESUPUESTO GENERAL'!E6+'PRESUPUESTO GENERAL'!E30)*13.3%</f>
        <v>12004283.124848001</v>
      </c>
      <c r="L16" s="441">
        <f>+K16/K24</f>
        <v>0.13299999978780769</v>
      </c>
      <c r="M16" s="457">
        <f>+M13</f>
        <v>21200000.000000007</v>
      </c>
      <c r="N16" s="443"/>
      <c r="O16" s="473">
        <f t="shared" si="2"/>
        <v>22339414.700874668</v>
      </c>
      <c r="P16" s="440">
        <f t="shared" si="1"/>
        <v>43539414.700874671</v>
      </c>
    </row>
    <row r="17" spans="2:16" ht="46.5" customHeight="1" x14ac:dyDescent="0.25">
      <c r="B17" s="514"/>
      <c r="C17" s="515"/>
      <c r="D17" s="514"/>
      <c r="E17" s="83" t="s">
        <v>202</v>
      </c>
      <c r="F17" s="88" t="s">
        <v>207</v>
      </c>
      <c r="G17" s="88"/>
      <c r="H17" s="467">
        <f>+'PRESUPUESTO GENERAL'!E25*6.5%</f>
        <v>5316011.5760266669</v>
      </c>
      <c r="I17" s="441">
        <f>+H17/H24</f>
        <v>6.5000000382124848E-2</v>
      </c>
      <c r="J17" s="445"/>
      <c r="K17" s="467">
        <f>+('PRESUPUESTO GENERAL'!E28+'PRESUPUESTO GENERAL'!E6+'PRESUPUESTO GENERAL'!E30)*9.81%</f>
        <v>8854287.0266736019</v>
      </c>
      <c r="L17" s="441">
        <f>+K17/K24</f>
        <v>9.8099999843488231E-2</v>
      </c>
      <c r="M17" s="457">
        <f>+M13</f>
        <v>21200000.000000007</v>
      </c>
      <c r="N17" s="453">
        <f>+'CONT. ALCALDIAS'!G27</f>
        <v>54471349</v>
      </c>
      <c r="O17" s="473">
        <f t="shared" si="2"/>
        <v>14170298.602700269</v>
      </c>
      <c r="P17" s="440">
        <f t="shared" si="1"/>
        <v>89841647.602700263</v>
      </c>
    </row>
    <row r="18" spans="2:16" ht="41.25" customHeight="1" x14ac:dyDescent="0.25">
      <c r="B18" s="514"/>
      <c r="C18" s="515"/>
      <c r="D18" s="514"/>
      <c r="E18" s="83" t="s">
        <v>203</v>
      </c>
      <c r="F18" s="456" t="s">
        <v>201</v>
      </c>
      <c r="G18" s="89"/>
      <c r="H18" s="467">
        <f>+'PRESUPUESTO GENERAL'!E25*6.5%</f>
        <v>5316011.5760266669</v>
      </c>
      <c r="I18" s="441">
        <f>+H18/H24</f>
        <v>6.5000000382124848E-2</v>
      </c>
      <c r="J18" s="445"/>
      <c r="K18" s="467">
        <f>+('PRESUPUESTO GENERAL'!E28+'PRESUPUESTO GENERAL'!E6+'PRESUPUESTO GENERAL'!E30)*3.3%</f>
        <v>2978506.3392480002</v>
      </c>
      <c r="L18" s="441">
        <f>+K18/K24</f>
        <v>3.2999999947350776E-2</v>
      </c>
      <c r="M18" s="457">
        <f>+M13</f>
        <v>21200000.000000007</v>
      </c>
      <c r="N18" s="443"/>
      <c r="O18" s="473">
        <f t="shared" si="2"/>
        <v>8294517.9152746666</v>
      </c>
      <c r="P18" s="440">
        <f t="shared" si="1"/>
        <v>29494517.915274672</v>
      </c>
    </row>
    <row r="19" spans="2:16" ht="50.25" customHeight="1" x14ac:dyDescent="0.25">
      <c r="B19" s="514"/>
      <c r="C19" s="515"/>
      <c r="D19" s="514"/>
      <c r="E19" s="83" t="s">
        <v>204</v>
      </c>
      <c r="F19" s="89" t="s">
        <v>570</v>
      </c>
      <c r="G19" s="89"/>
      <c r="H19" s="467">
        <f>+'PRESUPUESTO GENERAL'!E25*6.5%</f>
        <v>5316011.5760266669</v>
      </c>
      <c r="I19" s="441">
        <f>+H19/H24</f>
        <v>6.5000000382124848E-2</v>
      </c>
      <c r="J19" s="445"/>
      <c r="K19" s="467">
        <f>+('PRESUPUESTO GENERAL'!E28+'PRESUPUESTO GENERAL'!E6+'PRESUPUESTO GENERAL'!E30)*0.75%</f>
        <v>676933.25892000005</v>
      </c>
      <c r="L19" s="441">
        <f>+K19/K24</f>
        <v>7.4999999880342675E-3</v>
      </c>
      <c r="M19" s="443"/>
      <c r="N19" s="443"/>
      <c r="O19" s="473">
        <f t="shared" si="2"/>
        <v>5992944.8349466668</v>
      </c>
      <c r="P19" s="440">
        <f t="shared" si="1"/>
        <v>5992944.8349466668</v>
      </c>
    </row>
    <row r="20" spans="2:16" ht="48" customHeight="1" x14ac:dyDescent="0.25">
      <c r="B20" s="514"/>
      <c r="C20" s="515"/>
      <c r="D20" s="514"/>
      <c r="E20" s="83" t="s">
        <v>205</v>
      </c>
      <c r="F20" s="88" t="s">
        <v>210</v>
      </c>
      <c r="G20" s="88"/>
      <c r="H20" s="467">
        <f>+'PRESUPUESTO GENERAL'!E25*6.5%</f>
        <v>5316011.5760266669</v>
      </c>
      <c r="I20" s="441">
        <f>+H20/H24</f>
        <v>6.5000000382124848E-2</v>
      </c>
      <c r="J20" s="445"/>
      <c r="K20" s="467">
        <f>+('PRESUPUESTO GENERAL'!E28+'PRESUPUESTO GENERAL'!E6+'PRESUPUESTO GENERAL'!E30)*0.75%</f>
        <v>676933.25892000005</v>
      </c>
      <c r="L20" s="441">
        <f>+K20/K24</f>
        <v>7.4999999880342675E-3</v>
      </c>
      <c r="M20" s="443"/>
      <c r="N20" s="443"/>
      <c r="O20" s="473">
        <f t="shared" si="2"/>
        <v>5992944.8349466668</v>
      </c>
      <c r="P20" s="440">
        <f t="shared" si="1"/>
        <v>5992944.8349466668</v>
      </c>
    </row>
    <row r="21" spans="2:16" ht="30" customHeight="1" x14ac:dyDescent="0.25">
      <c r="B21" s="514"/>
      <c r="C21" s="515"/>
      <c r="D21" s="514"/>
      <c r="E21" s="83" t="s">
        <v>211</v>
      </c>
      <c r="F21" s="88" t="s">
        <v>275</v>
      </c>
      <c r="G21" s="88"/>
      <c r="H21" s="467">
        <f>+'PRESUPUESTO GENERAL'!E25*5%</f>
        <v>4089239.6738666669</v>
      </c>
      <c r="I21" s="441">
        <f>+H21/H24</f>
        <v>5.0000000293942193E-2</v>
      </c>
      <c r="J21" s="453">
        <f>+ECAS!G55</f>
        <v>3323520</v>
      </c>
      <c r="K21" s="467">
        <f>+('PRESUPUESTO GENERAL'!E28+'PRESUPUESTO GENERAL'!E6+'PRESUPUESTO GENERAL'!E30)*6.74%</f>
        <v>6083373.5534944003</v>
      </c>
      <c r="L21" s="441">
        <f>+K21/K24</f>
        <v>6.7399999892467949E-2</v>
      </c>
      <c r="M21" s="443"/>
      <c r="N21" s="443"/>
      <c r="O21" s="473">
        <f t="shared" si="2"/>
        <v>13496133.227361068</v>
      </c>
      <c r="P21" s="440">
        <f t="shared" si="1"/>
        <v>13496133.227361068</v>
      </c>
    </row>
    <row r="22" spans="2:16" ht="37.5" customHeight="1" x14ac:dyDescent="0.25">
      <c r="B22" s="520"/>
      <c r="C22" s="522"/>
      <c r="D22" s="520"/>
      <c r="E22" s="83" t="s">
        <v>313</v>
      </c>
      <c r="F22" s="89" t="s">
        <v>208</v>
      </c>
      <c r="G22" s="89"/>
      <c r="H22" s="467">
        <f>+'PRESUPUESTO GENERAL'!E25*5%</f>
        <v>4089239.6738666669</v>
      </c>
      <c r="I22" s="441">
        <f>+H22/H24</f>
        <v>5.0000000293942193E-2</v>
      </c>
      <c r="J22" s="453">
        <f>+ECAS!G57</f>
        <v>1080000</v>
      </c>
      <c r="K22" s="467">
        <f>+('PRESUPUESTO GENERAL'!E28+'PRESUPUESTO GENERAL'!E6+'PRESUPUESTO GENERAL'!E30)*1.75%</f>
        <v>1579510.9374800003</v>
      </c>
      <c r="L22" s="441">
        <f>+K22/K24</f>
        <v>1.749999997207996E-2</v>
      </c>
      <c r="M22" s="443"/>
      <c r="N22" s="443"/>
      <c r="O22" s="473">
        <f t="shared" si="2"/>
        <v>6748750.6113466676</v>
      </c>
      <c r="P22" s="440">
        <f t="shared" si="1"/>
        <v>6748750.6113466676</v>
      </c>
    </row>
    <row r="23" spans="2:16" ht="37.5" customHeight="1" x14ac:dyDescent="0.25">
      <c r="B23" s="503" t="s">
        <v>571</v>
      </c>
      <c r="C23" s="504"/>
      <c r="D23" s="505"/>
      <c r="E23" s="408" t="s">
        <v>351</v>
      </c>
      <c r="F23" s="447" t="s">
        <v>353</v>
      </c>
      <c r="G23" s="89"/>
      <c r="H23" s="443"/>
      <c r="I23" s="462"/>
      <c r="J23" s="442"/>
      <c r="K23" s="440"/>
      <c r="L23" s="440"/>
      <c r="M23" s="443"/>
      <c r="N23" s="443"/>
      <c r="O23" s="475">
        <v>18030252</v>
      </c>
      <c r="P23" s="440">
        <f t="shared" si="1"/>
        <v>18030252</v>
      </c>
    </row>
    <row r="24" spans="2:16" ht="39" customHeight="1" x14ac:dyDescent="0.25">
      <c r="B24" s="506"/>
      <c r="C24" s="507"/>
      <c r="D24" s="508"/>
      <c r="E24" s="35"/>
      <c r="F24" s="35" t="s">
        <v>220</v>
      </c>
      <c r="G24" s="461">
        <f>SUM(G4:G23)</f>
        <v>148568818.66666669</v>
      </c>
      <c r="H24" s="461">
        <f>SUM(H4:H23)</f>
        <v>81784792.996533304</v>
      </c>
      <c r="I24" s="463">
        <f>SUM(I4:I23)</f>
        <v>1.0000000000000004</v>
      </c>
      <c r="J24" s="461">
        <f t="shared" ref="J24:N24" si="3">SUM(J4:J22)</f>
        <v>25560000</v>
      </c>
      <c r="K24" s="461">
        <f>SUM(K4:K23)</f>
        <v>90257768.000000045</v>
      </c>
      <c r="L24" s="463">
        <f>SUM(L4:L23)</f>
        <v>1.0000000000000004</v>
      </c>
      <c r="M24" s="461">
        <f t="shared" si="3"/>
        <v>127200000.00000003</v>
      </c>
      <c r="N24" s="461">
        <f t="shared" si="3"/>
        <v>54471349</v>
      </c>
      <c r="O24" s="461">
        <f>SUM(O4:O23)</f>
        <v>401809999.6632002</v>
      </c>
      <c r="P24" s="488">
        <f>SUM(P4:P23)</f>
        <v>583481348.66320014</v>
      </c>
    </row>
    <row r="25" spans="2:16" x14ac:dyDescent="0.25">
      <c r="K25" s="449"/>
      <c r="L25" s="449"/>
      <c r="P25" s="450"/>
    </row>
    <row r="26" spans="2:16" x14ac:dyDescent="0.25">
      <c r="H26" s="460">
        <f>+'PRESUPUESTO GENERAL'!E25</f>
        <v>81784793.477333337</v>
      </c>
      <c r="J26" s="437" t="s">
        <v>374</v>
      </c>
      <c r="K26" s="440">
        <f>+'PRESUPUESTO GENERAL'!E28</f>
        <v>86629576.640000001</v>
      </c>
      <c r="L26" s="451"/>
      <c r="M26" s="437" t="s">
        <v>374</v>
      </c>
      <c r="N26" s="437" t="s">
        <v>374</v>
      </c>
      <c r="O26" s="464">
        <f>+'PRESUPUESTO GENERAL'!E44</f>
        <v>0</v>
      </c>
      <c r="P26" s="446">
        <f>+'PRESUPUESTO GENERAL'!E42</f>
        <v>0</v>
      </c>
    </row>
    <row r="27" spans="2:16" x14ac:dyDescent="0.25">
      <c r="H27" s="437" t="s">
        <v>374</v>
      </c>
      <c r="K27" s="449" t="s">
        <v>374</v>
      </c>
      <c r="L27" s="449"/>
      <c r="P27" s="452"/>
    </row>
    <row r="28" spans="2:16" x14ac:dyDescent="0.25">
      <c r="J28" s="460"/>
      <c r="K28" s="446"/>
      <c r="L28" s="446"/>
      <c r="O28" s="460">
        <f>+O26-O24</f>
        <v>-401809999.6632002</v>
      </c>
      <c r="P28" s="460">
        <f>+P26-P24</f>
        <v>-583481348.66320014</v>
      </c>
    </row>
    <row r="29" spans="2:16" x14ac:dyDescent="0.25">
      <c r="K29" s="460">
        <f>+'PRESUPUESTO GENERAL'!E6</f>
        <v>1038000</v>
      </c>
    </row>
    <row r="30" spans="2:16" x14ac:dyDescent="0.25">
      <c r="K30" s="437">
        <f>+'PRESUPUESTO GENERAL'!E30</f>
        <v>2590191.216</v>
      </c>
      <c r="O30" s="472"/>
    </row>
    <row r="32" spans="2:16" x14ac:dyDescent="0.25">
      <c r="K32" s="465">
        <f>+K26+K29+K30</f>
        <v>90257767.856000006</v>
      </c>
    </row>
    <row r="33" spans="11:11" x14ac:dyDescent="0.25">
      <c r="K33" s="437" t="s">
        <v>381</v>
      </c>
    </row>
    <row r="34" spans="11:11" x14ac:dyDescent="0.25">
      <c r="K34" s="460">
        <f>+K24-K32</f>
        <v>0.14400003850460052</v>
      </c>
    </row>
  </sheetData>
  <mergeCells count="10">
    <mergeCell ref="B23:D23"/>
    <mergeCell ref="B24:D24"/>
    <mergeCell ref="B2:P2"/>
    <mergeCell ref="B4:D4"/>
    <mergeCell ref="B5:B10"/>
    <mergeCell ref="C5:C10"/>
    <mergeCell ref="D5:D10"/>
    <mergeCell ref="B12:B22"/>
    <mergeCell ref="C12:C22"/>
    <mergeCell ref="D12:D22"/>
  </mergeCells>
  <pageMargins left="0.7" right="0.7" top="0.75" bottom="0.75" header="0.3" footer="0.3"/>
  <pageSetup orientation="portrait" horizontalDpi="4294967292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23"/>
  <sheetViews>
    <sheetView topLeftCell="D1" zoomScale="78" zoomScaleNormal="78" workbookViewId="0">
      <selection activeCell="F21" sqref="F21"/>
    </sheetView>
  </sheetViews>
  <sheetFormatPr baseColWidth="10" defaultRowHeight="15" x14ac:dyDescent="0.25"/>
  <cols>
    <col min="2" max="2" width="26.85546875" customWidth="1"/>
    <col min="3" max="3" width="16" customWidth="1"/>
    <col min="4" max="4" width="28.140625" customWidth="1"/>
    <col min="5" max="5" width="8.140625" customWidth="1"/>
    <col min="6" max="6" width="79.42578125" customWidth="1"/>
    <col min="7" max="7" width="11.5703125" customWidth="1"/>
    <col min="18" max="18" width="20.7109375" customWidth="1"/>
  </cols>
  <sheetData>
    <row r="1" spans="2:26" ht="31.5" customHeight="1" x14ac:dyDescent="0.25">
      <c r="B1" s="525" t="s">
        <v>312</v>
      </c>
      <c r="C1" s="526"/>
      <c r="D1" s="526"/>
      <c r="E1" s="526"/>
      <c r="F1" s="526"/>
      <c r="G1" s="147"/>
      <c r="H1" s="527" t="s">
        <v>355</v>
      </c>
      <c r="I1" s="528"/>
      <c r="J1" s="528"/>
      <c r="K1" s="528"/>
      <c r="L1" s="528"/>
      <c r="M1" s="528"/>
      <c r="N1" s="528"/>
      <c r="O1" s="528"/>
      <c r="P1" s="528"/>
      <c r="Q1" s="529"/>
      <c r="R1" s="143"/>
    </row>
    <row r="2" spans="2:26" x14ac:dyDescent="0.25">
      <c r="B2" s="79" t="s">
        <v>176</v>
      </c>
      <c r="C2" s="80" t="s">
        <v>175</v>
      </c>
      <c r="D2" s="81" t="s">
        <v>170</v>
      </c>
      <c r="E2" s="81" t="s">
        <v>177</v>
      </c>
      <c r="F2" s="81" t="s">
        <v>2</v>
      </c>
      <c r="G2" s="81" t="s">
        <v>302</v>
      </c>
      <c r="H2" s="81" t="s">
        <v>303</v>
      </c>
      <c r="I2" s="81" t="s">
        <v>304</v>
      </c>
      <c r="J2" s="81" t="s">
        <v>305</v>
      </c>
      <c r="K2" s="81" t="s">
        <v>306</v>
      </c>
      <c r="L2" s="81" t="s">
        <v>307</v>
      </c>
      <c r="M2" s="81" t="s">
        <v>308</v>
      </c>
      <c r="N2" s="81" t="s">
        <v>309</v>
      </c>
      <c r="O2" s="81" t="s">
        <v>310</v>
      </c>
      <c r="P2" s="81" t="s">
        <v>311</v>
      </c>
      <c r="Q2" s="182"/>
      <c r="R2" s="81"/>
      <c r="S2" s="523" t="s">
        <v>373</v>
      </c>
      <c r="T2" s="524"/>
      <c r="U2" s="524"/>
      <c r="V2" s="524"/>
      <c r="W2" s="524"/>
      <c r="X2" s="524"/>
      <c r="Y2" s="524"/>
      <c r="Z2" s="524"/>
    </row>
    <row r="3" spans="2:26" ht="28.5" x14ac:dyDescent="0.25">
      <c r="B3" s="511" t="s">
        <v>181</v>
      </c>
      <c r="C3" s="512"/>
      <c r="D3" s="513"/>
      <c r="E3" s="82" t="s">
        <v>178</v>
      </c>
      <c r="F3" s="84" t="s">
        <v>182</v>
      </c>
      <c r="G3" s="1"/>
      <c r="H3" s="1"/>
      <c r="I3" s="1"/>
      <c r="J3" s="1"/>
      <c r="K3" s="1"/>
      <c r="L3" s="1"/>
      <c r="M3" s="1"/>
      <c r="N3" s="1"/>
      <c r="O3" s="1"/>
      <c r="P3" s="1"/>
    </row>
    <row r="4" spans="2:26" ht="28.5" x14ac:dyDescent="0.25">
      <c r="B4" s="514" t="s">
        <v>180</v>
      </c>
      <c r="C4" s="515" t="s">
        <v>173</v>
      </c>
      <c r="D4" s="517" t="s">
        <v>172</v>
      </c>
      <c r="E4" s="83" t="s">
        <v>20</v>
      </c>
      <c r="F4" s="84" t="s">
        <v>209</v>
      </c>
      <c r="G4" s="144"/>
      <c r="H4" s="1"/>
      <c r="I4" s="1"/>
      <c r="J4" s="1"/>
      <c r="K4" s="1"/>
      <c r="L4" s="1"/>
      <c r="M4" s="1"/>
      <c r="N4" s="1"/>
      <c r="O4" s="1"/>
      <c r="P4" s="1"/>
    </row>
    <row r="5" spans="2:26" ht="42.75" x14ac:dyDescent="0.25">
      <c r="B5" s="514"/>
      <c r="C5" s="515"/>
      <c r="D5" s="518"/>
      <c r="E5" s="83" t="s">
        <v>21</v>
      </c>
      <c r="F5" s="84" t="s">
        <v>185</v>
      </c>
      <c r="G5" s="144"/>
      <c r="H5" s="144"/>
      <c r="I5" s="145"/>
      <c r="J5" s="145"/>
      <c r="K5" s="145"/>
      <c r="L5" s="145"/>
      <c r="M5" s="145"/>
      <c r="N5" s="145"/>
      <c r="O5" s="145"/>
      <c r="P5" s="145"/>
    </row>
    <row r="6" spans="2:26" ht="28.5" x14ac:dyDescent="0.25">
      <c r="B6" s="514"/>
      <c r="C6" s="515"/>
      <c r="D6" s="518"/>
      <c r="E6" s="83" t="s">
        <v>184</v>
      </c>
      <c r="F6" s="84" t="s">
        <v>191</v>
      </c>
      <c r="G6" s="144"/>
      <c r="H6" s="145"/>
      <c r="I6" s="145"/>
      <c r="J6" s="145"/>
      <c r="K6" s="145"/>
      <c r="L6" s="145"/>
      <c r="M6" s="145"/>
      <c r="N6" s="145"/>
      <c r="O6" s="145"/>
      <c r="P6" s="145"/>
    </row>
    <row r="7" spans="2:26" ht="57" x14ac:dyDescent="0.25">
      <c r="B7" s="514"/>
      <c r="C7" s="516"/>
      <c r="D7" s="518"/>
      <c r="E7" s="83" t="s">
        <v>186</v>
      </c>
      <c r="F7" s="84" t="s">
        <v>183</v>
      </c>
      <c r="G7" s="145"/>
      <c r="H7" s="145"/>
      <c r="I7" s="145"/>
      <c r="J7" s="145"/>
      <c r="K7" s="145"/>
      <c r="L7" s="145"/>
      <c r="M7" s="145"/>
      <c r="N7" s="145"/>
      <c r="O7" s="145"/>
      <c r="P7" s="145"/>
    </row>
    <row r="8" spans="2:26" ht="28.5" x14ac:dyDescent="0.25">
      <c r="B8" s="514"/>
      <c r="C8" s="516"/>
      <c r="D8" s="518"/>
      <c r="E8" s="83" t="s">
        <v>187</v>
      </c>
      <c r="F8" s="84" t="s">
        <v>188</v>
      </c>
      <c r="G8" s="1"/>
      <c r="H8" s="145"/>
      <c r="I8" s="144"/>
      <c r="J8" s="144"/>
      <c r="K8" s="144"/>
      <c r="L8" s="1"/>
      <c r="M8" s="1"/>
      <c r="N8" s="1"/>
      <c r="O8" s="1"/>
      <c r="P8" s="1"/>
    </row>
    <row r="9" spans="2:26" ht="42.75" x14ac:dyDescent="0.25">
      <c r="B9" s="514"/>
      <c r="C9" s="516"/>
      <c r="D9" s="518"/>
      <c r="E9" s="83" t="s">
        <v>189</v>
      </c>
      <c r="F9" s="84" t="s">
        <v>190</v>
      </c>
      <c r="G9" s="1"/>
      <c r="H9" s="1"/>
      <c r="I9" s="144"/>
      <c r="J9" s="144"/>
      <c r="K9" s="1"/>
      <c r="L9" s="1"/>
      <c r="M9" s="1"/>
      <c r="N9" s="1"/>
      <c r="O9" s="1"/>
      <c r="P9" s="1"/>
    </row>
    <row r="10" spans="2:26" ht="30" x14ac:dyDescent="0.25">
      <c r="B10" s="85"/>
      <c r="C10" s="85"/>
      <c r="D10" s="86"/>
      <c r="E10" s="87" t="s">
        <v>352</v>
      </c>
      <c r="F10" s="172" t="s">
        <v>354</v>
      </c>
      <c r="G10" s="145"/>
      <c r="H10" s="145"/>
      <c r="I10" s="145"/>
      <c r="J10" s="145"/>
      <c r="K10" s="145"/>
      <c r="L10" s="145"/>
      <c r="M10" s="145"/>
      <c r="N10" s="145"/>
      <c r="O10" s="145"/>
      <c r="P10" s="145"/>
    </row>
    <row r="11" spans="2:26" ht="42.75" x14ac:dyDescent="0.25">
      <c r="B11" s="519" t="s">
        <v>179</v>
      </c>
      <c r="C11" s="521" t="s">
        <v>174</v>
      </c>
      <c r="D11" s="519" t="s">
        <v>171</v>
      </c>
      <c r="E11" s="87" t="s">
        <v>192</v>
      </c>
      <c r="F11" s="88" t="s">
        <v>197</v>
      </c>
      <c r="G11" s="145"/>
      <c r="H11" s="145"/>
      <c r="I11" s="145"/>
      <c r="J11" s="145"/>
      <c r="K11" s="145"/>
      <c r="L11" s="145"/>
      <c r="M11" s="145"/>
      <c r="N11" s="145"/>
      <c r="O11" s="145"/>
      <c r="P11" s="145"/>
    </row>
    <row r="12" spans="2:26" ht="28.5" x14ac:dyDescent="0.25">
      <c r="B12" s="514"/>
      <c r="C12" s="515"/>
      <c r="D12" s="514"/>
      <c r="E12" s="83" t="s">
        <v>193</v>
      </c>
      <c r="F12" s="84" t="s">
        <v>200</v>
      </c>
      <c r="G12" s="1"/>
      <c r="H12" s="1"/>
      <c r="I12" s="144"/>
      <c r="J12" s="1"/>
      <c r="K12" s="1"/>
      <c r="L12" s="1"/>
      <c r="M12" s="1"/>
      <c r="N12" s="1"/>
      <c r="O12" s="1"/>
      <c r="P12" s="1"/>
    </row>
    <row r="13" spans="2:26" ht="28.5" x14ac:dyDescent="0.25">
      <c r="B13" s="514"/>
      <c r="C13" s="515"/>
      <c r="D13" s="514"/>
      <c r="E13" s="83" t="s">
        <v>194</v>
      </c>
      <c r="F13" s="84" t="s">
        <v>198</v>
      </c>
      <c r="G13" s="1"/>
      <c r="H13" s="1"/>
      <c r="I13" s="1"/>
      <c r="J13" s="144"/>
      <c r="K13" s="144"/>
      <c r="L13" s="1"/>
      <c r="M13" s="1"/>
      <c r="N13" s="1"/>
      <c r="O13" s="1"/>
      <c r="P13" s="1"/>
    </row>
    <row r="14" spans="2:26" ht="28.5" x14ac:dyDescent="0.25">
      <c r="B14" s="514"/>
      <c r="C14" s="515"/>
      <c r="D14" s="514"/>
      <c r="E14" s="83" t="s">
        <v>195</v>
      </c>
      <c r="F14" s="84" t="s">
        <v>199</v>
      </c>
      <c r="G14" s="1"/>
      <c r="H14" s="1"/>
      <c r="I14" s="1"/>
      <c r="J14" s="144"/>
      <c r="K14" s="144"/>
      <c r="L14" s="1"/>
      <c r="M14" s="1"/>
      <c r="N14" s="1"/>
      <c r="O14" s="1"/>
      <c r="P14" s="1"/>
    </row>
    <row r="15" spans="2:26" ht="28.5" x14ac:dyDescent="0.25">
      <c r="B15" s="514"/>
      <c r="C15" s="515"/>
      <c r="D15" s="514"/>
      <c r="E15" s="83" t="s">
        <v>196</v>
      </c>
      <c r="F15" s="84" t="s">
        <v>206</v>
      </c>
      <c r="G15" s="1"/>
      <c r="H15" s="1"/>
      <c r="I15" s="1"/>
      <c r="J15" s="1"/>
      <c r="K15" s="144"/>
      <c r="L15" s="144"/>
      <c r="M15" s="1"/>
      <c r="N15" s="1"/>
      <c r="O15" s="1"/>
      <c r="P15" s="1"/>
    </row>
    <row r="16" spans="2:26" ht="37.5" customHeight="1" x14ac:dyDescent="0.25">
      <c r="B16" s="514"/>
      <c r="C16" s="515"/>
      <c r="D16" s="514"/>
      <c r="E16" s="83" t="s">
        <v>202</v>
      </c>
      <c r="F16" s="88" t="s">
        <v>207</v>
      </c>
      <c r="G16" s="1"/>
      <c r="H16" s="1"/>
      <c r="I16" s="1"/>
      <c r="J16" s="1"/>
      <c r="K16" s="1"/>
      <c r="L16" s="144"/>
      <c r="M16" s="144"/>
      <c r="N16" s="1"/>
      <c r="O16" s="1"/>
      <c r="P16" s="1"/>
    </row>
    <row r="17" spans="2:16" ht="28.5" x14ac:dyDescent="0.25">
      <c r="B17" s="514"/>
      <c r="C17" s="515"/>
      <c r="D17" s="514"/>
      <c r="E17" s="83" t="s">
        <v>203</v>
      </c>
      <c r="F17" s="89" t="s">
        <v>201</v>
      </c>
      <c r="G17" s="1"/>
      <c r="H17" s="1"/>
      <c r="I17" s="144"/>
      <c r="J17" s="144"/>
      <c r="K17" s="1"/>
      <c r="L17" s="1"/>
      <c r="M17" s="1"/>
      <c r="N17" s="1"/>
      <c r="O17" s="1"/>
      <c r="P17" s="1"/>
    </row>
    <row r="18" spans="2:16" ht="42.75" x14ac:dyDescent="0.25">
      <c r="B18" s="514"/>
      <c r="C18" s="515"/>
      <c r="D18" s="514"/>
      <c r="E18" s="83" t="s">
        <v>204</v>
      </c>
      <c r="F18" s="89" t="s">
        <v>349</v>
      </c>
      <c r="G18" s="1"/>
      <c r="H18" s="1"/>
      <c r="I18" s="1"/>
      <c r="J18" s="1"/>
      <c r="K18" s="144"/>
      <c r="L18" s="144"/>
      <c r="M18" s="144"/>
      <c r="N18" s="1"/>
      <c r="O18" s="1"/>
      <c r="P18" s="1"/>
    </row>
    <row r="19" spans="2:16" ht="42.75" x14ac:dyDescent="0.25">
      <c r="B19" s="514"/>
      <c r="C19" s="515"/>
      <c r="D19" s="514"/>
      <c r="E19" s="83" t="s">
        <v>205</v>
      </c>
      <c r="F19" s="88" t="s">
        <v>210</v>
      </c>
      <c r="G19" s="1"/>
      <c r="H19" s="1"/>
      <c r="I19" s="1"/>
      <c r="J19" s="1"/>
      <c r="K19" s="1"/>
      <c r="L19" s="1"/>
      <c r="M19" s="144"/>
      <c r="N19" s="144"/>
      <c r="O19" s="1"/>
      <c r="P19" s="1"/>
    </row>
    <row r="20" spans="2:16" ht="28.5" x14ac:dyDescent="0.25">
      <c r="B20" s="514"/>
      <c r="C20" s="515"/>
      <c r="D20" s="514"/>
      <c r="E20" s="83" t="s">
        <v>211</v>
      </c>
      <c r="F20" s="88" t="s">
        <v>275</v>
      </c>
      <c r="G20" s="1"/>
      <c r="H20" s="1"/>
      <c r="I20" s="1"/>
      <c r="J20" s="1"/>
      <c r="K20" s="1"/>
      <c r="L20" s="1"/>
      <c r="M20" s="144"/>
      <c r="N20" s="144"/>
      <c r="O20" s="1"/>
      <c r="P20" s="1"/>
    </row>
    <row r="21" spans="2:16" ht="28.5" x14ac:dyDescent="0.25">
      <c r="B21" s="520"/>
      <c r="C21" s="522"/>
      <c r="D21" s="520"/>
      <c r="E21" s="83" t="s">
        <v>313</v>
      </c>
      <c r="F21" s="89" t="s">
        <v>208</v>
      </c>
      <c r="G21" s="1"/>
      <c r="H21" s="1"/>
      <c r="I21" s="1"/>
      <c r="J21" s="1"/>
      <c r="K21" s="1"/>
      <c r="L21" s="1"/>
      <c r="M21" s="1"/>
      <c r="N21" s="1"/>
      <c r="O21" s="144"/>
      <c r="P21" s="144"/>
    </row>
    <row r="22" spans="2:16" ht="33" customHeight="1" x14ac:dyDescent="0.25">
      <c r="B22" s="503"/>
      <c r="C22" s="504"/>
      <c r="D22" s="505"/>
      <c r="E22" s="173" t="s">
        <v>351</v>
      </c>
      <c r="F22" s="174" t="s">
        <v>353</v>
      </c>
      <c r="G22" s="145"/>
      <c r="H22" s="145"/>
      <c r="I22" s="145"/>
      <c r="J22" s="145"/>
      <c r="K22" s="145"/>
      <c r="L22" s="145"/>
      <c r="M22" s="145"/>
      <c r="N22" s="145"/>
      <c r="O22" s="145"/>
      <c r="P22" s="145"/>
    </row>
    <row r="23" spans="2:16" x14ac:dyDescent="0.25">
      <c r="B23" s="146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</row>
  </sheetData>
  <mergeCells count="11">
    <mergeCell ref="S2:Z2"/>
    <mergeCell ref="B22:D22"/>
    <mergeCell ref="B1:F1"/>
    <mergeCell ref="H1:Q1"/>
    <mergeCell ref="B3:D3"/>
    <mergeCell ref="B4:B9"/>
    <mergeCell ref="C4:C9"/>
    <mergeCell ref="D4:D9"/>
    <mergeCell ref="B11:B21"/>
    <mergeCell ref="C11:C21"/>
    <mergeCell ref="D11:D21"/>
  </mergeCells>
  <pageMargins left="0.7" right="0.7" top="0.75" bottom="0.75" header="0.3" footer="0.3"/>
  <pageSetup orientation="portrait" horizontalDpi="4294967292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50"/>
  <sheetViews>
    <sheetView tabSelected="1" topLeftCell="A3" zoomScale="90" zoomScaleNormal="90" workbookViewId="0">
      <pane ySplit="1" topLeftCell="A4" activePane="bottomLeft" state="frozen"/>
      <selection activeCell="A3" sqref="A3"/>
      <selection pane="bottomLeft" activeCell="E28" sqref="E28"/>
    </sheetView>
  </sheetViews>
  <sheetFormatPr baseColWidth="10" defaultRowHeight="15" x14ac:dyDescent="0.25"/>
  <cols>
    <col min="1" max="1" width="50.5703125" customWidth="1"/>
    <col min="2" max="2" width="15.42578125" customWidth="1"/>
    <col min="3" max="3" width="19.28515625" customWidth="1"/>
    <col min="4" max="4" width="17.28515625" bestFit="1" customWidth="1"/>
    <col min="5" max="5" width="22" bestFit="1" customWidth="1"/>
    <col min="6" max="6" width="20.28515625" style="208" customWidth="1"/>
    <col min="7" max="7" width="23" bestFit="1" customWidth="1"/>
    <col min="8" max="8" width="20" style="208" customWidth="1"/>
    <col min="9" max="9" width="19" customWidth="1"/>
    <col min="10" max="10" width="17.140625" style="208" bestFit="1" customWidth="1"/>
    <col min="12" max="12" width="16.85546875" bestFit="1" customWidth="1"/>
  </cols>
  <sheetData>
    <row r="1" spans="1:15" ht="67.5" customHeight="1" x14ac:dyDescent="0.25">
      <c r="A1" s="534" t="s">
        <v>355</v>
      </c>
      <c r="B1" s="534"/>
      <c r="C1" s="534"/>
      <c r="D1" s="534"/>
      <c r="E1" s="534"/>
      <c r="F1" s="535"/>
      <c r="G1" s="535"/>
      <c r="H1" s="535"/>
      <c r="I1" s="535"/>
      <c r="J1" s="535"/>
    </row>
    <row r="2" spans="1:15" ht="37.5" customHeight="1" x14ac:dyDescent="0.25">
      <c r="A2" s="224"/>
      <c r="B2" s="537" t="s">
        <v>390</v>
      </c>
      <c r="C2" s="537"/>
      <c r="D2" s="537"/>
      <c r="E2" s="537"/>
      <c r="F2" s="225"/>
      <c r="G2" s="225"/>
      <c r="H2" s="225"/>
      <c r="I2" s="225"/>
      <c r="J2" s="225"/>
    </row>
    <row r="3" spans="1:15" ht="39.75" customHeight="1" x14ac:dyDescent="0.25">
      <c r="A3" s="184" t="s">
        <v>4</v>
      </c>
      <c r="B3" s="184" t="s">
        <v>3</v>
      </c>
      <c r="C3" s="114" t="s">
        <v>394</v>
      </c>
      <c r="D3" s="187" t="s">
        <v>380</v>
      </c>
      <c r="E3" s="185" t="s">
        <v>272</v>
      </c>
      <c r="F3" s="184" t="s">
        <v>5</v>
      </c>
      <c r="G3" s="185" t="s">
        <v>273</v>
      </c>
      <c r="H3" s="184" t="s">
        <v>5</v>
      </c>
      <c r="I3" s="185" t="s">
        <v>274</v>
      </c>
      <c r="J3" s="184" t="s">
        <v>5</v>
      </c>
    </row>
    <row r="4" spans="1:15" ht="26.25" customHeight="1" x14ac:dyDescent="0.25">
      <c r="E4" s="414"/>
    </row>
    <row r="5" spans="1:15" s="357" customFormat="1" ht="43.5" customHeight="1" x14ac:dyDescent="0.25">
      <c r="A5" s="353" t="s">
        <v>389</v>
      </c>
      <c r="B5" s="145">
        <v>4</v>
      </c>
      <c r="C5" s="6">
        <f>+'CONT. ALCALDIAS'!G11</f>
        <v>5514600.0000000037</v>
      </c>
      <c r="D5" s="354">
        <f>+B5*C5</f>
        <v>22058400.000000015</v>
      </c>
      <c r="E5" s="6">
        <f>+D5</f>
        <v>22058400.000000015</v>
      </c>
      <c r="F5" s="355">
        <f>(E5*100%)/E33</f>
        <v>6.372103898363872E-2</v>
      </c>
      <c r="G5" s="356">
        <v>0</v>
      </c>
      <c r="H5" s="355">
        <v>0</v>
      </c>
      <c r="I5" s="356">
        <v>0</v>
      </c>
      <c r="J5" s="355">
        <v>0</v>
      </c>
      <c r="K5" s="539"/>
      <c r="L5" s="540"/>
      <c r="M5" s="540"/>
      <c r="N5" s="540"/>
    </row>
    <row r="6" spans="1:15" s="280" customFormat="1" ht="101.25" customHeight="1" x14ac:dyDescent="0.25">
      <c r="A6" s="289" t="s">
        <v>434</v>
      </c>
      <c r="B6" s="358">
        <v>12</v>
      </c>
      <c r="C6" s="276">
        <v>86500</v>
      </c>
      <c r="D6" s="277">
        <f>+B6*C6</f>
        <v>1038000</v>
      </c>
      <c r="E6" s="415">
        <f>+D6</f>
        <v>1038000</v>
      </c>
      <c r="F6" s="278">
        <f>(E6*100%)/E33</f>
        <v>2.9985147818979139E-3</v>
      </c>
      <c r="G6" s="279">
        <v>0</v>
      </c>
      <c r="H6" s="278">
        <v>0</v>
      </c>
      <c r="I6" s="279">
        <v>0</v>
      </c>
      <c r="J6" s="278">
        <v>0</v>
      </c>
    </row>
    <row r="7" spans="1:15" x14ac:dyDescent="0.25">
      <c r="A7" s="8" t="s">
        <v>6</v>
      </c>
      <c r="B7" s="226"/>
      <c r="C7" s="10">
        <f t="shared" ref="C7:J7" si="0">SUM(C5:C6)</f>
        <v>5601100.0000000037</v>
      </c>
      <c r="D7" s="12">
        <f t="shared" si="0"/>
        <v>23096400.000000015</v>
      </c>
      <c r="E7" s="10">
        <f t="shared" si="0"/>
        <v>23096400.000000015</v>
      </c>
      <c r="F7" s="11">
        <f>SUM(F5:F6)</f>
        <v>6.6719553765536635E-2</v>
      </c>
      <c r="G7" s="193">
        <f t="shared" si="0"/>
        <v>0</v>
      </c>
      <c r="H7" s="11">
        <f t="shared" si="0"/>
        <v>0</v>
      </c>
      <c r="I7" s="193">
        <f t="shared" si="0"/>
        <v>0</v>
      </c>
      <c r="J7" s="11">
        <f t="shared" si="0"/>
        <v>0</v>
      </c>
    </row>
    <row r="8" spans="1:15" x14ac:dyDescent="0.25">
      <c r="A8" s="8"/>
      <c r="B8" s="183"/>
      <c r="C8" s="536" t="s">
        <v>24</v>
      </c>
      <c r="D8" s="537"/>
      <c r="E8" s="537"/>
      <c r="F8" s="538"/>
      <c r="G8" s="221"/>
      <c r="H8" s="222"/>
      <c r="I8" s="221"/>
      <c r="J8" s="223"/>
    </row>
    <row r="9" spans="1:15" ht="30" x14ac:dyDescent="0.25">
      <c r="A9" s="8"/>
      <c r="B9" s="184" t="s">
        <v>3</v>
      </c>
      <c r="C9" s="185" t="s">
        <v>92</v>
      </c>
      <c r="D9" s="185" t="s">
        <v>380</v>
      </c>
      <c r="E9" s="185" t="s">
        <v>272</v>
      </c>
      <c r="F9" s="200" t="s">
        <v>5</v>
      </c>
      <c r="G9" s="186" t="s">
        <v>379</v>
      </c>
      <c r="H9" s="200" t="s">
        <v>5</v>
      </c>
      <c r="I9" s="186" t="s">
        <v>274</v>
      </c>
      <c r="J9" s="200" t="s">
        <v>5</v>
      </c>
    </row>
    <row r="10" spans="1:15" ht="15" customHeight="1" x14ac:dyDescent="0.25">
      <c r="A10" s="287" t="s">
        <v>9</v>
      </c>
      <c r="B10" s="5">
        <v>4</v>
      </c>
      <c r="C10" s="359">
        <f>+'IN. PAPA.'!G43</f>
        <v>8614766.666666666</v>
      </c>
      <c r="D10" s="409">
        <f>+'IN. PAPA.'!H43</f>
        <v>34459066.666666664</v>
      </c>
      <c r="E10" s="761">
        <f>+B10*C10</f>
        <v>34459066.666666664</v>
      </c>
      <c r="F10" s="411">
        <f>(E10*100%)/E33</f>
        <v>9.9543372611180791E-2</v>
      </c>
      <c r="G10" s="761">
        <f>'CONT. ORGANIZACIONES'!G8</f>
        <v>21200000.000000007</v>
      </c>
      <c r="H10" s="201">
        <f>(G10*100%)/G31</f>
        <v>0.16666666666666671</v>
      </c>
      <c r="I10" s="188">
        <v>0</v>
      </c>
      <c r="J10" s="201">
        <f>(I10*100%)/I31</f>
        <v>0</v>
      </c>
      <c r="K10" s="541"/>
      <c r="L10" s="543"/>
      <c r="M10" s="543"/>
      <c r="N10" s="543"/>
      <c r="O10" s="543"/>
    </row>
    <row r="11" spans="1:15" x14ac:dyDescent="0.25">
      <c r="A11" s="287" t="s">
        <v>10</v>
      </c>
      <c r="B11" s="5">
        <v>4</v>
      </c>
      <c r="C11" s="359">
        <f>'IN. CEBOLLA B. '!$G$53</f>
        <v>7505271.333333334</v>
      </c>
      <c r="D11" s="409">
        <f>+'IN. CEBOLLA B. '!H53</f>
        <v>30021085.333333336</v>
      </c>
      <c r="E11" s="761">
        <f t="shared" ref="E11:E15" si="1">+B11*C11</f>
        <v>30021085.333333336</v>
      </c>
      <c r="F11" s="411">
        <f>(E11*100%)/E33</f>
        <v>8.6723187033351315E-2</v>
      </c>
      <c r="G11" s="761">
        <f>'CONT. ORGANIZACIONES'!G9</f>
        <v>21200000</v>
      </c>
      <c r="H11" s="201">
        <f>(G11*100%)/G31</f>
        <v>0.16666666666666666</v>
      </c>
      <c r="I11" s="188">
        <v>0</v>
      </c>
      <c r="J11" s="201">
        <f>(I11*100%)/I31</f>
        <v>0</v>
      </c>
      <c r="K11" s="541"/>
      <c r="L11" s="543"/>
      <c r="M11" s="543"/>
      <c r="N11" s="543"/>
      <c r="O11" s="543"/>
    </row>
    <row r="12" spans="1:15" x14ac:dyDescent="0.25">
      <c r="A12" s="287" t="s">
        <v>11</v>
      </c>
      <c r="B12" s="5">
        <v>4</v>
      </c>
      <c r="C12" s="359">
        <f>'IN. MAIZ.'!$G$45</f>
        <v>5292600</v>
      </c>
      <c r="D12" s="409">
        <f>+'IN. MAIZ.'!H45</f>
        <v>21170400</v>
      </c>
      <c r="E12" s="761">
        <f t="shared" si="1"/>
        <v>21170400</v>
      </c>
      <c r="F12" s="411">
        <f>(E12*100%)/E33</f>
        <v>6.1155835586408087E-2</v>
      </c>
      <c r="G12" s="761">
        <f>'CONT. ORGANIZACIONES'!G10</f>
        <v>21200000</v>
      </c>
      <c r="H12" s="201">
        <f>(G12*100%)/G31</f>
        <v>0.16666666666666666</v>
      </c>
      <c r="I12" s="188">
        <v>0</v>
      </c>
      <c r="J12" s="201">
        <f>(I12*100%)/I31</f>
        <v>0</v>
      </c>
      <c r="K12" s="541"/>
      <c r="L12" s="543"/>
      <c r="M12" s="543"/>
      <c r="N12" s="543"/>
      <c r="O12" s="543"/>
    </row>
    <row r="13" spans="1:15" x14ac:dyDescent="0.25">
      <c r="A13" s="489" t="s">
        <v>13</v>
      </c>
      <c r="B13" s="490">
        <v>4</v>
      </c>
      <c r="C13" s="491">
        <f>'IN. CEBADA.'!$G$42</f>
        <v>4371033.333333333</v>
      </c>
      <c r="D13" s="492">
        <f>+'IN. CEBADA.'!H42</f>
        <v>17484133.333333332</v>
      </c>
      <c r="E13" s="762">
        <f t="shared" si="1"/>
        <v>17484133.333333332</v>
      </c>
      <c r="F13" s="493">
        <f>(E13*100%)/E33</f>
        <v>5.0507160162499072E-2</v>
      </c>
      <c r="G13" s="761">
        <f>'CONT. ORGANIZACIONES'!G11</f>
        <v>21200000</v>
      </c>
      <c r="H13" s="201">
        <f>(G13*100%)/G31</f>
        <v>0.16666666666666666</v>
      </c>
      <c r="I13" s="188">
        <v>0</v>
      </c>
      <c r="J13" s="201">
        <f>(I13*100%)/I31</f>
        <v>0</v>
      </c>
      <c r="K13" s="541"/>
      <c r="L13" s="543"/>
      <c r="M13" s="543"/>
      <c r="N13" s="543"/>
      <c r="O13" s="543"/>
    </row>
    <row r="14" spans="1:15" x14ac:dyDescent="0.25">
      <c r="A14" s="489" t="s">
        <v>12</v>
      </c>
      <c r="B14" s="490">
        <v>4</v>
      </c>
      <c r="C14" s="491">
        <f>'IN. TRIGO.'!$G$43</f>
        <v>4135800</v>
      </c>
      <c r="D14" s="492">
        <f>+'IN. TRIGO.'!H43</f>
        <v>16543200</v>
      </c>
      <c r="E14" s="762">
        <f t="shared" si="1"/>
        <v>16543200</v>
      </c>
      <c r="F14" s="493">
        <f>(E14*100%)/E33</f>
        <v>4.7789045992190332E-2</v>
      </c>
      <c r="G14" s="761">
        <f>'CONT. ORGANIZACIONES'!G12</f>
        <v>21200000</v>
      </c>
      <c r="H14" s="201">
        <f>(G14*100%)/G31</f>
        <v>0.16666666666666666</v>
      </c>
      <c r="I14" s="188">
        <v>0</v>
      </c>
      <c r="J14" s="201">
        <f>(I14*100%)/I31</f>
        <v>0</v>
      </c>
      <c r="K14" s="541"/>
      <c r="L14" s="543"/>
      <c r="M14" s="543"/>
      <c r="N14" s="543"/>
      <c r="O14" s="543"/>
    </row>
    <row r="15" spans="1:15" x14ac:dyDescent="0.25">
      <c r="A15" s="287" t="s">
        <v>14</v>
      </c>
      <c r="B15" s="5">
        <v>4</v>
      </c>
      <c r="C15" s="359">
        <f>'IN. FORRAJE.'!$G$34</f>
        <v>1708133.3333333335</v>
      </c>
      <c r="D15" s="409">
        <f>+'IN. FORRAJE.'!H34</f>
        <v>6832533.333333334</v>
      </c>
      <c r="E15" s="761">
        <f t="shared" si="1"/>
        <v>6832533.333333334</v>
      </c>
      <c r="F15" s="411">
        <f>(E15*100%)/E33</f>
        <v>1.9737429863015632E-2</v>
      </c>
      <c r="G15" s="761">
        <f>'CONT. ORGANIZACIONES'!G13</f>
        <v>21200000</v>
      </c>
      <c r="H15" s="201">
        <f>(G15*100%)/G31</f>
        <v>0.16666666666666666</v>
      </c>
      <c r="I15" s="188">
        <v>0</v>
      </c>
      <c r="J15" s="201">
        <f>(I15*100%)/I31</f>
        <v>0</v>
      </c>
      <c r="K15" s="541"/>
      <c r="L15" s="543"/>
      <c r="M15" s="543"/>
      <c r="N15" s="543"/>
      <c r="O15" s="543"/>
    </row>
    <row r="16" spans="1:15" x14ac:dyDescent="0.25">
      <c r="A16" s="8" t="s">
        <v>6</v>
      </c>
      <c r="B16" s="292"/>
      <c r="C16" s="30"/>
      <c r="D16" s="30"/>
      <c r="E16" s="30">
        <f>SUM(E10:E15)</f>
        <v>126510418.66666666</v>
      </c>
      <c r="F16" s="494">
        <f>SUM(F10:F15)</f>
        <v>0.36545603124864523</v>
      </c>
      <c r="G16" s="763">
        <f>SUM(G10:G15)</f>
        <v>127200000</v>
      </c>
      <c r="H16" s="202">
        <f t="shared" ref="H16" si="2">SUM(H10:H15)</f>
        <v>0.99999999999999989</v>
      </c>
      <c r="I16" s="198">
        <f>SUM(I10:I15)</f>
        <v>0</v>
      </c>
      <c r="J16" s="202">
        <f>SUM(J10:J15)</f>
        <v>0</v>
      </c>
      <c r="K16" s="286"/>
      <c r="L16" s="286"/>
      <c r="M16" s="286"/>
      <c r="N16" s="286"/>
      <c r="O16" s="286"/>
    </row>
    <row r="17" spans="1:15" x14ac:dyDescent="0.25">
      <c r="A17" s="32"/>
      <c r="B17" s="536" t="s">
        <v>25</v>
      </c>
      <c r="C17" s="553"/>
      <c r="D17" s="553"/>
      <c r="E17" s="554"/>
      <c r="F17" s="203"/>
      <c r="G17" s="199"/>
      <c r="H17" s="209"/>
      <c r="I17" s="199"/>
      <c r="J17" s="211"/>
      <c r="K17" s="532"/>
      <c r="L17" s="533"/>
      <c r="M17" s="533"/>
      <c r="N17" s="533"/>
      <c r="O17" s="533"/>
    </row>
    <row r="18" spans="1:15" ht="30" x14ac:dyDescent="0.25">
      <c r="A18" s="32"/>
      <c r="B18" s="185" t="s">
        <v>155</v>
      </c>
      <c r="C18" s="185" t="s">
        <v>158</v>
      </c>
      <c r="D18" s="185" t="s">
        <v>8</v>
      </c>
      <c r="E18" s="185" t="s">
        <v>272</v>
      </c>
      <c r="F18" s="200" t="s">
        <v>5</v>
      </c>
      <c r="G18" s="186" t="s">
        <v>379</v>
      </c>
      <c r="H18" s="200" t="s">
        <v>5</v>
      </c>
      <c r="I18" s="186" t="s">
        <v>274</v>
      </c>
      <c r="J18" s="200" t="s">
        <v>5</v>
      </c>
      <c r="K18" s="286"/>
      <c r="L18" s="286"/>
      <c r="M18" s="286"/>
      <c r="N18" s="286"/>
      <c r="O18" s="286"/>
    </row>
    <row r="19" spans="1:15" x14ac:dyDescent="0.25">
      <c r="A19" s="287" t="s">
        <v>166</v>
      </c>
      <c r="B19" s="5">
        <f>+'MANO DE OBRA CALIFICADA'!C5</f>
        <v>1</v>
      </c>
      <c r="C19" s="13">
        <f>'MANO DE OBRA CALIFICADA'!G5</f>
        <v>3145568.9798974358</v>
      </c>
      <c r="D19" s="14">
        <f>+'MANO DE OBRA CALIFICADA'!D5</f>
        <v>6</v>
      </c>
      <c r="E19" s="410">
        <f>'MANO DE OBRA CALIFICADA'!H5</f>
        <v>18873413.879384615</v>
      </c>
      <c r="F19" s="411">
        <f>(E19*100%)/E33</f>
        <v>5.4520434009838165E-2</v>
      </c>
      <c r="G19" s="412">
        <v>0</v>
      </c>
      <c r="H19" s="411">
        <v>0</v>
      </c>
      <c r="I19" s="764">
        <f>+'CONT. ALCALDIAS'!G12</f>
        <v>13617837.25</v>
      </c>
      <c r="J19" s="411">
        <f>(I19*100%)/E33</f>
        <v>3.9338426099812175E-2</v>
      </c>
      <c r="K19" s="541"/>
      <c r="L19" s="542"/>
      <c r="M19" s="542"/>
      <c r="N19" s="542"/>
      <c r="O19" s="542"/>
    </row>
    <row r="20" spans="1:15" ht="15" customHeight="1" x14ac:dyDescent="0.25">
      <c r="A20" s="287" t="s">
        <v>167</v>
      </c>
      <c r="B20" s="5">
        <f>+'MANO DE OBRA CALIFICADA'!C6</f>
        <v>1</v>
      </c>
      <c r="C20" s="13">
        <f>'MANO DE OBRA CALIFICADA'!G6</f>
        <v>3145568.9798974358</v>
      </c>
      <c r="D20" s="14">
        <f>+'MANO DE OBRA CALIFICADA'!D6</f>
        <v>6</v>
      </c>
      <c r="E20" s="410">
        <f>'MANO DE OBRA CALIFICADA'!H6</f>
        <v>18873413.879384615</v>
      </c>
      <c r="F20" s="411">
        <f>(E20*100%)/E33</f>
        <v>5.4520434009838165E-2</v>
      </c>
      <c r="G20" s="412">
        <v>0</v>
      </c>
      <c r="H20" s="411">
        <v>0</v>
      </c>
      <c r="I20" s="764">
        <f>+I19</f>
        <v>13617837.25</v>
      </c>
      <c r="J20" s="411">
        <f>(I20*100%)/E33</f>
        <v>3.9338426099812175E-2</v>
      </c>
      <c r="K20" s="541"/>
      <c r="L20" s="542"/>
      <c r="M20" s="542"/>
      <c r="N20" s="542"/>
      <c r="O20" s="542"/>
    </row>
    <row r="21" spans="1:15" x14ac:dyDescent="0.25">
      <c r="A21" s="287" t="s">
        <v>168</v>
      </c>
      <c r="B21" s="5">
        <f>+'MANO DE OBRA CALIFICADA'!C7</f>
        <v>1</v>
      </c>
      <c r="C21" s="13">
        <f>'MANO DE OBRA CALIFICADA'!G7</f>
        <v>3145568.9798974358</v>
      </c>
      <c r="D21" s="14">
        <f>+'MANO DE OBRA CALIFICADA'!D7</f>
        <v>6</v>
      </c>
      <c r="E21" s="410">
        <f>'MANO DE OBRA CALIFICADA'!H7</f>
        <v>18873413.879384615</v>
      </c>
      <c r="F21" s="411">
        <f>(E21*100%)/E33</f>
        <v>5.4520434009838165E-2</v>
      </c>
      <c r="G21" s="412">
        <v>0</v>
      </c>
      <c r="H21" s="411">
        <v>0</v>
      </c>
      <c r="I21" s="764">
        <f>+I19</f>
        <v>13617837.25</v>
      </c>
      <c r="J21" s="411">
        <f>(I21*100%)/E33</f>
        <v>3.9338426099812175E-2</v>
      </c>
      <c r="K21" s="541"/>
      <c r="L21" s="542"/>
      <c r="M21" s="542"/>
      <c r="N21" s="542"/>
      <c r="O21" s="542"/>
    </row>
    <row r="22" spans="1:15" x14ac:dyDescent="0.25">
      <c r="A22" s="287" t="s">
        <v>169</v>
      </c>
      <c r="B22" s="5">
        <f>+'MANO DE OBRA CALIFICADA'!C8</f>
        <v>1</v>
      </c>
      <c r="C22" s="13">
        <f>'MANO DE OBRA CALIFICADA'!G8</f>
        <v>3145568.9798974358</v>
      </c>
      <c r="D22" s="14">
        <f>+'MANO DE OBRA CALIFICADA'!D8</f>
        <v>6</v>
      </c>
      <c r="E22" s="410">
        <f>'MANO DE OBRA CALIFICADA'!H8</f>
        <v>18873413.879384615</v>
      </c>
      <c r="F22" s="411">
        <f>(E22*100%)/E33</f>
        <v>5.4520434009838165E-2</v>
      </c>
      <c r="G22" s="412">
        <v>0</v>
      </c>
      <c r="H22" s="411">
        <v>0</v>
      </c>
      <c r="I22" s="765">
        <f>+I19</f>
        <v>13617837.25</v>
      </c>
      <c r="J22" s="411">
        <f>(I22*100%)/E33</f>
        <v>3.9338426099812175E-2</v>
      </c>
      <c r="K22" s="541"/>
      <c r="L22" s="542"/>
      <c r="M22" s="542"/>
      <c r="N22" s="542"/>
      <c r="O22" s="542"/>
    </row>
    <row r="23" spans="1:15" ht="30" x14ac:dyDescent="0.25">
      <c r="A23" s="288" t="s">
        <v>377</v>
      </c>
      <c r="B23" s="5">
        <f>+'MANO DE OBRA CALIFICADA'!C17</f>
        <v>1</v>
      </c>
      <c r="C23" s="13">
        <f>'MANO DE OBRA CALIFICADA'!G17</f>
        <v>3145568.9798974358</v>
      </c>
      <c r="D23" s="14">
        <f>+'MANO DE OBRA CALIFICADA'!D17</f>
        <v>1</v>
      </c>
      <c r="E23" s="413">
        <f>+'MANO DE OBRA CALIFICADA'!H17</f>
        <v>3145568.9798974358</v>
      </c>
      <c r="F23" s="411">
        <f>(E23*100%)/E33</f>
        <v>9.0867390016396935E-3</v>
      </c>
      <c r="G23" s="412">
        <v>0</v>
      </c>
      <c r="H23" s="411">
        <v>0</v>
      </c>
      <c r="I23" s="766">
        <v>0</v>
      </c>
      <c r="J23" s="411">
        <v>0</v>
      </c>
      <c r="K23" s="284"/>
      <c r="L23" s="285"/>
      <c r="M23" s="285"/>
      <c r="N23" s="285"/>
      <c r="O23" s="285"/>
    </row>
    <row r="24" spans="1:15" ht="17.25" customHeight="1" x14ac:dyDescent="0.25">
      <c r="A24" s="288" t="s">
        <v>378</v>
      </c>
      <c r="B24" s="5">
        <f>+'MANO DE OBRA CALIFICADA'!C18</f>
        <v>1</v>
      </c>
      <c r="C24" s="13">
        <f>'MANO DE OBRA CALIFICADA'!G18</f>
        <v>3145568.9798974358</v>
      </c>
      <c r="D24" s="14">
        <f>+'MANO DE OBRA CALIFICADA'!D18</f>
        <v>1</v>
      </c>
      <c r="E24" s="413">
        <f>+'MANO DE OBRA CALIFICADA'!H18</f>
        <v>3145568.9798974358</v>
      </c>
      <c r="F24" s="411">
        <f>(E24*100%)/E33</f>
        <v>9.0867390016396935E-3</v>
      </c>
      <c r="G24" s="412">
        <v>0</v>
      </c>
      <c r="H24" s="411">
        <v>0</v>
      </c>
      <c r="I24" s="766">
        <v>0</v>
      </c>
      <c r="J24" s="411">
        <v>0</v>
      </c>
    </row>
    <row r="25" spans="1:15" x14ac:dyDescent="0.25">
      <c r="A25" s="8" t="s">
        <v>6</v>
      </c>
      <c r="B25" s="9"/>
      <c r="C25" s="10">
        <f>SUM(C19:C22)</f>
        <v>12582275.919589743</v>
      </c>
      <c r="D25" s="10"/>
      <c r="E25" s="10">
        <f>SUM(E19:E24)</f>
        <v>81784793.477333337</v>
      </c>
      <c r="F25" s="115">
        <f>SUM(F19:F24)</f>
        <v>0.23625521404263206</v>
      </c>
      <c r="G25" s="191">
        <f t="shared" ref="G25:H25" si="3">SUM(G19:G24)</f>
        <v>0</v>
      </c>
      <c r="H25" s="115">
        <f t="shared" si="3"/>
        <v>0</v>
      </c>
      <c r="I25" s="10">
        <f>SUM(I19:I24)</f>
        <v>54471349</v>
      </c>
      <c r="J25" s="115">
        <f>SUM(J19:J24)</f>
        <v>0.1573537043992487</v>
      </c>
    </row>
    <row r="26" spans="1:15" x14ac:dyDescent="0.25">
      <c r="A26" s="8"/>
      <c r="B26" s="550" t="s">
        <v>225</v>
      </c>
      <c r="C26" s="551"/>
      <c r="D26" s="551"/>
      <c r="E26" s="552"/>
      <c r="F26" s="115"/>
      <c r="G26" s="11"/>
      <c r="H26" s="115"/>
      <c r="I26" s="11"/>
      <c r="J26" s="115"/>
    </row>
    <row r="27" spans="1:15" ht="24.75" customHeight="1" x14ac:dyDescent="0.25">
      <c r="A27" s="290" t="s">
        <v>224</v>
      </c>
      <c r="B27" s="281"/>
      <c r="C27" s="282"/>
      <c r="D27" s="283"/>
      <c r="E27" s="767">
        <f>+ECAS!G49</f>
        <v>25560000</v>
      </c>
      <c r="F27" s="201">
        <f>(E27*100%)/E33</f>
        <v>7.3836259947312785E-2</v>
      </c>
      <c r="G27" s="190">
        <v>0</v>
      </c>
      <c r="H27" s="201">
        <v>0</v>
      </c>
      <c r="I27" s="192">
        <v>0</v>
      </c>
      <c r="J27" s="201">
        <v>0</v>
      </c>
    </row>
    <row r="28" spans="1:15" ht="30" x14ac:dyDescent="0.25">
      <c r="A28" s="290" t="s">
        <v>392</v>
      </c>
      <c r="B28" s="281"/>
      <c r="C28" s="282"/>
      <c r="D28" s="283"/>
      <c r="E28" s="770">
        <f>+GASTOS_ADMIN!H29</f>
        <v>86629576.640000001</v>
      </c>
      <c r="F28" s="233">
        <f>(E28*100%)/E33</f>
        <v>0.2502505453801524</v>
      </c>
      <c r="G28" s="190">
        <v>0</v>
      </c>
      <c r="H28" s="233">
        <v>0</v>
      </c>
      <c r="I28" s="234">
        <v>0</v>
      </c>
      <c r="J28" s="233">
        <v>0</v>
      </c>
    </row>
    <row r="29" spans="1:15" x14ac:dyDescent="0.25">
      <c r="A29" s="213" t="s">
        <v>6</v>
      </c>
      <c r="B29" s="218"/>
      <c r="C29" s="219"/>
      <c r="D29" s="215"/>
      <c r="E29" s="495">
        <f t="shared" ref="E29:J29" si="4">SUM(E27:E28)</f>
        <v>112189576.64</v>
      </c>
      <c r="F29" s="204">
        <f t="shared" si="4"/>
        <v>0.3240868053274652</v>
      </c>
      <c r="G29" s="194">
        <f t="shared" si="4"/>
        <v>0</v>
      </c>
      <c r="H29" s="204">
        <f t="shared" si="4"/>
        <v>0</v>
      </c>
      <c r="I29" s="193">
        <f t="shared" si="4"/>
        <v>0</v>
      </c>
      <c r="J29" s="204">
        <f t="shared" si="4"/>
        <v>0</v>
      </c>
    </row>
    <row r="30" spans="1:15" ht="21.75" customHeight="1" x14ac:dyDescent="0.25">
      <c r="A30" s="555" t="s">
        <v>521</v>
      </c>
      <c r="B30" s="556"/>
      <c r="C30" s="556"/>
      <c r="D30" s="557"/>
      <c r="E30" s="416">
        <f>+'Protocolo de Bioseguridad'!F36</f>
        <v>2590191.216</v>
      </c>
      <c r="F30" s="351">
        <f>(E30*100%)/E33</f>
        <v>7.4823956157207437E-3</v>
      </c>
      <c r="G30" s="194"/>
      <c r="H30" s="204"/>
      <c r="I30" s="193"/>
      <c r="J30" s="204"/>
    </row>
    <row r="31" spans="1:15" x14ac:dyDescent="0.25">
      <c r="A31" s="214" t="s">
        <v>23</v>
      </c>
      <c r="B31" s="214"/>
      <c r="C31" s="220"/>
      <c r="D31" s="216"/>
      <c r="E31" s="216">
        <f>SUM(E29,E25,E16,E30,E7)</f>
        <v>346171380.00000006</v>
      </c>
      <c r="F31" s="205">
        <f>SUM(F29,F25,F16,F7,F30)</f>
        <v>0.99999999999999978</v>
      </c>
      <c r="G31" s="196">
        <f>SUM(G29,G25,G16)</f>
        <v>127200000</v>
      </c>
      <c r="H31" s="205">
        <f>SUM(H29,H25,H16)</f>
        <v>0.99999999999999989</v>
      </c>
      <c r="I31" s="195">
        <f>SUM(I29,I25,I16)</f>
        <v>54471349</v>
      </c>
      <c r="J31" s="205">
        <f>SUM(J29,J25,J16)</f>
        <v>0.1573537043992487</v>
      </c>
    </row>
    <row r="32" spans="1:15" x14ac:dyDescent="0.25">
      <c r="A32" s="544"/>
      <c r="B32" s="545"/>
      <c r="C32" s="545"/>
      <c r="D32" s="217"/>
      <c r="E32" s="17"/>
      <c r="F32" s="206"/>
    </row>
    <row r="33" spans="1:12" x14ac:dyDescent="0.25">
      <c r="A33" s="546" t="s">
        <v>7</v>
      </c>
      <c r="B33" s="547"/>
      <c r="C33" s="548"/>
      <c r="D33" s="18"/>
      <c r="E33" s="19">
        <f>+E31</f>
        <v>346171380.00000006</v>
      </c>
      <c r="F33" s="207">
        <f>SUM(F25,F29,F16,F7,F30)</f>
        <v>0.99999999999999978</v>
      </c>
    </row>
    <row r="34" spans="1:12" x14ac:dyDescent="0.25">
      <c r="A34" s="549" t="s">
        <v>576</v>
      </c>
      <c r="B34" s="549"/>
      <c r="C34" s="549"/>
      <c r="D34" s="1"/>
      <c r="E34" s="389">
        <f>SUM(E31,G31,I31)</f>
        <v>527842729.00000006</v>
      </c>
      <c r="F34" s="530"/>
      <c r="G34" s="531"/>
      <c r="H34" s="210"/>
    </row>
    <row r="35" spans="1:12" x14ac:dyDescent="0.25">
      <c r="E35" s="485"/>
      <c r="F35" s="485"/>
      <c r="G35" s="486"/>
      <c r="H35" s="487"/>
      <c r="I35" s="486"/>
      <c r="J35" s="487"/>
      <c r="L35" s="4">
        <f>+E25+E28</f>
        <v>168414370.11733335</v>
      </c>
    </row>
    <row r="36" spans="1:12" x14ac:dyDescent="0.25">
      <c r="E36" s="768"/>
      <c r="F36" s="769"/>
      <c r="G36" s="242"/>
      <c r="I36" s="243"/>
    </row>
    <row r="37" spans="1:12" ht="16.5" x14ac:dyDescent="0.3">
      <c r="E37" s="29"/>
      <c r="G37" s="427">
        <v>346171379.99999994</v>
      </c>
    </row>
    <row r="38" spans="1:12" x14ac:dyDescent="0.25">
      <c r="E38" s="434"/>
      <c r="G38" s="239"/>
    </row>
    <row r="39" spans="1:12" x14ac:dyDescent="0.25">
      <c r="E39" s="230"/>
      <c r="H39" s="434"/>
    </row>
    <row r="40" spans="1:12" x14ac:dyDescent="0.25">
      <c r="E40" s="230"/>
    </row>
    <row r="41" spans="1:12" x14ac:dyDescent="0.25">
      <c r="F41" s="434"/>
    </row>
    <row r="42" spans="1:12" x14ac:dyDescent="0.25">
      <c r="E42" s="466"/>
    </row>
    <row r="44" spans="1:12" x14ac:dyDescent="0.25">
      <c r="E44" s="436"/>
    </row>
    <row r="45" spans="1:12" x14ac:dyDescent="0.25">
      <c r="J45" s="4"/>
    </row>
    <row r="46" spans="1:12" x14ac:dyDescent="0.25">
      <c r="H46" s="4"/>
    </row>
    <row r="48" spans="1:12" x14ac:dyDescent="0.25">
      <c r="E48" s="436"/>
    </row>
    <row r="50" spans="5:6" x14ac:dyDescent="0.25">
      <c r="E50" s="435"/>
      <c r="F50" s="434"/>
    </row>
  </sheetData>
  <mergeCells count="14">
    <mergeCell ref="F34:G34"/>
    <mergeCell ref="K17:O17"/>
    <mergeCell ref="A1:J1"/>
    <mergeCell ref="C8:F8"/>
    <mergeCell ref="B2:E2"/>
    <mergeCell ref="K5:N5"/>
    <mergeCell ref="K19:O22"/>
    <mergeCell ref="K10:O15"/>
    <mergeCell ref="A32:C32"/>
    <mergeCell ref="A33:C33"/>
    <mergeCell ref="A34:C34"/>
    <mergeCell ref="B26:E26"/>
    <mergeCell ref="B17:E17"/>
    <mergeCell ref="A30:D30"/>
  </mergeCells>
  <pageMargins left="0.7" right="0.7" top="0.75" bottom="0.75" header="0.3" footer="0.3"/>
  <pageSetup orientation="portrait" horizontalDpi="4294967292" verticalDpi="4294967295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74"/>
  <sheetViews>
    <sheetView showZeros="0" topLeftCell="A55" zoomScaleNormal="100" workbookViewId="0">
      <selection activeCell="F60" sqref="F60"/>
    </sheetView>
  </sheetViews>
  <sheetFormatPr baseColWidth="10" defaultColWidth="10.85546875" defaultRowHeight="14.25" x14ac:dyDescent="0.2"/>
  <cols>
    <col min="1" max="1" width="4.28515625" style="249" bestFit="1" customWidth="1"/>
    <col min="2" max="2" width="46" style="268" customWidth="1"/>
    <col min="3" max="3" width="10.85546875" style="249"/>
    <col min="4" max="4" width="22.85546875" style="249" customWidth="1"/>
    <col min="5" max="5" width="16.7109375" style="249" customWidth="1"/>
    <col min="6" max="6" width="14" style="249" customWidth="1"/>
    <col min="7" max="7" width="14.85546875" style="249" customWidth="1"/>
    <col min="8" max="8" width="14" style="249" customWidth="1"/>
    <col min="9" max="16384" width="10.85546875" style="249"/>
  </cols>
  <sheetData>
    <row r="1" spans="1:8" ht="15.75" thickBot="1" x14ac:dyDescent="0.3">
      <c r="A1" s="558" t="s">
        <v>404</v>
      </c>
      <c r="B1" s="559"/>
      <c r="C1" s="559"/>
      <c r="D1" s="559"/>
      <c r="E1" s="559"/>
      <c r="F1" s="559"/>
      <c r="G1" s="559"/>
      <c r="H1" s="560"/>
    </row>
    <row r="2" spans="1:8" ht="21.75" customHeight="1" thickBot="1" x14ac:dyDescent="0.3">
      <c r="A2" s="558"/>
      <c r="B2" s="559"/>
      <c r="C2" s="559"/>
      <c r="D2" s="559"/>
      <c r="E2" s="559"/>
      <c r="F2" s="559"/>
      <c r="G2" s="559"/>
      <c r="H2" s="560"/>
    </row>
    <row r="3" spans="1:8" ht="25.5" x14ac:dyDescent="0.2">
      <c r="A3" s="561" t="s">
        <v>405</v>
      </c>
      <c r="B3" s="562"/>
      <c r="C3" s="562"/>
      <c r="D3" s="563"/>
      <c r="E3" s="250" t="s">
        <v>406</v>
      </c>
      <c r="F3" s="250" t="s">
        <v>407</v>
      </c>
      <c r="G3" s="250" t="s">
        <v>408</v>
      </c>
      <c r="H3" s="564" t="s">
        <v>409</v>
      </c>
    </row>
    <row r="4" spans="1:8" ht="22.5" x14ac:dyDescent="0.2">
      <c r="A4" s="251" t="s">
        <v>410</v>
      </c>
      <c r="B4" s="252" t="s">
        <v>337</v>
      </c>
      <c r="C4" s="251" t="s">
        <v>3</v>
      </c>
      <c r="D4" s="251" t="s">
        <v>19</v>
      </c>
      <c r="E4" s="251" t="s">
        <v>315</v>
      </c>
      <c r="F4" s="251" t="s">
        <v>315</v>
      </c>
      <c r="G4" s="251" t="s">
        <v>315</v>
      </c>
      <c r="H4" s="565"/>
    </row>
    <row r="5" spans="1:8" ht="36.75" customHeight="1" x14ac:dyDescent="0.2">
      <c r="A5" s="253">
        <v>1</v>
      </c>
      <c r="B5" s="254" t="s">
        <v>437</v>
      </c>
      <c r="C5" s="37">
        <v>424</v>
      </c>
      <c r="D5" s="48" t="s">
        <v>30</v>
      </c>
      <c r="E5" s="255">
        <v>35000</v>
      </c>
      <c r="F5" s="255">
        <v>42500</v>
      </c>
      <c r="G5" s="255">
        <v>47000</v>
      </c>
      <c r="H5" s="256">
        <f>(E5+F5+G5)/3</f>
        <v>41500</v>
      </c>
    </row>
    <row r="6" spans="1:8" ht="15" x14ac:dyDescent="0.2">
      <c r="A6" s="253">
        <v>2</v>
      </c>
      <c r="B6" s="254" t="s">
        <v>276</v>
      </c>
      <c r="C6" s="37">
        <v>28</v>
      </c>
      <c r="D6" s="48" t="s">
        <v>30</v>
      </c>
      <c r="E6" s="255">
        <v>152000</v>
      </c>
      <c r="F6" s="255">
        <v>147000</v>
      </c>
      <c r="G6" s="255">
        <v>139000</v>
      </c>
      <c r="H6" s="256">
        <f t="shared" ref="H6:H40" si="0">(E6+F6+G6)/3</f>
        <v>146000</v>
      </c>
    </row>
    <row r="7" spans="1:8" ht="15" x14ac:dyDescent="0.2">
      <c r="A7" s="253">
        <v>3</v>
      </c>
      <c r="B7" s="254" t="s">
        <v>66</v>
      </c>
      <c r="C7" s="37">
        <v>28</v>
      </c>
      <c r="D7" s="48" t="s">
        <v>30</v>
      </c>
      <c r="E7" s="255">
        <v>112000</v>
      </c>
      <c r="F7" s="255">
        <v>130000</v>
      </c>
      <c r="G7" s="255">
        <v>139000</v>
      </c>
      <c r="H7" s="256">
        <f t="shared" si="0"/>
        <v>127000</v>
      </c>
    </row>
    <row r="8" spans="1:8" ht="15" x14ac:dyDescent="0.2">
      <c r="A8" s="253">
        <v>4</v>
      </c>
      <c r="B8" s="254" t="s">
        <v>48</v>
      </c>
      <c r="C8" s="37">
        <v>24</v>
      </c>
      <c r="D8" s="48" t="s">
        <v>30</v>
      </c>
      <c r="E8" s="255">
        <v>82000</v>
      </c>
      <c r="F8" s="255">
        <v>90000</v>
      </c>
      <c r="G8" s="255">
        <v>110000</v>
      </c>
      <c r="H8" s="256">
        <f t="shared" si="0"/>
        <v>94000</v>
      </c>
    </row>
    <row r="9" spans="1:8" ht="15" customHeight="1" x14ac:dyDescent="0.2">
      <c r="A9" s="253">
        <v>5</v>
      </c>
      <c r="B9" s="257" t="s">
        <v>49</v>
      </c>
      <c r="C9" s="37">
        <v>240</v>
      </c>
      <c r="D9" s="48" t="s">
        <v>30</v>
      </c>
      <c r="E9" s="255">
        <v>20000</v>
      </c>
      <c r="F9" s="255">
        <v>19000</v>
      </c>
      <c r="G9" s="255">
        <v>22000</v>
      </c>
      <c r="H9" s="256">
        <f t="shared" si="0"/>
        <v>20333.333333333332</v>
      </c>
    </row>
    <row r="10" spans="1:8" ht="15" x14ac:dyDescent="0.2">
      <c r="A10" s="253">
        <v>6</v>
      </c>
      <c r="B10" s="254" t="s">
        <v>110</v>
      </c>
      <c r="C10" s="37">
        <v>28</v>
      </c>
      <c r="D10" s="48" t="s">
        <v>30</v>
      </c>
      <c r="E10" s="255">
        <v>155000</v>
      </c>
      <c r="F10" s="255">
        <v>166000</v>
      </c>
      <c r="G10" s="255">
        <v>180000</v>
      </c>
      <c r="H10" s="256">
        <f t="shared" si="0"/>
        <v>167000</v>
      </c>
    </row>
    <row r="11" spans="1:8" ht="15" x14ac:dyDescent="0.2">
      <c r="A11" s="253">
        <v>7</v>
      </c>
      <c r="B11" s="254" t="s">
        <v>112</v>
      </c>
      <c r="C11" s="37">
        <v>32</v>
      </c>
      <c r="D11" s="48" t="s">
        <v>30</v>
      </c>
      <c r="E11" s="255">
        <v>160000</v>
      </c>
      <c r="F11" s="255">
        <v>163000</v>
      </c>
      <c r="G11" s="255">
        <v>160000</v>
      </c>
      <c r="H11" s="256">
        <f t="shared" si="0"/>
        <v>161000</v>
      </c>
    </row>
    <row r="12" spans="1:8" ht="15" x14ac:dyDescent="0.2">
      <c r="A12" s="253">
        <v>8</v>
      </c>
      <c r="B12" s="254" t="s">
        <v>111</v>
      </c>
      <c r="C12" s="37">
        <v>24</v>
      </c>
      <c r="D12" s="48" t="s">
        <v>30</v>
      </c>
      <c r="E12" s="255">
        <v>150000</v>
      </c>
      <c r="F12" s="255">
        <v>148000</v>
      </c>
      <c r="G12" s="255">
        <v>155000</v>
      </c>
      <c r="H12" s="256">
        <f t="shared" si="0"/>
        <v>151000</v>
      </c>
    </row>
    <row r="13" spans="1:8" ht="15" x14ac:dyDescent="0.2">
      <c r="A13" s="253">
        <v>9</v>
      </c>
      <c r="B13" s="254" t="s">
        <v>120</v>
      </c>
      <c r="C13" s="37">
        <v>12</v>
      </c>
      <c r="D13" s="48" t="s">
        <v>30</v>
      </c>
      <c r="E13" s="255">
        <v>80000</v>
      </c>
      <c r="F13" s="255">
        <v>97000</v>
      </c>
      <c r="G13" s="255">
        <v>108000</v>
      </c>
      <c r="H13" s="256">
        <f t="shared" si="0"/>
        <v>95000</v>
      </c>
    </row>
    <row r="14" spans="1:8" ht="15" x14ac:dyDescent="0.2">
      <c r="A14" s="253">
        <v>10</v>
      </c>
      <c r="B14" s="254" t="s">
        <v>68</v>
      </c>
      <c r="C14" s="37">
        <v>104</v>
      </c>
      <c r="D14" s="248" t="s">
        <v>28</v>
      </c>
      <c r="E14" s="255">
        <v>19500</v>
      </c>
      <c r="F14" s="255">
        <v>16000</v>
      </c>
      <c r="G14" s="255">
        <v>20000</v>
      </c>
      <c r="H14" s="256">
        <f t="shared" si="0"/>
        <v>18500</v>
      </c>
    </row>
    <row r="15" spans="1:8" ht="15" x14ac:dyDescent="0.2">
      <c r="A15" s="253">
        <v>11</v>
      </c>
      <c r="B15" s="254" t="s">
        <v>70</v>
      </c>
      <c r="C15" s="37">
        <v>32</v>
      </c>
      <c r="D15" s="248" t="s">
        <v>28</v>
      </c>
      <c r="E15" s="255">
        <v>6000</v>
      </c>
      <c r="F15" s="255">
        <v>12000</v>
      </c>
      <c r="G15" s="255">
        <v>18000</v>
      </c>
      <c r="H15" s="256">
        <f t="shared" si="0"/>
        <v>12000</v>
      </c>
    </row>
    <row r="16" spans="1:8" ht="15" x14ac:dyDescent="0.2">
      <c r="A16" s="253">
        <v>12</v>
      </c>
      <c r="B16" s="254" t="s">
        <v>72</v>
      </c>
      <c r="C16" s="37">
        <v>52</v>
      </c>
      <c r="D16" s="248" t="s">
        <v>411</v>
      </c>
      <c r="E16" s="255">
        <v>38000</v>
      </c>
      <c r="F16" s="255">
        <v>40000</v>
      </c>
      <c r="G16" s="255">
        <v>45000</v>
      </c>
      <c r="H16" s="256">
        <f t="shared" si="0"/>
        <v>41000</v>
      </c>
    </row>
    <row r="17" spans="1:8" ht="15" x14ac:dyDescent="0.2">
      <c r="A17" s="253">
        <v>13</v>
      </c>
      <c r="B17" s="254" t="s">
        <v>74</v>
      </c>
      <c r="C17" s="37">
        <v>52</v>
      </c>
      <c r="D17" s="248" t="s">
        <v>28</v>
      </c>
      <c r="E17" s="255">
        <v>25000</v>
      </c>
      <c r="F17" s="255">
        <v>16000</v>
      </c>
      <c r="G17" s="255">
        <v>22000</v>
      </c>
      <c r="H17" s="256">
        <f t="shared" si="0"/>
        <v>21000</v>
      </c>
    </row>
    <row r="18" spans="1:8" ht="15" x14ac:dyDescent="0.2">
      <c r="A18" s="253">
        <v>14</v>
      </c>
      <c r="B18" s="254" t="s">
        <v>52</v>
      </c>
      <c r="C18" s="37">
        <v>8</v>
      </c>
      <c r="D18" s="248" t="s">
        <v>33</v>
      </c>
      <c r="E18" s="255">
        <v>47000</v>
      </c>
      <c r="F18" s="255">
        <v>55000</v>
      </c>
      <c r="G18" s="255">
        <v>0</v>
      </c>
      <c r="H18" s="256">
        <f>(E18+F18)/2</f>
        <v>51000</v>
      </c>
    </row>
    <row r="19" spans="1:8" ht="15" x14ac:dyDescent="0.2">
      <c r="A19" s="253">
        <v>15</v>
      </c>
      <c r="B19" s="254" t="s">
        <v>53</v>
      </c>
      <c r="C19" s="37">
        <v>8</v>
      </c>
      <c r="D19" s="248" t="s">
        <v>63</v>
      </c>
      <c r="E19" s="255">
        <v>245000</v>
      </c>
      <c r="F19" s="255">
        <v>239000</v>
      </c>
      <c r="G19" s="255">
        <v>260000</v>
      </c>
      <c r="H19" s="256">
        <f t="shared" si="0"/>
        <v>248000</v>
      </c>
    </row>
    <row r="20" spans="1:8" ht="15" x14ac:dyDescent="0.2">
      <c r="A20" s="253">
        <v>16</v>
      </c>
      <c r="B20" s="254" t="s">
        <v>62</v>
      </c>
      <c r="C20" s="37">
        <v>72</v>
      </c>
      <c r="D20" s="248" t="s">
        <v>28</v>
      </c>
      <c r="E20" s="255">
        <v>26000</v>
      </c>
      <c r="F20" s="255">
        <v>24000</v>
      </c>
      <c r="G20" s="255">
        <v>25000</v>
      </c>
      <c r="H20" s="256">
        <f t="shared" si="0"/>
        <v>25000</v>
      </c>
    </row>
    <row r="21" spans="1:8" ht="15" x14ac:dyDescent="0.2">
      <c r="A21" s="253">
        <v>17</v>
      </c>
      <c r="B21" s="254" t="s">
        <v>56</v>
      </c>
      <c r="C21" s="37">
        <v>72</v>
      </c>
      <c r="D21" s="248" t="s">
        <v>28</v>
      </c>
      <c r="E21" s="255">
        <v>24000</v>
      </c>
      <c r="F21" s="255">
        <v>23000</v>
      </c>
      <c r="G21" s="255">
        <v>24000</v>
      </c>
      <c r="H21" s="256">
        <f t="shared" si="0"/>
        <v>23666.666666666668</v>
      </c>
    </row>
    <row r="22" spans="1:8" ht="15" x14ac:dyDescent="0.2">
      <c r="A22" s="253">
        <v>18</v>
      </c>
      <c r="B22" s="254" t="s">
        <v>58</v>
      </c>
      <c r="C22" s="37">
        <v>24</v>
      </c>
      <c r="D22" s="248" t="s">
        <v>29</v>
      </c>
      <c r="E22" s="255">
        <v>130000</v>
      </c>
      <c r="F22" s="255">
        <v>128000</v>
      </c>
      <c r="G22" s="255">
        <v>0</v>
      </c>
      <c r="H22" s="256">
        <f>(E22+F22)/2</f>
        <v>129000</v>
      </c>
    </row>
    <row r="23" spans="1:8" ht="15" x14ac:dyDescent="0.2">
      <c r="A23" s="253">
        <v>19</v>
      </c>
      <c r="B23" s="254" t="s">
        <v>60</v>
      </c>
      <c r="C23" s="37">
        <v>8</v>
      </c>
      <c r="D23" s="248" t="s">
        <v>29</v>
      </c>
      <c r="E23" s="255">
        <v>168000</v>
      </c>
      <c r="F23" s="255">
        <v>155000</v>
      </c>
      <c r="G23" s="255">
        <v>170000</v>
      </c>
      <c r="H23" s="256">
        <f t="shared" si="0"/>
        <v>164333.33333333334</v>
      </c>
    </row>
    <row r="24" spans="1:8" ht="15" x14ac:dyDescent="0.2">
      <c r="A24" s="253">
        <v>20</v>
      </c>
      <c r="B24" s="254" t="s">
        <v>121</v>
      </c>
      <c r="C24" s="37">
        <v>60</v>
      </c>
      <c r="D24" s="248" t="s">
        <v>29</v>
      </c>
      <c r="E24" s="255">
        <v>45000</v>
      </c>
      <c r="F24" s="255">
        <v>46000</v>
      </c>
      <c r="G24" s="255">
        <v>39000</v>
      </c>
      <c r="H24" s="256">
        <f t="shared" si="0"/>
        <v>43333.333333333336</v>
      </c>
    </row>
    <row r="25" spans="1:8" ht="15" x14ac:dyDescent="0.2">
      <c r="A25" s="253">
        <v>21</v>
      </c>
      <c r="B25" s="254" t="s">
        <v>123</v>
      </c>
      <c r="C25" s="37">
        <v>16</v>
      </c>
      <c r="D25" s="248" t="s">
        <v>29</v>
      </c>
      <c r="E25" s="255">
        <v>100000</v>
      </c>
      <c r="F25" s="255">
        <v>80000</v>
      </c>
      <c r="G25" s="255">
        <v>60000</v>
      </c>
      <c r="H25" s="256">
        <f t="shared" si="0"/>
        <v>80000</v>
      </c>
    </row>
    <row r="26" spans="1:8" ht="15" x14ac:dyDescent="0.2">
      <c r="A26" s="253">
        <v>22</v>
      </c>
      <c r="B26" s="254" t="s">
        <v>412</v>
      </c>
      <c r="C26" s="37">
        <v>8</v>
      </c>
      <c r="D26" s="258" t="s">
        <v>413</v>
      </c>
      <c r="E26" s="255">
        <v>44000</v>
      </c>
      <c r="F26" s="255">
        <v>50000</v>
      </c>
      <c r="G26" s="255">
        <v>45000</v>
      </c>
      <c r="H26" s="256">
        <f t="shared" si="0"/>
        <v>46333.333333333336</v>
      </c>
    </row>
    <row r="27" spans="1:8" s="263" customFormat="1" ht="15" x14ac:dyDescent="0.2">
      <c r="A27" s="259">
        <v>23</v>
      </c>
      <c r="B27" s="260" t="s">
        <v>414</v>
      </c>
      <c r="C27" s="261">
        <v>28</v>
      </c>
      <c r="D27" s="262" t="s">
        <v>29</v>
      </c>
      <c r="E27" s="255">
        <v>295000</v>
      </c>
      <c r="F27" s="255">
        <v>300000</v>
      </c>
      <c r="G27" s="255">
        <v>340000</v>
      </c>
      <c r="H27" s="256">
        <f t="shared" si="0"/>
        <v>311666.66666666669</v>
      </c>
    </row>
    <row r="28" spans="1:8" ht="15" x14ac:dyDescent="0.2">
      <c r="A28" s="253">
        <v>24</v>
      </c>
      <c r="B28" s="254" t="s">
        <v>415</v>
      </c>
      <c r="C28" s="264">
        <v>28</v>
      </c>
      <c r="D28" s="258" t="s">
        <v>29</v>
      </c>
      <c r="E28" s="255">
        <v>400000</v>
      </c>
      <c r="F28" s="255">
        <v>388000</v>
      </c>
      <c r="G28" s="255">
        <v>415000</v>
      </c>
      <c r="H28" s="256">
        <f t="shared" si="0"/>
        <v>401000</v>
      </c>
    </row>
    <row r="29" spans="1:8" ht="15" x14ac:dyDescent="0.2">
      <c r="A29" s="253">
        <v>25</v>
      </c>
      <c r="B29" s="254" t="s">
        <v>416</v>
      </c>
      <c r="C29" s="264">
        <v>4</v>
      </c>
      <c r="D29" s="258" t="s">
        <v>29</v>
      </c>
      <c r="E29" s="255">
        <v>650000</v>
      </c>
      <c r="F29" s="255">
        <v>700000</v>
      </c>
      <c r="G29" s="255">
        <v>656000</v>
      </c>
      <c r="H29" s="256">
        <f t="shared" si="0"/>
        <v>668666.66666666663</v>
      </c>
    </row>
    <row r="30" spans="1:8" ht="15" x14ac:dyDescent="0.2">
      <c r="A30" s="253">
        <v>26</v>
      </c>
      <c r="B30" s="254" t="s">
        <v>416</v>
      </c>
      <c r="C30" s="264">
        <v>4</v>
      </c>
      <c r="D30" s="258" t="s">
        <v>417</v>
      </c>
      <c r="E30" s="255">
        <v>125000</v>
      </c>
      <c r="F30" s="255">
        <v>148000</v>
      </c>
      <c r="G30" s="255">
        <v>169000</v>
      </c>
      <c r="H30" s="256">
        <f t="shared" si="0"/>
        <v>147333.33333333334</v>
      </c>
    </row>
    <row r="31" spans="1:8" ht="15" x14ac:dyDescent="0.2">
      <c r="A31" s="253">
        <v>27</v>
      </c>
      <c r="B31" s="254" t="s">
        <v>418</v>
      </c>
      <c r="C31" s="264">
        <v>12</v>
      </c>
      <c r="D31" s="258" t="s">
        <v>133</v>
      </c>
      <c r="E31" s="255">
        <v>109000</v>
      </c>
      <c r="F31" s="255">
        <v>120000</v>
      </c>
      <c r="G31" s="255">
        <v>119000</v>
      </c>
      <c r="H31" s="256">
        <f t="shared" si="0"/>
        <v>116000</v>
      </c>
    </row>
    <row r="32" spans="1:8" ht="15" x14ac:dyDescent="0.2">
      <c r="A32" s="253">
        <v>28</v>
      </c>
      <c r="B32" s="254" t="s">
        <v>129</v>
      </c>
      <c r="C32" s="264">
        <v>4</v>
      </c>
      <c r="D32" s="258" t="s">
        <v>29</v>
      </c>
      <c r="E32" s="255">
        <v>170000</v>
      </c>
      <c r="F32" s="255">
        <v>170000</v>
      </c>
      <c r="G32" s="255">
        <v>160000</v>
      </c>
      <c r="H32" s="256">
        <f t="shared" si="0"/>
        <v>166666.66666666666</v>
      </c>
    </row>
    <row r="33" spans="1:8" ht="15" x14ac:dyDescent="0.2">
      <c r="A33" s="253">
        <v>29</v>
      </c>
      <c r="B33" s="254" t="s">
        <v>131</v>
      </c>
      <c r="C33" s="264">
        <v>4</v>
      </c>
      <c r="D33" s="265" t="s">
        <v>29</v>
      </c>
      <c r="E33" s="255">
        <v>168000</v>
      </c>
      <c r="F33" s="255">
        <v>180000</v>
      </c>
      <c r="G33" s="255">
        <v>195000</v>
      </c>
      <c r="H33" s="256">
        <f t="shared" si="0"/>
        <v>181000</v>
      </c>
    </row>
    <row r="34" spans="1:8" ht="15" x14ac:dyDescent="0.2">
      <c r="A34" s="253">
        <v>30</v>
      </c>
      <c r="B34" s="254" t="s">
        <v>83</v>
      </c>
      <c r="C34" s="264">
        <v>24</v>
      </c>
      <c r="D34" s="258" t="s">
        <v>89</v>
      </c>
      <c r="E34" s="255">
        <v>70000</v>
      </c>
      <c r="F34" s="255">
        <v>70000</v>
      </c>
      <c r="G34" s="255">
        <v>77000</v>
      </c>
      <c r="H34" s="256">
        <f t="shared" si="0"/>
        <v>72333.333333333328</v>
      </c>
    </row>
    <row r="35" spans="1:8" ht="15" x14ac:dyDescent="0.2">
      <c r="A35" s="253">
        <v>31</v>
      </c>
      <c r="B35" s="254" t="s">
        <v>85</v>
      </c>
      <c r="C35" s="264">
        <v>92</v>
      </c>
      <c r="D35" s="258" t="s">
        <v>419</v>
      </c>
      <c r="E35" s="255">
        <v>38000</v>
      </c>
      <c r="F35" s="255">
        <v>38000</v>
      </c>
      <c r="G35" s="255">
        <v>39000</v>
      </c>
      <c r="H35" s="256">
        <f t="shared" si="0"/>
        <v>38333.333333333336</v>
      </c>
    </row>
    <row r="36" spans="1:8" ht="15" x14ac:dyDescent="0.2">
      <c r="A36" s="253">
        <v>32</v>
      </c>
      <c r="B36" s="254" t="s">
        <v>87</v>
      </c>
      <c r="C36" s="264">
        <v>104</v>
      </c>
      <c r="D36" s="258" t="s">
        <v>29</v>
      </c>
      <c r="E36" s="255">
        <v>38000</v>
      </c>
      <c r="F36" s="255">
        <v>32000</v>
      </c>
      <c r="G36" s="255">
        <v>30000</v>
      </c>
      <c r="H36" s="256">
        <f t="shared" si="0"/>
        <v>33333.333333333336</v>
      </c>
    </row>
    <row r="37" spans="1:8" ht="15" x14ac:dyDescent="0.2">
      <c r="A37" s="253">
        <v>33</v>
      </c>
      <c r="B37" s="254" t="s">
        <v>420</v>
      </c>
      <c r="C37" s="264">
        <v>4</v>
      </c>
      <c r="D37" s="258" t="s">
        <v>29</v>
      </c>
      <c r="E37" s="255">
        <v>70000</v>
      </c>
      <c r="F37" s="255">
        <v>70000</v>
      </c>
      <c r="G37" s="255">
        <v>82000</v>
      </c>
      <c r="H37" s="256">
        <f t="shared" si="0"/>
        <v>74000</v>
      </c>
    </row>
    <row r="38" spans="1:8" ht="15" x14ac:dyDescent="0.2">
      <c r="A38" s="253">
        <v>34</v>
      </c>
      <c r="B38" s="254" t="s">
        <v>139</v>
      </c>
      <c r="C38" s="264">
        <v>12</v>
      </c>
      <c r="D38" s="258" t="s">
        <v>397</v>
      </c>
      <c r="E38" s="255">
        <v>10000</v>
      </c>
      <c r="F38" s="255">
        <v>8000</v>
      </c>
      <c r="G38" s="255">
        <v>10000</v>
      </c>
      <c r="H38" s="256">
        <f t="shared" si="0"/>
        <v>9333.3333333333339</v>
      </c>
    </row>
    <row r="39" spans="1:8" ht="150.75" customHeight="1" x14ac:dyDescent="0.2">
      <c r="A39" s="253">
        <v>41</v>
      </c>
      <c r="B39" s="275" t="s">
        <v>528</v>
      </c>
      <c r="C39" s="267">
        <v>20</v>
      </c>
      <c r="D39" s="267" t="s">
        <v>35</v>
      </c>
      <c r="E39" s="255">
        <v>320000</v>
      </c>
      <c r="F39" s="255">
        <v>300000</v>
      </c>
      <c r="G39" s="255">
        <v>330000</v>
      </c>
      <c r="H39" s="256">
        <f t="shared" si="0"/>
        <v>316666.66666666669</v>
      </c>
    </row>
    <row r="40" spans="1:8" ht="60" customHeight="1" x14ac:dyDescent="0.2">
      <c r="A40" s="271">
        <v>42</v>
      </c>
      <c r="B40" s="275" t="s">
        <v>526</v>
      </c>
      <c r="C40" s="267">
        <v>36</v>
      </c>
      <c r="D40" s="352" t="s">
        <v>525</v>
      </c>
      <c r="E40" s="255">
        <v>130000</v>
      </c>
      <c r="F40" s="255">
        <v>125000</v>
      </c>
      <c r="G40" s="255">
        <v>135000</v>
      </c>
      <c r="H40" s="256">
        <f t="shared" si="0"/>
        <v>130000</v>
      </c>
    </row>
    <row r="41" spans="1:8" x14ac:dyDescent="0.2">
      <c r="A41" s="271">
        <v>43</v>
      </c>
      <c r="B41" s="266" t="s">
        <v>38</v>
      </c>
      <c r="C41" s="264">
        <v>4800</v>
      </c>
      <c r="D41" s="267" t="s">
        <v>39</v>
      </c>
      <c r="E41" s="255">
        <v>700</v>
      </c>
      <c r="F41" s="255">
        <v>600</v>
      </c>
      <c r="G41" s="255">
        <v>0</v>
      </c>
      <c r="H41" s="256">
        <f t="shared" ref="H41:H42" si="1">(E41+F41)/2</f>
        <v>650</v>
      </c>
    </row>
    <row r="42" spans="1:8" x14ac:dyDescent="0.2">
      <c r="A42" s="271">
        <v>44</v>
      </c>
      <c r="B42" s="266" t="s">
        <v>125</v>
      </c>
      <c r="C42" s="264">
        <v>4</v>
      </c>
      <c r="D42" s="267" t="s">
        <v>98</v>
      </c>
      <c r="E42" s="255">
        <v>110000</v>
      </c>
      <c r="F42" s="255">
        <v>120000</v>
      </c>
      <c r="G42" s="255">
        <v>0</v>
      </c>
      <c r="H42" s="256">
        <f t="shared" si="1"/>
        <v>115000</v>
      </c>
    </row>
    <row r="44" spans="1:8" ht="15" thickBot="1" x14ac:dyDescent="0.25"/>
    <row r="45" spans="1:8" ht="15.75" thickBot="1" x14ac:dyDescent="0.3">
      <c r="A45" s="558" t="s">
        <v>421</v>
      </c>
      <c r="B45" s="566"/>
      <c r="C45" s="566"/>
      <c r="D45" s="566"/>
      <c r="E45" s="566"/>
      <c r="F45" s="566"/>
      <c r="G45" s="566"/>
      <c r="H45" s="567"/>
    </row>
    <row r="46" spans="1:8" ht="25.5" x14ac:dyDescent="0.2">
      <c r="A46" s="568" t="s">
        <v>405</v>
      </c>
      <c r="B46" s="568"/>
      <c r="C46" s="568"/>
      <c r="D46" s="568"/>
      <c r="E46" s="250" t="s">
        <v>422</v>
      </c>
      <c r="F46" s="250" t="s">
        <v>423</v>
      </c>
      <c r="G46" s="250" t="s">
        <v>424</v>
      </c>
      <c r="H46" s="569" t="s">
        <v>425</v>
      </c>
    </row>
    <row r="47" spans="1:8" ht="22.5" x14ac:dyDescent="0.2">
      <c r="A47" s="251" t="s">
        <v>410</v>
      </c>
      <c r="B47" s="252" t="s">
        <v>337</v>
      </c>
      <c r="C47" s="251" t="s">
        <v>3</v>
      </c>
      <c r="D47" s="251" t="s">
        <v>19</v>
      </c>
      <c r="E47" s="251" t="s">
        <v>315</v>
      </c>
      <c r="F47" s="251" t="s">
        <v>315</v>
      </c>
      <c r="G47" s="251" t="s">
        <v>315</v>
      </c>
      <c r="H47" s="570"/>
    </row>
    <row r="48" spans="1:8" x14ac:dyDescent="0.2">
      <c r="A48" s="253">
        <v>45</v>
      </c>
      <c r="B48" s="257" t="s">
        <v>96</v>
      </c>
      <c r="C48" s="417">
        <v>40</v>
      </c>
      <c r="D48" s="48" t="s">
        <v>100</v>
      </c>
      <c r="E48" s="255">
        <v>12000</v>
      </c>
      <c r="F48" s="269">
        <v>9000</v>
      </c>
      <c r="G48" s="269">
        <v>0</v>
      </c>
      <c r="H48" s="270">
        <f>(E48+F48)/2</f>
        <v>10500</v>
      </c>
    </row>
    <row r="49" spans="1:8" x14ac:dyDescent="0.2">
      <c r="A49" s="253">
        <v>46</v>
      </c>
      <c r="B49" s="257" t="s">
        <v>109</v>
      </c>
      <c r="C49" s="417">
        <v>80</v>
      </c>
      <c r="D49" s="48" t="s">
        <v>100</v>
      </c>
      <c r="E49" s="255">
        <v>13000</v>
      </c>
      <c r="F49" s="269">
        <v>10000</v>
      </c>
      <c r="G49" s="269">
        <v>0</v>
      </c>
      <c r="H49" s="270">
        <f t="shared" ref="H49:H54" si="2">(E49+F49)/2</f>
        <v>11500</v>
      </c>
    </row>
    <row r="50" spans="1:8" x14ac:dyDescent="0.2">
      <c r="A50" s="253">
        <v>47</v>
      </c>
      <c r="B50" s="257" t="s">
        <v>97</v>
      </c>
      <c r="C50" s="417">
        <v>80</v>
      </c>
      <c r="D50" s="48" t="s">
        <v>98</v>
      </c>
      <c r="E50" s="255">
        <v>9000</v>
      </c>
      <c r="F50" s="269">
        <v>7000</v>
      </c>
      <c r="G50" s="269">
        <v>0</v>
      </c>
      <c r="H50" s="270">
        <f t="shared" si="2"/>
        <v>8000</v>
      </c>
    </row>
    <row r="51" spans="1:8" x14ac:dyDescent="0.2">
      <c r="A51" s="253">
        <v>48</v>
      </c>
      <c r="B51" s="257" t="s">
        <v>522</v>
      </c>
      <c r="C51" s="37">
        <v>8</v>
      </c>
      <c r="D51" s="48" t="s">
        <v>98</v>
      </c>
      <c r="E51" s="255">
        <v>68000</v>
      </c>
      <c r="F51" s="269">
        <v>60000</v>
      </c>
      <c r="G51" s="269">
        <v>0</v>
      </c>
      <c r="H51" s="270">
        <f t="shared" si="2"/>
        <v>64000</v>
      </c>
    </row>
    <row r="52" spans="1:8" x14ac:dyDescent="0.2">
      <c r="A52" s="253">
        <v>49</v>
      </c>
      <c r="B52" s="257" t="s">
        <v>523</v>
      </c>
      <c r="C52" s="37">
        <v>8</v>
      </c>
      <c r="D52" s="48" t="s">
        <v>33</v>
      </c>
      <c r="E52" s="255">
        <v>13000</v>
      </c>
      <c r="F52" s="269">
        <v>10000</v>
      </c>
      <c r="G52" s="269">
        <v>0</v>
      </c>
      <c r="H52" s="270">
        <f t="shared" si="2"/>
        <v>11500</v>
      </c>
    </row>
    <row r="53" spans="1:8" x14ac:dyDescent="0.2">
      <c r="A53" s="253">
        <v>50</v>
      </c>
      <c r="B53" s="257" t="s">
        <v>99</v>
      </c>
      <c r="C53" s="37">
        <v>8</v>
      </c>
      <c r="D53" s="48" t="s">
        <v>33</v>
      </c>
      <c r="E53" s="255">
        <v>9000</v>
      </c>
      <c r="F53" s="269">
        <v>7000</v>
      </c>
      <c r="G53" s="269">
        <v>0</v>
      </c>
      <c r="H53" s="270">
        <f t="shared" si="2"/>
        <v>8000</v>
      </c>
    </row>
    <row r="54" spans="1:8" ht="57.75" customHeight="1" x14ac:dyDescent="0.2">
      <c r="A54" s="271">
        <v>51</v>
      </c>
      <c r="B54" s="84" t="s">
        <v>524</v>
      </c>
      <c r="C54" s="48">
        <v>4</v>
      </c>
      <c r="D54" s="48" t="s">
        <v>426</v>
      </c>
      <c r="E54" s="255">
        <v>7000</v>
      </c>
      <c r="F54" s="269">
        <v>6000</v>
      </c>
      <c r="G54" s="269">
        <v>0</v>
      </c>
      <c r="H54" s="270">
        <f t="shared" si="2"/>
        <v>6500</v>
      </c>
    </row>
    <row r="55" spans="1:8" x14ac:dyDescent="0.2">
      <c r="A55" s="272"/>
      <c r="B55" s="273"/>
      <c r="C55" s="40"/>
      <c r="D55" s="60"/>
      <c r="E55" s="274"/>
      <c r="F55" s="274"/>
      <c r="G55" s="274"/>
      <c r="H55" s="274"/>
    </row>
    <row r="56" spans="1:8" ht="25.5" customHeight="1" thickBot="1" x14ac:dyDescent="0.25">
      <c r="A56" s="272"/>
      <c r="B56" s="273"/>
      <c r="C56" s="40"/>
      <c r="D56" s="60"/>
      <c r="E56" s="274"/>
      <c r="F56" s="274"/>
      <c r="G56" s="274"/>
      <c r="H56" s="274"/>
    </row>
    <row r="57" spans="1:8" ht="15.75" thickBot="1" x14ac:dyDescent="0.3">
      <c r="A57" s="558" t="s">
        <v>427</v>
      </c>
      <c r="B57" s="566"/>
      <c r="C57" s="566"/>
      <c r="D57" s="566"/>
      <c r="E57" s="566"/>
      <c r="F57" s="566"/>
      <c r="G57" s="566"/>
      <c r="H57" s="567"/>
    </row>
    <row r="58" spans="1:8" ht="25.5" x14ac:dyDescent="0.2">
      <c r="A58" s="561" t="s">
        <v>405</v>
      </c>
      <c r="B58" s="562"/>
      <c r="C58" s="562"/>
      <c r="D58" s="563"/>
      <c r="E58" s="250" t="s">
        <v>406</v>
      </c>
      <c r="F58" s="250" t="s">
        <v>407</v>
      </c>
      <c r="G58" s="250" t="s">
        <v>408</v>
      </c>
      <c r="H58" s="569" t="s">
        <v>425</v>
      </c>
    </row>
    <row r="59" spans="1:8" ht="22.5" x14ac:dyDescent="0.2">
      <c r="A59" s="251" t="s">
        <v>410</v>
      </c>
      <c r="B59" s="252" t="s">
        <v>337</v>
      </c>
      <c r="C59" s="251" t="s">
        <v>3</v>
      </c>
      <c r="D59" s="251" t="s">
        <v>19</v>
      </c>
      <c r="E59" s="251" t="s">
        <v>315</v>
      </c>
      <c r="F59" s="251" t="s">
        <v>315</v>
      </c>
      <c r="G59" s="251" t="s">
        <v>315</v>
      </c>
      <c r="H59" s="570"/>
    </row>
    <row r="60" spans="1:8" x14ac:dyDescent="0.2">
      <c r="A60" s="253">
        <v>35</v>
      </c>
      <c r="B60" s="266" t="s">
        <v>43</v>
      </c>
      <c r="C60" s="264">
        <v>48</v>
      </c>
      <c r="D60" s="267" t="s">
        <v>30</v>
      </c>
      <c r="E60" s="255">
        <v>0</v>
      </c>
      <c r="F60" s="255">
        <v>105000</v>
      </c>
      <c r="G60" s="255">
        <v>110000</v>
      </c>
      <c r="H60" s="256">
        <f>+'RESUMEN INSUMOS'!F45</f>
        <v>105000</v>
      </c>
    </row>
    <row r="61" spans="1:8" x14ac:dyDescent="0.2">
      <c r="A61" s="253">
        <v>40</v>
      </c>
      <c r="B61" s="275" t="s">
        <v>149</v>
      </c>
      <c r="C61" s="264">
        <v>40</v>
      </c>
      <c r="D61" s="267" t="s">
        <v>147</v>
      </c>
      <c r="E61" s="255">
        <v>10000</v>
      </c>
      <c r="F61" s="255">
        <v>10000</v>
      </c>
      <c r="G61" s="255">
        <v>0</v>
      </c>
      <c r="H61" s="256">
        <f>(E61+F61)/2</f>
        <v>10000</v>
      </c>
    </row>
    <row r="63" spans="1:8" ht="15" thickBot="1" x14ac:dyDescent="0.25"/>
    <row r="64" spans="1:8" ht="15.75" thickBot="1" x14ac:dyDescent="0.3">
      <c r="A64" s="558" t="s">
        <v>428</v>
      </c>
      <c r="B64" s="566"/>
      <c r="C64" s="566"/>
      <c r="D64" s="566"/>
      <c r="E64" s="566"/>
      <c r="F64" s="566"/>
      <c r="G64" s="566"/>
      <c r="H64" s="567"/>
    </row>
    <row r="65" spans="1:10" x14ac:dyDescent="0.2">
      <c r="A65" s="561" t="s">
        <v>405</v>
      </c>
      <c r="B65" s="562"/>
      <c r="C65" s="562"/>
      <c r="D65" s="563"/>
      <c r="E65" s="250" t="s">
        <v>429</v>
      </c>
      <c r="F65" s="250" t="s">
        <v>430</v>
      </c>
      <c r="G65" s="250" t="s">
        <v>431</v>
      </c>
      <c r="H65" s="569" t="s">
        <v>425</v>
      </c>
    </row>
    <row r="66" spans="1:10" ht="22.5" x14ac:dyDescent="0.2">
      <c r="A66" s="251" t="s">
        <v>410</v>
      </c>
      <c r="B66" s="252" t="s">
        <v>337</v>
      </c>
      <c r="C66" s="251" t="s">
        <v>3</v>
      </c>
      <c r="D66" s="251" t="s">
        <v>19</v>
      </c>
      <c r="E66" s="251" t="s">
        <v>315</v>
      </c>
      <c r="F66" s="251" t="s">
        <v>315</v>
      </c>
      <c r="G66" s="251" t="s">
        <v>315</v>
      </c>
      <c r="H66" s="570"/>
    </row>
    <row r="67" spans="1:10" x14ac:dyDescent="0.2">
      <c r="A67" s="253">
        <v>37</v>
      </c>
      <c r="B67" s="266" t="s">
        <v>118</v>
      </c>
      <c r="C67" s="264">
        <v>200</v>
      </c>
      <c r="D67" s="267" t="s">
        <v>28</v>
      </c>
      <c r="E67" s="255">
        <v>0</v>
      </c>
      <c r="F67" s="255">
        <v>0</v>
      </c>
      <c r="G67" s="255">
        <v>7500</v>
      </c>
      <c r="H67" s="255">
        <f>G67</f>
        <v>7500</v>
      </c>
    </row>
    <row r="68" spans="1:10" ht="28.5" x14ac:dyDescent="0.2">
      <c r="A68" s="476">
        <v>38</v>
      </c>
      <c r="B68" s="477" t="s">
        <v>135</v>
      </c>
      <c r="C68" s="478">
        <v>360</v>
      </c>
      <c r="D68" s="479" t="s">
        <v>572</v>
      </c>
      <c r="E68" s="480">
        <v>0</v>
      </c>
      <c r="F68" s="480">
        <v>0</v>
      </c>
      <c r="G68" s="480">
        <v>3000</v>
      </c>
      <c r="H68" s="480">
        <f t="shared" ref="H68:H69" si="3">G68</f>
        <v>3000</v>
      </c>
      <c r="I68" s="481"/>
      <c r="J68" s="481"/>
    </row>
    <row r="69" spans="1:10" ht="28.5" x14ac:dyDescent="0.2">
      <c r="A69" s="476">
        <v>39</v>
      </c>
      <c r="B69" s="477" t="s">
        <v>144</v>
      </c>
      <c r="C69" s="478">
        <v>400</v>
      </c>
      <c r="D69" s="479" t="s">
        <v>572</v>
      </c>
      <c r="E69" s="480">
        <v>0</v>
      </c>
      <c r="F69" s="480">
        <v>0</v>
      </c>
      <c r="G69" s="480">
        <v>3200</v>
      </c>
      <c r="H69" s="480">
        <f t="shared" si="3"/>
        <v>3200</v>
      </c>
      <c r="I69" s="481"/>
      <c r="J69" s="481"/>
    </row>
    <row r="70" spans="1:10" ht="15" thickBot="1" x14ac:dyDescent="0.25"/>
    <row r="71" spans="1:10" ht="15.75" thickBot="1" x14ac:dyDescent="0.3">
      <c r="A71" s="558" t="s">
        <v>427</v>
      </c>
      <c r="B71" s="566"/>
      <c r="C71" s="566"/>
      <c r="D71" s="566"/>
      <c r="E71" s="566"/>
      <c r="F71" s="566"/>
      <c r="G71" s="566"/>
      <c r="H71" s="567"/>
    </row>
    <row r="72" spans="1:10" x14ac:dyDescent="0.2">
      <c r="A72" s="561" t="s">
        <v>405</v>
      </c>
      <c r="B72" s="562"/>
      <c r="C72" s="562"/>
      <c r="D72" s="563"/>
      <c r="E72" s="250" t="s">
        <v>432</v>
      </c>
      <c r="F72" s="250" t="s">
        <v>407</v>
      </c>
      <c r="G72" s="250" t="s">
        <v>433</v>
      </c>
      <c r="H72" s="569" t="s">
        <v>425</v>
      </c>
    </row>
    <row r="73" spans="1:10" ht="22.5" x14ac:dyDescent="0.2">
      <c r="A73" s="251" t="s">
        <v>410</v>
      </c>
      <c r="B73" s="252" t="s">
        <v>337</v>
      </c>
      <c r="C73" s="251" t="s">
        <v>3</v>
      </c>
      <c r="D73" s="251" t="s">
        <v>19</v>
      </c>
      <c r="E73" s="251" t="s">
        <v>315</v>
      </c>
      <c r="F73" s="251" t="s">
        <v>315</v>
      </c>
      <c r="G73" s="251" t="s">
        <v>315</v>
      </c>
      <c r="H73" s="570"/>
    </row>
    <row r="74" spans="1:10" x14ac:dyDescent="0.2">
      <c r="A74" s="271">
        <v>36</v>
      </c>
      <c r="B74" s="266" t="s">
        <v>94</v>
      </c>
      <c r="C74" s="264">
        <v>4</v>
      </c>
      <c r="D74" s="267" t="s">
        <v>33</v>
      </c>
      <c r="E74" s="255">
        <v>404000</v>
      </c>
      <c r="F74" s="255">
        <v>435000</v>
      </c>
      <c r="G74" s="255">
        <v>0</v>
      </c>
      <c r="H74" s="270">
        <f>(E74+F74)/2</f>
        <v>419500</v>
      </c>
    </row>
  </sheetData>
  <mergeCells count="16">
    <mergeCell ref="A46:D46"/>
    <mergeCell ref="H46:H47"/>
    <mergeCell ref="A71:H71"/>
    <mergeCell ref="A72:D72"/>
    <mergeCell ref="H72:H73"/>
    <mergeCell ref="A57:H57"/>
    <mergeCell ref="A58:D58"/>
    <mergeCell ref="H58:H59"/>
    <mergeCell ref="A64:H64"/>
    <mergeCell ref="A65:D65"/>
    <mergeCell ref="H65:H66"/>
    <mergeCell ref="A1:H1"/>
    <mergeCell ref="A2:H2"/>
    <mergeCell ref="A3:D3"/>
    <mergeCell ref="H3:H4"/>
    <mergeCell ref="A45:H45"/>
  </mergeCells>
  <pageMargins left="0.7" right="0.7" top="0.75" bottom="0.75" header="0.3" footer="0.3"/>
  <pageSetup paperSize="9" orientation="portrait" r:id="rId1"/>
  <ignoredErrors>
    <ignoredError sqref="H18 H22" 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74"/>
  <sheetViews>
    <sheetView topLeftCell="A43" workbookViewId="0">
      <selection activeCell="D50" sqref="D50"/>
    </sheetView>
  </sheetViews>
  <sheetFormatPr baseColWidth="10" defaultRowHeight="15" x14ac:dyDescent="0.25"/>
  <cols>
    <col min="2" max="2" width="41" customWidth="1"/>
    <col min="3" max="3" width="21.85546875" customWidth="1"/>
    <col min="4" max="4" width="20.5703125" customWidth="1"/>
    <col min="5" max="5" width="13.85546875" customWidth="1"/>
    <col min="6" max="6" width="19.42578125" customWidth="1"/>
    <col min="7" max="7" width="17.85546875" customWidth="1"/>
    <col min="8" max="8" width="19.140625" customWidth="1"/>
    <col min="13" max="13" width="14.7109375" customWidth="1"/>
  </cols>
  <sheetData>
    <row r="3" spans="2:7" ht="15" customHeight="1" x14ac:dyDescent="0.25">
      <c r="B3" s="61"/>
      <c r="C3" s="120" t="s">
        <v>51</v>
      </c>
      <c r="D3" s="121"/>
      <c r="E3" s="121"/>
      <c r="F3" s="121"/>
      <c r="G3" s="44"/>
    </row>
    <row r="4" spans="2:7" ht="30" x14ac:dyDescent="0.25">
      <c r="B4" s="39" t="s">
        <v>395</v>
      </c>
      <c r="C4" s="39" t="s">
        <v>45</v>
      </c>
      <c r="D4" s="48" t="s">
        <v>30</v>
      </c>
      <c r="E4" s="37">
        <v>424</v>
      </c>
      <c r="F4" s="46">
        <f>+'Cuadro comparativo precios'!H5</f>
        <v>41500</v>
      </c>
      <c r="G4" s="43">
        <f>(F4*E4)</f>
        <v>17596000</v>
      </c>
    </row>
    <row r="5" spans="2:7" ht="30" x14ac:dyDescent="0.25">
      <c r="B5" s="39" t="s">
        <v>276</v>
      </c>
      <c r="C5" s="39" t="s">
        <v>46</v>
      </c>
      <c r="D5" s="48" t="s">
        <v>30</v>
      </c>
      <c r="E5" s="37">
        <v>28</v>
      </c>
      <c r="F5" s="46">
        <f>+'Cuadro comparativo precios'!H6</f>
        <v>146000</v>
      </c>
      <c r="G5" s="43">
        <f t="shared" ref="G5:G12" si="0">(F5*E5)</f>
        <v>4088000</v>
      </c>
    </row>
    <row r="6" spans="2:7" ht="30" x14ac:dyDescent="0.25">
      <c r="B6" s="39" t="s">
        <v>66</v>
      </c>
      <c r="C6" s="39" t="s">
        <v>67</v>
      </c>
      <c r="D6" s="48" t="s">
        <v>30</v>
      </c>
      <c r="E6" s="37">
        <v>28</v>
      </c>
      <c r="F6" s="46">
        <f>+'Cuadro comparativo precios'!H7</f>
        <v>127000</v>
      </c>
      <c r="G6" s="43">
        <f t="shared" si="0"/>
        <v>3556000</v>
      </c>
    </row>
    <row r="7" spans="2:7" x14ac:dyDescent="0.25">
      <c r="B7" s="39" t="s">
        <v>48</v>
      </c>
      <c r="C7" s="39" t="s">
        <v>47</v>
      </c>
      <c r="D7" s="48" t="s">
        <v>30</v>
      </c>
      <c r="E7" s="37">
        <v>24</v>
      </c>
      <c r="F7" s="46">
        <f>+'Cuadro comparativo precios'!H8</f>
        <v>94000</v>
      </c>
      <c r="G7" s="43">
        <f t="shared" si="0"/>
        <v>2256000</v>
      </c>
    </row>
    <row r="8" spans="2:7" x14ac:dyDescent="0.25">
      <c r="B8" s="48" t="s">
        <v>49</v>
      </c>
      <c r="C8" s="55"/>
      <c r="D8" s="48" t="s">
        <v>30</v>
      </c>
      <c r="E8" s="37">
        <v>240</v>
      </c>
      <c r="F8" s="46">
        <f>+'Cuadro comparativo precios'!H9</f>
        <v>20333.333333333332</v>
      </c>
      <c r="G8" s="43">
        <f t="shared" si="0"/>
        <v>4880000</v>
      </c>
    </row>
    <row r="9" spans="2:7" x14ac:dyDescent="0.25">
      <c r="B9" s="39" t="s">
        <v>110</v>
      </c>
      <c r="C9" s="39" t="s">
        <v>31</v>
      </c>
      <c r="D9" s="48" t="s">
        <v>30</v>
      </c>
      <c r="E9" s="37">
        <v>28</v>
      </c>
      <c r="F9" s="46">
        <f>+'Cuadro comparativo precios'!H10</f>
        <v>167000</v>
      </c>
      <c r="G9" s="43">
        <f t="shared" si="0"/>
        <v>4676000</v>
      </c>
    </row>
    <row r="10" spans="2:7" x14ac:dyDescent="0.25">
      <c r="B10" s="39" t="s">
        <v>112</v>
      </c>
      <c r="C10" s="39" t="s">
        <v>32</v>
      </c>
      <c r="D10" s="48" t="s">
        <v>30</v>
      </c>
      <c r="E10" s="37">
        <v>32</v>
      </c>
      <c r="F10" s="46">
        <f>+'Cuadro comparativo precios'!H11</f>
        <v>161000</v>
      </c>
      <c r="G10" s="43">
        <f t="shared" si="0"/>
        <v>5152000</v>
      </c>
    </row>
    <row r="11" spans="2:7" x14ac:dyDescent="0.25">
      <c r="B11" s="39" t="s">
        <v>111</v>
      </c>
      <c r="C11" s="39" t="s">
        <v>277</v>
      </c>
      <c r="D11" s="48" t="s">
        <v>30</v>
      </c>
      <c r="E11" s="37">
        <v>24</v>
      </c>
      <c r="F11" s="46">
        <f>+'Cuadro comparativo precios'!H12</f>
        <v>151000</v>
      </c>
      <c r="G11" s="43">
        <f t="shared" si="0"/>
        <v>3624000</v>
      </c>
    </row>
    <row r="12" spans="2:7" x14ac:dyDescent="0.25">
      <c r="B12" s="39" t="s">
        <v>120</v>
      </c>
      <c r="C12" s="39" t="s">
        <v>119</v>
      </c>
      <c r="D12" s="48" t="s">
        <v>30</v>
      </c>
      <c r="E12" s="37">
        <v>12</v>
      </c>
      <c r="F12" s="46">
        <f>+'Cuadro comparativo precios'!H13</f>
        <v>95000</v>
      </c>
      <c r="G12" s="43">
        <f t="shared" si="0"/>
        <v>1140000</v>
      </c>
    </row>
    <row r="13" spans="2:7" x14ac:dyDescent="0.25">
      <c r="B13" s="62"/>
      <c r="C13" s="571" t="s">
        <v>50</v>
      </c>
      <c r="D13" s="572"/>
      <c r="E13" s="572"/>
      <c r="F13" s="572"/>
      <c r="G13" s="41"/>
    </row>
    <row r="14" spans="2:7" ht="30" x14ac:dyDescent="0.25">
      <c r="B14" s="39" t="s">
        <v>68</v>
      </c>
      <c r="C14" s="39" t="s">
        <v>69</v>
      </c>
      <c r="D14" s="116" t="s">
        <v>28</v>
      </c>
      <c r="E14" s="37">
        <v>104</v>
      </c>
      <c r="F14" s="43">
        <f>+'Cuadro comparativo precios'!H14</f>
        <v>18500</v>
      </c>
      <c r="G14" s="43">
        <f>(F14*E14)</f>
        <v>1924000</v>
      </c>
    </row>
    <row r="15" spans="2:7" x14ac:dyDescent="0.25">
      <c r="B15" s="39" t="s">
        <v>70</v>
      </c>
      <c r="C15" s="39" t="s">
        <v>71</v>
      </c>
      <c r="D15" s="116" t="s">
        <v>28</v>
      </c>
      <c r="E15" s="37">
        <v>32</v>
      </c>
      <c r="F15" s="43">
        <f>+'Cuadro comparativo precios'!H15</f>
        <v>12000</v>
      </c>
      <c r="G15" s="43">
        <f>(F15*E15)</f>
        <v>384000</v>
      </c>
    </row>
    <row r="16" spans="2:7" x14ac:dyDescent="0.25">
      <c r="B16" s="39" t="s">
        <v>72</v>
      </c>
      <c r="C16" s="39" t="s">
        <v>73</v>
      </c>
      <c r="D16" s="116" t="s">
        <v>28</v>
      </c>
      <c r="E16" s="37">
        <v>52</v>
      </c>
      <c r="F16" s="43">
        <f>+'Cuadro comparativo precios'!H16</f>
        <v>41000</v>
      </c>
      <c r="G16" s="43">
        <f>(F16*E16)</f>
        <v>2132000</v>
      </c>
    </row>
    <row r="17" spans="2:7" x14ac:dyDescent="0.25">
      <c r="B17" s="39" t="s">
        <v>74</v>
      </c>
      <c r="C17" s="39" t="s">
        <v>75</v>
      </c>
      <c r="D17" s="116" t="s">
        <v>28</v>
      </c>
      <c r="E17" s="37">
        <v>52</v>
      </c>
      <c r="F17" s="43">
        <f>+'Cuadro comparativo precios'!H17</f>
        <v>21000</v>
      </c>
      <c r="G17" s="43">
        <f>(F17*E17)</f>
        <v>1092000</v>
      </c>
    </row>
    <row r="18" spans="2:7" x14ac:dyDescent="0.25">
      <c r="B18" s="62"/>
      <c r="C18" s="571" t="s">
        <v>64</v>
      </c>
      <c r="D18" s="572"/>
      <c r="E18" s="572"/>
      <c r="F18" s="572"/>
      <c r="G18" s="41"/>
    </row>
    <row r="19" spans="2:7" x14ac:dyDescent="0.25">
      <c r="B19" s="39" t="s">
        <v>52</v>
      </c>
      <c r="C19" s="39" t="s">
        <v>278</v>
      </c>
      <c r="D19" s="116" t="s">
        <v>33</v>
      </c>
      <c r="E19" s="37">
        <v>8</v>
      </c>
      <c r="F19" s="46">
        <f>+'Cuadro comparativo precios'!H18</f>
        <v>51000</v>
      </c>
      <c r="G19" s="43">
        <f t="shared" ref="G19:G27" si="1">(F19*E19)</f>
        <v>408000</v>
      </c>
    </row>
    <row r="20" spans="2:7" x14ac:dyDescent="0.25">
      <c r="B20" s="39" t="s">
        <v>53</v>
      </c>
      <c r="C20" s="39" t="s">
        <v>54</v>
      </c>
      <c r="D20" s="116" t="s">
        <v>63</v>
      </c>
      <c r="E20" s="37">
        <v>8</v>
      </c>
      <c r="F20" s="46">
        <f>+'Cuadro comparativo precios'!H19</f>
        <v>248000</v>
      </c>
      <c r="G20" s="43">
        <f t="shared" si="1"/>
        <v>1984000</v>
      </c>
    </row>
    <row r="21" spans="2:7" x14ac:dyDescent="0.25">
      <c r="B21" s="39" t="s">
        <v>62</v>
      </c>
      <c r="C21" s="39" t="s">
        <v>55</v>
      </c>
      <c r="D21" s="116" t="s">
        <v>28</v>
      </c>
      <c r="E21" s="37">
        <v>72</v>
      </c>
      <c r="F21" s="46">
        <f>+'Cuadro comparativo precios'!H20</f>
        <v>25000</v>
      </c>
      <c r="G21" s="43">
        <f t="shared" si="1"/>
        <v>1800000</v>
      </c>
    </row>
    <row r="22" spans="2:7" x14ac:dyDescent="0.25">
      <c r="B22" s="39" t="s">
        <v>56</v>
      </c>
      <c r="C22" s="39" t="s">
        <v>57</v>
      </c>
      <c r="D22" s="116" t="s">
        <v>28</v>
      </c>
      <c r="E22" s="37">
        <v>72</v>
      </c>
      <c r="F22" s="46">
        <f>+'Cuadro comparativo precios'!H21</f>
        <v>23666.666666666668</v>
      </c>
      <c r="G22" s="43">
        <f t="shared" si="1"/>
        <v>1704000</v>
      </c>
    </row>
    <row r="23" spans="2:7" x14ac:dyDescent="0.25">
      <c r="B23" s="39" t="s">
        <v>58</v>
      </c>
      <c r="C23" s="39" t="s">
        <v>59</v>
      </c>
      <c r="D23" s="116" t="s">
        <v>29</v>
      </c>
      <c r="E23" s="37">
        <v>24</v>
      </c>
      <c r="F23" s="46">
        <f>+'Cuadro comparativo precios'!H22</f>
        <v>129000</v>
      </c>
      <c r="G23" s="43">
        <f t="shared" si="1"/>
        <v>3096000</v>
      </c>
    </row>
    <row r="24" spans="2:7" x14ac:dyDescent="0.25">
      <c r="B24" s="39" t="s">
        <v>60</v>
      </c>
      <c r="C24" s="39" t="s">
        <v>61</v>
      </c>
      <c r="D24" s="116" t="s">
        <v>29</v>
      </c>
      <c r="E24" s="37">
        <v>8</v>
      </c>
      <c r="F24" s="46">
        <f>+'Cuadro comparativo precios'!H23</f>
        <v>164333.33333333334</v>
      </c>
      <c r="G24" s="43">
        <f t="shared" si="1"/>
        <v>1314666.6666666667</v>
      </c>
    </row>
    <row r="25" spans="2:7" x14ac:dyDescent="0.25">
      <c r="B25" s="39" t="s">
        <v>121</v>
      </c>
      <c r="C25" s="39" t="s">
        <v>122</v>
      </c>
      <c r="D25" s="116" t="s">
        <v>29</v>
      </c>
      <c r="E25" s="37">
        <v>60</v>
      </c>
      <c r="F25" s="46">
        <f>+'Cuadro comparativo precios'!H24</f>
        <v>43333.333333333336</v>
      </c>
      <c r="G25" s="43">
        <f t="shared" si="1"/>
        <v>2600000</v>
      </c>
    </row>
    <row r="26" spans="2:7" x14ac:dyDescent="0.25">
      <c r="B26" s="39" t="s">
        <v>123</v>
      </c>
      <c r="C26" s="39" t="s">
        <v>124</v>
      </c>
      <c r="D26" s="116" t="s">
        <v>29</v>
      </c>
      <c r="E26" s="37">
        <v>16</v>
      </c>
      <c r="F26" s="46">
        <f>+'Cuadro comparativo precios'!H25</f>
        <v>80000</v>
      </c>
      <c r="G26" s="43">
        <f t="shared" si="1"/>
        <v>1280000</v>
      </c>
    </row>
    <row r="27" spans="2:7" x14ac:dyDescent="0.25">
      <c r="B27" s="39" t="s">
        <v>137</v>
      </c>
      <c r="C27" s="39" t="s">
        <v>138</v>
      </c>
      <c r="D27" s="116" t="s">
        <v>28</v>
      </c>
      <c r="E27" s="37">
        <v>8</v>
      </c>
      <c r="F27" s="46">
        <f>+'Cuadro comparativo precios'!H26</f>
        <v>46333.333333333336</v>
      </c>
      <c r="G27" s="43">
        <f t="shared" si="1"/>
        <v>370666.66666666669</v>
      </c>
    </row>
    <row r="28" spans="2:7" x14ac:dyDescent="0.25">
      <c r="B28" s="62"/>
      <c r="C28" s="571" t="s">
        <v>65</v>
      </c>
      <c r="D28" s="572"/>
      <c r="E28" s="572"/>
      <c r="F28" s="572"/>
      <c r="G28" s="41"/>
    </row>
    <row r="29" spans="2:7" x14ac:dyDescent="0.25">
      <c r="B29" s="39" t="s">
        <v>76</v>
      </c>
      <c r="C29" s="418" t="s">
        <v>403</v>
      </c>
      <c r="D29" s="116" t="s">
        <v>29</v>
      </c>
      <c r="E29" s="37">
        <v>28</v>
      </c>
      <c r="F29" s="46">
        <f>+'Cuadro comparativo precios'!H27</f>
        <v>311666.66666666669</v>
      </c>
      <c r="G29" s="43">
        <f t="shared" ref="G29:G35" si="2">(F29*E29)</f>
        <v>8726666.6666666679</v>
      </c>
    </row>
    <row r="30" spans="2:7" x14ac:dyDescent="0.25">
      <c r="B30" s="39" t="s">
        <v>78</v>
      </c>
      <c r="C30" s="418" t="s">
        <v>401</v>
      </c>
      <c r="D30" s="116" t="s">
        <v>29</v>
      </c>
      <c r="E30" s="37">
        <v>28</v>
      </c>
      <c r="F30" s="46">
        <f>+'Cuadro comparativo precios'!H28</f>
        <v>401000</v>
      </c>
      <c r="G30" s="43">
        <f t="shared" si="2"/>
        <v>11228000</v>
      </c>
    </row>
    <row r="31" spans="2:7" x14ac:dyDescent="0.25">
      <c r="B31" s="39" t="s">
        <v>80</v>
      </c>
      <c r="C31" s="418" t="s">
        <v>402</v>
      </c>
      <c r="D31" s="116" t="s">
        <v>29</v>
      </c>
      <c r="E31" s="37">
        <v>4</v>
      </c>
      <c r="F31" s="46">
        <f>+'Cuadro comparativo precios'!H29</f>
        <v>668666.66666666663</v>
      </c>
      <c r="G31" s="43">
        <f t="shared" si="2"/>
        <v>2674666.6666666665</v>
      </c>
    </row>
    <row r="32" spans="2:7" x14ac:dyDescent="0.25">
      <c r="B32" s="64" t="s">
        <v>126</v>
      </c>
      <c r="C32" s="418" t="s">
        <v>402</v>
      </c>
      <c r="D32" s="116" t="s">
        <v>133</v>
      </c>
      <c r="E32" s="37">
        <v>4</v>
      </c>
      <c r="F32" s="46">
        <f>+'Cuadro comparativo precios'!H30</f>
        <v>147333.33333333334</v>
      </c>
      <c r="G32" s="43">
        <f t="shared" si="2"/>
        <v>589333.33333333337</v>
      </c>
    </row>
    <row r="33" spans="2:8" x14ac:dyDescent="0.25">
      <c r="B33" s="39" t="s">
        <v>127</v>
      </c>
      <c r="C33" s="418" t="s">
        <v>128</v>
      </c>
      <c r="D33" s="116" t="s">
        <v>133</v>
      </c>
      <c r="E33" s="37">
        <v>12</v>
      </c>
      <c r="F33" s="46">
        <f>+'Cuadro comparativo precios'!H31</f>
        <v>116000</v>
      </c>
      <c r="G33" s="43">
        <f t="shared" si="2"/>
        <v>1392000</v>
      </c>
    </row>
    <row r="34" spans="2:8" x14ac:dyDescent="0.25">
      <c r="B34" s="39" t="s">
        <v>129</v>
      </c>
      <c r="C34" s="39" t="s">
        <v>130</v>
      </c>
      <c r="D34" s="116" t="s">
        <v>29</v>
      </c>
      <c r="E34" s="37">
        <v>4</v>
      </c>
      <c r="F34" s="46">
        <f>+'Cuadro comparativo precios'!H32</f>
        <v>166666.66666666666</v>
      </c>
      <c r="G34" s="43">
        <f t="shared" si="2"/>
        <v>666666.66666666663</v>
      </c>
    </row>
    <row r="35" spans="2:8" x14ac:dyDescent="0.25">
      <c r="B35" s="39" t="s">
        <v>131</v>
      </c>
      <c r="C35" s="39" t="s">
        <v>132</v>
      </c>
      <c r="D35" s="65" t="s">
        <v>29</v>
      </c>
      <c r="E35" s="37">
        <v>4</v>
      </c>
      <c r="F35" s="46">
        <f>+'Cuadro comparativo precios'!H33</f>
        <v>181000</v>
      </c>
      <c r="G35" s="43">
        <f t="shared" si="2"/>
        <v>724000</v>
      </c>
    </row>
    <row r="36" spans="2:8" x14ac:dyDescent="0.25">
      <c r="B36" s="62"/>
      <c r="C36" s="571" t="s">
        <v>82</v>
      </c>
      <c r="D36" s="572"/>
      <c r="E36" s="572"/>
      <c r="F36" s="572"/>
      <c r="G36" s="41"/>
    </row>
    <row r="37" spans="2:8" x14ac:dyDescent="0.25">
      <c r="B37" s="53" t="s">
        <v>83</v>
      </c>
      <c r="C37" s="53" t="s">
        <v>84</v>
      </c>
      <c r="D37" s="116" t="s">
        <v>396</v>
      </c>
      <c r="E37" s="37">
        <v>24</v>
      </c>
      <c r="F37" s="46">
        <f>+'Cuadro comparativo precios'!H34</f>
        <v>72333.333333333328</v>
      </c>
      <c r="G37" s="43">
        <f>(F37*E37)</f>
        <v>1736000</v>
      </c>
    </row>
    <row r="38" spans="2:8" x14ac:dyDescent="0.25">
      <c r="B38" s="39" t="s">
        <v>85</v>
      </c>
      <c r="C38" s="39" t="s">
        <v>86</v>
      </c>
      <c r="D38" s="116" t="s">
        <v>147</v>
      </c>
      <c r="E38" s="37">
        <v>92</v>
      </c>
      <c r="F38" s="46">
        <f>+'Cuadro comparativo precios'!H35</f>
        <v>38333.333333333336</v>
      </c>
      <c r="G38" s="43">
        <f>(F38*E38)</f>
        <v>3526666.666666667</v>
      </c>
    </row>
    <row r="39" spans="2:8" x14ac:dyDescent="0.25">
      <c r="B39" s="39" t="s">
        <v>87</v>
      </c>
      <c r="C39" s="39" t="s">
        <v>88</v>
      </c>
      <c r="D39" s="116" t="s">
        <v>29</v>
      </c>
      <c r="E39" s="37">
        <v>104</v>
      </c>
      <c r="F39" s="46">
        <f>+'Cuadro comparativo precios'!H36</f>
        <v>33333.333333333336</v>
      </c>
      <c r="G39" s="43">
        <f>(F39*E39)</f>
        <v>3466666.666666667</v>
      </c>
    </row>
    <row r="40" spans="2:8" x14ac:dyDescent="0.25">
      <c r="B40" s="240" t="s">
        <v>398</v>
      </c>
      <c r="C40" s="418" t="s">
        <v>399</v>
      </c>
      <c r="D40" s="116" t="s">
        <v>29</v>
      </c>
      <c r="E40" s="37">
        <v>4</v>
      </c>
      <c r="F40" s="46">
        <f>+'Cuadro comparativo precios'!H37</f>
        <v>74000</v>
      </c>
      <c r="G40" s="43">
        <f>(F40*E40)</f>
        <v>296000</v>
      </c>
    </row>
    <row r="41" spans="2:8" ht="15" customHeight="1" x14ac:dyDescent="0.25">
      <c r="B41" s="53" t="s">
        <v>139</v>
      </c>
      <c r="C41" s="53" t="s">
        <v>140</v>
      </c>
      <c r="D41" s="116" t="s">
        <v>397</v>
      </c>
      <c r="E41" s="37">
        <v>12</v>
      </c>
      <c r="F41" s="46">
        <f>+'Cuadro comparativo precios'!H38</f>
        <v>9333.3333333333339</v>
      </c>
      <c r="G41" s="43">
        <f>(F41*E41)</f>
        <v>112000</v>
      </c>
    </row>
    <row r="42" spans="2:8" x14ac:dyDescent="0.25">
      <c r="B42" s="127" t="s">
        <v>6</v>
      </c>
      <c r="C42" s="128"/>
      <c r="D42" s="128"/>
      <c r="E42" s="131">
        <f>SUM(E37:E41,E29:E35,E19:E27,E14:E17,E4:E12)</f>
        <v>1676</v>
      </c>
      <c r="F42" s="129">
        <f>SUM(F37:F41,F29:F35,F19:F27,F14:F17,F4:F12)</f>
        <v>4125666.666666667</v>
      </c>
      <c r="G42" s="129">
        <f>SUM(G37:G41,G29:G35,G19:G27,G14:G17,G4:G12)</f>
        <v>102196000</v>
      </c>
    </row>
    <row r="44" spans="2:8" x14ac:dyDescent="0.25">
      <c r="B44" s="62"/>
      <c r="C44" s="571" t="s">
        <v>279</v>
      </c>
      <c r="D44" s="572"/>
      <c r="E44" s="572"/>
      <c r="F44" s="572"/>
      <c r="G44" s="122"/>
      <c r="H44" s="125"/>
    </row>
    <row r="45" spans="2:8" ht="29.25" x14ac:dyDescent="0.25">
      <c r="B45" s="48" t="s">
        <v>43</v>
      </c>
      <c r="C45" s="55" t="s">
        <v>44</v>
      </c>
      <c r="D45" s="48" t="s">
        <v>30</v>
      </c>
      <c r="E45" s="37">
        <v>48</v>
      </c>
      <c r="F45" s="46">
        <v>105000</v>
      </c>
      <c r="G45" s="123">
        <f t="shared" ref="G45:G50" si="3">(F45*E45)</f>
        <v>5040000</v>
      </c>
      <c r="H45" s="126"/>
    </row>
    <row r="46" spans="2:8" ht="33.75" customHeight="1" x14ac:dyDescent="0.25">
      <c r="B46" s="48" t="s">
        <v>94</v>
      </c>
      <c r="C46" s="55" t="s">
        <v>400</v>
      </c>
      <c r="D46" s="48" t="s">
        <v>33</v>
      </c>
      <c r="E46" s="37">
        <v>4</v>
      </c>
      <c r="F46" s="43">
        <f>+'Cuadro comparativo precios'!H74</f>
        <v>419500</v>
      </c>
      <c r="G46" s="123">
        <f t="shared" si="3"/>
        <v>1678000</v>
      </c>
      <c r="H46" s="125"/>
    </row>
    <row r="47" spans="2:8" ht="43.5" x14ac:dyDescent="0.25">
      <c r="B47" s="48" t="s">
        <v>118</v>
      </c>
      <c r="C47" s="55" t="s">
        <v>145</v>
      </c>
      <c r="D47" s="48" t="s">
        <v>28</v>
      </c>
      <c r="E47" s="37">
        <v>200</v>
      </c>
      <c r="F47" s="43">
        <f>+'Cuadro comparativo precios'!H67</f>
        <v>7500</v>
      </c>
      <c r="G47" s="123">
        <f t="shared" si="3"/>
        <v>1500000</v>
      </c>
      <c r="H47" s="125"/>
    </row>
    <row r="48" spans="2:8" ht="28.5" x14ac:dyDescent="0.25">
      <c r="B48" s="482" t="s">
        <v>135</v>
      </c>
      <c r="C48" s="482" t="s">
        <v>136</v>
      </c>
      <c r="D48" s="479" t="s">
        <v>573</v>
      </c>
      <c r="E48" s="478">
        <f>+'Cuadro comparativo precios'!C68</f>
        <v>360</v>
      </c>
      <c r="F48" s="483">
        <f>+'Cuadro comparativo precios'!H68</f>
        <v>3000</v>
      </c>
      <c r="G48" s="484">
        <f t="shared" si="3"/>
        <v>1080000</v>
      </c>
      <c r="H48" s="126">
        <f>+E48*'Cuadro comparativo precios'!J68</f>
        <v>0</v>
      </c>
    </row>
    <row r="49" spans="2:13" ht="28.5" x14ac:dyDescent="0.25">
      <c r="B49" s="482" t="s">
        <v>144</v>
      </c>
      <c r="C49" s="482" t="s">
        <v>146</v>
      </c>
      <c r="D49" s="479" t="s">
        <v>572</v>
      </c>
      <c r="E49" s="478">
        <f>+'Cuadro comparativo precios'!C69</f>
        <v>400</v>
      </c>
      <c r="F49" s="483">
        <f>+'Cuadro comparativo precios'!H69</f>
        <v>3200</v>
      </c>
      <c r="G49" s="484">
        <f t="shared" si="3"/>
        <v>1280000</v>
      </c>
      <c r="H49" s="126">
        <f>+E49*'Cuadro comparativo precios'!J69</f>
        <v>0</v>
      </c>
    </row>
    <row r="50" spans="2:13" ht="28.5" x14ac:dyDescent="0.25">
      <c r="B50" s="66" t="s">
        <v>149</v>
      </c>
      <c r="C50" s="66" t="s">
        <v>148</v>
      </c>
      <c r="D50" s="48" t="s">
        <v>147</v>
      </c>
      <c r="E50" s="37">
        <v>40</v>
      </c>
      <c r="F50" s="43">
        <f>+'Cuadro comparativo precios'!H61</f>
        <v>10000</v>
      </c>
      <c r="G50" s="123">
        <f t="shared" si="3"/>
        <v>400000</v>
      </c>
      <c r="H50" s="125"/>
    </row>
    <row r="51" spans="2:13" x14ac:dyDescent="0.25">
      <c r="B51" s="127" t="s">
        <v>6</v>
      </c>
      <c r="C51" s="128"/>
      <c r="D51" s="128"/>
      <c r="E51" s="130">
        <f>SUM(E45:E50)</f>
        <v>1052</v>
      </c>
      <c r="F51" s="129">
        <f>SUM(F45:F50)</f>
        <v>548200</v>
      </c>
      <c r="G51" s="129">
        <f>SUM(G45:G50)</f>
        <v>10978000</v>
      </c>
    </row>
    <row r="54" spans="2:13" x14ac:dyDescent="0.25">
      <c r="B54" s="62"/>
      <c r="C54" s="571" t="s">
        <v>22</v>
      </c>
      <c r="D54" s="572"/>
      <c r="E54" s="572"/>
      <c r="F54" s="572"/>
      <c r="G54" s="41"/>
      <c r="H54" s="132"/>
    </row>
    <row r="55" spans="2:13" x14ac:dyDescent="0.25">
      <c r="B55" s="48" t="s">
        <v>34</v>
      </c>
      <c r="C55" s="55" t="s">
        <v>90</v>
      </c>
      <c r="D55" s="48" t="s">
        <v>35</v>
      </c>
      <c r="E55" s="37">
        <v>20</v>
      </c>
      <c r="F55" s="46">
        <f>+'Cuadro comparativo precios'!H39</f>
        <v>316666.66666666669</v>
      </c>
      <c r="G55" s="43">
        <f>(F55*E55)</f>
        <v>6333333.333333334</v>
      </c>
      <c r="H55" s="124"/>
    </row>
    <row r="56" spans="2:13" x14ac:dyDescent="0.25">
      <c r="B56" s="48" t="s">
        <v>36</v>
      </c>
      <c r="C56" s="55"/>
      <c r="D56" s="48" t="s">
        <v>37</v>
      </c>
      <c r="E56" s="37">
        <v>36</v>
      </c>
      <c r="F56" s="46">
        <f>+'Cuadro comparativo precios'!H40</f>
        <v>130000</v>
      </c>
      <c r="G56" s="43">
        <f>(F56*E56)</f>
        <v>4680000</v>
      </c>
      <c r="H56" s="124"/>
    </row>
    <row r="57" spans="2:13" x14ac:dyDescent="0.25">
      <c r="B57" s="48" t="s">
        <v>38</v>
      </c>
      <c r="C57" s="55"/>
      <c r="D57" s="48" t="s">
        <v>39</v>
      </c>
      <c r="E57" s="37">
        <v>4800</v>
      </c>
      <c r="F57" s="46">
        <f>+'Cuadro comparativo precios'!H41</f>
        <v>650</v>
      </c>
      <c r="G57" s="43">
        <f>(F57*E57)</f>
        <v>3120000</v>
      </c>
      <c r="H57" s="124"/>
    </row>
    <row r="58" spans="2:13" x14ac:dyDescent="0.25">
      <c r="B58" s="48" t="s">
        <v>125</v>
      </c>
      <c r="C58" s="55"/>
      <c r="D58" s="48" t="s">
        <v>98</v>
      </c>
      <c r="E58" s="37">
        <v>4</v>
      </c>
      <c r="F58" s="46">
        <f>+'Cuadro comparativo precios'!H42</f>
        <v>115000</v>
      </c>
      <c r="G58" s="43">
        <f>(F58*E58)</f>
        <v>460000</v>
      </c>
      <c r="H58" s="124"/>
    </row>
    <row r="59" spans="2:13" x14ac:dyDescent="0.25">
      <c r="B59" s="127" t="s">
        <v>6</v>
      </c>
      <c r="C59" s="128"/>
      <c r="D59" s="128"/>
      <c r="E59" s="130">
        <f>SUM(E55:E58)</f>
        <v>4860</v>
      </c>
      <c r="F59" s="130">
        <f t="shared" ref="F59:G59" si="4">SUM(F55:F58)</f>
        <v>562316.66666666674</v>
      </c>
      <c r="G59" s="130">
        <f t="shared" si="4"/>
        <v>14593333.333333334</v>
      </c>
    </row>
    <row r="61" spans="2:13" ht="15.75" thickBot="1" x14ac:dyDescent="0.3"/>
    <row r="62" spans="2:13" ht="15.75" thickBot="1" x14ac:dyDescent="0.3">
      <c r="B62" s="35"/>
      <c r="C62" s="573" t="s">
        <v>280</v>
      </c>
      <c r="D62" s="572"/>
      <c r="E62" s="572"/>
      <c r="F62" s="572"/>
      <c r="G62" s="119"/>
      <c r="H62" s="117"/>
      <c r="M62" s="135">
        <v>3600000</v>
      </c>
    </row>
    <row r="63" spans="2:13" ht="15.75" thickBot="1" x14ac:dyDescent="0.3">
      <c r="B63" s="48" t="s">
        <v>96</v>
      </c>
      <c r="C63" s="55"/>
      <c r="D63" s="48" t="s">
        <v>100</v>
      </c>
      <c r="E63" s="37">
        <v>40</v>
      </c>
      <c r="F63" s="43">
        <f>+'Cuadro comparativo precios'!H48</f>
        <v>10500</v>
      </c>
      <c r="G63" s="123">
        <f t="shared" ref="G63:G70" si="5">(F63*E63)</f>
        <v>420000</v>
      </c>
      <c r="H63" s="133"/>
      <c r="M63" s="136">
        <v>4320000</v>
      </c>
    </row>
    <row r="64" spans="2:13" ht="15.75" thickBot="1" x14ac:dyDescent="0.3">
      <c r="B64" s="48" t="s">
        <v>109</v>
      </c>
      <c r="C64" s="55"/>
      <c r="D64" s="48" t="s">
        <v>100</v>
      </c>
      <c r="E64" s="37">
        <v>80</v>
      </c>
      <c r="F64" s="43">
        <f>+'Cuadro comparativo precios'!H49</f>
        <v>11500</v>
      </c>
      <c r="G64" s="123">
        <f>(F64*E64)</f>
        <v>920000</v>
      </c>
      <c r="H64" s="133"/>
      <c r="M64" s="136">
        <v>2400000</v>
      </c>
    </row>
    <row r="65" spans="2:13" ht="15.75" thickBot="1" x14ac:dyDescent="0.3">
      <c r="B65" s="48" t="s">
        <v>97</v>
      </c>
      <c r="C65" s="55"/>
      <c r="D65" s="48" t="s">
        <v>98</v>
      </c>
      <c r="E65" s="37">
        <v>80</v>
      </c>
      <c r="F65" s="43">
        <f>+'Cuadro comparativo precios'!H50</f>
        <v>8000</v>
      </c>
      <c r="G65" s="123">
        <f t="shared" si="5"/>
        <v>640000</v>
      </c>
      <c r="H65" s="133"/>
      <c r="M65" s="136">
        <v>440000</v>
      </c>
    </row>
    <row r="66" spans="2:13" ht="15.75" thickBot="1" x14ac:dyDescent="0.3">
      <c r="B66" s="48" t="s">
        <v>102</v>
      </c>
      <c r="C66" s="55"/>
      <c r="D66" s="48" t="s">
        <v>98</v>
      </c>
      <c r="E66" s="37">
        <v>8</v>
      </c>
      <c r="F66" s="43">
        <f>+'Cuadro comparativo precios'!H51</f>
        <v>64000</v>
      </c>
      <c r="G66" s="123">
        <f t="shared" si="5"/>
        <v>512000</v>
      </c>
      <c r="H66" s="133"/>
      <c r="M66" s="136">
        <v>120000</v>
      </c>
    </row>
    <row r="67" spans="2:13" ht="15.75" thickBot="1" x14ac:dyDescent="0.3">
      <c r="B67" s="48" t="s">
        <v>101</v>
      </c>
      <c r="C67" s="55"/>
      <c r="D67" s="48" t="s">
        <v>33</v>
      </c>
      <c r="E67" s="37">
        <v>8</v>
      </c>
      <c r="F67" s="43">
        <f>+'Cuadro comparativo precios'!H52</f>
        <v>11500</v>
      </c>
      <c r="G67" s="123">
        <f t="shared" si="5"/>
        <v>92000</v>
      </c>
      <c r="H67" s="133"/>
      <c r="M67" s="136">
        <v>480000</v>
      </c>
    </row>
    <row r="68" spans="2:13" ht="15.75" thickBot="1" x14ac:dyDescent="0.3">
      <c r="B68" s="48" t="s">
        <v>99</v>
      </c>
      <c r="C68" s="55"/>
      <c r="D68" s="48" t="s">
        <v>33</v>
      </c>
      <c r="E68" s="37">
        <v>8</v>
      </c>
      <c r="F68" s="43">
        <f>+'Cuadro comparativo precios'!H53</f>
        <v>8000</v>
      </c>
      <c r="G68" s="123">
        <f t="shared" si="5"/>
        <v>64000</v>
      </c>
      <c r="H68" s="133"/>
      <c r="M68" s="136">
        <v>240000</v>
      </c>
    </row>
    <row r="69" spans="2:13" ht="15.75" thickBot="1" x14ac:dyDescent="0.3">
      <c r="B69" s="48" t="s">
        <v>106</v>
      </c>
      <c r="C69" s="55" t="s">
        <v>107</v>
      </c>
      <c r="D69" s="48" t="s">
        <v>108</v>
      </c>
      <c r="E69" s="37">
        <v>4</v>
      </c>
      <c r="F69" s="43">
        <f>+'Cuadro comparativo precios'!H54</f>
        <v>6500</v>
      </c>
      <c r="G69" s="123">
        <f t="shared" si="5"/>
        <v>26000</v>
      </c>
      <c r="H69" s="133"/>
      <c r="M69" s="136">
        <v>240000</v>
      </c>
    </row>
    <row r="70" spans="2:13" ht="15.75" thickBot="1" x14ac:dyDescent="0.3">
      <c r="B70" s="48" t="s">
        <v>103</v>
      </c>
      <c r="C70" s="55"/>
      <c r="D70" s="48" t="s">
        <v>104</v>
      </c>
      <c r="E70" s="37">
        <v>24</v>
      </c>
      <c r="F70" s="43">
        <v>35000</v>
      </c>
      <c r="G70" s="123">
        <f t="shared" si="5"/>
        <v>840000</v>
      </c>
      <c r="H70" s="133"/>
      <c r="M70" s="136">
        <v>40000</v>
      </c>
    </row>
    <row r="71" spans="2:13" ht="15.75" thickBot="1" x14ac:dyDescent="0.3">
      <c r="B71" s="35" t="s">
        <v>6</v>
      </c>
      <c r="C71" s="56"/>
      <c r="D71" s="35"/>
      <c r="E71" s="118"/>
      <c r="F71" s="41">
        <f>SUM(F63:F70)</f>
        <v>155000</v>
      </c>
      <c r="G71" s="122">
        <f>SUM(G63:G70)</f>
        <v>3514000</v>
      </c>
      <c r="H71" s="134"/>
      <c r="M71" s="136">
        <v>26400</v>
      </c>
    </row>
    <row r="72" spans="2:13" ht="15.75" thickBot="1" x14ac:dyDescent="0.3">
      <c r="M72" s="136">
        <v>159600</v>
      </c>
    </row>
    <row r="73" spans="2:13" x14ac:dyDescent="0.25">
      <c r="M73" s="4">
        <v>840000</v>
      </c>
    </row>
    <row r="74" spans="2:13" x14ac:dyDescent="0.25">
      <c r="G74" s="235">
        <f>+G71+G59+G51+G42</f>
        <v>131281333.33333334</v>
      </c>
    </row>
  </sheetData>
  <autoFilter ref="B3:G41"/>
  <mergeCells count="7">
    <mergeCell ref="C54:F54"/>
    <mergeCell ref="C62:F62"/>
    <mergeCell ref="C13:F13"/>
    <mergeCell ref="C18:F18"/>
    <mergeCell ref="C28:F28"/>
    <mergeCell ref="C36:F36"/>
    <mergeCell ref="C44:F44"/>
  </mergeCells>
  <pageMargins left="0.7" right="0.7" top="0.75" bottom="0.75" header="0.3" footer="0.3"/>
  <pageSetup orientation="portrait" horizontalDpi="4294967292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47"/>
  <sheetViews>
    <sheetView zoomScale="95" zoomScaleNormal="95" workbookViewId="0">
      <pane ySplit="2" topLeftCell="A3" activePane="bottomLeft" state="frozen"/>
      <selection activeCell="H43" sqref="H43"/>
      <selection pane="bottomLeft" activeCell="G4" sqref="G4"/>
    </sheetView>
  </sheetViews>
  <sheetFormatPr baseColWidth="10" defaultRowHeight="14.25" x14ac:dyDescent="0.2"/>
  <cols>
    <col min="1" max="1" width="8.42578125" style="40" customWidth="1"/>
    <col min="2" max="2" width="41" style="60" customWidth="1"/>
    <col min="3" max="3" width="21.85546875" style="57" customWidth="1"/>
    <col min="4" max="4" width="20.5703125" style="60" customWidth="1"/>
    <col min="5" max="5" width="13.85546875" style="40" customWidth="1"/>
    <col min="6" max="6" width="19.42578125" style="40" customWidth="1"/>
    <col min="7" max="7" width="17.85546875" style="40" customWidth="1"/>
    <col min="8" max="8" width="23.42578125" style="40" customWidth="1"/>
    <col min="9" max="16384" width="11.42578125" style="40"/>
  </cols>
  <sheetData>
    <row r="1" spans="2:8" ht="54" customHeight="1" x14ac:dyDescent="0.2">
      <c r="B1" s="510" t="s">
        <v>40</v>
      </c>
      <c r="C1" s="510"/>
      <c r="D1" s="510"/>
      <c r="E1" s="510"/>
      <c r="F1" s="510"/>
      <c r="G1" s="510"/>
      <c r="H1" s="510"/>
    </row>
    <row r="2" spans="2:8" ht="45" x14ac:dyDescent="0.2">
      <c r="B2" s="35" t="s">
        <v>4</v>
      </c>
      <c r="C2" s="36" t="s">
        <v>356</v>
      </c>
      <c r="D2" s="35" t="s">
        <v>19</v>
      </c>
      <c r="E2" s="36" t="s">
        <v>26</v>
      </c>
      <c r="F2" s="36" t="s">
        <v>27</v>
      </c>
      <c r="G2" s="36" t="s">
        <v>92</v>
      </c>
      <c r="H2" s="36" t="s">
        <v>91</v>
      </c>
    </row>
    <row r="3" spans="2:8" ht="15" x14ac:dyDescent="0.2">
      <c r="B3" s="35"/>
      <c r="C3" s="573" t="s">
        <v>1</v>
      </c>
      <c r="D3" s="572"/>
      <c r="E3" s="572"/>
      <c r="F3" s="572"/>
      <c r="G3" s="42"/>
      <c r="H3" s="36"/>
    </row>
    <row r="4" spans="2:8" ht="28.5" x14ac:dyDescent="0.2">
      <c r="B4" s="48" t="s">
        <v>43</v>
      </c>
      <c r="C4" s="55" t="s">
        <v>44</v>
      </c>
      <c r="D4" s="48" t="s">
        <v>30</v>
      </c>
      <c r="E4" s="37">
        <v>12</v>
      </c>
      <c r="F4" s="43">
        <f>+'RESUMEN INSUMOS'!F45</f>
        <v>105000</v>
      </c>
      <c r="G4" s="43">
        <f>(F4*E4)</f>
        <v>1260000</v>
      </c>
      <c r="H4" s="43">
        <f>(G4*4)</f>
        <v>5040000</v>
      </c>
    </row>
    <row r="5" spans="2:8" ht="15" x14ac:dyDescent="0.25">
      <c r="B5" s="35" t="s">
        <v>6</v>
      </c>
      <c r="C5" s="56"/>
      <c r="D5" s="35"/>
      <c r="E5" s="38"/>
      <c r="F5" s="41"/>
      <c r="G5" s="41">
        <f>SUM(G4)</f>
        <v>1260000</v>
      </c>
      <c r="H5" s="41">
        <f>SUM(H4)</f>
        <v>5040000</v>
      </c>
    </row>
    <row r="6" spans="2:8" ht="15" x14ac:dyDescent="0.2">
      <c r="B6" s="61"/>
      <c r="C6" s="573" t="s">
        <v>51</v>
      </c>
      <c r="D6" s="572"/>
      <c r="E6" s="572"/>
      <c r="F6" s="572"/>
      <c r="G6" s="44"/>
      <c r="H6" s="45"/>
    </row>
    <row r="7" spans="2:8" ht="30" x14ac:dyDescent="0.2">
      <c r="B7" s="39" t="s">
        <v>41</v>
      </c>
      <c r="C7" s="418" t="s">
        <v>45</v>
      </c>
      <c r="D7" s="419" t="s">
        <v>30</v>
      </c>
      <c r="E7" s="420">
        <v>20</v>
      </c>
      <c r="F7" s="421">
        <f>+'RESUMEN INSUMOS'!F4</f>
        <v>41500</v>
      </c>
      <c r="G7" s="421">
        <f>(F7*E7)</f>
        <v>830000</v>
      </c>
      <c r="H7" s="421">
        <f>(G7*4)</f>
        <v>3320000</v>
      </c>
    </row>
    <row r="8" spans="2:8" ht="30" x14ac:dyDescent="0.2">
      <c r="B8" s="39" t="s">
        <v>276</v>
      </c>
      <c r="C8" s="418" t="s">
        <v>46</v>
      </c>
      <c r="D8" s="419" t="s">
        <v>30</v>
      </c>
      <c r="E8" s="420">
        <v>7</v>
      </c>
      <c r="F8" s="421">
        <f>+'RESUMEN INSUMOS'!F5</f>
        <v>146000</v>
      </c>
      <c r="G8" s="421">
        <f>(F8*E8)</f>
        <v>1022000</v>
      </c>
      <c r="H8" s="421">
        <f>(G8*4)</f>
        <v>4088000</v>
      </c>
    </row>
    <row r="9" spans="2:8" ht="27.75" customHeight="1" x14ac:dyDescent="0.2">
      <c r="B9" s="39" t="s">
        <v>66</v>
      </c>
      <c r="C9" s="418" t="s">
        <v>67</v>
      </c>
      <c r="D9" s="419" t="s">
        <v>30</v>
      </c>
      <c r="E9" s="420">
        <v>7</v>
      </c>
      <c r="F9" s="421">
        <f>+'RESUMEN INSUMOS'!F6</f>
        <v>127000</v>
      </c>
      <c r="G9" s="421">
        <f>(F9*E9)</f>
        <v>889000</v>
      </c>
      <c r="H9" s="421">
        <f>(G9*4)</f>
        <v>3556000</v>
      </c>
    </row>
    <row r="10" spans="2:8" ht="15" x14ac:dyDescent="0.2">
      <c r="B10" s="39" t="s">
        <v>48</v>
      </c>
      <c r="C10" s="418" t="s">
        <v>47</v>
      </c>
      <c r="D10" s="419" t="s">
        <v>30</v>
      </c>
      <c r="E10" s="420">
        <v>2</v>
      </c>
      <c r="F10" s="421">
        <f>+'RESUMEN INSUMOS'!F7</f>
        <v>94000</v>
      </c>
      <c r="G10" s="421">
        <f>(F10*E10)</f>
        <v>188000</v>
      </c>
      <c r="H10" s="421">
        <f>(G10*4)</f>
        <v>752000</v>
      </c>
    </row>
    <row r="11" spans="2:8" x14ac:dyDescent="0.2">
      <c r="B11" s="48" t="s">
        <v>49</v>
      </c>
      <c r="C11" s="422"/>
      <c r="D11" s="419" t="s">
        <v>30</v>
      </c>
      <c r="E11" s="420">
        <v>20</v>
      </c>
      <c r="F11" s="421">
        <f>+'RESUMEN INSUMOS'!F8</f>
        <v>20333.333333333332</v>
      </c>
      <c r="G11" s="421">
        <f>(F11*E11)</f>
        <v>406666.66666666663</v>
      </c>
      <c r="H11" s="421">
        <f>(G11*4)</f>
        <v>1626666.6666666665</v>
      </c>
    </row>
    <row r="12" spans="2:8" ht="15" x14ac:dyDescent="0.25">
      <c r="B12" s="35" t="s">
        <v>6</v>
      </c>
      <c r="C12" s="36"/>
      <c r="D12" s="36"/>
      <c r="E12" s="36"/>
      <c r="F12" s="41"/>
      <c r="G12" s="41">
        <f>SUM(G7:G11)</f>
        <v>3335666.6666666665</v>
      </c>
      <c r="H12" s="41">
        <f>SUM(H7:H11)</f>
        <v>13342666.666666666</v>
      </c>
    </row>
    <row r="13" spans="2:8" ht="15" customHeight="1" x14ac:dyDescent="0.25">
      <c r="B13" s="62"/>
      <c r="C13" s="571" t="s">
        <v>50</v>
      </c>
      <c r="D13" s="572"/>
      <c r="E13" s="572"/>
      <c r="F13" s="572"/>
      <c r="G13" s="41"/>
      <c r="H13" s="41"/>
    </row>
    <row r="14" spans="2:8" ht="30" x14ac:dyDescent="0.2">
      <c r="B14" s="39" t="s">
        <v>68</v>
      </c>
      <c r="C14" s="39" t="s">
        <v>69</v>
      </c>
      <c r="D14" s="58" t="s">
        <v>28</v>
      </c>
      <c r="E14" s="37">
        <v>4</v>
      </c>
      <c r="F14" s="43">
        <f>+'RESUMEN INSUMOS'!F14</f>
        <v>18500</v>
      </c>
      <c r="G14" s="43">
        <f>(F14*E14)</f>
        <v>74000</v>
      </c>
      <c r="H14" s="43">
        <f>(G14*4)</f>
        <v>296000</v>
      </c>
    </row>
    <row r="15" spans="2:8" ht="15" x14ac:dyDescent="0.2">
      <c r="B15" s="39" t="s">
        <v>70</v>
      </c>
      <c r="C15" s="39" t="s">
        <v>71</v>
      </c>
      <c r="D15" s="58" t="s">
        <v>28</v>
      </c>
      <c r="E15" s="37">
        <v>8</v>
      </c>
      <c r="F15" s="43">
        <f>+'RESUMEN INSUMOS'!F15</f>
        <v>12000</v>
      </c>
      <c r="G15" s="43">
        <f>(F15*E15)</f>
        <v>96000</v>
      </c>
      <c r="H15" s="43">
        <f>(G15*4)</f>
        <v>384000</v>
      </c>
    </row>
    <row r="16" spans="2:8" ht="15" x14ac:dyDescent="0.2">
      <c r="B16" s="39" t="s">
        <v>72</v>
      </c>
      <c r="C16" s="39" t="s">
        <v>73</v>
      </c>
      <c r="D16" s="58" t="s">
        <v>28</v>
      </c>
      <c r="E16" s="37">
        <v>2</v>
      </c>
      <c r="F16" s="43">
        <f>+'RESUMEN INSUMOS'!F16</f>
        <v>41000</v>
      </c>
      <c r="G16" s="43">
        <f>(F16*E16)</f>
        <v>82000</v>
      </c>
      <c r="H16" s="43">
        <f>(G16*4)</f>
        <v>328000</v>
      </c>
    </row>
    <row r="17" spans="2:8" ht="15" x14ac:dyDescent="0.2">
      <c r="B17" s="39" t="s">
        <v>74</v>
      </c>
      <c r="C17" s="39" t="s">
        <v>75</v>
      </c>
      <c r="D17" s="58" t="s">
        <v>28</v>
      </c>
      <c r="E17" s="37">
        <v>2</v>
      </c>
      <c r="F17" s="43">
        <f>+'RESUMEN INSUMOS'!F17</f>
        <v>21000</v>
      </c>
      <c r="G17" s="43">
        <f>(F17*E17)</f>
        <v>42000</v>
      </c>
      <c r="H17" s="43">
        <f>(G17*4)</f>
        <v>168000</v>
      </c>
    </row>
    <row r="18" spans="2:8" ht="15" x14ac:dyDescent="0.25">
      <c r="B18" s="54" t="s">
        <v>6</v>
      </c>
      <c r="C18" s="51"/>
      <c r="D18" s="36"/>
      <c r="E18" s="36"/>
      <c r="F18" s="41"/>
      <c r="G18" s="41">
        <f>SUM(G14:G17)</f>
        <v>294000</v>
      </c>
      <c r="H18" s="41">
        <f>SUM(H14:H17)</f>
        <v>1176000</v>
      </c>
    </row>
    <row r="19" spans="2:8" ht="15" x14ac:dyDescent="0.25">
      <c r="B19" s="62"/>
      <c r="C19" s="571" t="s">
        <v>64</v>
      </c>
      <c r="D19" s="572"/>
      <c r="E19" s="572"/>
      <c r="F19" s="572"/>
      <c r="G19" s="41"/>
      <c r="H19" s="41"/>
    </row>
    <row r="20" spans="2:8" ht="15" customHeight="1" x14ac:dyDescent="0.2">
      <c r="B20" s="39" t="s">
        <v>52</v>
      </c>
      <c r="C20" s="39" t="s">
        <v>278</v>
      </c>
      <c r="D20" s="58" t="s">
        <v>33</v>
      </c>
      <c r="E20" s="37">
        <v>2</v>
      </c>
      <c r="F20" s="46">
        <f>+'RESUMEN INSUMOS'!F19</f>
        <v>51000</v>
      </c>
      <c r="G20" s="43">
        <f t="shared" ref="G20:G25" si="0">(F20*E20)</f>
        <v>102000</v>
      </c>
      <c r="H20" s="43">
        <f t="shared" ref="H20:H25" si="1">(G20*4)</f>
        <v>408000</v>
      </c>
    </row>
    <row r="21" spans="2:8" ht="15" x14ac:dyDescent="0.2">
      <c r="B21" s="176" t="s">
        <v>362</v>
      </c>
      <c r="C21" s="39" t="s">
        <v>363</v>
      </c>
      <c r="D21" s="58" t="s">
        <v>33</v>
      </c>
      <c r="E21" s="37">
        <v>2</v>
      </c>
      <c r="F21" s="46">
        <v>39500</v>
      </c>
      <c r="G21" s="43">
        <f t="shared" si="0"/>
        <v>79000</v>
      </c>
      <c r="H21" s="43">
        <f t="shared" si="1"/>
        <v>316000</v>
      </c>
    </row>
    <row r="22" spans="2:8" ht="15" x14ac:dyDescent="0.2">
      <c r="B22" s="39" t="s">
        <v>62</v>
      </c>
      <c r="C22" s="39" t="s">
        <v>55</v>
      </c>
      <c r="D22" s="58" t="s">
        <v>28</v>
      </c>
      <c r="E22" s="37">
        <v>15</v>
      </c>
      <c r="F22" s="46">
        <f>+'RESUMEN INSUMOS'!F21</f>
        <v>25000</v>
      </c>
      <c r="G22" s="43">
        <f t="shared" si="0"/>
        <v>375000</v>
      </c>
      <c r="H22" s="43">
        <f t="shared" si="1"/>
        <v>1500000</v>
      </c>
    </row>
    <row r="23" spans="2:8" ht="15" x14ac:dyDescent="0.2">
      <c r="B23" s="39" t="s">
        <v>56</v>
      </c>
      <c r="C23" s="39" t="s">
        <v>57</v>
      </c>
      <c r="D23" s="58" t="s">
        <v>28</v>
      </c>
      <c r="E23" s="37">
        <v>15</v>
      </c>
      <c r="F23" s="46">
        <f>+'RESUMEN INSUMOS'!F22</f>
        <v>23666.666666666668</v>
      </c>
      <c r="G23" s="43">
        <f t="shared" si="0"/>
        <v>355000</v>
      </c>
      <c r="H23" s="43">
        <f t="shared" si="1"/>
        <v>1420000</v>
      </c>
    </row>
    <row r="24" spans="2:8" ht="15" x14ac:dyDescent="0.2">
      <c r="B24" s="39" t="s">
        <v>58</v>
      </c>
      <c r="C24" s="39" t="s">
        <v>59</v>
      </c>
      <c r="D24" s="58" t="s">
        <v>29</v>
      </c>
      <c r="E24" s="37">
        <v>2</v>
      </c>
      <c r="F24" s="46">
        <f>+'RESUMEN INSUMOS'!F23</f>
        <v>129000</v>
      </c>
      <c r="G24" s="43">
        <f t="shared" si="0"/>
        <v>258000</v>
      </c>
      <c r="H24" s="43">
        <f t="shared" si="1"/>
        <v>1032000</v>
      </c>
    </row>
    <row r="25" spans="2:8" ht="15" x14ac:dyDescent="0.2">
      <c r="B25" s="39" t="s">
        <v>60</v>
      </c>
      <c r="C25" s="39" t="s">
        <v>61</v>
      </c>
      <c r="D25" s="58" t="s">
        <v>29</v>
      </c>
      <c r="E25" s="37">
        <v>2</v>
      </c>
      <c r="F25" s="46">
        <f>+'RESUMEN INSUMOS'!F24</f>
        <v>164333.33333333334</v>
      </c>
      <c r="G25" s="43">
        <f t="shared" si="0"/>
        <v>328666.66666666669</v>
      </c>
      <c r="H25" s="43">
        <f t="shared" si="1"/>
        <v>1314666.6666666667</v>
      </c>
    </row>
    <row r="26" spans="2:8" ht="15" x14ac:dyDescent="0.25">
      <c r="B26" s="35" t="s">
        <v>6</v>
      </c>
      <c r="C26" s="36"/>
      <c r="D26" s="36"/>
      <c r="E26" s="36"/>
      <c r="F26" s="41"/>
      <c r="G26" s="41">
        <f>SUM(G20:G25)</f>
        <v>1497666.6666666667</v>
      </c>
      <c r="H26" s="41">
        <f>SUM(H20:H25)</f>
        <v>5990666.666666667</v>
      </c>
    </row>
    <row r="27" spans="2:8" ht="15" x14ac:dyDescent="0.25">
      <c r="B27" s="62"/>
      <c r="C27" s="571" t="s">
        <v>65</v>
      </c>
      <c r="D27" s="572"/>
      <c r="E27" s="572"/>
      <c r="F27" s="572"/>
      <c r="G27" s="41"/>
      <c r="H27" s="41"/>
    </row>
    <row r="28" spans="2:8" ht="15" customHeight="1" x14ac:dyDescent="0.2">
      <c r="B28" s="177" t="s">
        <v>360</v>
      </c>
      <c r="C28" s="39" t="s">
        <v>361</v>
      </c>
      <c r="D28" s="58" t="s">
        <v>147</v>
      </c>
      <c r="E28" s="37">
        <v>1</v>
      </c>
      <c r="F28" s="46">
        <v>56000</v>
      </c>
      <c r="G28" s="43">
        <f>(F28*E28)</f>
        <v>56000</v>
      </c>
      <c r="H28" s="43">
        <f>(G28*4)</f>
        <v>224000</v>
      </c>
    </row>
    <row r="29" spans="2:8" ht="15" x14ac:dyDescent="0.2">
      <c r="B29" s="179" t="s">
        <v>366</v>
      </c>
      <c r="C29" s="39" t="s">
        <v>367</v>
      </c>
      <c r="D29" s="175" t="s">
        <v>29</v>
      </c>
      <c r="E29" s="37">
        <v>1</v>
      </c>
      <c r="F29" s="46">
        <v>30000</v>
      </c>
      <c r="G29" s="43">
        <f>(F29*E29)</f>
        <v>30000</v>
      </c>
      <c r="H29" s="43">
        <f>(G29*4)</f>
        <v>120000</v>
      </c>
    </row>
    <row r="30" spans="2:8" ht="15" x14ac:dyDescent="0.2">
      <c r="B30" s="178" t="s">
        <v>364</v>
      </c>
      <c r="C30" s="39" t="s">
        <v>365</v>
      </c>
      <c r="D30" s="58" t="s">
        <v>29</v>
      </c>
      <c r="E30" s="37">
        <v>1</v>
      </c>
      <c r="F30" s="46">
        <v>42100</v>
      </c>
      <c r="G30" s="43">
        <f>(F30*E30)</f>
        <v>42100</v>
      </c>
      <c r="H30" s="43">
        <f>(G30*4)</f>
        <v>168400</v>
      </c>
    </row>
    <row r="31" spans="2:8" ht="15" x14ac:dyDescent="0.2">
      <c r="B31" s="39" t="s">
        <v>80</v>
      </c>
      <c r="C31" s="39" t="s">
        <v>81</v>
      </c>
      <c r="D31" s="58" t="s">
        <v>29</v>
      </c>
      <c r="E31" s="37">
        <v>1</v>
      </c>
      <c r="F31" s="46">
        <f>+'RESUMEN INSUMOS'!F31</f>
        <v>668666.66666666663</v>
      </c>
      <c r="G31" s="43">
        <f>(F31*E31)</f>
        <v>668666.66666666663</v>
      </c>
      <c r="H31" s="43">
        <f>(G31*4)</f>
        <v>2674666.6666666665</v>
      </c>
    </row>
    <row r="32" spans="2:8" ht="15" x14ac:dyDescent="0.25">
      <c r="B32" s="35" t="s">
        <v>6</v>
      </c>
      <c r="C32" s="36"/>
      <c r="D32" s="36"/>
      <c r="E32" s="36"/>
      <c r="F32" s="41"/>
      <c r="G32" s="41">
        <f>SUM(G28:G31)</f>
        <v>796766.66666666663</v>
      </c>
      <c r="H32" s="41">
        <f>SUM(H28:H31)</f>
        <v>3187066.6666666665</v>
      </c>
    </row>
    <row r="33" spans="2:17" ht="15" x14ac:dyDescent="0.25">
      <c r="B33" s="62"/>
      <c r="C33" s="571" t="s">
        <v>82</v>
      </c>
      <c r="D33" s="572"/>
      <c r="E33" s="572"/>
      <c r="F33" s="572"/>
      <c r="G33" s="41"/>
      <c r="H33" s="41"/>
    </row>
    <row r="34" spans="2:17" ht="15" customHeight="1" x14ac:dyDescent="0.2">
      <c r="B34" s="53" t="s">
        <v>83</v>
      </c>
      <c r="C34" s="53" t="s">
        <v>84</v>
      </c>
      <c r="D34" s="58" t="s">
        <v>89</v>
      </c>
      <c r="E34" s="37">
        <v>1</v>
      </c>
      <c r="F34" s="46">
        <f>+'RESUMEN INSUMOS'!F37</f>
        <v>72333.333333333328</v>
      </c>
      <c r="G34" s="43">
        <f>(F34*E34)</f>
        <v>72333.333333333328</v>
      </c>
      <c r="H34" s="43">
        <f>(G34*4)</f>
        <v>289333.33333333331</v>
      </c>
    </row>
    <row r="35" spans="2:17" ht="21" customHeight="1" x14ac:dyDescent="0.2">
      <c r="B35" s="39" t="s">
        <v>85</v>
      </c>
      <c r="C35" s="39" t="s">
        <v>86</v>
      </c>
      <c r="D35" s="58" t="s">
        <v>29</v>
      </c>
      <c r="E35" s="37">
        <v>5</v>
      </c>
      <c r="F35" s="46">
        <f>+'RESUMEN INSUMOS'!F38</f>
        <v>38333.333333333336</v>
      </c>
      <c r="G35" s="43">
        <f>(F35*E35)</f>
        <v>191666.66666666669</v>
      </c>
      <c r="H35" s="43">
        <f>(G35*4)</f>
        <v>766666.66666666674</v>
      </c>
    </row>
    <row r="36" spans="2:17" ht="27" customHeight="1" x14ac:dyDescent="0.2">
      <c r="B36" s="39" t="s">
        <v>87</v>
      </c>
      <c r="C36" s="39" t="s">
        <v>88</v>
      </c>
      <c r="D36" s="58" t="s">
        <v>29</v>
      </c>
      <c r="E36" s="37">
        <v>6</v>
      </c>
      <c r="F36" s="46">
        <f>+'RESUMEN INSUMOS'!F39</f>
        <v>33333.333333333336</v>
      </c>
      <c r="G36" s="43">
        <f>(F36*E36)</f>
        <v>200000</v>
      </c>
      <c r="H36" s="43">
        <f>(G36*4)</f>
        <v>800000</v>
      </c>
    </row>
    <row r="37" spans="2:17" ht="15" x14ac:dyDescent="0.25">
      <c r="B37" s="54" t="s">
        <v>6</v>
      </c>
      <c r="C37" s="51"/>
      <c r="D37" s="36"/>
      <c r="E37" s="36"/>
      <c r="F37" s="41"/>
      <c r="G37" s="41">
        <f>SUM(G34:G36)</f>
        <v>464000</v>
      </c>
      <c r="H37" s="41">
        <f>SUM(H34:H36)</f>
        <v>1856000</v>
      </c>
    </row>
    <row r="38" spans="2:17" ht="15" x14ac:dyDescent="0.25">
      <c r="B38" s="62"/>
      <c r="C38" s="571" t="s">
        <v>22</v>
      </c>
      <c r="D38" s="572"/>
      <c r="E38" s="572"/>
      <c r="F38" s="572"/>
      <c r="G38" s="41"/>
      <c r="H38" s="41"/>
    </row>
    <row r="39" spans="2:17" x14ac:dyDescent="0.2">
      <c r="B39" s="419" t="s">
        <v>34</v>
      </c>
      <c r="C39" s="422" t="s">
        <v>90</v>
      </c>
      <c r="D39" s="419" t="s">
        <v>35</v>
      </c>
      <c r="E39" s="420">
        <v>1</v>
      </c>
      <c r="F39" s="421">
        <f>+'RESUMEN INSUMOS'!F55</f>
        <v>316666.66666666669</v>
      </c>
      <c r="G39" s="421">
        <f>(F39*E39)</f>
        <v>316666.66666666669</v>
      </c>
      <c r="H39" s="421">
        <f>(G39*4)</f>
        <v>1266666.6666666667</v>
      </c>
      <c r="I39" s="574"/>
      <c r="J39" s="574"/>
      <c r="K39" s="574"/>
      <c r="L39" s="574"/>
      <c r="M39" s="574"/>
      <c r="N39" s="360"/>
      <c r="O39" s="360"/>
      <c r="P39" s="360"/>
    </row>
    <row r="40" spans="2:17" x14ac:dyDescent="0.2">
      <c r="B40" s="419" t="s">
        <v>36</v>
      </c>
      <c r="C40" s="422"/>
      <c r="D40" s="419" t="s">
        <v>37</v>
      </c>
      <c r="E40" s="420">
        <v>3</v>
      </c>
      <c r="F40" s="421">
        <f>+'RESUMEN INSUMOS'!F56</f>
        <v>130000</v>
      </c>
      <c r="G40" s="421">
        <f>(F40*E40)</f>
        <v>390000</v>
      </c>
      <c r="H40" s="421">
        <f>(G40*4)</f>
        <v>1560000</v>
      </c>
      <c r="I40" s="361"/>
      <c r="J40" s="361"/>
      <c r="K40" s="361"/>
      <c r="L40" s="361"/>
      <c r="M40" s="361"/>
      <c r="N40" s="361"/>
      <c r="O40" s="361"/>
      <c r="P40" s="361"/>
      <c r="Q40" s="291"/>
    </row>
    <row r="41" spans="2:17" x14ac:dyDescent="0.2">
      <c r="B41" s="48" t="s">
        <v>38</v>
      </c>
      <c r="C41" s="55"/>
      <c r="D41" s="48" t="s">
        <v>39</v>
      </c>
      <c r="E41" s="37">
        <v>400</v>
      </c>
      <c r="F41" s="46">
        <f>+'RESUMEN INSUMOS'!F57</f>
        <v>650</v>
      </c>
      <c r="G41" s="43">
        <f>(F41*E41)</f>
        <v>260000</v>
      </c>
      <c r="H41" s="43">
        <f>(G41*4)</f>
        <v>1040000</v>
      </c>
      <c r="I41" s="361"/>
    </row>
    <row r="42" spans="2:17" ht="15" x14ac:dyDescent="0.25">
      <c r="B42" s="54" t="s">
        <v>6</v>
      </c>
      <c r="C42" s="51"/>
      <c r="D42" s="36"/>
      <c r="E42" s="36"/>
      <c r="F42" s="41"/>
      <c r="G42" s="41">
        <f>SUM(G39:G41)</f>
        <v>966666.66666666674</v>
      </c>
      <c r="H42" s="41">
        <f>SUM(H39:H41)</f>
        <v>3866666.666666667</v>
      </c>
    </row>
    <row r="43" spans="2:17" ht="15" x14ac:dyDescent="0.25">
      <c r="B43" s="575" t="s">
        <v>0</v>
      </c>
      <c r="C43" s="575"/>
      <c r="D43" s="575"/>
      <c r="E43" s="575"/>
      <c r="F43" s="47"/>
      <c r="G43" s="47">
        <f>SUM(G42,G37,G32,G26,G18,G12,G5)</f>
        <v>8614766.666666666</v>
      </c>
      <c r="H43" s="47">
        <f>SUM(H42,H37,H32,H26,H18,H12,H5)</f>
        <v>34459066.666666664</v>
      </c>
    </row>
    <row r="47" spans="2:17" x14ac:dyDescent="0.2">
      <c r="D47" s="59"/>
    </row>
  </sheetData>
  <mergeCells count="10">
    <mergeCell ref="I39:M39"/>
    <mergeCell ref="B1:H1"/>
    <mergeCell ref="B43:E43"/>
    <mergeCell ref="C6:F6"/>
    <mergeCell ref="C3:F3"/>
    <mergeCell ref="C13:F13"/>
    <mergeCell ref="C19:F19"/>
    <mergeCell ref="C27:F27"/>
    <mergeCell ref="C38:F38"/>
    <mergeCell ref="C33:F33"/>
  </mergeCells>
  <pageMargins left="0.7" right="0.7" top="0.75" bottom="0.75" header="0.3" footer="0.3"/>
  <pageSetup orientation="portrait" horizontalDpi="4294967292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7"/>
  <sheetViews>
    <sheetView workbookViewId="0">
      <selection activeCell="D4" sqref="D4"/>
    </sheetView>
  </sheetViews>
  <sheetFormatPr baseColWidth="10" defaultRowHeight="14.25" x14ac:dyDescent="0.2"/>
  <cols>
    <col min="1" max="1" width="8.42578125" style="40" customWidth="1"/>
    <col min="2" max="2" width="41" style="60" customWidth="1"/>
    <col min="3" max="3" width="21.85546875" style="57" customWidth="1"/>
    <col min="4" max="4" width="20.5703125" style="60" customWidth="1"/>
    <col min="5" max="5" width="13.85546875" style="40" customWidth="1"/>
    <col min="6" max="6" width="19.42578125" style="40" customWidth="1"/>
    <col min="7" max="7" width="17.85546875" style="40" customWidth="1"/>
    <col min="8" max="8" width="23.42578125" style="40" customWidth="1"/>
    <col min="9" max="15" width="11.42578125" style="423"/>
    <col min="16" max="16384" width="11.42578125" style="40"/>
  </cols>
  <sheetData>
    <row r="1" spans="2:15" ht="54" customHeight="1" x14ac:dyDescent="0.2">
      <c r="B1" s="510" t="s">
        <v>93</v>
      </c>
      <c r="C1" s="510"/>
      <c r="D1" s="510"/>
      <c r="E1" s="510"/>
      <c r="F1" s="510"/>
      <c r="G1" s="510"/>
      <c r="H1" s="510"/>
    </row>
    <row r="2" spans="2:15" ht="45" x14ac:dyDescent="0.2">
      <c r="B2" s="35" t="s">
        <v>4</v>
      </c>
      <c r="C2" s="36" t="s">
        <v>42</v>
      </c>
      <c r="D2" s="35" t="s">
        <v>19</v>
      </c>
      <c r="E2" s="36" t="s">
        <v>26</v>
      </c>
      <c r="F2" s="36" t="s">
        <v>27</v>
      </c>
      <c r="G2" s="36" t="s">
        <v>92</v>
      </c>
      <c r="H2" s="36" t="s">
        <v>91</v>
      </c>
    </row>
    <row r="3" spans="2:15" ht="15" x14ac:dyDescent="0.2">
      <c r="B3" s="35"/>
      <c r="C3" s="573" t="s">
        <v>105</v>
      </c>
      <c r="D3" s="572"/>
      <c r="E3" s="572"/>
      <c r="F3" s="572"/>
      <c r="G3" s="42"/>
      <c r="H3" s="36"/>
    </row>
    <row r="4" spans="2:15" ht="27.75" customHeight="1" x14ac:dyDescent="0.2">
      <c r="B4" s="48" t="s">
        <v>94</v>
      </c>
      <c r="C4" s="55" t="s">
        <v>95</v>
      </c>
      <c r="D4" s="48" t="s">
        <v>33</v>
      </c>
      <c r="E4" s="37">
        <v>1</v>
      </c>
      <c r="F4" s="43">
        <f>+'RESUMEN INSUMOS'!F46</f>
        <v>419500</v>
      </c>
      <c r="G4" s="43">
        <f>(F4*E4)</f>
        <v>419500</v>
      </c>
      <c r="H4" s="43">
        <f>(G4*4)</f>
        <v>1678000</v>
      </c>
    </row>
    <row r="5" spans="2:15" s="433" customFormat="1" x14ac:dyDescent="0.2">
      <c r="B5" s="428" t="s">
        <v>96</v>
      </c>
      <c r="C5" s="429"/>
      <c r="D5" s="428" t="s">
        <v>100</v>
      </c>
      <c r="E5" s="430">
        <v>10</v>
      </c>
      <c r="F5" s="431">
        <f>+'RESUMEN INSUMOS'!F63</f>
        <v>10500</v>
      </c>
      <c r="G5" s="431">
        <f t="shared" ref="G5:G12" si="0">(F5*E5)</f>
        <v>105000</v>
      </c>
      <c r="H5" s="431">
        <f t="shared" ref="H5:H12" si="1">(G5*4)</f>
        <v>420000</v>
      </c>
      <c r="I5" s="432"/>
      <c r="J5" s="432"/>
      <c r="K5" s="432"/>
      <c r="L5" s="432"/>
      <c r="M5" s="432"/>
      <c r="N5" s="432"/>
      <c r="O5" s="432"/>
    </row>
    <row r="6" spans="2:15" s="433" customFormat="1" x14ac:dyDescent="0.2">
      <c r="B6" s="428" t="s">
        <v>109</v>
      </c>
      <c r="C6" s="429"/>
      <c r="D6" s="428" t="s">
        <v>100</v>
      </c>
      <c r="E6" s="430">
        <v>20</v>
      </c>
      <c r="F6" s="431">
        <f>+'RESUMEN INSUMOS'!F64</f>
        <v>11500</v>
      </c>
      <c r="G6" s="431">
        <f>(F6*E6)</f>
        <v>230000</v>
      </c>
      <c r="H6" s="431">
        <f t="shared" si="1"/>
        <v>920000</v>
      </c>
      <c r="I6" s="432"/>
      <c r="J6" s="432"/>
      <c r="K6" s="432"/>
      <c r="L6" s="432"/>
      <c r="M6" s="432"/>
      <c r="N6" s="432"/>
      <c r="O6" s="432"/>
    </row>
    <row r="7" spans="2:15" s="433" customFormat="1" x14ac:dyDescent="0.2">
      <c r="B7" s="428" t="s">
        <v>97</v>
      </c>
      <c r="C7" s="429"/>
      <c r="D7" s="428" t="s">
        <v>98</v>
      </c>
      <c r="E7" s="430">
        <v>20</v>
      </c>
      <c r="F7" s="431">
        <f>+'RESUMEN INSUMOS'!F65</f>
        <v>8000</v>
      </c>
      <c r="G7" s="431">
        <f t="shared" si="0"/>
        <v>160000</v>
      </c>
      <c r="H7" s="431">
        <f t="shared" si="1"/>
        <v>640000</v>
      </c>
      <c r="I7" s="432"/>
      <c r="J7" s="432"/>
      <c r="K7" s="432"/>
      <c r="L7" s="432"/>
      <c r="M7" s="432"/>
      <c r="N7" s="432"/>
      <c r="O7" s="432"/>
    </row>
    <row r="8" spans="2:15" x14ac:dyDescent="0.2">
      <c r="B8" s="48" t="s">
        <v>102</v>
      </c>
      <c r="C8" s="55"/>
      <c r="D8" s="48" t="s">
        <v>98</v>
      </c>
      <c r="E8" s="420">
        <v>2</v>
      </c>
      <c r="F8" s="43">
        <f>+'RESUMEN INSUMOS'!F66</f>
        <v>64000</v>
      </c>
      <c r="G8" s="43">
        <f t="shared" si="0"/>
        <v>128000</v>
      </c>
      <c r="H8" s="43">
        <f t="shared" si="1"/>
        <v>512000</v>
      </c>
    </row>
    <row r="9" spans="2:15" x14ac:dyDescent="0.2">
      <c r="B9" s="48" t="s">
        <v>101</v>
      </c>
      <c r="C9" s="55"/>
      <c r="D9" s="48" t="s">
        <v>33</v>
      </c>
      <c r="E9" s="37">
        <v>2</v>
      </c>
      <c r="F9" s="43">
        <f>+'RESUMEN INSUMOS'!F67</f>
        <v>11500</v>
      </c>
      <c r="G9" s="43">
        <f t="shared" si="0"/>
        <v>23000</v>
      </c>
      <c r="H9" s="43">
        <f t="shared" si="1"/>
        <v>92000</v>
      </c>
    </row>
    <row r="10" spans="2:15" x14ac:dyDescent="0.2">
      <c r="B10" s="48" t="s">
        <v>99</v>
      </c>
      <c r="C10" s="55"/>
      <c r="D10" s="48" t="s">
        <v>33</v>
      </c>
      <c r="E10" s="37">
        <v>2</v>
      </c>
      <c r="F10" s="43">
        <f>+'RESUMEN INSUMOS'!F68</f>
        <v>8000</v>
      </c>
      <c r="G10" s="43">
        <f t="shared" si="0"/>
        <v>16000</v>
      </c>
      <c r="H10" s="43">
        <f t="shared" si="1"/>
        <v>64000</v>
      </c>
    </row>
    <row r="11" spans="2:15" x14ac:dyDescent="0.2">
      <c r="B11" s="48" t="s">
        <v>106</v>
      </c>
      <c r="C11" s="422" t="s">
        <v>107</v>
      </c>
      <c r="D11" s="419" t="s">
        <v>108</v>
      </c>
      <c r="E11" s="420">
        <v>1</v>
      </c>
      <c r="F11" s="421">
        <f>+'RESUMEN INSUMOS'!F69</f>
        <v>6500</v>
      </c>
      <c r="G11" s="43">
        <f t="shared" si="0"/>
        <v>6500</v>
      </c>
      <c r="H11" s="43">
        <f t="shared" si="1"/>
        <v>26000</v>
      </c>
      <c r="I11" s="576"/>
      <c r="J11" s="577"/>
      <c r="K11" s="577"/>
    </row>
    <row r="12" spans="2:15" x14ac:dyDescent="0.2">
      <c r="B12" s="48" t="s">
        <v>103</v>
      </c>
      <c r="C12" s="422"/>
      <c r="D12" s="419" t="s">
        <v>104</v>
      </c>
      <c r="E12" s="420">
        <v>6</v>
      </c>
      <c r="F12" s="421">
        <v>30723</v>
      </c>
      <c r="G12" s="43">
        <f t="shared" si="0"/>
        <v>184338</v>
      </c>
      <c r="H12" s="43">
        <f t="shared" si="1"/>
        <v>737352</v>
      </c>
      <c r="I12" s="580"/>
      <c r="J12" s="580"/>
      <c r="K12" s="580"/>
      <c r="L12" s="580"/>
      <c r="M12" s="580"/>
      <c r="N12" s="580"/>
      <c r="O12" s="580"/>
    </row>
    <row r="13" spans="2:15" ht="15" x14ac:dyDescent="0.25">
      <c r="B13" s="35" t="s">
        <v>6</v>
      </c>
      <c r="C13" s="56"/>
      <c r="D13" s="35"/>
      <c r="E13" s="38"/>
      <c r="F13" s="41"/>
      <c r="G13" s="41">
        <f>SUM(G4:G12)</f>
        <v>1272338</v>
      </c>
      <c r="H13" s="41">
        <f>SUM(H4:H12)</f>
        <v>5089352</v>
      </c>
    </row>
    <row r="14" spans="2:15" ht="15" x14ac:dyDescent="0.2">
      <c r="B14" s="61"/>
      <c r="C14" s="573" t="s">
        <v>51</v>
      </c>
      <c r="D14" s="572"/>
      <c r="E14" s="572"/>
      <c r="F14" s="572"/>
      <c r="G14" s="44"/>
      <c r="H14" s="45"/>
    </row>
    <row r="15" spans="2:15" ht="30" x14ac:dyDescent="0.2">
      <c r="B15" s="39" t="s">
        <v>41</v>
      </c>
      <c r="C15" s="39" t="s">
        <v>45</v>
      </c>
      <c r="D15" s="48" t="s">
        <v>30</v>
      </c>
      <c r="E15" s="37">
        <v>20</v>
      </c>
      <c r="F15" s="43">
        <f>+'RESUMEN INSUMOS'!F4</f>
        <v>41500</v>
      </c>
      <c r="G15" s="43">
        <f>(F15*E15)</f>
        <v>830000</v>
      </c>
      <c r="H15" s="43">
        <f t="shared" ref="H15:H20" si="2">(G15*4)</f>
        <v>3320000</v>
      </c>
      <c r="I15" s="578"/>
      <c r="J15" s="579"/>
      <c r="K15" s="579"/>
    </row>
    <row r="16" spans="2:15" ht="15" x14ac:dyDescent="0.2">
      <c r="B16" s="39" t="s">
        <v>110</v>
      </c>
      <c r="C16" s="39" t="s">
        <v>31</v>
      </c>
      <c r="D16" s="48" t="s">
        <v>30</v>
      </c>
      <c r="E16" s="37">
        <v>2</v>
      </c>
      <c r="F16" s="43">
        <f>+'RESUMEN INSUMOS'!F9</f>
        <v>167000</v>
      </c>
      <c r="G16" s="43">
        <f>(F16*E16)</f>
        <v>334000</v>
      </c>
      <c r="H16" s="43">
        <f t="shared" si="2"/>
        <v>1336000</v>
      </c>
      <c r="I16" s="578"/>
      <c r="J16" s="579"/>
      <c r="K16" s="579"/>
    </row>
    <row r="17" spans="2:11" ht="15" x14ac:dyDescent="0.2">
      <c r="B17" s="39" t="s">
        <v>112</v>
      </c>
      <c r="C17" s="39" t="s">
        <v>32</v>
      </c>
      <c r="D17" s="48" t="s">
        <v>30</v>
      </c>
      <c r="E17" s="37">
        <v>3</v>
      </c>
      <c r="F17" s="43">
        <f>+'RESUMEN INSUMOS'!F10</f>
        <v>161000</v>
      </c>
      <c r="G17" s="43">
        <f>(F17*E17)</f>
        <v>483000</v>
      </c>
      <c r="H17" s="43">
        <f t="shared" si="2"/>
        <v>1932000</v>
      </c>
      <c r="I17" s="578"/>
      <c r="J17" s="579"/>
      <c r="K17" s="579"/>
    </row>
    <row r="18" spans="2:11" ht="27.75" customHeight="1" x14ac:dyDescent="0.2">
      <c r="B18" s="39" t="s">
        <v>111</v>
      </c>
      <c r="C18" s="39" t="s">
        <v>277</v>
      </c>
      <c r="D18" s="48" t="s">
        <v>30</v>
      </c>
      <c r="E18" s="37">
        <v>2</v>
      </c>
      <c r="F18" s="43">
        <f>+'RESUMEN INSUMOS'!F11</f>
        <v>151000</v>
      </c>
      <c r="G18" s="43">
        <f>(F18*E18)</f>
        <v>302000</v>
      </c>
      <c r="H18" s="43">
        <f t="shared" si="2"/>
        <v>1208000</v>
      </c>
      <c r="I18" s="578"/>
      <c r="J18" s="579"/>
      <c r="K18" s="579"/>
    </row>
    <row r="19" spans="2:11" ht="15" x14ac:dyDescent="0.2">
      <c r="B19" s="39" t="s">
        <v>48</v>
      </c>
      <c r="C19" s="39" t="s">
        <v>47</v>
      </c>
      <c r="D19" s="48" t="s">
        <v>30</v>
      </c>
      <c r="E19" s="37">
        <v>1</v>
      </c>
      <c r="F19" s="43">
        <f>+'RESUMEN INSUMOS'!F7</f>
        <v>94000</v>
      </c>
      <c r="G19" s="43">
        <f t="shared" ref="G19:G26" si="3">(F19*E19)</f>
        <v>94000</v>
      </c>
      <c r="H19" s="43">
        <f t="shared" si="2"/>
        <v>376000</v>
      </c>
      <c r="I19" s="578"/>
      <c r="J19" s="579"/>
      <c r="K19" s="579"/>
    </row>
    <row r="20" spans="2:11" x14ac:dyDescent="0.2">
      <c r="B20" s="48" t="s">
        <v>49</v>
      </c>
      <c r="C20" s="55"/>
      <c r="D20" s="48" t="s">
        <v>30</v>
      </c>
      <c r="E20" s="37">
        <v>10</v>
      </c>
      <c r="F20" s="43">
        <f>+'RESUMEN INSUMOS'!F8</f>
        <v>20333.333333333332</v>
      </c>
      <c r="G20" s="43">
        <f t="shared" si="3"/>
        <v>203333.33333333331</v>
      </c>
      <c r="H20" s="43">
        <f t="shared" si="2"/>
        <v>813333.33333333326</v>
      </c>
      <c r="I20" s="578"/>
      <c r="J20" s="579"/>
      <c r="K20" s="579"/>
    </row>
    <row r="21" spans="2:11" ht="15" x14ac:dyDescent="0.25">
      <c r="B21" s="35" t="s">
        <v>6</v>
      </c>
      <c r="C21" s="36"/>
      <c r="D21" s="36"/>
      <c r="E21" s="36"/>
      <c r="F21" s="41"/>
      <c r="G21" s="41">
        <f>SUM(G15:G20)</f>
        <v>2246333.3333333335</v>
      </c>
      <c r="H21" s="41">
        <f>SUM(H15:H20)</f>
        <v>8985333.333333334</v>
      </c>
    </row>
    <row r="22" spans="2:11" ht="15" customHeight="1" x14ac:dyDescent="0.25">
      <c r="B22" s="62"/>
      <c r="C22" s="571" t="s">
        <v>50</v>
      </c>
      <c r="D22" s="572"/>
      <c r="E22" s="572"/>
      <c r="F22" s="572"/>
      <c r="G22" s="41"/>
      <c r="H22" s="41"/>
    </row>
    <row r="23" spans="2:11" ht="30" x14ac:dyDescent="0.2">
      <c r="B23" s="39" t="s">
        <v>68</v>
      </c>
      <c r="C23" s="39" t="s">
        <v>69</v>
      </c>
      <c r="D23" s="58" t="s">
        <v>28</v>
      </c>
      <c r="E23" s="37">
        <v>4</v>
      </c>
      <c r="F23" s="43">
        <f>+'RESUMEN INSUMOS'!F14</f>
        <v>18500</v>
      </c>
      <c r="G23" s="43">
        <f t="shared" si="3"/>
        <v>74000</v>
      </c>
      <c r="H23" s="43">
        <f>(G23*4)</f>
        <v>296000</v>
      </c>
      <c r="I23" s="578"/>
      <c r="J23" s="579"/>
      <c r="K23" s="424"/>
    </row>
    <row r="24" spans="2:11" ht="15" x14ac:dyDescent="0.2">
      <c r="B24" s="39" t="s">
        <v>70</v>
      </c>
      <c r="C24" s="39" t="s">
        <v>71</v>
      </c>
      <c r="D24" s="58" t="s">
        <v>28</v>
      </c>
      <c r="E24" s="37">
        <v>8</v>
      </c>
      <c r="F24" s="43">
        <f>+'RESUMEN INSUMOS'!F15</f>
        <v>12000</v>
      </c>
      <c r="G24" s="43">
        <f t="shared" si="3"/>
        <v>96000</v>
      </c>
      <c r="H24" s="43">
        <f>(G24*4)</f>
        <v>384000</v>
      </c>
      <c r="I24" s="578"/>
      <c r="J24" s="579"/>
    </row>
    <row r="25" spans="2:11" ht="15" x14ac:dyDescent="0.2">
      <c r="B25" s="39" t="s">
        <v>72</v>
      </c>
      <c r="C25" s="39" t="s">
        <v>73</v>
      </c>
      <c r="D25" s="58" t="s">
        <v>28</v>
      </c>
      <c r="E25" s="37">
        <v>2</v>
      </c>
      <c r="F25" s="43">
        <f>+'RESUMEN INSUMOS'!F16</f>
        <v>41000</v>
      </c>
      <c r="G25" s="43">
        <f t="shared" si="3"/>
        <v>82000</v>
      </c>
      <c r="H25" s="43">
        <f>(G25*4)</f>
        <v>328000</v>
      </c>
      <c r="I25" s="578"/>
      <c r="J25" s="579"/>
    </row>
    <row r="26" spans="2:11" ht="15" x14ac:dyDescent="0.2">
      <c r="B26" s="39" t="s">
        <v>74</v>
      </c>
      <c r="C26" s="39" t="s">
        <v>75</v>
      </c>
      <c r="D26" s="58" t="s">
        <v>28</v>
      </c>
      <c r="E26" s="37">
        <v>2</v>
      </c>
      <c r="F26" s="43">
        <f>+'RESUMEN INSUMOS'!F17</f>
        <v>21000</v>
      </c>
      <c r="G26" s="43">
        <f t="shared" si="3"/>
        <v>42000</v>
      </c>
      <c r="H26" s="43">
        <f>(G26*4)</f>
        <v>168000</v>
      </c>
      <c r="I26" s="578"/>
      <c r="J26" s="579"/>
    </row>
    <row r="27" spans="2:11" ht="15" x14ac:dyDescent="0.25">
      <c r="B27" s="54" t="s">
        <v>6</v>
      </c>
      <c r="C27" s="51"/>
      <c r="D27" s="36"/>
      <c r="E27" s="36"/>
      <c r="F27" s="41"/>
      <c r="G27" s="41">
        <f>SUM(G23:G26)</f>
        <v>294000</v>
      </c>
      <c r="H27" s="41">
        <f>SUM(H23:H26)</f>
        <v>1176000</v>
      </c>
    </row>
    <row r="28" spans="2:11" ht="15" x14ac:dyDescent="0.25">
      <c r="B28" s="62"/>
      <c r="C28" s="571" t="s">
        <v>64</v>
      </c>
      <c r="D28" s="572"/>
      <c r="E28" s="572"/>
      <c r="F28" s="572"/>
      <c r="G28" s="41"/>
      <c r="H28" s="41"/>
    </row>
    <row r="29" spans="2:11" ht="15" x14ac:dyDescent="0.2">
      <c r="B29" s="63" t="s">
        <v>113</v>
      </c>
      <c r="C29" s="63" t="s">
        <v>114</v>
      </c>
      <c r="D29" s="58" t="s">
        <v>33</v>
      </c>
      <c r="E29" s="37">
        <v>2</v>
      </c>
      <c r="F29" s="46">
        <v>50000</v>
      </c>
      <c r="G29" s="43">
        <f t="shared" ref="G29:G35" si="4">(F29*E29)</f>
        <v>100000</v>
      </c>
      <c r="H29" s="43">
        <f t="shared" ref="H29:H35" si="5">(G29*4)</f>
        <v>400000</v>
      </c>
      <c r="I29" s="578"/>
      <c r="J29" s="579"/>
    </row>
    <row r="30" spans="2:11" ht="15" x14ac:dyDescent="0.2">
      <c r="B30" s="180" t="s">
        <v>368</v>
      </c>
      <c r="C30" s="39" t="s">
        <v>369</v>
      </c>
      <c r="D30" s="58" t="s">
        <v>147</v>
      </c>
      <c r="E30" s="37">
        <v>6</v>
      </c>
      <c r="F30" s="46">
        <v>43000</v>
      </c>
      <c r="G30" s="43">
        <f>(F30*E30)</f>
        <v>258000</v>
      </c>
      <c r="H30" s="43">
        <f t="shared" si="5"/>
        <v>1032000</v>
      </c>
      <c r="I30" s="578"/>
      <c r="J30" s="579"/>
    </row>
    <row r="31" spans="2:11" ht="15" x14ac:dyDescent="0.2">
      <c r="B31" s="180" t="s">
        <v>362</v>
      </c>
      <c r="C31" s="39" t="s">
        <v>363</v>
      </c>
      <c r="D31" s="58" t="s">
        <v>147</v>
      </c>
      <c r="E31" s="37">
        <v>1</v>
      </c>
      <c r="F31" s="46">
        <v>39500</v>
      </c>
      <c r="G31" s="43">
        <f t="shared" si="4"/>
        <v>39500</v>
      </c>
      <c r="H31" s="43">
        <f t="shared" si="5"/>
        <v>158000</v>
      </c>
      <c r="I31" s="578"/>
      <c r="J31" s="579"/>
    </row>
    <row r="32" spans="2:11" ht="15" x14ac:dyDescent="0.2">
      <c r="B32" s="39" t="s">
        <v>62</v>
      </c>
      <c r="C32" s="39" t="s">
        <v>55</v>
      </c>
      <c r="D32" s="58" t="s">
        <v>28</v>
      </c>
      <c r="E32" s="37">
        <v>15</v>
      </c>
      <c r="F32" s="46">
        <f>+'RESUMEN INSUMOS'!F21</f>
        <v>25000</v>
      </c>
      <c r="G32" s="43">
        <f t="shared" si="4"/>
        <v>375000</v>
      </c>
      <c r="H32" s="43">
        <f t="shared" si="5"/>
        <v>1500000</v>
      </c>
      <c r="I32" s="578"/>
      <c r="J32" s="579"/>
    </row>
    <row r="33" spans="2:10" ht="15" x14ac:dyDescent="0.2">
      <c r="B33" s="39" t="s">
        <v>56</v>
      </c>
      <c r="C33" s="39" t="s">
        <v>57</v>
      </c>
      <c r="D33" s="58" t="s">
        <v>28</v>
      </c>
      <c r="E33" s="37">
        <v>15</v>
      </c>
      <c r="F33" s="46">
        <f>+'RESUMEN INSUMOS'!F22</f>
        <v>23666.666666666668</v>
      </c>
      <c r="G33" s="43">
        <f t="shared" si="4"/>
        <v>355000</v>
      </c>
      <c r="H33" s="43">
        <f t="shared" si="5"/>
        <v>1420000</v>
      </c>
      <c r="I33" s="578"/>
      <c r="J33" s="579"/>
    </row>
    <row r="34" spans="2:10" ht="15" x14ac:dyDescent="0.2">
      <c r="B34" s="39" t="s">
        <v>350</v>
      </c>
      <c r="C34" s="39" t="s">
        <v>59</v>
      </c>
      <c r="D34" s="58" t="s">
        <v>29</v>
      </c>
      <c r="E34" s="37">
        <v>1</v>
      </c>
      <c r="F34" s="46">
        <f>+'RESUMEN INSUMOS'!F23</f>
        <v>129000</v>
      </c>
      <c r="G34" s="43">
        <f t="shared" si="4"/>
        <v>129000</v>
      </c>
      <c r="H34" s="43">
        <f t="shared" si="5"/>
        <v>516000</v>
      </c>
      <c r="I34" s="578"/>
      <c r="J34" s="579"/>
    </row>
    <row r="35" spans="2:10" ht="15" x14ac:dyDescent="0.2">
      <c r="B35" s="39" t="s">
        <v>60</v>
      </c>
      <c r="C35" s="39" t="s">
        <v>61</v>
      </c>
      <c r="D35" s="58" t="s">
        <v>29</v>
      </c>
      <c r="E35" s="37">
        <v>1</v>
      </c>
      <c r="F35" s="46">
        <f>+'RESUMEN INSUMOS'!F24</f>
        <v>164333.33333333334</v>
      </c>
      <c r="G35" s="43">
        <f t="shared" si="4"/>
        <v>164333.33333333334</v>
      </c>
      <c r="H35" s="43">
        <f t="shared" si="5"/>
        <v>657333.33333333337</v>
      </c>
      <c r="I35" s="578"/>
      <c r="J35" s="579"/>
    </row>
    <row r="36" spans="2:10" ht="15" x14ac:dyDescent="0.25">
      <c r="B36" s="35" t="s">
        <v>6</v>
      </c>
      <c r="C36" s="36"/>
      <c r="D36" s="36"/>
      <c r="E36" s="36"/>
      <c r="F36" s="41"/>
      <c r="G36" s="41">
        <f>SUM(G29:G35)</f>
        <v>1420833.3333333333</v>
      </c>
      <c r="H36" s="41">
        <f>SUM(H29:H35)</f>
        <v>5683333.333333333</v>
      </c>
    </row>
    <row r="37" spans="2:10" ht="15" x14ac:dyDescent="0.25">
      <c r="B37" s="62"/>
      <c r="C37" s="571" t="s">
        <v>65</v>
      </c>
      <c r="D37" s="572"/>
      <c r="E37" s="572"/>
      <c r="F37" s="572"/>
      <c r="G37" s="41"/>
      <c r="H37" s="41"/>
    </row>
    <row r="38" spans="2:10" ht="15" x14ac:dyDescent="0.2">
      <c r="B38" s="39" t="s">
        <v>76</v>
      </c>
      <c r="C38" s="39" t="s">
        <v>77</v>
      </c>
      <c r="D38" s="58" t="s">
        <v>29</v>
      </c>
      <c r="E38" s="37">
        <v>2</v>
      </c>
      <c r="F38" s="46">
        <f>+'RESUMEN INSUMOS'!F29</f>
        <v>311666.66666666669</v>
      </c>
      <c r="G38" s="43">
        <f>(F38*E38)</f>
        <v>623333.33333333337</v>
      </c>
      <c r="H38" s="43">
        <f>(G38*4)</f>
        <v>2493333.3333333335</v>
      </c>
      <c r="I38" s="578"/>
      <c r="J38" s="579"/>
    </row>
    <row r="39" spans="2:10" ht="15" x14ac:dyDescent="0.2">
      <c r="B39" s="181" t="s">
        <v>366</v>
      </c>
      <c r="C39" s="39" t="s">
        <v>367</v>
      </c>
      <c r="D39" s="175" t="s">
        <v>29</v>
      </c>
      <c r="E39" s="37">
        <v>1</v>
      </c>
      <c r="F39" s="46">
        <v>30000</v>
      </c>
      <c r="G39" s="43">
        <f>(F39*E39)</f>
        <v>30000</v>
      </c>
      <c r="H39" s="43">
        <f>(G39*4)</f>
        <v>120000</v>
      </c>
      <c r="I39" s="578"/>
      <c r="J39" s="579"/>
    </row>
    <row r="40" spans="2:10" ht="15" x14ac:dyDescent="0.2">
      <c r="B40" s="178" t="s">
        <v>364</v>
      </c>
      <c r="C40" s="39" t="s">
        <v>365</v>
      </c>
      <c r="D40" s="175" t="s">
        <v>29</v>
      </c>
      <c r="E40" s="37">
        <v>1</v>
      </c>
      <c r="F40" s="46">
        <v>42100</v>
      </c>
      <c r="G40" s="43">
        <f>(F40*E40)</f>
        <v>42100</v>
      </c>
      <c r="H40" s="43">
        <f>(G40*4)</f>
        <v>168400</v>
      </c>
      <c r="I40" s="578"/>
      <c r="J40" s="579"/>
    </row>
    <row r="41" spans="2:10" ht="15" x14ac:dyDescent="0.25">
      <c r="B41" s="35" t="s">
        <v>6</v>
      </c>
      <c r="C41" s="36"/>
      <c r="D41" s="36"/>
      <c r="E41" s="36"/>
      <c r="F41" s="41"/>
      <c r="G41" s="41">
        <f>SUM(G38:G40)</f>
        <v>695433.33333333337</v>
      </c>
      <c r="H41" s="41">
        <f>SUM(H38:H40)</f>
        <v>2781733.3333333335</v>
      </c>
    </row>
    <row r="42" spans="2:10" ht="15" x14ac:dyDescent="0.25">
      <c r="B42" s="62"/>
      <c r="C42" s="571" t="s">
        <v>82</v>
      </c>
      <c r="D42" s="572"/>
      <c r="E42" s="572"/>
      <c r="F42" s="572"/>
      <c r="G42" s="41"/>
      <c r="H42" s="41"/>
    </row>
    <row r="43" spans="2:10" ht="15" x14ac:dyDescent="0.2">
      <c r="B43" s="53" t="s">
        <v>83</v>
      </c>
      <c r="C43" s="53" t="s">
        <v>84</v>
      </c>
      <c r="D43" s="58" t="s">
        <v>89</v>
      </c>
      <c r="E43" s="37">
        <v>1</v>
      </c>
      <c r="F43" s="46">
        <f>+'RESUMEN INSUMOS'!F37</f>
        <v>72333.333333333328</v>
      </c>
      <c r="G43" s="43">
        <f>(F43*E43)</f>
        <v>72333.333333333328</v>
      </c>
      <c r="H43" s="43">
        <f>(G43*4)</f>
        <v>289333.33333333331</v>
      </c>
      <c r="I43" s="578"/>
      <c r="J43" s="579"/>
    </row>
    <row r="44" spans="2:10" ht="15" x14ac:dyDescent="0.2">
      <c r="B44" s="53" t="s">
        <v>115</v>
      </c>
      <c r="C44" s="53" t="s">
        <v>116</v>
      </c>
      <c r="D44" s="58" t="s">
        <v>29</v>
      </c>
      <c r="E44" s="37">
        <v>1</v>
      </c>
      <c r="F44" s="46">
        <f>+'RESUMEN INSUMOS'!F40</f>
        <v>74000</v>
      </c>
      <c r="G44" s="43">
        <f>(F44*E44)</f>
        <v>74000</v>
      </c>
      <c r="H44" s="43">
        <f>(G44*4)</f>
        <v>296000</v>
      </c>
      <c r="I44" s="578"/>
      <c r="J44" s="579"/>
    </row>
    <row r="45" spans="2:10" ht="21" customHeight="1" x14ac:dyDescent="0.2">
      <c r="B45" s="39" t="s">
        <v>85</v>
      </c>
      <c r="C45" s="39" t="s">
        <v>86</v>
      </c>
      <c r="D45" s="58" t="s">
        <v>29</v>
      </c>
      <c r="E45" s="37">
        <v>6</v>
      </c>
      <c r="F45" s="46">
        <f>+'RESUMEN INSUMOS'!F38</f>
        <v>38333.333333333336</v>
      </c>
      <c r="G45" s="43">
        <f>(F45*E45)</f>
        <v>230000</v>
      </c>
      <c r="H45" s="43">
        <f>(G45*4)</f>
        <v>920000</v>
      </c>
      <c r="I45" s="578"/>
      <c r="J45" s="579"/>
    </row>
    <row r="46" spans="2:10" ht="27" customHeight="1" x14ac:dyDescent="0.2">
      <c r="B46" s="39" t="s">
        <v>87</v>
      </c>
      <c r="C46" s="39" t="s">
        <v>88</v>
      </c>
      <c r="D46" s="58" t="s">
        <v>29</v>
      </c>
      <c r="E46" s="37">
        <v>7</v>
      </c>
      <c r="F46" s="46">
        <f>+'RESUMEN INSUMOS'!F39</f>
        <v>33333.333333333336</v>
      </c>
      <c r="G46" s="43">
        <f>(F46*E46)</f>
        <v>233333.33333333334</v>
      </c>
      <c r="H46" s="43">
        <f>(G46*4)</f>
        <v>933333.33333333337</v>
      </c>
      <c r="I46" s="578"/>
      <c r="J46" s="579"/>
    </row>
    <row r="47" spans="2:10" ht="15" x14ac:dyDescent="0.25">
      <c r="B47" s="54" t="s">
        <v>6</v>
      </c>
      <c r="C47" s="51"/>
      <c r="D47" s="36"/>
      <c r="E47" s="36"/>
      <c r="F47" s="41"/>
      <c r="G47" s="41">
        <f>SUM(G43:G46)</f>
        <v>609666.66666666663</v>
      </c>
      <c r="H47" s="41">
        <f>SUM(H43:H46)</f>
        <v>2438666.6666666665</v>
      </c>
    </row>
    <row r="48" spans="2:10" ht="15" x14ac:dyDescent="0.25">
      <c r="B48" s="62"/>
      <c r="C48" s="571" t="s">
        <v>22</v>
      </c>
      <c r="D48" s="572"/>
      <c r="E48" s="572"/>
      <c r="F48" s="572"/>
      <c r="G48" s="41"/>
      <c r="H48" s="41"/>
    </row>
    <row r="49" spans="2:14" x14ac:dyDescent="0.2">
      <c r="B49" s="48" t="s">
        <v>34</v>
      </c>
      <c r="C49" s="55" t="s">
        <v>90</v>
      </c>
      <c r="D49" s="48" t="s">
        <v>35</v>
      </c>
      <c r="E49" s="37">
        <v>1</v>
      </c>
      <c r="F49" s="46">
        <f>+'RESUMEN INSUMOS'!F55</f>
        <v>316666.66666666669</v>
      </c>
      <c r="G49" s="43">
        <f>(F49*E49)</f>
        <v>316666.66666666669</v>
      </c>
      <c r="H49" s="43">
        <f>(G49*4)</f>
        <v>1266666.6666666667</v>
      </c>
      <c r="I49" s="576"/>
      <c r="J49" s="577"/>
      <c r="K49" s="577"/>
      <c r="L49" s="577"/>
      <c r="M49" s="577"/>
      <c r="N49" s="577"/>
    </row>
    <row r="50" spans="2:14" x14ac:dyDescent="0.2">
      <c r="B50" s="48" t="s">
        <v>36</v>
      </c>
      <c r="C50" s="55"/>
      <c r="D50" s="48" t="s">
        <v>37</v>
      </c>
      <c r="E50" s="37">
        <v>3</v>
      </c>
      <c r="F50" s="46">
        <f>+'RESUMEN INSUMOS'!F56</f>
        <v>130000</v>
      </c>
      <c r="G50" s="43">
        <f>(F50*E50)</f>
        <v>390000</v>
      </c>
      <c r="H50" s="43">
        <f>(G50*4)</f>
        <v>1560000</v>
      </c>
      <c r="I50" s="425"/>
      <c r="J50" s="425"/>
      <c r="K50" s="425"/>
      <c r="L50" s="425"/>
      <c r="M50" s="425"/>
      <c r="N50" s="425"/>
    </row>
    <row r="51" spans="2:14" x14ac:dyDescent="0.2">
      <c r="B51" s="48" t="s">
        <v>38</v>
      </c>
      <c r="C51" s="55"/>
      <c r="D51" s="48" t="s">
        <v>39</v>
      </c>
      <c r="E51" s="37">
        <v>400</v>
      </c>
      <c r="F51" s="46">
        <f>+'RESUMEN INSUMOS'!F57</f>
        <v>650</v>
      </c>
      <c r="G51" s="43">
        <f>(F51*E51)</f>
        <v>260000</v>
      </c>
      <c r="H51" s="43">
        <f>(G51*4)</f>
        <v>1040000</v>
      </c>
    </row>
    <row r="52" spans="2:14" ht="15" x14ac:dyDescent="0.25">
      <c r="B52" s="54" t="s">
        <v>6</v>
      </c>
      <c r="C52" s="51"/>
      <c r="D52" s="36"/>
      <c r="E52" s="36"/>
      <c r="F52" s="41"/>
      <c r="G52" s="41">
        <f>SUM(G49:G51)</f>
        <v>966666.66666666674</v>
      </c>
      <c r="H52" s="41">
        <f>SUM(H49:H51)</f>
        <v>3866666.666666667</v>
      </c>
    </row>
    <row r="53" spans="2:14" ht="15" x14ac:dyDescent="0.25">
      <c r="B53" s="575" t="s">
        <v>0</v>
      </c>
      <c r="C53" s="575"/>
      <c r="D53" s="575"/>
      <c r="E53" s="575"/>
      <c r="F53" s="47"/>
      <c r="G53" s="47">
        <f>SUM(G52,G47,G41,G36,G27,G21,G13)</f>
        <v>7505271.333333334</v>
      </c>
      <c r="H53" s="47">
        <f>SUM(H52,H47,H41,H36,H27,H21,H13)</f>
        <v>30021085.333333336</v>
      </c>
    </row>
    <row r="55" spans="2:14" ht="15" x14ac:dyDescent="0.25">
      <c r="H55" s="28"/>
    </row>
    <row r="57" spans="2:14" x14ac:dyDescent="0.2">
      <c r="D57" s="59"/>
    </row>
  </sheetData>
  <mergeCells count="17">
    <mergeCell ref="C42:F42"/>
    <mergeCell ref="C48:F48"/>
    <mergeCell ref="B53:E53"/>
    <mergeCell ref="C37:F37"/>
    <mergeCell ref="I11:K11"/>
    <mergeCell ref="I15:K20"/>
    <mergeCell ref="I23:J26"/>
    <mergeCell ref="I49:N49"/>
    <mergeCell ref="I29:J35"/>
    <mergeCell ref="I38:J40"/>
    <mergeCell ref="I43:J46"/>
    <mergeCell ref="I12:O12"/>
    <mergeCell ref="B1:H1"/>
    <mergeCell ref="C3:F3"/>
    <mergeCell ref="C14:F14"/>
    <mergeCell ref="C22:F22"/>
    <mergeCell ref="C28:F2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5"/>
  <sheetViews>
    <sheetView topLeftCell="A2" workbookViewId="0">
      <pane ySplit="2" topLeftCell="A4" activePane="bottomLeft" state="frozen"/>
      <selection activeCell="H43" sqref="H43"/>
      <selection pane="bottomLeft" activeCell="H43" sqref="H43"/>
    </sheetView>
  </sheetViews>
  <sheetFormatPr baseColWidth="10" defaultRowHeight="14.25" x14ac:dyDescent="0.2"/>
  <cols>
    <col min="1" max="1" width="8.42578125" style="40" customWidth="1"/>
    <col min="2" max="2" width="41" style="60" customWidth="1"/>
    <col min="3" max="3" width="21.85546875" style="57" customWidth="1"/>
    <col min="4" max="4" width="20.5703125" style="60" customWidth="1"/>
    <col min="5" max="5" width="13.85546875" style="40" customWidth="1"/>
    <col min="6" max="6" width="19.42578125" style="40" customWidth="1"/>
    <col min="7" max="7" width="17.85546875" style="40" customWidth="1"/>
    <col min="8" max="8" width="23.42578125" style="40" customWidth="1"/>
    <col min="9" max="16384" width="11.42578125" style="40"/>
  </cols>
  <sheetData>
    <row r="1" spans="2:8" ht="54" customHeight="1" x14ac:dyDescent="0.2">
      <c r="B1" s="510" t="s">
        <v>117</v>
      </c>
      <c r="C1" s="510"/>
      <c r="D1" s="510"/>
      <c r="E1" s="510"/>
      <c r="F1" s="510"/>
      <c r="G1" s="510"/>
      <c r="H1" s="510"/>
    </row>
    <row r="2" spans="2:8" ht="45" x14ac:dyDescent="0.2">
      <c r="B2" s="35" t="s">
        <v>4</v>
      </c>
      <c r="C2" s="36" t="s">
        <v>42</v>
      </c>
      <c r="D2" s="35" t="s">
        <v>19</v>
      </c>
      <c r="E2" s="36" t="s">
        <v>26</v>
      </c>
      <c r="F2" s="36" t="s">
        <v>27</v>
      </c>
      <c r="G2" s="36" t="s">
        <v>92</v>
      </c>
      <c r="H2" s="36" t="s">
        <v>91</v>
      </c>
    </row>
    <row r="3" spans="2:8" ht="15" x14ac:dyDescent="0.2">
      <c r="B3" s="35"/>
      <c r="C3" s="573" t="s">
        <v>1</v>
      </c>
      <c r="D3" s="572"/>
      <c r="E3" s="572"/>
      <c r="F3" s="572"/>
      <c r="G3" s="42"/>
      <c r="H3" s="36"/>
    </row>
    <row r="4" spans="2:8" ht="42.75" x14ac:dyDescent="0.2">
      <c r="B4" s="48" t="s">
        <v>118</v>
      </c>
      <c r="C4" s="55" t="s">
        <v>145</v>
      </c>
      <c r="D4" s="48" t="s">
        <v>28</v>
      </c>
      <c r="E4" s="37">
        <v>50</v>
      </c>
      <c r="F4" s="43">
        <f>+'RESUMEN INSUMOS'!F47</f>
        <v>7500</v>
      </c>
      <c r="G4" s="43">
        <f>(F4*E4)</f>
        <v>375000</v>
      </c>
      <c r="H4" s="43">
        <f>(G4*4)</f>
        <v>1500000</v>
      </c>
    </row>
    <row r="5" spans="2:8" ht="15" x14ac:dyDescent="0.25">
      <c r="B5" s="35" t="s">
        <v>6</v>
      </c>
      <c r="C5" s="56"/>
      <c r="D5" s="35"/>
      <c r="E5" s="38"/>
      <c r="F5" s="41"/>
      <c r="G5" s="41">
        <f>SUM(G4)</f>
        <v>375000</v>
      </c>
      <c r="H5" s="41">
        <f>SUM(H4)</f>
        <v>1500000</v>
      </c>
    </row>
    <row r="6" spans="2:8" ht="15" x14ac:dyDescent="0.2">
      <c r="B6" s="61"/>
      <c r="C6" s="573" t="s">
        <v>51</v>
      </c>
      <c r="D6" s="572"/>
      <c r="E6" s="572"/>
      <c r="F6" s="572"/>
      <c r="G6" s="44"/>
      <c r="H6" s="45"/>
    </row>
    <row r="7" spans="2:8" ht="30" x14ac:dyDescent="0.2">
      <c r="B7" s="39" t="s">
        <v>41</v>
      </c>
      <c r="C7" s="39" t="s">
        <v>45</v>
      </c>
      <c r="D7" s="48" t="s">
        <v>30</v>
      </c>
      <c r="E7" s="37">
        <v>20</v>
      </c>
      <c r="F7" s="43">
        <f>+'RESUMEN INSUMOS'!F4</f>
        <v>41500</v>
      </c>
      <c r="G7" s="43">
        <f>(F7*E7)</f>
        <v>830000</v>
      </c>
      <c r="H7" s="43">
        <f t="shared" ref="H7:H13" si="0">(G7*4)</f>
        <v>3320000</v>
      </c>
    </row>
    <row r="8" spans="2:8" ht="15" x14ac:dyDescent="0.2">
      <c r="B8" s="39" t="s">
        <v>110</v>
      </c>
      <c r="C8" s="39" t="s">
        <v>31</v>
      </c>
      <c r="D8" s="48" t="s">
        <v>30</v>
      </c>
      <c r="E8" s="37">
        <v>2</v>
      </c>
      <c r="F8" s="43">
        <f>+'RESUMEN INSUMOS'!F9</f>
        <v>167000</v>
      </c>
      <c r="G8" s="43">
        <f>(F8*E8)</f>
        <v>334000</v>
      </c>
      <c r="H8" s="43">
        <f t="shared" si="0"/>
        <v>1336000</v>
      </c>
    </row>
    <row r="9" spans="2:8" ht="15" x14ac:dyDescent="0.2">
      <c r="B9" s="39" t="s">
        <v>112</v>
      </c>
      <c r="C9" s="39" t="s">
        <v>32</v>
      </c>
      <c r="D9" s="48" t="s">
        <v>30</v>
      </c>
      <c r="E9" s="37">
        <v>2</v>
      </c>
      <c r="F9" s="43">
        <f>+'RESUMEN INSUMOS'!F10</f>
        <v>161000</v>
      </c>
      <c r="G9" s="43">
        <f>(F9*E9)</f>
        <v>322000</v>
      </c>
      <c r="H9" s="43">
        <f t="shared" si="0"/>
        <v>1288000</v>
      </c>
    </row>
    <row r="10" spans="2:8" ht="27.75" customHeight="1" x14ac:dyDescent="0.2">
      <c r="B10" s="39" t="s">
        <v>111</v>
      </c>
      <c r="C10" s="39" t="s">
        <v>277</v>
      </c>
      <c r="D10" s="48" t="s">
        <v>30</v>
      </c>
      <c r="E10" s="37">
        <v>1</v>
      </c>
      <c r="F10" s="43">
        <f>+'RESUMEN INSUMOS'!F11</f>
        <v>151000</v>
      </c>
      <c r="G10" s="43">
        <f>(F10*E10)</f>
        <v>151000</v>
      </c>
      <c r="H10" s="43">
        <f t="shared" si="0"/>
        <v>604000</v>
      </c>
    </row>
    <row r="11" spans="2:8" ht="27.75" customHeight="1" x14ac:dyDescent="0.2">
      <c r="B11" s="39" t="s">
        <v>120</v>
      </c>
      <c r="C11" s="39" t="s">
        <v>119</v>
      </c>
      <c r="D11" s="48" t="s">
        <v>30</v>
      </c>
      <c r="E11" s="37">
        <v>1</v>
      </c>
      <c r="F11" s="43">
        <f>+'RESUMEN INSUMOS'!F12</f>
        <v>95000</v>
      </c>
      <c r="G11" s="43">
        <f>(F11*E11)</f>
        <v>95000</v>
      </c>
      <c r="H11" s="43">
        <f t="shared" si="0"/>
        <v>380000</v>
      </c>
    </row>
    <row r="12" spans="2:8" ht="15" x14ac:dyDescent="0.2">
      <c r="B12" s="39" t="s">
        <v>48</v>
      </c>
      <c r="C12" s="39" t="s">
        <v>47</v>
      </c>
      <c r="D12" s="48" t="s">
        <v>30</v>
      </c>
      <c r="E12" s="37">
        <v>1</v>
      </c>
      <c r="F12" s="43">
        <f>+'RESUMEN INSUMOS'!F7</f>
        <v>94000</v>
      </c>
      <c r="G12" s="43">
        <f t="shared" ref="G12:G19" si="1">(F12*E12)</f>
        <v>94000</v>
      </c>
      <c r="H12" s="43">
        <f t="shared" si="0"/>
        <v>376000</v>
      </c>
    </row>
    <row r="13" spans="2:8" x14ac:dyDescent="0.2">
      <c r="B13" s="48" t="s">
        <v>49</v>
      </c>
      <c r="C13" s="55"/>
      <c r="D13" s="48" t="s">
        <v>30</v>
      </c>
      <c r="E13" s="37">
        <v>10</v>
      </c>
      <c r="F13" s="43">
        <f>+'RESUMEN INSUMOS'!F8</f>
        <v>20333.333333333332</v>
      </c>
      <c r="G13" s="43">
        <f t="shared" si="1"/>
        <v>203333.33333333331</v>
      </c>
      <c r="H13" s="43">
        <f t="shared" si="0"/>
        <v>813333.33333333326</v>
      </c>
    </row>
    <row r="14" spans="2:8" ht="15" x14ac:dyDescent="0.25">
      <c r="B14" s="35" t="s">
        <v>6</v>
      </c>
      <c r="C14" s="36"/>
      <c r="D14" s="36"/>
      <c r="E14" s="36"/>
      <c r="F14" s="41"/>
      <c r="G14" s="41">
        <f>SUM(G7:G13)</f>
        <v>2029333.3333333333</v>
      </c>
      <c r="H14" s="41">
        <f>SUM(H7:H13)</f>
        <v>8117333.333333333</v>
      </c>
    </row>
    <row r="15" spans="2:8" ht="15" customHeight="1" x14ac:dyDescent="0.25">
      <c r="B15" s="62"/>
      <c r="C15" s="571" t="s">
        <v>50</v>
      </c>
      <c r="D15" s="572"/>
      <c r="E15" s="572"/>
      <c r="F15" s="572"/>
      <c r="G15" s="41"/>
      <c r="H15" s="41"/>
    </row>
    <row r="16" spans="2:8" ht="30" x14ac:dyDescent="0.2">
      <c r="B16" s="39" t="s">
        <v>68</v>
      </c>
      <c r="C16" s="39" t="s">
        <v>69</v>
      </c>
      <c r="D16" s="58" t="s">
        <v>28</v>
      </c>
      <c r="E16" s="37">
        <v>4</v>
      </c>
      <c r="F16" s="43">
        <f>+'RESUMEN INSUMOS'!F14</f>
        <v>18500</v>
      </c>
      <c r="G16" s="43">
        <f t="shared" si="1"/>
        <v>74000</v>
      </c>
      <c r="H16" s="43">
        <f>(G16*4)</f>
        <v>296000</v>
      </c>
    </row>
    <row r="17" spans="2:8" ht="15" x14ac:dyDescent="0.2">
      <c r="B17" s="39" t="s">
        <v>70</v>
      </c>
      <c r="C17" s="39" t="s">
        <v>71</v>
      </c>
      <c r="D17" s="58" t="s">
        <v>28</v>
      </c>
      <c r="E17" s="37">
        <v>8</v>
      </c>
      <c r="F17" s="43">
        <f>+'RESUMEN INSUMOS'!F15</f>
        <v>12000</v>
      </c>
      <c r="G17" s="43">
        <f t="shared" si="1"/>
        <v>96000</v>
      </c>
      <c r="H17" s="43">
        <f>(G17*4)</f>
        <v>384000</v>
      </c>
    </row>
    <row r="18" spans="2:8" ht="15" x14ac:dyDescent="0.2">
      <c r="B18" s="39" t="s">
        <v>72</v>
      </c>
      <c r="C18" s="39" t="s">
        <v>73</v>
      </c>
      <c r="D18" s="58" t="s">
        <v>28</v>
      </c>
      <c r="E18" s="37">
        <v>2</v>
      </c>
      <c r="F18" s="43">
        <f>+'RESUMEN INSUMOS'!F16</f>
        <v>41000</v>
      </c>
      <c r="G18" s="43">
        <f t="shared" si="1"/>
        <v>82000</v>
      </c>
      <c r="H18" s="43">
        <f>(G18*4)</f>
        <v>328000</v>
      </c>
    </row>
    <row r="19" spans="2:8" ht="15" x14ac:dyDescent="0.2">
      <c r="B19" s="39" t="s">
        <v>74</v>
      </c>
      <c r="C19" s="39" t="s">
        <v>75</v>
      </c>
      <c r="D19" s="58" t="s">
        <v>28</v>
      </c>
      <c r="E19" s="37">
        <v>2</v>
      </c>
      <c r="F19" s="43">
        <f>+'RESUMEN INSUMOS'!F17</f>
        <v>21000</v>
      </c>
      <c r="G19" s="43">
        <f t="shared" si="1"/>
        <v>42000</v>
      </c>
      <c r="H19" s="43">
        <f>(G19*4)</f>
        <v>168000</v>
      </c>
    </row>
    <row r="20" spans="2:8" ht="15" x14ac:dyDescent="0.25">
      <c r="B20" s="54" t="s">
        <v>6</v>
      </c>
      <c r="C20" s="51"/>
      <c r="D20" s="36"/>
      <c r="E20" s="36"/>
      <c r="F20" s="41"/>
      <c r="G20" s="41">
        <f>SUM(G16:G19)</f>
        <v>294000</v>
      </c>
      <c r="H20" s="41">
        <f>SUM(H16:H19)</f>
        <v>1176000</v>
      </c>
    </row>
    <row r="21" spans="2:8" ht="15" x14ac:dyDescent="0.25">
      <c r="B21" s="62"/>
      <c r="C21" s="571" t="s">
        <v>64</v>
      </c>
      <c r="D21" s="572"/>
      <c r="E21" s="572"/>
      <c r="F21" s="572"/>
      <c r="G21" s="41"/>
      <c r="H21" s="41"/>
    </row>
    <row r="22" spans="2:8" ht="15" x14ac:dyDescent="0.2">
      <c r="B22" s="39" t="s">
        <v>121</v>
      </c>
      <c r="C22" s="39" t="s">
        <v>122</v>
      </c>
      <c r="D22" s="58" t="s">
        <v>29</v>
      </c>
      <c r="E22" s="37">
        <v>6</v>
      </c>
      <c r="F22" s="46">
        <f>+'RESUMEN INSUMOS'!F25</f>
        <v>43333.333333333336</v>
      </c>
      <c r="G22" s="43">
        <f>(F22*E22)</f>
        <v>260000</v>
      </c>
      <c r="H22" s="43">
        <f>(G22*4)</f>
        <v>1040000</v>
      </c>
    </row>
    <row r="23" spans="2:8" ht="15" x14ac:dyDescent="0.2">
      <c r="B23" s="180" t="s">
        <v>362</v>
      </c>
      <c r="C23" s="39" t="s">
        <v>363</v>
      </c>
      <c r="D23" s="58" t="s">
        <v>147</v>
      </c>
      <c r="E23" s="37">
        <v>1</v>
      </c>
      <c r="F23" s="46">
        <v>39900</v>
      </c>
      <c r="G23" s="43">
        <f>(F23*E23)</f>
        <v>39900</v>
      </c>
      <c r="H23" s="43">
        <f>(G23*4)</f>
        <v>159600</v>
      </c>
    </row>
    <row r="24" spans="2:8" ht="15" x14ac:dyDescent="0.2">
      <c r="B24" s="180" t="s">
        <v>368</v>
      </c>
      <c r="C24" s="39" t="s">
        <v>369</v>
      </c>
      <c r="D24" s="175" t="s">
        <v>33</v>
      </c>
      <c r="E24" s="37">
        <v>1</v>
      </c>
      <c r="F24" s="46">
        <v>26700</v>
      </c>
      <c r="G24" s="43">
        <f>(F24*E24)</f>
        <v>26700</v>
      </c>
      <c r="H24" s="43">
        <f>(G24*4)</f>
        <v>106800</v>
      </c>
    </row>
    <row r="25" spans="2:8" ht="15" x14ac:dyDescent="0.2">
      <c r="B25" s="52" t="s">
        <v>62</v>
      </c>
      <c r="C25" s="52" t="s">
        <v>55</v>
      </c>
      <c r="D25" s="58" t="s">
        <v>28</v>
      </c>
      <c r="E25" s="37">
        <v>3</v>
      </c>
      <c r="F25" s="46">
        <f>+'RESUMEN INSUMOS'!F21</f>
        <v>25000</v>
      </c>
      <c r="G25" s="43">
        <f>(F25*E25)</f>
        <v>75000</v>
      </c>
      <c r="H25" s="43">
        <f>(G25*4)</f>
        <v>300000</v>
      </c>
    </row>
    <row r="26" spans="2:8" ht="15" x14ac:dyDescent="0.2">
      <c r="B26" s="39" t="s">
        <v>56</v>
      </c>
      <c r="C26" s="39" t="s">
        <v>57</v>
      </c>
      <c r="D26" s="58" t="s">
        <v>28</v>
      </c>
      <c r="E26" s="37">
        <v>3</v>
      </c>
      <c r="F26" s="46">
        <f>+'RESUMEN INSUMOS'!F22</f>
        <v>23666.666666666668</v>
      </c>
      <c r="G26" s="43">
        <f>(F26*E26)</f>
        <v>71000</v>
      </c>
      <c r="H26" s="43">
        <f>(G26*4)</f>
        <v>284000</v>
      </c>
    </row>
    <row r="27" spans="2:8" ht="15" x14ac:dyDescent="0.25">
      <c r="B27" s="35" t="s">
        <v>6</v>
      </c>
      <c r="C27" s="36"/>
      <c r="D27" s="36"/>
      <c r="E27" s="36"/>
      <c r="F27" s="41"/>
      <c r="G27" s="41">
        <f>SUM(G22:G26)</f>
        <v>472600</v>
      </c>
      <c r="H27" s="41">
        <f>SUM(H22:H26)</f>
        <v>1890400</v>
      </c>
    </row>
    <row r="28" spans="2:8" ht="15" x14ac:dyDescent="0.25">
      <c r="B28" s="62"/>
      <c r="C28" s="571" t="s">
        <v>65</v>
      </c>
      <c r="D28" s="572"/>
      <c r="E28" s="572"/>
      <c r="F28" s="572"/>
      <c r="G28" s="41"/>
      <c r="H28" s="41"/>
    </row>
    <row r="29" spans="2:8" ht="15" x14ac:dyDescent="0.2">
      <c r="B29" s="64" t="s">
        <v>126</v>
      </c>
      <c r="C29" s="39" t="s">
        <v>81</v>
      </c>
      <c r="D29" s="58" t="s">
        <v>133</v>
      </c>
      <c r="E29" s="37">
        <v>1</v>
      </c>
      <c r="F29" s="46">
        <f>+'RESUMEN INSUMOS'!F31</f>
        <v>668666.66666666663</v>
      </c>
      <c r="G29" s="43">
        <f>(F29*E29)</f>
        <v>668666.66666666663</v>
      </c>
      <c r="H29" s="43">
        <f>(G29*4)</f>
        <v>2674666.6666666665</v>
      </c>
    </row>
    <row r="30" spans="2:8" ht="15" x14ac:dyDescent="0.2">
      <c r="B30" s="177" t="s">
        <v>370</v>
      </c>
      <c r="C30" s="39" t="s">
        <v>371</v>
      </c>
      <c r="D30" s="58" t="s">
        <v>372</v>
      </c>
      <c r="E30" s="37">
        <v>3</v>
      </c>
      <c r="F30" s="46">
        <v>31000</v>
      </c>
      <c r="G30" s="43">
        <f>(F30*E30)</f>
        <v>93000</v>
      </c>
      <c r="H30" s="43">
        <f>(G30*4)</f>
        <v>372000</v>
      </c>
    </row>
    <row r="31" spans="2:8" ht="15" x14ac:dyDescent="0.2">
      <c r="B31" s="39" t="s">
        <v>129</v>
      </c>
      <c r="C31" s="39" t="s">
        <v>130</v>
      </c>
      <c r="D31" s="58" t="s">
        <v>29</v>
      </c>
      <c r="E31" s="37">
        <v>1</v>
      </c>
      <c r="F31" s="46">
        <f>+'RESUMEN INSUMOS'!F34</f>
        <v>166666.66666666666</v>
      </c>
      <c r="G31" s="43">
        <f>(F31*E31)</f>
        <v>166666.66666666666</v>
      </c>
      <c r="H31" s="43">
        <f>(G31*4)</f>
        <v>666666.66666666663</v>
      </c>
    </row>
    <row r="32" spans="2:8" ht="15" x14ac:dyDescent="0.2">
      <c r="B32" s="39" t="s">
        <v>131</v>
      </c>
      <c r="C32" s="39" t="s">
        <v>132</v>
      </c>
      <c r="D32" s="65" t="s">
        <v>29</v>
      </c>
      <c r="E32" s="37">
        <v>1</v>
      </c>
      <c r="F32" s="46">
        <f>+'RESUMEN INSUMOS'!F35</f>
        <v>181000</v>
      </c>
      <c r="G32" s="43">
        <f>(F32*E32)</f>
        <v>181000</v>
      </c>
      <c r="H32" s="43">
        <f>(G32*4)</f>
        <v>724000</v>
      </c>
    </row>
    <row r="33" spans="2:8" ht="15" x14ac:dyDescent="0.25">
      <c r="B33" s="54" t="s">
        <v>6</v>
      </c>
      <c r="C33" s="51"/>
      <c r="D33" s="36"/>
      <c r="E33" s="36"/>
      <c r="F33" s="41"/>
      <c r="G33" s="41">
        <f>SUM(G29:G32)</f>
        <v>1109333.3333333333</v>
      </c>
      <c r="H33" s="41">
        <f>SUM(H29:H32)</f>
        <v>4437333.333333333</v>
      </c>
    </row>
    <row r="34" spans="2:8" ht="15" x14ac:dyDescent="0.25">
      <c r="B34" s="62"/>
      <c r="C34" s="571" t="s">
        <v>82</v>
      </c>
      <c r="D34" s="572"/>
      <c r="E34" s="572"/>
      <c r="F34" s="572"/>
      <c r="G34" s="41"/>
      <c r="H34" s="41"/>
    </row>
    <row r="35" spans="2:8" ht="15" x14ac:dyDescent="0.2">
      <c r="B35" s="53" t="s">
        <v>83</v>
      </c>
      <c r="C35" s="53" t="s">
        <v>84</v>
      </c>
      <c r="D35" s="58" t="s">
        <v>89</v>
      </c>
      <c r="E35" s="37">
        <v>1</v>
      </c>
      <c r="F35" s="46">
        <f>+'RESUMEN INSUMOS'!F37</f>
        <v>72333.333333333328</v>
      </c>
      <c r="G35" s="43">
        <f>(F35*E35)</f>
        <v>72333.333333333328</v>
      </c>
      <c r="H35" s="43">
        <f>(G35*4)</f>
        <v>289333.33333333331</v>
      </c>
    </row>
    <row r="36" spans="2:8" ht="21" customHeight="1" x14ac:dyDescent="0.2">
      <c r="B36" s="39" t="s">
        <v>85</v>
      </c>
      <c r="C36" s="39" t="s">
        <v>86</v>
      </c>
      <c r="D36" s="58" t="s">
        <v>29</v>
      </c>
      <c r="E36" s="37">
        <v>3</v>
      </c>
      <c r="F36" s="46">
        <f>+'RESUMEN INSUMOS'!F38</f>
        <v>38333.333333333336</v>
      </c>
      <c r="G36" s="43">
        <f>(F36*E36)</f>
        <v>115000</v>
      </c>
      <c r="H36" s="43">
        <f>(G36*4)</f>
        <v>460000</v>
      </c>
    </row>
    <row r="37" spans="2:8" ht="27" customHeight="1" x14ac:dyDescent="0.2">
      <c r="B37" s="39" t="s">
        <v>87</v>
      </c>
      <c r="C37" s="39" t="s">
        <v>88</v>
      </c>
      <c r="D37" s="58" t="s">
        <v>29</v>
      </c>
      <c r="E37" s="37">
        <v>4</v>
      </c>
      <c r="F37" s="46">
        <f>+'RESUMEN INSUMOS'!F39</f>
        <v>33333.333333333336</v>
      </c>
      <c r="G37" s="43">
        <f>(F37*E37)</f>
        <v>133333.33333333334</v>
      </c>
      <c r="H37" s="43">
        <f>(G37*4)</f>
        <v>533333.33333333337</v>
      </c>
    </row>
    <row r="38" spans="2:8" ht="15" x14ac:dyDescent="0.25">
      <c r="B38" s="54" t="s">
        <v>6</v>
      </c>
      <c r="C38" s="51"/>
      <c r="D38" s="36"/>
      <c r="E38" s="36"/>
      <c r="F38" s="41"/>
      <c r="G38" s="41">
        <f>SUM(G35:G37)</f>
        <v>320666.66666666663</v>
      </c>
      <c r="H38" s="41">
        <f>SUM(H35:H37)</f>
        <v>1282666.6666666665</v>
      </c>
    </row>
    <row r="39" spans="2:8" ht="15" x14ac:dyDescent="0.25">
      <c r="B39" s="62"/>
      <c r="C39" s="571" t="s">
        <v>22</v>
      </c>
      <c r="D39" s="572"/>
      <c r="E39" s="572"/>
      <c r="F39" s="572"/>
      <c r="G39" s="41"/>
      <c r="H39" s="41"/>
    </row>
    <row r="40" spans="2:8" x14ac:dyDescent="0.2">
      <c r="B40" s="48" t="s">
        <v>34</v>
      </c>
      <c r="C40" s="55" t="s">
        <v>90</v>
      </c>
      <c r="D40" s="48" t="s">
        <v>35</v>
      </c>
      <c r="E40" s="37">
        <v>1</v>
      </c>
      <c r="F40" s="46">
        <f>+'RESUMEN INSUMOS'!F55</f>
        <v>316666.66666666669</v>
      </c>
      <c r="G40" s="43">
        <f>(F40*E40)</f>
        <v>316666.66666666669</v>
      </c>
      <c r="H40" s="43">
        <f>(G40*4)</f>
        <v>1266666.6666666667</v>
      </c>
    </row>
    <row r="41" spans="2:8" x14ac:dyDescent="0.2">
      <c r="B41" s="48" t="s">
        <v>125</v>
      </c>
      <c r="C41" s="55"/>
      <c r="D41" s="48" t="s">
        <v>98</v>
      </c>
      <c r="E41" s="37">
        <v>1</v>
      </c>
      <c r="F41" s="46">
        <f>+'RESUMEN INSUMOS'!F58</f>
        <v>115000</v>
      </c>
      <c r="G41" s="43">
        <f>(F41*E41)</f>
        <v>115000</v>
      </c>
      <c r="H41" s="43">
        <f>(G41*4)</f>
        <v>460000</v>
      </c>
    </row>
    <row r="42" spans="2:8" x14ac:dyDescent="0.2">
      <c r="B42" s="48" t="s">
        <v>36</v>
      </c>
      <c r="C42" s="55"/>
      <c r="D42" s="48" t="s">
        <v>37</v>
      </c>
      <c r="E42" s="37">
        <v>1</v>
      </c>
      <c r="F42" s="46">
        <f>+'RESUMEN INSUMOS'!F56</f>
        <v>130000</v>
      </c>
      <c r="G42" s="43">
        <f>(F42*E42)</f>
        <v>130000</v>
      </c>
      <c r="H42" s="43">
        <f>(G42*4)</f>
        <v>520000</v>
      </c>
    </row>
    <row r="43" spans="2:8" x14ac:dyDescent="0.2">
      <c r="B43" s="48" t="s">
        <v>38</v>
      </c>
      <c r="C43" s="55"/>
      <c r="D43" s="48" t="s">
        <v>39</v>
      </c>
      <c r="E43" s="37">
        <v>200</v>
      </c>
      <c r="F43" s="46">
        <f>+'RESUMEN INSUMOS'!F57</f>
        <v>650</v>
      </c>
      <c r="G43" s="43">
        <f>(F43*E43)</f>
        <v>130000</v>
      </c>
      <c r="H43" s="43">
        <f>(G43*4)</f>
        <v>520000</v>
      </c>
    </row>
    <row r="44" spans="2:8" ht="15" x14ac:dyDescent="0.25">
      <c r="B44" s="54" t="s">
        <v>6</v>
      </c>
      <c r="C44" s="51"/>
      <c r="D44" s="36"/>
      <c r="E44" s="36"/>
      <c r="F44" s="41"/>
      <c r="G44" s="41">
        <f>SUM(G40:G43)</f>
        <v>691666.66666666674</v>
      </c>
      <c r="H44" s="41">
        <f>SUM(H40:H43)</f>
        <v>2766666.666666667</v>
      </c>
    </row>
    <row r="45" spans="2:8" ht="15" x14ac:dyDescent="0.25">
      <c r="B45" s="575" t="s">
        <v>0</v>
      </c>
      <c r="C45" s="575"/>
      <c r="D45" s="575"/>
      <c r="E45" s="575"/>
      <c r="F45" s="47"/>
      <c r="G45" s="47">
        <f>SUM(G44,G38,G33,G27,G20,G14,G5)</f>
        <v>5292600</v>
      </c>
      <c r="H45" s="47">
        <f>SUM(H44,H38,H33,H27,H20,H14,H5)</f>
        <v>21170400</v>
      </c>
    </row>
  </sheetData>
  <mergeCells count="9">
    <mergeCell ref="C34:F34"/>
    <mergeCell ref="C39:F39"/>
    <mergeCell ref="B45:E45"/>
    <mergeCell ref="B1:H1"/>
    <mergeCell ref="C3:F3"/>
    <mergeCell ref="C6:F6"/>
    <mergeCell ref="C15:F15"/>
    <mergeCell ref="C21:F21"/>
    <mergeCell ref="C28:F2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3"/>
  <sheetViews>
    <sheetView topLeftCell="A25" workbookViewId="0">
      <selection activeCell="B42" sqref="B42:H42"/>
    </sheetView>
  </sheetViews>
  <sheetFormatPr baseColWidth="10" defaultRowHeight="14.25" x14ac:dyDescent="0.2"/>
  <cols>
    <col min="1" max="1" width="8.42578125" style="40" customWidth="1"/>
    <col min="2" max="2" width="41" style="60" customWidth="1"/>
    <col min="3" max="3" width="21.85546875" style="57" customWidth="1"/>
    <col min="4" max="4" width="20.5703125" style="60" customWidth="1"/>
    <col min="5" max="5" width="13.85546875" style="40" customWidth="1"/>
    <col min="6" max="6" width="19.42578125" style="40" customWidth="1"/>
    <col min="7" max="7" width="17.85546875" style="40" customWidth="1"/>
    <col min="8" max="8" width="23.42578125" style="40" customWidth="1"/>
    <col min="9" max="16384" width="11.42578125" style="40"/>
  </cols>
  <sheetData>
    <row r="1" spans="2:8" ht="15" x14ac:dyDescent="0.2">
      <c r="B1" s="510" t="s">
        <v>134</v>
      </c>
      <c r="C1" s="510"/>
      <c r="D1" s="510"/>
      <c r="E1" s="510"/>
      <c r="F1" s="510"/>
      <c r="G1" s="510"/>
      <c r="H1" s="510"/>
    </row>
    <row r="2" spans="2:8" ht="45" x14ac:dyDescent="0.2">
      <c r="B2" s="35" t="s">
        <v>4</v>
      </c>
      <c r="C2" s="36" t="s">
        <v>42</v>
      </c>
      <c r="D2" s="35" t="s">
        <v>19</v>
      </c>
      <c r="E2" s="36" t="s">
        <v>574</v>
      </c>
      <c r="F2" s="36" t="s">
        <v>27</v>
      </c>
      <c r="G2" s="36" t="s">
        <v>92</v>
      </c>
      <c r="H2" s="36" t="s">
        <v>91</v>
      </c>
    </row>
    <row r="3" spans="2:8" ht="15" x14ac:dyDescent="0.2">
      <c r="B3" s="35"/>
      <c r="C3" s="573" t="s">
        <v>1</v>
      </c>
      <c r="D3" s="572"/>
      <c r="E3" s="572"/>
      <c r="F3" s="572"/>
      <c r="G3" s="42"/>
      <c r="H3" s="36"/>
    </row>
    <row r="4" spans="2:8" ht="28.5" x14ac:dyDescent="0.2">
      <c r="B4" s="66" t="s">
        <v>135</v>
      </c>
      <c r="C4" s="66" t="s">
        <v>136</v>
      </c>
      <c r="D4" s="497" t="s">
        <v>573</v>
      </c>
      <c r="E4" s="417">
        <v>90</v>
      </c>
      <c r="F4" s="43">
        <f>+'RESUMEN INSUMOS'!F48</f>
        <v>3000</v>
      </c>
      <c r="G4" s="43">
        <f>(F4*E4)</f>
        <v>270000</v>
      </c>
      <c r="H4" s="498">
        <f>(G4*4)</f>
        <v>1080000</v>
      </c>
    </row>
    <row r="5" spans="2:8" ht="15" x14ac:dyDescent="0.25">
      <c r="B5" s="35" t="s">
        <v>6</v>
      </c>
      <c r="C5" s="56"/>
      <c r="D5" s="35"/>
      <c r="E5" s="38"/>
      <c r="F5" s="41"/>
      <c r="G5" s="41">
        <f>SUM(G4)</f>
        <v>270000</v>
      </c>
      <c r="H5" s="499">
        <f>SUM(H4)</f>
        <v>1080000</v>
      </c>
    </row>
    <row r="6" spans="2:8" ht="15" x14ac:dyDescent="0.2">
      <c r="B6" s="61"/>
      <c r="C6" s="573" t="s">
        <v>51</v>
      </c>
      <c r="D6" s="572"/>
      <c r="E6" s="572"/>
      <c r="F6" s="572"/>
      <c r="G6" s="44"/>
      <c r="H6" s="45"/>
    </row>
    <row r="7" spans="2:8" ht="30" x14ac:dyDescent="0.2">
      <c r="B7" s="39" t="s">
        <v>41</v>
      </c>
      <c r="C7" s="39" t="s">
        <v>45</v>
      </c>
      <c r="D7" s="48" t="s">
        <v>30</v>
      </c>
      <c r="E7" s="37">
        <v>20</v>
      </c>
      <c r="F7" s="43">
        <f>+'RESUMEN INSUMOS'!F4</f>
        <v>41500</v>
      </c>
      <c r="G7" s="43">
        <f t="shared" ref="G7:G13" si="0">(F7*E7)</f>
        <v>830000</v>
      </c>
      <c r="H7" s="43">
        <f>(G7*4)</f>
        <v>3320000</v>
      </c>
    </row>
    <row r="8" spans="2:8" ht="15" x14ac:dyDescent="0.2">
      <c r="B8" s="39" t="s">
        <v>110</v>
      </c>
      <c r="C8" s="39" t="s">
        <v>31</v>
      </c>
      <c r="D8" s="48" t="s">
        <v>30</v>
      </c>
      <c r="E8" s="37">
        <v>1</v>
      </c>
      <c r="F8" s="43">
        <f>+'RESUMEN INSUMOS'!F9</f>
        <v>167000</v>
      </c>
      <c r="G8" s="43">
        <f t="shared" si="0"/>
        <v>167000</v>
      </c>
      <c r="H8" s="43">
        <f t="shared" ref="H8:H13" si="1">(G8*4)</f>
        <v>668000</v>
      </c>
    </row>
    <row r="9" spans="2:8" ht="15" x14ac:dyDescent="0.2">
      <c r="B9" s="39" t="s">
        <v>112</v>
      </c>
      <c r="C9" s="39" t="s">
        <v>32</v>
      </c>
      <c r="D9" s="48" t="s">
        <v>30</v>
      </c>
      <c r="E9" s="37">
        <v>1</v>
      </c>
      <c r="F9" s="43">
        <f>+'RESUMEN INSUMOS'!F10</f>
        <v>161000</v>
      </c>
      <c r="G9" s="43">
        <f t="shared" si="0"/>
        <v>161000</v>
      </c>
      <c r="H9" s="43">
        <f t="shared" si="1"/>
        <v>644000</v>
      </c>
    </row>
    <row r="10" spans="2:8" ht="27.75" customHeight="1" x14ac:dyDescent="0.2">
      <c r="B10" s="39" t="s">
        <v>111</v>
      </c>
      <c r="C10" s="39" t="s">
        <v>277</v>
      </c>
      <c r="D10" s="48" t="s">
        <v>30</v>
      </c>
      <c r="E10" s="37">
        <v>1</v>
      </c>
      <c r="F10" s="43">
        <f>+'RESUMEN INSUMOS'!F11</f>
        <v>151000</v>
      </c>
      <c r="G10" s="43">
        <f t="shared" si="0"/>
        <v>151000</v>
      </c>
      <c r="H10" s="43">
        <f t="shared" si="1"/>
        <v>604000</v>
      </c>
    </row>
    <row r="11" spans="2:8" ht="27.75" customHeight="1" x14ac:dyDescent="0.2">
      <c r="B11" s="39" t="s">
        <v>120</v>
      </c>
      <c r="C11" s="39" t="s">
        <v>119</v>
      </c>
      <c r="D11" s="48" t="s">
        <v>30</v>
      </c>
      <c r="E11" s="37">
        <v>1</v>
      </c>
      <c r="F11" s="43">
        <f>+'RESUMEN INSUMOS'!F12</f>
        <v>95000</v>
      </c>
      <c r="G11" s="43">
        <f t="shared" si="0"/>
        <v>95000</v>
      </c>
      <c r="H11" s="43">
        <f t="shared" si="1"/>
        <v>380000</v>
      </c>
    </row>
    <row r="12" spans="2:8" ht="15" x14ac:dyDescent="0.2">
      <c r="B12" s="39" t="s">
        <v>48</v>
      </c>
      <c r="C12" s="39" t="s">
        <v>47</v>
      </c>
      <c r="D12" s="48" t="s">
        <v>30</v>
      </c>
      <c r="E12" s="37">
        <v>1</v>
      </c>
      <c r="F12" s="43">
        <f>+'RESUMEN INSUMOS'!F7</f>
        <v>94000</v>
      </c>
      <c r="G12" s="43">
        <f t="shared" si="0"/>
        <v>94000</v>
      </c>
      <c r="H12" s="43">
        <f t="shared" si="1"/>
        <v>376000</v>
      </c>
    </row>
    <row r="13" spans="2:8" x14ac:dyDescent="0.2">
      <c r="B13" s="48" t="s">
        <v>142</v>
      </c>
      <c r="C13" s="55"/>
      <c r="D13" s="48" t="s">
        <v>30</v>
      </c>
      <c r="E13" s="37">
        <v>10</v>
      </c>
      <c r="F13" s="43">
        <f>+'RESUMEN INSUMOS'!F8</f>
        <v>20333.333333333332</v>
      </c>
      <c r="G13" s="43">
        <f t="shared" si="0"/>
        <v>203333.33333333331</v>
      </c>
      <c r="H13" s="43">
        <f t="shared" si="1"/>
        <v>813333.33333333326</v>
      </c>
    </row>
    <row r="14" spans="2:8" ht="15" x14ac:dyDescent="0.25">
      <c r="B14" s="35" t="s">
        <v>6</v>
      </c>
      <c r="C14" s="36"/>
      <c r="D14" s="36"/>
      <c r="E14" s="36"/>
      <c r="F14" s="41"/>
      <c r="G14" s="41">
        <f>SUM(G7:G13)</f>
        <v>1701333.3333333333</v>
      </c>
      <c r="H14" s="41">
        <f>SUM(H7:H13)</f>
        <v>6805333.333333333</v>
      </c>
    </row>
    <row r="15" spans="2:8" ht="15" customHeight="1" x14ac:dyDescent="0.25">
      <c r="B15" s="62"/>
      <c r="C15" s="571" t="s">
        <v>50</v>
      </c>
      <c r="D15" s="572"/>
      <c r="E15" s="572"/>
      <c r="F15" s="572"/>
      <c r="G15" s="41"/>
      <c r="H15" s="41"/>
    </row>
    <row r="16" spans="2:8" ht="30" x14ac:dyDescent="0.2">
      <c r="B16" s="39" t="s">
        <v>68</v>
      </c>
      <c r="C16" s="39" t="s">
        <v>69</v>
      </c>
      <c r="D16" s="58" t="s">
        <v>28</v>
      </c>
      <c r="E16" s="37">
        <v>4</v>
      </c>
      <c r="F16" s="43">
        <f>+'RESUMEN INSUMOS'!F14</f>
        <v>18500</v>
      </c>
      <c r="G16" s="43">
        <f t="shared" ref="G16:G19" si="2">(F16*E16)</f>
        <v>74000</v>
      </c>
      <c r="H16" s="43">
        <f>(G16*4)</f>
        <v>296000</v>
      </c>
    </row>
    <row r="17" spans="2:8" ht="15" x14ac:dyDescent="0.2">
      <c r="B17" s="39" t="s">
        <v>70</v>
      </c>
      <c r="C17" s="39" t="s">
        <v>71</v>
      </c>
      <c r="D17" s="58" t="s">
        <v>28</v>
      </c>
      <c r="E17" s="37">
        <v>4</v>
      </c>
      <c r="F17" s="43">
        <f>+'RESUMEN INSUMOS'!F15</f>
        <v>12000</v>
      </c>
      <c r="G17" s="43">
        <f t="shared" si="2"/>
        <v>48000</v>
      </c>
      <c r="H17" s="43">
        <f>(G17*4)</f>
        <v>192000</v>
      </c>
    </row>
    <row r="18" spans="2:8" ht="15" x14ac:dyDescent="0.2">
      <c r="B18" s="39" t="s">
        <v>72</v>
      </c>
      <c r="C18" s="39" t="s">
        <v>73</v>
      </c>
      <c r="D18" s="58" t="s">
        <v>28</v>
      </c>
      <c r="E18" s="37">
        <v>2</v>
      </c>
      <c r="F18" s="43">
        <f>+'RESUMEN INSUMOS'!F16</f>
        <v>41000</v>
      </c>
      <c r="G18" s="43">
        <f t="shared" si="2"/>
        <v>82000</v>
      </c>
      <c r="H18" s="43">
        <f>(G18*4)</f>
        <v>328000</v>
      </c>
    </row>
    <row r="19" spans="2:8" ht="15" x14ac:dyDescent="0.2">
      <c r="B19" s="39" t="s">
        <v>74</v>
      </c>
      <c r="C19" s="39" t="s">
        <v>75</v>
      </c>
      <c r="D19" s="58" t="s">
        <v>28</v>
      </c>
      <c r="E19" s="37">
        <v>2</v>
      </c>
      <c r="F19" s="43">
        <f>+'RESUMEN INSUMOS'!F17</f>
        <v>21000</v>
      </c>
      <c r="G19" s="43">
        <f t="shared" si="2"/>
        <v>42000</v>
      </c>
      <c r="H19" s="43">
        <f>(G19*4)</f>
        <v>168000</v>
      </c>
    </row>
    <row r="20" spans="2:8" ht="15" x14ac:dyDescent="0.25">
      <c r="B20" s="54" t="s">
        <v>6</v>
      </c>
      <c r="C20" s="51"/>
      <c r="D20" s="36"/>
      <c r="E20" s="36"/>
      <c r="F20" s="41"/>
      <c r="G20" s="41">
        <f>SUM(G16:G19)</f>
        <v>246000</v>
      </c>
      <c r="H20" s="41">
        <f>SUM(H16:H19)</f>
        <v>984000</v>
      </c>
    </row>
    <row r="21" spans="2:8" ht="15" x14ac:dyDescent="0.25">
      <c r="B21" s="62"/>
      <c r="C21" s="571" t="s">
        <v>64</v>
      </c>
      <c r="D21" s="572"/>
      <c r="E21" s="572"/>
      <c r="F21" s="572"/>
      <c r="G21" s="41"/>
      <c r="H21" s="41"/>
    </row>
    <row r="22" spans="2:8" ht="15" x14ac:dyDescent="0.2">
      <c r="B22" s="39" t="s">
        <v>121</v>
      </c>
      <c r="C22" s="39" t="s">
        <v>122</v>
      </c>
      <c r="D22" s="58" t="s">
        <v>29</v>
      </c>
      <c r="E22" s="37">
        <v>4</v>
      </c>
      <c r="F22" s="46">
        <f>+'RESUMEN INSUMOS'!F25</f>
        <v>43333.333333333336</v>
      </c>
      <c r="G22" s="43">
        <f t="shared" ref="G22:G25" si="3">(F22*E22)</f>
        <v>173333.33333333334</v>
      </c>
      <c r="H22" s="43">
        <f>(G22*4)</f>
        <v>693333.33333333337</v>
      </c>
    </row>
    <row r="23" spans="2:8" ht="15" x14ac:dyDescent="0.2">
      <c r="B23" s="39" t="s">
        <v>123</v>
      </c>
      <c r="C23" s="39" t="s">
        <v>124</v>
      </c>
      <c r="D23" s="58" t="s">
        <v>29</v>
      </c>
      <c r="E23" s="37">
        <v>1</v>
      </c>
      <c r="F23" s="46">
        <f>+'RESUMEN INSUMOS'!F26</f>
        <v>80000</v>
      </c>
      <c r="G23" s="43">
        <f t="shared" si="3"/>
        <v>80000</v>
      </c>
      <c r="H23" s="43">
        <f>(G23*4)</f>
        <v>320000</v>
      </c>
    </row>
    <row r="24" spans="2:8" ht="15.75" thickBot="1" x14ac:dyDescent="0.25">
      <c r="B24" s="180" t="s">
        <v>368</v>
      </c>
      <c r="C24" s="39" t="s">
        <v>369</v>
      </c>
      <c r="D24" s="175" t="s">
        <v>33</v>
      </c>
      <c r="E24" s="37">
        <v>1</v>
      </c>
      <c r="F24" s="46">
        <v>26700</v>
      </c>
      <c r="G24" s="43">
        <f t="shared" si="3"/>
        <v>26700</v>
      </c>
      <c r="H24" s="43">
        <f>(G24*4)</f>
        <v>106800</v>
      </c>
    </row>
    <row r="25" spans="2:8" ht="15.75" thickBot="1" x14ac:dyDescent="0.25">
      <c r="B25" s="49" t="s">
        <v>137</v>
      </c>
      <c r="C25" s="50" t="s">
        <v>138</v>
      </c>
      <c r="D25" s="58" t="s">
        <v>28</v>
      </c>
      <c r="E25" s="37">
        <v>1</v>
      </c>
      <c r="F25" s="46">
        <f>+'RESUMEN INSUMOS'!F27</f>
        <v>46333.333333333336</v>
      </c>
      <c r="G25" s="43">
        <f t="shared" si="3"/>
        <v>46333.333333333336</v>
      </c>
      <c r="H25" s="43">
        <f>(G25*4)</f>
        <v>185333.33333333334</v>
      </c>
    </row>
    <row r="26" spans="2:8" ht="15" x14ac:dyDescent="0.25">
      <c r="B26" s="35" t="s">
        <v>6</v>
      </c>
      <c r="C26" s="36"/>
      <c r="D26" s="36"/>
      <c r="E26" s="36"/>
      <c r="F26" s="41"/>
      <c r="G26" s="41">
        <f>SUM(G22:G25)</f>
        <v>326366.66666666669</v>
      </c>
      <c r="H26" s="41">
        <f>SUM(H22:H25)</f>
        <v>1305466.6666666667</v>
      </c>
    </row>
    <row r="27" spans="2:8" ht="15" x14ac:dyDescent="0.25">
      <c r="B27" s="62"/>
      <c r="C27" s="571" t="s">
        <v>65</v>
      </c>
      <c r="D27" s="572"/>
      <c r="E27" s="572"/>
      <c r="F27" s="572"/>
      <c r="G27" s="41"/>
      <c r="H27" s="41"/>
    </row>
    <row r="28" spans="2:8" ht="15" x14ac:dyDescent="0.2">
      <c r="B28" s="177" t="s">
        <v>370</v>
      </c>
      <c r="C28" s="39" t="s">
        <v>371</v>
      </c>
      <c r="D28" s="175" t="s">
        <v>133</v>
      </c>
      <c r="E28" s="37">
        <v>2</v>
      </c>
      <c r="F28" s="46">
        <v>56000</v>
      </c>
      <c r="G28" s="43">
        <f t="shared" ref="G28:G29" si="4">(F28*E28)</f>
        <v>112000</v>
      </c>
      <c r="H28" s="43">
        <f>(G28*4)</f>
        <v>448000</v>
      </c>
    </row>
    <row r="29" spans="2:8" ht="15" x14ac:dyDescent="0.2">
      <c r="B29" s="39" t="s">
        <v>78</v>
      </c>
      <c r="C29" s="39" t="s">
        <v>79</v>
      </c>
      <c r="D29" s="58" t="s">
        <v>29</v>
      </c>
      <c r="E29" s="37">
        <v>2</v>
      </c>
      <c r="F29" s="46">
        <f>+'RESUMEN INSUMOS'!F30</f>
        <v>401000</v>
      </c>
      <c r="G29" s="43">
        <f t="shared" si="4"/>
        <v>802000</v>
      </c>
      <c r="H29" s="43">
        <f>(G29*4)</f>
        <v>3208000</v>
      </c>
    </row>
    <row r="30" spans="2:8" ht="15" x14ac:dyDescent="0.25">
      <c r="B30" s="54" t="s">
        <v>6</v>
      </c>
      <c r="C30" s="51"/>
      <c r="D30" s="36"/>
      <c r="E30" s="36"/>
      <c r="F30" s="41"/>
      <c r="G30" s="41">
        <f>SUM(G28:G29)</f>
        <v>914000</v>
      </c>
      <c r="H30" s="41">
        <f>SUM(H28:H29)</f>
        <v>3656000</v>
      </c>
    </row>
    <row r="31" spans="2:8" ht="15" x14ac:dyDescent="0.25">
      <c r="B31" s="62"/>
      <c r="C31" s="571" t="s">
        <v>82</v>
      </c>
      <c r="D31" s="572"/>
      <c r="E31" s="572"/>
      <c r="F31" s="572"/>
      <c r="G31" s="41"/>
      <c r="H31" s="41"/>
    </row>
    <row r="32" spans="2:8" ht="15" x14ac:dyDescent="0.2">
      <c r="B32" s="53" t="s">
        <v>83</v>
      </c>
      <c r="C32" s="53" t="s">
        <v>84</v>
      </c>
      <c r="D32" s="58" t="s">
        <v>89</v>
      </c>
      <c r="E32" s="37">
        <v>1</v>
      </c>
      <c r="F32" s="46">
        <f>+'RESUMEN INSUMOS'!F37</f>
        <v>72333.333333333328</v>
      </c>
      <c r="G32" s="43">
        <f t="shared" ref="G32:G35" si="5">(F32*E32)</f>
        <v>72333.333333333328</v>
      </c>
      <c r="H32" s="43">
        <f>(G32*4)</f>
        <v>289333.33333333331</v>
      </c>
    </row>
    <row r="33" spans="2:8" ht="15" x14ac:dyDescent="0.2">
      <c r="B33" s="53" t="s">
        <v>139</v>
      </c>
      <c r="C33" s="53" t="s">
        <v>140</v>
      </c>
      <c r="D33" s="58" t="s">
        <v>141</v>
      </c>
      <c r="E33" s="37">
        <v>1</v>
      </c>
      <c r="F33" s="46">
        <f>+'RESUMEN INSUMOS'!F41</f>
        <v>9333.3333333333339</v>
      </c>
      <c r="G33" s="43">
        <f t="shared" si="5"/>
        <v>9333.3333333333339</v>
      </c>
      <c r="H33" s="43">
        <f>(G33*4)</f>
        <v>37333.333333333336</v>
      </c>
    </row>
    <row r="34" spans="2:8" ht="21" customHeight="1" x14ac:dyDescent="0.2">
      <c r="B34" s="39" t="s">
        <v>85</v>
      </c>
      <c r="C34" s="39" t="s">
        <v>86</v>
      </c>
      <c r="D34" s="58" t="s">
        <v>29</v>
      </c>
      <c r="E34" s="37">
        <v>4</v>
      </c>
      <c r="F34" s="46">
        <f>+'RESUMEN INSUMOS'!F38</f>
        <v>38333.333333333336</v>
      </c>
      <c r="G34" s="43">
        <f t="shared" si="5"/>
        <v>153333.33333333334</v>
      </c>
      <c r="H34" s="43">
        <f>(G34*4)</f>
        <v>613333.33333333337</v>
      </c>
    </row>
    <row r="35" spans="2:8" ht="27" customHeight="1" x14ac:dyDescent="0.2">
      <c r="B35" s="39" t="s">
        <v>87</v>
      </c>
      <c r="C35" s="39" t="s">
        <v>88</v>
      </c>
      <c r="D35" s="58" t="s">
        <v>29</v>
      </c>
      <c r="E35" s="37">
        <v>5</v>
      </c>
      <c r="F35" s="43">
        <f>+'RESUMEN INSUMOS'!F39</f>
        <v>33333.333333333336</v>
      </c>
      <c r="G35" s="43">
        <f t="shared" si="5"/>
        <v>166666.66666666669</v>
      </c>
      <c r="H35" s="43">
        <f>(G35*4)</f>
        <v>666666.66666666674</v>
      </c>
    </row>
    <row r="36" spans="2:8" ht="15" x14ac:dyDescent="0.25">
      <c r="B36" s="54" t="s">
        <v>6</v>
      </c>
      <c r="C36" s="51"/>
      <c r="D36" s="36"/>
      <c r="E36" s="36"/>
      <c r="F36" s="41"/>
      <c r="G36" s="41">
        <f>SUM(G32:G35)</f>
        <v>401666.66666666669</v>
      </c>
      <c r="H36" s="41">
        <f>SUM(H32:H35)</f>
        <v>1606666.6666666667</v>
      </c>
    </row>
    <row r="37" spans="2:8" ht="15" x14ac:dyDescent="0.25">
      <c r="B37" s="62"/>
      <c r="C37" s="571" t="s">
        <v>22</v>
      </c>
      <c r="D37" s="572"/>
      <c r="E37" s="572"/>
      <c r="F37" s="572"/>
      <c r="G37" s="41"/>
      <c r="H37" s="41"/>
    </row>
    <row r="38" spans="2:8" x14ac:dyDescent="0.2">
      <c r="B38" s="48" t="s">
        <v>34</v>
      </c>
      <c r="C38" s="55" t="s">
        <v>90</v>
      </c>
      <c r="D38" s="48" t="s">
        <v>35</v>
      </c>
      <c r="E38" s="37">
        <v>1</v>
      </c>
      <c r="F38" s="46">
        <f>+'RESUMEN INSUMOS'!F55</f>
        <v>316666.66666666669</v>
      </c>
      <c r="G38" s="43">
        <f t="shared" ref="G38:G40" si="6">(F38*E38)</f>
        <v>316666.66666666669</v>
      </c>
      <c r="H38" s="43">
        <f>(G38*4)</f>
        <v>1266666.6666666667</v>
      </c>
    </row>
    <row r="39" spans="2:8" x14ac:dyDescent="0.2">
      <c r="B39" s="48" t="s">
        <v>36</v>
      </c>
      <c r="C39" s="55"/>
      <c r="D39" s="48" t="s">
        <v>37</v>
      </c>
      <c r="E39" s="37">
        <v>1</v>
      </c>
      <c r="F39" s="46">
        <f>+'RESUMEN INSUMOS'!F56</f>
        <v>130000</v>
      </c>
      <c r="G39" s="43">
        <f t="shared" si="6"/>
        <v>130000</v>
      </c>
      <c r="H39" s="43">
        <f>(G39*4)</f>
        <v>520000</v>
      </c>
    </row>
    <row r="40" spans="2:8" x14ac:dyDescent="0.2">
      <c r="B40" s="48" t="s">
        <v>38</v>
      </c>
      <c r="C40" s="55"/>
      <c r="D40" s="48" t="s">
        <v>39</v>
      </c>
      <c r="E40" s="37">
        <v>100</v>
      </c>
      <c r="F40" s="46">
        <f>+'RESUMEN INSUMOS'!F57</f>
        <v>650</v>
      </c>
      <c r="G40" s="43">
        <f t="shared" si="6"/>
        <v>65000</v>
      </c>
      <c r="H40" s="43">
        <f>(G40*4)</f>
        <v>260000</v>
      </c>
    </row>
    <row r="41" spans="2:8" ht="15" x14ac:dyDescent="0.25">
      <c r="B41" s="54" t="s">
        <v>6</v>
      </c>
      <c r="C41" s="51"/>
      <c r="D41" s="36"/>
      <c r="E41" s="36"/>
      <c r="F41" s="41"/>
      <c r="G41" s="41">
        <f>SUM(G38:G40)</f>
        <v>511666.66666666669</v>
      </c>
      <c r="H41" s="41">
        <f>SUM(H38:H40)</f>
        <v>2046666.6666666667</v>
      </c>
    </row>
    <row r="42" spans="2:8" ht="15" x14ac:dyDescent="0.25">
      <c r="B42" s="575" t="s">
        <v>0</v>
      </c>
      <c r="C42" s="575"/>
      <c r="D42" s="575"/>
      <c r="E42" s="575"/>
      <c r="F42" s="47"/>
      <c r="G42" s="47">
        <f>SUM(G41,G36,G30,G26,G20,G14,G5)</f>
        <v>4371033.333333333</v>
      </c>
      <c r="H42" s="496">
        <f>SUM(H41,H36,H30,H26,H20,H14,H5)</f>
        <v>17484133.333333332</v>
      </c>
    </row>
    <row r="43" spans="2:8" x14ac:dyDescent="0.2">
      <c r="D43" s="59"/>
    </row>
  </sheetData>
  <mergeCells count="9">
    <mergeCell ref="C31:F31"/>
    <mergeCell ref="C37:F37"/>
    <mergeCell ref="B42:E42"/>
    <mergeCell ref="B1:H1"/>
    <mergeCell ref="C3:F3"/>
    <mergeCell ref="C6:F6"/>
    <mergeCell ref="C15:F15"/>
    <mergeCell ref="C21:F21"/>
    <mergeCell ref="C27:F2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7"/>
  <sheetViews>
    <sheetView workbookViewId="0">
      <selection activeCell="H43" sqref="H43"/>
    </sheetView>
  </sheetViews>
  <sheetFormatPr baseColWidth="10" defaultRowHeight="14.25" x14ac:dyDescent="0.2"/>
  <cols>
    <col min="1" max="1" width="8.42578125" style="40" customWidth="1"/>
    <col min="2" max="2" width="41" style="60" customWidth="1"/>
    <col min="3" max="3" width="21.85546875" style="57" customWidth="1"/>
    <col min="4" max="4" width="20.5703125" style="60" customWidth="1"/>
    <col min="5" max="5" width="13.85546875" style="40" customWidth="1"/>
    <col min="6" max="6" width="19.42578125" style="40" customWidth="1"/>
    <col min="7" max="7" width="17.85546875" style="40" customWidth="1"/>
    <col min="8" max="8" width="23.42578125" style="40" customWidth="1"/>
    <col min="9" max="16384" width="11.42578125" style="40"/>
  </cols>
  <sheetData>
    <row r="1" spans="2:8" ht="15" x14ac:dyDescent="0.2">
      <c r="B1" s="510" t="s">
        <v>143</v>
      </c>
      <c r="C1" s="510"/>
      <c r="D1" s="510"/>
      <c r="E1" s="510"/>
      <c r="F1" s="510"/>
      <c r="G1" s="510"/>
      <c r="H1" s="510"/>
    </row>
    <row r="2" spans="2:8" ht="45" x14ac:dyDescent="0.2">
      <c r="B2" s="35" t="s">
        <v>4</v>
      </c>
      <c r="C2" s="36" t="s">
        <v>42</v>
      </c>
      <c r="D2" s="35" t="s">
        <v>19</v>
      </c>
      <c r="E2" s="36" t="s">
        <v>575</v>
      </c>
      <c r="F2" s="36" t="s">
        <v>27</v>
      </c>
      <c r="G2" s="36" t="s">
        <v>92</v>
      </c>
      <c r="H2" s="36" t="s">
        <v>91</v>
      </c>
    </row>
    <row r="3" spans="2:8" ht="15" x14ac:dyDescent="0.2">
      <c r="B3" s="35"/>
      <c r="C3" s="573" t="s">
        <v>1</v>
      </c>
      <c r="D3" s="572"/>
      <c r="E3" s="572"/>
      <c r="F3" s="572"/>
      <c r="G3" s="42"/>
      <c r="H3" s="36"/>
    </row>
    <row r="4" spans="2:8" ht="28.5" x14ac:dyDescent="0.2">
      <c r="B4" s="66" t="s">
        <v>144</v>
      </c>
      <c r="C4" s="66" t="s">
        <v>146</v>
      </c>
      <c r="D4" s="497" t="s">
        <v>573</v>
      </c>
      <c r="E4" s="417">
        <v>100</v>
      </c>
      <c r="F4" s="43">
        <f>+'RESUMEN INSUMOS'!F49</f>
        <v>3200</v>
      </c>
      <c r="G4" s="498">
        <f>(F4*E4)</f>
        <v>320000</v>
      </c>
      <c r="H4" s="498">
        <f>(G4*4)</f>
        <v>1280000</v>
      </c>
    </row>
    <row r="5" spans="2:8" ht="15" x14ac:dyDescent="0.25">
      <c r="B5" s="35" t="s">
        <v>6</v>
      </c>
      <c r="C5" s="56"/>
      <c r="D5" s="35"/>
      <c r="E5" s="38"/>
      <c r="F5" s="41"/>
      <c r="G5" s="41">
        <f>SUM(G4)</f>
        <v>320000</v>
      </c>
      <c r="H5" s="499">
        <f>SUM(H4)</f>
        <v>1280000</v>
      </c>
    </row>
    <row r="6" spans="2:8" ht="15" x14ac:dyDescent="0.2">
      <c r="B6" s="61"/>
      <c r="C6" s="573" t="s">
        <v>51</v>
      </c>
      <c r="D6" s="572"/>
      <c r="E6" s="572"/>
      <c r="F6" s="572"/>
      <c r="G6" s="44"/>
      <c r="H6" s="45"/>
    </row>
    <row r="7" spans="2:8" ht="30" x14ac:dyDescent="0.2">
      <c r="B7" s="39" t="s">
        <v>41</v>
      </c>
      <c r="C7" s="39" t="s">
        <v>45</v>
      </c>
      <c r="D7" s="48" t="s">
        <v>30</v>
      </c>
      <c r="E7" s="37">
        <v>20</v>
      </c>
      <c r="F7" s="43">
        <f>+'RESUMEN INSUMOS'!F4</f>
        <v>41500</v>
      </c>
      <c r="G7" s="43">
        <f t="shared" ref="G7:G13" si="0">(F7*E7)</f>
        <v>830000</v>
      </c>
      <c r="H7" s="43">
        <f>(G7*4)</f>
        <v>3320000</v>
      </c>
    </row>
    <row r="8" spans="2:8" ht="15" x14ac:dyDescent="0.2">
      <c r="B8" s="39" t="s">
        <v>110</v>
      </c>
      <c r="C8" s="39" t="s">
        <v>31</v>
      </c>
      <c r="D8" s="48" t="s">
        <v>30</v>
      </c>
      <c r="E8" s="37">
        <v>1</v>
      </c>
      <c r="F8" s="43">
        <f>+'RESUMEN INSUMOS'!F9</f>
        <v>167000</v>
      </c>
      <c r="G8" s="43">
        <f t="shared" si="0"/>
        <v>167000</v>
      </c>
      <c r="H8" s="43">
        <f t="shared" ref="H8:H13" si="1">(G8*4)</f>
        <v>668000</v>
      </c>
    </row>
    <row r="9" spans="2:8" ht="15" x14ac:dyDescent="0.2">
      <c r="B9" s="39" t="s">
        <v>112</v>
      </c>
      <c r="C9" s="39" t="s">
        <v>32</v>
      </c>
      <c r="D9" s="48" t="s">
        <v>30</v>
      </c>
      <c r="E9" s="37">
        <v>1</v>
      </c>
      <c r="F9" s="43">
        <f>+'RESUMEN INSUMOS'!F10</f>
        <v>161000</v>
      </c>
      <c r="G9" s="43">
        <f t="shared" si="0"/>
        <v>161000</v>
      </c>
      <c r="H9" s="43">
        <f t="shared" si="1"/>
        <v>644000</v>
      </c>
    </row>
    <row r="10" spans="2:8" ht="27.75" customHeight="1" x14ac:dyDescent="0.2">
      <c r="B10" s="39" t="s">
        <v>111</v>
      </c>
      <c r="C10" s="39" t="s">
        <v>277</v>
      </c>
      <c r="D10" s="48" t="s">
        <v>30</v>
      </c>
      <c r="E10" s="37">
        <v>1</v>
      </c>
      <c r="F10" s="43">
        <f>+'RESUMEN INSUMOS'!F11</f>
        <v>151000</v>
      </c>
      <c r="G10" s="43">
        <f t="shared" si="0"/>
        <v>151000</v>
      </c>
      <c r="H10" s="43">
        <f t="shared" si="1"/>
        <v>604000</v>
      </c>
    </row>
    <row r="11" spans="2:8" ht="27.75" customHeight="1" x14ac:dyDescent="0.2">
      <c r="B11" s="39" t="s">
        <v>120</v>
      </c>
      <c r="C11" s="39" t="s">
        <v>119</v>
      </c>
      <c r="D11" s="48" t="s">
        <v>30</v>
      </c>
      <c r="E11" s="37">
        <v>1</v>
      </c>
      <c r="F11" s="43">
        <f>+'RESUMEN INSUMOS'!F12</f>
        <v>95000</v>
      </c>
      <c r="G11" s="43">
        <f t="shared" si="0"/>
        <v>95000</v>
      </c>
      <c r="H11" s="43">
        <f t="shared" si="1"/>
        <v>380000</v>
      </c>
    </row>
    <row r="12" spans="2:8" ht="15" x14ac:dyDescent="0.2">
      <c r="B12" s="39" t="s">
        <v>48</v>
      </c>
      <c r="C12" s="39" t="s">
        <v>47</v>
      </c>
      <c r="D12" s="48" t="s">
        <v>30</v>
      </c>
      <c r="E12" s="37">
        <v>1</v>
      </c>
      <c r="F12" s="43">
        <f>+'RESUMEN INSUMOS'!F7</f>
        <v>94000</v>
      </c>
      <c r="G12" s="43">
        <f t="shared" si="0"/>
        <v>94000</v>
      </c>
      <c r="H12" s="43">
        <f t="shared" si="1"/>
        <v>376000</v>
      </c>
    </row>
    <row r="13" spans="2:8" x14ac:dyDescent="0.2">
      <c r="B13" s="48" t="s">
        <v>142</v>
      </c>
      <c r="C13" s="55"/>
      <c r="D13" s="48" t="s">
        <v>30</v>
      </c>
      <c r="E13" s="37">
        <v>10</v>
      </c>
      <c r="F13" s="43">
        <f>+'RESUMEN INSUMOS'!F8</f>
        <v>20333.333333333332</v>
      </c>
      <c r="G13" s="43">
        <f t="shared" si="0"/>
        <v>203333.33333333331</v>
      </c>
      <c r="H13" s="43">
        <f t="shared" si="1"/>
        <v>813333.33333333326</v>
      </c>
    </row>
    <row r="14" spans="2:8" ht="15" x14ac:dyDescent="0.25">
      <c r="B14" s="35" t="s">
        <v>6</v>
      </c>
      <c r="C14" s="36"/>
      <c r="D14" s="36"/>
      <c r="E14" s="36"/>
      <c r="F14" s="41"/>
      <c r="G14" s="41">
        <f>SUM(G7:G13)</f>
        <v>1701333.3333333333</v>
      </c>
      <c r="H14" s="41">
        <f>SUM(H7:H13)</f>
        <v>6805333.333333333</v>
      </c>
    </row>
    <row r="15" spans="2:8" ht="15" customHeight="1" x14ac:dyDescent="0.25">
      <c r="B15" s="62"/>
      <c r="C15" s="571" t="s">
        <v>50</v>
      </c>
      <c r="D15" s="572"/>
      <c r="E15" s="572"/>
      <c r="F15" s="572"/>
      <c r="G15" s="41"/>
      <c r="H15" s="41"/>
    </row>
    <row r="16" spans="2:8" ht="30" x14ac:dyDescent="0.2">
      <c r="B16" s="39" t="s">
        <v>68</v>
      </c>
      <c r="C16" s="39" t="s">
        <v>69</v>
      </c>
      <c r="D16" s="58" t="s">
        <v>28</v>
      </c>
      <c r="E16" s="37">
        <v>4</v>
      </c>
      <c r="F16" s="43">
        <f>+'RESUMEN INSUMOS'!F14</f>
        <v>18500</v>
      </c>
      <c r="G16" s="43">
        <f t="shared" ref="G16:G19" si="2">(F16*E16)</f>
        <v>74000</v>
      </c>
      <c r="H16" s="43">
        <f>(G16*4)</f>
        <v>296000</v>
      </c>
    </row>
    <row r="17" spans="2:8" ht="15" x14ac:dyDescent="0.2">
      <c r="B17" s="39" t="s">
        <v>70</v>
      </c>
      <c r="C17" s="39" t="s">
        <v>71</v>
      </c>
      <c r="D17" s="58" t="s">
        <v>28</v>
      </c>
      <c r="E17" s="37">
        <v>4</v>
      </c>
      <c r="F17" s="43">
        <f>+'RESUMEN INSUMOS'!F15</f>
        <v>12000</v>
      </c>
      <c r="G17" s="43">
        <f t="shared" si="2"/>
        <v>48000</v>
      </c>
      <c r="H17" s="43">
        <f>(G17*4)</f>
        <v>192000</v>
      </c>
    </row>
    <row r="18" spans="2:8" ht="15" x14ac:dyDescent="0.2">
      <c r="B18" s="39" t="s">
        <v>72</v>
      </c>
      <c r="C18" s="39" t="s">
        <v>73</v>
      </c>
      <c r="D18" s="58" t="s">
        <v>28</v>
      </c>
      <c r="E18" s="37">
        <v>2</v>
      </c>
      <c r="F18" s="43">
        <f>+'RESUMEN INSUMOS'!F16</f>
        <v>41000</v>
      </c>
      <c r="G18" s="43">
        <f t="shared" si="2"/>
        <v>82000</v>
      </c>
      <c r="H18" s="43">
        <f>(G18*4)</f>
        <v>328000</v>
      </c>
    </row>
    <row r="19" spans="2:8" ht="15" x14ac:dyDescent="0.2">
      <c r="B19" s="39" t="s">
        <v>74</v>
      </c>
      <c r="C19" s="39" t="s">
        <v>75</v>
      </c>
      <c r="D19" s="58" t="s">
        <v>28</v>
      </c>
      <c r="E19" s="37">
        <v>2</v>
      </c>
      <c r="F19" s="43">
        <f>+'RESUMEN INSUMOS'!F17</f>
        <v>21000</v>
      </c>
      <c r="G19" s="43">
        <f t="shared" si="2"/>
        <v>42000</v>
      </c>
      <c r="H19" s="43">
        <f>(G19*4)</f>
        <v>168000</v>
      </c>
    </row>
    <row r="20" spans="2:8" ht="15" x14ac:dyDescent="0.25">
      <c r="B20" s="54" t="s">
        <v>6</v>
      </c>
      <c r="C20" s="51"/>
      <c r="D20" s="36"/>
      <c r="E20" s="36"/>
      <c r="F20" s="41"/>
      <c r="G20" s="41">
        <f>SUM(G16:G19)</f>
        <v>246000</v>
      </c>
      <c r="H20" s="41">
        <f>SUM(H16:H19)</f>
        <v>984000</v>
      </c>
    </row>
    <row r="21" spans="2:8" ht="15" x14ac:dyDescent="0.25">
      <c r="B21" s="62"/>
      <c r="C21" s="571" t="s">
        <v>64</v>
      </c>
      <c r="D21" s="572"/>
      <c r="E21" s="572"/>
      <c r="F21" s="572"/>
      <c r="G21" s="41"/>
      <c r="H21" s="41"/>
    </row>
    <row r="22" spans="2:8" ht="15" x14ac:dyDescent="0.2">
      <c r="B22" s="39" t="s">
        <v>121</v>
      </c>
      <c r="C22" s="39" t="s">
        <v>122</v>
      </c>
      <c r="D22" s="58" t="s">
        <v>29</v>
      </c>
      <c r="E22" s="37">
        <v>4</v>
      </c>
      <c r="F22" s="46">
        <f>+'RESUMEN INSUMOS'!F25</f>
        <v>43333.333333333336</v>
      </c>
      <c r="G22" s="43">
        <f t="shared" ref="G22:G25" si="3">(F22*E22)</f>
        <v>173333.33333333334</v>
      </c>
      <c r="H22" s="43">
        <f>(G22*4)</f>
        <v>693333.33333333337</v>
      </c>
    </row>
    <row r="23" spans="2:8" ht="15" x14ac:dyDescent="0.2">
      <c r="B23" s="39" t="s">
        <v>123</v>
      </c>
      <c r="C23" s="39" t="s">
        <v>124</v>
      </c>
      <c r="D23" s="58" t="s">
        <v>29</v>
      </c>
      <c r="E23" s="37">
        <v>1</v>
      </c>
      <c r="F23" s="46">
        <f>+'RESUMEN INSUMOS'!F26</f>
        <v>80000</v>
      </c>
      <c r="G23" s="43">
        <f t="shared" si="3"/>
        <v>80000</v>
      </c>
      <c r="H23" s="43">
        <f>(G23*4)</f>
        <v>320000</v>
      </c>
    </row>
    <row r="24" spans="2:8" ht="15.75" thickBot="1" x14ac:dyDescent="0.25">
      <c r="B24" s="180" t="s">
        <v>368</v>
      </c>
      <c r="C24" s="39" t="s">
        <v>369</v>
      </c>
      <c r="D24" s="58" t="s">
        <v>33</v>
      </c>
      <c r="E24" s="37">
        <v>1</v>
      </c>
      <c r="F24" s="46">
        <v>26700</v>
      </c>
      <c r="G24" s="43">
        <f t="shared" si="3"/>
        <v>26700</v>
      </c>
      <c r="H24" s="43">
        <f>(G24*4)</f>
        <v>106800</v>
      </c>
    </row>
    <row r="25" spans="2:8" ht="15.75" thickBot="1" x14ac:dyDescent="0.25">
      <c r="B25" s="49" t="s">
        <v>137</v>
      </c>
      <c r="C25" s="50" t="s">
        <v>138</v>
      </c>
      <c r="D25" s="58" t="s">
        <v>28</v>
      </c>
      <c r="E25" s="37">
        <v>1</v>
      </c>
      <c r="F25" s="46">
        <f>+'RESUMEN INSUMOS'!F27</f>
        <v>46333.333333333336</v>
      </c>
      <c r="G25" s="43">
        <f t="shared" si="3"/>
        <v>46333.333333333336</v>
      </c>
      <c r="H25" s="43">
        <f>(G25*4)</f>
        <v>185333.33333333334</v>
      </c>
    </row>
    <row r="26" spans="2:8" ht="15" x14ac:dyDescent="0.25">
      <c r="B26" s="35" t="s">
        <v>6</v>
      </c>
      <c r="C26" s="36"/>
      <c r="D26" s="36"/>
      <c r="E26" s="36"/>
      <c r="F26" s="41"/>
      <c r="G26" s="41">
        <f>SUM(G22:G25)</f>
        <v>326366.66666666669</v>
      </c>
      <c r="H26" s="41">
        <f>SUM(H22:H25)</f>
        <v>1305466.6666666667</v>
      </c>
    </row>
    <row r="27" spans="2:8" ht="15" x14ac:dyDescent="0.25">
      <c r="B27" s="62"/>
      <c r="C27" s="571" t="s">
        <v>65</v>
      </c>
      <c r="D27" s="572"/>
      <c r="E27" s="572"/>
      <c r="F27" s="572"/>
      <c r="G27" s="41"/>
      <c r="H27" s="41"/>
    </row>
    <row r="28" spans="2:8" ht="15" x14ac:dyDescent="0.2">
      <c r="B28" s="39" t="s">
        <v>76</v>
      </c>
      <c r="C28" s="39" t="s">
        <v>77</v>
      </c>
      <c r="D28" s="58" t="s">
        <v>29</v>
      </c>
      <c r="E28" s="37">
        <v>2</v>
      </c>
      <c r="F28" s="46">
        <f>+'RESUMEN INSUMOS'!F29</f>
        <v>311666.66666666669</v>
      </c>
      <c r="G28" s="43">
        <f t="shared" ref="G28:G30" si="4">(F28*E28)</f>
        <v>623333.33333333337</v>
      </c>
      <c r="H28" s="43">
        <f>(G28*4)</f>
        <v>2493333.3333333335</v>
      </c>
    </row>
    <row r="29" spans="2:8" ht="15" x14ac:dyDescent="0.2">
      <c r="B29" s="181" t="s">
        <v>366</v>
      </c>
      <c r="C29" s="39" t="s">
        <v>367</v>
      </c>
      <c r="D29" s="175" t="s">
        <v>29</v>
      </c>
      <c r="E29" s="37">
        <v>1</v>
      </c>
      <c r="F29" s="46">
        <v>30000</v>
      </c>
      <c r="G29" s="43">
        <f t="shared" si="4"/>
        <v>30000</v>
      </c>
      <c r="H29" s="43">
        <f>(G29*4)</f>
        <v>120000</v>
      </c>
    </row>
    <row r="30" spans="2:8" ht="15" x14ac:dyDescent="0.2">
      <c r="B30" s="178" t="s">
        <v>364</v>
      </c>
      <c r="C30" s="39" t="s">
        <v>365</v>
      </c>
      <c r="D30" s="175" t="s">
        <v>29</v>
      </c>
      <c r="E30" s="37">
        <v>1</v>
      </c>
      <c r="F30" s="46">
        <v>42100</v>
      </c>
      <c r="G30" s="43">
        <f t="shared" si="4"/>
        <v>42100</v>
      </c>
      <c r="H30" s="43">
        <f>(G30*4)</f>
        <v>168400</v>
      </c>
    </row>
    <row r="31" spans="2:8" ht="15" x14ac:dyDescent="0.25">
      <c r="B31" s="54" t="s">
        <v>6</v>
      </c>
      <c r="C31" s="51"/>
      <c r="D31" s="36"/>
      <c r="E31" s="36"/>
      <c r="F31" s="41"/>
      <c r="G31" s="41">
        <f>SUM(G28:G30)</f>
        <v>695433.33333333337</v>
      </c>
      <c r="H31" s="41">
        <f>SUM(H28:H30)</f>
        <v>2781733.3333333335</v>
      </c>
    </row>
    <row r="32" spans="2:8" ht="15" x14ac:dyDescent="0.25">
      <c r="B32" s="62"/>
      <c r="C32" s="571" t="s">
        <v>82</v>
      </c>
      <c r="D32" s="572"/>
      <c r="E32" s="572"/>
      <c r="F32" s="572"/>
      <c r="G32" s="41"/>
      <c r="H32" s="41"/>
    </row>
    <row r="33" spans="2:8" ht="15" x14ac:dyDescent="0.2">
      <c r="B33" s="53" t="s">
        <v>83</v>
      </c>
      <c r="C33" s="53" t="s">
        <v>84</v>
      </c>
      <c r="D33" s="58" t="s">
        <v>89</v>
      </c>
      <c r="E33" s="37">
        <v>1</v>
      </c>
      <c r="F33" s="46">
        <f>+'RESUMEN INSUMOS'!F37</f>
        <v>72333.333333333328</v>
      </c>
      <c r="G33" s="43">
        <f t="shared" ref="G33:G36" si="5">(F33*E33)</f>
        <v>72333.333333333328</v>
      </c>
      <c r="H33" s="43">
        <f>(G33*4)</f>
        <v>289333.33333333331</v>
      </c>
    </row>
    <row r="34" spans="2:8" ht="15" x14ac:dyDescent="0.2">
      <c r="B34" s="53" t="s">
        <v>139</v>
      </c>
      <c r="C34" s="53" t="s">
        <v>140</v>
      </c>
      <c r="D34" s="58" t="s">
        <v>141</v>
      </c>
      <c r="E34" s="37">
        <v>1</v>
      </c>
      <c r="F34" s="46">
        <f>+'RESUMEN INSUMOS'!F41</f>
        <v>9333.3333333333339</v>
      </c>
      <c r="G34" s="43">
        <f t="shared" si="5"/>
        <v>9333.3333333333339</v>
      </c>
      <c r="H34" s="43">
        <f>(G34*4)</f>
        <v>37333.333333333336</v>
      </c>
    </row>
    <row r="35" spans="2:8" ht="21" customHeight="1" x14ac:dyDescent="0.2">
      <c r="B35" s="39" t="s">
        <v>85</v>
      </c>
      <c r="C35" s="39" t="s">
        <v>86</v>
      </c>
      <c r="D35" s="58" t="s">
        <v>29</v>
      </c>
      <c r="E35" s="37">
        <v>4</v>
      </c>
      <c r="F35" s="46">
        <f>+'RESUMEN INSUMOS'!F38</f>
        <v>38333.333333333336</v>
      </c>
      <c r="G35" s="43">
        <f t="shared" si="5"/>
        <v>153333.33333333334</v>
      </c>
      <c r="H35" s="43">
        <f>(G35*4)</f>
        <v>613333.33333333337</v>
      </c>
    </row>
    <row r="36" spans="2:8" ht="27" customHeight="1" x14ac:dyDescent="0.2">
      <c r="B36" s="39" t="s">
        <v>87</v>
      </c>
      <c r="C36" s="39" t="s">
        <v>88</v>
      </c>
      <c r="D36" s="58" t="s">
        <v>29</v>
      </c>
      <c r="E36" s="37">
        <v>3</v>
      </c>
      <c r="F36" s="43">
        <f>+'RESUMEN INSUMOS'!F39</f>
        <v>33333.333333333336</v>
      </c>
      <c r="G36" s="43">
        <f t="shared" si="5"/>
        <v>100000</v>
      </c>
      <c r="H36" s="43">
        <f>(G36*4)</f>
        <v>400000</v>
      </c>
    </row>
    <row r="37" spans="2:8" ht="15" x14ac:dyDescent="0.25">
      <c r="B37" s="54" t="s">
        <v>6</v>
      </c>
      <c r="C37" s="51"/>
      <c r="D37" s="36"/>
      <c r="E37" s="36"/>
      <c r="F37" s="41"/>
      <c r="G37" s="41">
        <f>SUM(G33:G36)</f>
        <v>335000</v>
      </c>
      <c r="H37" s="41">
        <f>SUM(H33:H36)</f>
        <v>1340000</v>
      </c>
    </row>
    <row r="38" spans="2:8" ht="15" x14ac:dyDescent="0.25">
      <c r="B38" s="62"/>
      <c r="C38" s="571" t="s">
        <v>22</v>
      </c>
      <c r="D38" s="572"/>
      <c r="E38" s="572"/>
      <c r="F38" s="572"/>
      <c r="G38" s="41"/>
      <c r="H38" s="41"/>
    </row>
    <row r="39" spans="2:8" x14ac:dyDescent="0.2">
      <c r="B39" s="48" t="s">
        <v>34</v>
      </c>
      <c r="C39" s="55" t="s">
        <v>90</v>
      </c>
      <c r="D39" s="48" t="s">
        <v>35</v>
      </c>
      <c r="E39" s="37">
        <v>1</v>
      </c>
      <c r="F39" s="46">
        <f>+'RESUMEN INSUMOS'!F55</f>
        <v>316666.66666666669</v>
      </c>
      <c r="G39" s="43">
        <f t="shared" ref="G39:G41" si="6">(F39*E39)</f>
        <v>316666.66666666669</v>
      </c>
      <c r="H39" s="43">
        <f>(G39*4)</f>
        <v>1266666.6666666667</v>
      </c>
    </row>
    <row r="40" spans="2:8" x14ac:dyDescent="0.2">
      <c r="B40" s="48" t="s">
        <v>36</v>
      </c>
      <c r="C40" s="55"/>
      <c r="D40" s="48" t="s">
        <v>37</v>
      </c>
      <c r="E40" s="37">
        <v>1</v>
      </c>
      <c r="F40" s="46">
        <f>+'RESUMEN INSUMOS'!F56</f>
        <v>130000</v>
      </c>
      <c r="G40" s="43">
        <f t="shared" si="6"/>
        <v>130000</v>
      </c>
      <c r="H40" s="43">
        <f>(G40*4)</f>
        <v>520000</v>
      </c>
    </row>
    <row r="41" spans="2:8" x14ac:dyDescent="0.2">
      <c r="B41" s="48" t="s">
        <v>38</v>
      </c>
      <c r="C41" s="55"/>
      <c r="D41" s="48" t="s">
        <v>39</v>
      </c>
      <c r="E41" s="37">
        <v>100</v>
      </c>
      <c r="F41" s="46">
        <f>+'RESUMEN INSUMOS'!F57</f>
        <v>650</v>
      </c>
      <c r="G41" s="43">
        <f t="shared" si="6"/>
        <v>65000</v>
      </c>
      <c r="H41" s="43">
        <f>(G41*4)</f>
        <v>260000</v>
      </c>
    </row>
    <row r="42" spans="2:8" ht="15" x14ac:dyDescent="0.25">
      <c r="B42" s="54" t="s">
        <v>6</v>
      </c>
      <c r="C42" s="51"/>
      <c r="D42" s="36"/>
      <c r="E42" s="36"/>
      <c r="F42" s="41"/>
      <c r="G42" s="41">
        <f>SUM(G39:G41)</f>
        <v>511666.66666666669</v>
      </c>
      <c r="H42" s="41">
        <f>SUM(H39:H41)</f>
        <v>2046666.6666666667</v>
      </c>
    </row>
    <row r="43" spans="2:8" ht="15" x14ac:dyDescent="0.25">
      <c r="B43" s="575" t="s">
        <v>0</v>
      </c>
      <c r="C43" s="575"/>
      <c r="D43" s="575"/>
      <c r="E43" s="575"/>
      <c r="F43" s="47"/>
      <c r="G43" s="47">
        <f>SUM(G42,G37,G31,G26,G20,G14,G5)</f>
        <v>4135800</v>
      </c>
      <c r="H43" s="496">
        <f>SUM(H42,H37,H31,H26,H20,H14,H5)</f>
        <v>16543200</v>
      </c>
    </row>
    <row r="45" spans="2:8" ht="15" x14ac:dyDescent="0.25">
      <c r="G45" s="28"/>
    </row>
    <row r="47" spans="2:8" x14ac:dyDescent="0.2">
      <c r="D47" s="59"/>
    </row>
  </sheetData>
  <mergeCells count="9">
    <mergeCell ref="C32:F32"/>
    <mergeCell ref="C38:F38"/>
    <mergeCell ref="B43:E43"/>
    <mergeCell ref="B1:H1"/>
    <mergeCell ref="C3:F3"/>
    <mergeCell ref="C6:F6"/>
    <mergeCell ref="C15:F15"/>
    <mergeCell ref="C21:F21"/>
    <mergeCell ref="C27:F2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4"/>
  <sheetViews>
    <sheetView workbookViewId="0">
      <selection activeCell="H43" sqref="H43"/>
    </sheetView>
  </sheetViews>
  <sheetFormatPr baseColWidth="10" defaultRowHeight="14.25" x14ac:dyDescent="0.2"/>
  <cols>
    <col min="1" max="1" width="8.42578125" style="40" customWidth="1"/>
    <col min="2" max="2" width="41" style="60" customWidth="1"/>
    <col min="3" max="3" width="21.85546875" style="57" customWidth="1"/>
    <col min="4" max="4" width="20.5703125" style="60" customWidth="1"/>
    <col min="5" max="5" width="13.85546875" style="40" customWidth="1"/>
    <col min="6" max="6" width="19.42578125" style="40" customWidth="1"/>
    <col min="7" max="7" width="17.85546875" style="40" customWidth="1"/>
    <col min="8" max="8" width="23.42578125" style="40" customWidth="1"/>
    <col min="9" max="16384" width="11.42578125" style="40"/>
  </cols>
  <sheetData>
    <row r="1" spans="2:8" ht="15" x14ac:dyDescent="0.2">
      <c r="B1" s="510" t="s">
        <v>143</v>
      </c>
      <c r="C1" s="510"/>
      <c r="D1" s="510"/>
      <c r="E1" s="510"/>
      <c r="F1" s="510"/>
      <c r="G1" s="510"/>
      <c r="H1" s="510"/>
    </row>
    <row r="2" spans="2:8" ht="45" x14ac:dyDescent="0.2">
      <c r="B2" s="35" t="s">
        <v>4</v>
      </c>
      <c r="C2" s="36" t="s">
        <v>42</v>
      </c>
      <c r="D2" s="35" t="s">
        <v>19</v>
      </c>
      <c r="E2" s="36" t="s">
        <v>26</v>
      </c>
      <c r="F2" s="36" t="s">
        <v>27</v>
      </c>
      <c r="G2" s="36" t="s">
        <v>92</v>
      </c>
      <c r="H2" s="36" t="s">
        <v>91</v>
      </c>
    </row>
    <row r="3" spans="2:8" ht="15" x14ac:dyDescent="0.2">
      <c r="B3" s="35"/>
      <c r="C3" s="573" t="s">
        <v>1</v>
      </c>
      <c r="D3" s="572"/>
      <c r="E3" s="572"/>
      <c r="F3" s="572"/>
      <c r="G3" s="42"/>
      <c r="H3" s="36"/>
    </row>
    <row r="4" spans="2:8" ht="28.5" x14ac:dyDescent="0.2">
      <c r="B4" s="66" t="s">
        <v>149</v>
      </c>
      <c r="C4" s="66" t="s">
        <v>148</v>
      </c>
      <c r="D4" s="48" t="s">
        <v>147</v>
      </c>
      <c r="E4" s="37">
        <v>10</v>
      </c>
      <c r="F4" s="43">
        <f>+'RESUMEN INSUMOS'!F50</f>
        <v>10000</v>
      </c>
      <c r="G4" s="43">
        <f>(F4*E4)</f>
        <v>100000</v>
      </c>
      <c r="H4" s="43">
        <f>(G4*4)</f>
        <v>400000</v>
      </c>
    </row>
    <row r="5" spans="2:8" ht="15" x14ac:dyDescent="0.25">
      <c r="B5" s="35" t="s">
        <v>6</v>
      </c>
      <c r="C5" s="56"/>
      <c r="D5" s="35"/>
      <c r="E5" s="38"/>
      <c r="F5" s="41"/>
      <c r="G5" s="41">
        <f>SUM(G4)</f>
        <v>100000</v>
      </c>
      <c r="H5" s="41">
        <f>SUM(H4)</f>
        <v>400000</v>
      </c>
    </row>
    <row r="6" spans="2:8" ht="15" x14ac:dyDescent="0.2">
      <c r="B6" s="61"/>
      <c r="C6" s="573" t="s">
        <v>51</v>
      </c>
      <c r="D6" s="572"/>
      <c r="E6" s="572"/>
      <c r="F6" s="572"/>
      <c r="G6" s="44"/>
      <c r="H6" s="45"/>
    </row>
    <row r="7" spans="2:8" ht="30" x14ac:dyDescent="0.2">
      <c r="B7" s="39" t="s">
        <v>41</v>
      </c>
      <c r="C7" s="39" t="s">
        <v>45</v>
      </c>
      <c r="D7" s="48" t="s">
        <v>30</v>
      </c>
      <c r="E7" s="37">
        <v>6</v>
      </c>
      <c r="F7" s="43">
        <f>+'RESUMEN INSUMOS'!F4</f>
        <v>41500</v>
      </c>
      <c r="G7" s="43">
        <f t="shared" ref="G7:G11" si="0">(F7*E7)</f>
        <v>249000</v>
      </c>
      <c r="H7" s="43">
        <f>(G7*4)</f>
        <v>996000</v>
      </c>
    </row>
    <row r="8" spans="2:8" ht="15" x14ac:dyDescent="0.2">
      <c r="B8" s="39" t="s">
        <v>110</v>
      </c>
      <c r="C8" s="39" t="s">
        <v>31</v>
      </c>
      <c r="D8" s="48" t="s">
        <v>30</v>
      </c>
      <c r="E8" s="37">
        <v>1</v>
      </c>
      <c r="F8" s="43">
        <f>+'RESUMEN INSUMOS'!F9</f>
        <v>167000</v>
      </c>
      <c r="G8" s="43">
        <f t="shared" si="0"/>
        <v>167000</v>
      </c>
      <c r="H8" s="43">
        <f>(G8*4)</f>
        <v>668000</v>
      </c>
    </row>
    <row r="9" spans="2:8" ht="15" x14ac:dyDescent="0.2">
      <c r="B9" s="39" t="s">
        <v>112</v>
      </c>
      <c r="C9" s="39" t="s">
        <v>32</v>
      </c>
      <c r="D9" s="48" t="s">
        <v>30</v>
      </c>
      <c r="E9" s="37">
        <v>1</v>
      </c>
      <c r="F9" s="43">
        <f>+'RESUMEN INSUMOS'!F10</f>
        <v>161000</v>
      </c>
      <c r="G9" s="43">
        <f t="shared" si="0"/>
        <v>161000</v>
      </c>
      <c r="H9" s="43">
        <f>(G9*4)</f>
        <v>644000</v>
      </c>
    </row>
    <row r="10" spans="2:8" ht="27.75" customHeight="1" x14ac:dyDescent="0.2">
      <c r="B10" s="39" t="s">
        <v>111</v>
      </c>
      <c r="C10" s="39" t="s">
        <v>277</v>
      </c>
      <c r="D10" s="48" t="s">
        <v>30</v>
      </c>
      <c r="E10" s="37">
        <v>1</v>
      </c>
      <c r="F10" s="43">
        <f>+'RESUMEN INSUMOS'!F11</f>
        <v>151000</v>
      </c>
      <c r="G10" s="43">
        <f t="shared" si="0"/>
        <v>151000</v>
      </c>
      <c r="H10" s="43">
        <f>(G10*4)</f>
        <v>604000</v>
      </c>
    </row>
    <row r="11" spans="2:8" ht="15" x14ac:dyDescent="0.2">
      <c r="B11" s="39" t="s">
        <v>48</v>
      </c>
      <c r="C11" s="39" t="s">
        <v>47</v>
      </c>
      <c r="D11" s="48" t="s">
        <v>30</v>
      </c>
      <c r="E11" s="37">
        <v>1</v>
      </c>
      <c r="F11" s="43">
        <f>+'RESUMEN INSUMOS'!F7</f>
        <v>94000</v>
      </c>
      <c r="G11" s="43">
        <f t="shared" si="0"/>
        <v>94000</v>
      </c>
      <c r="H11" s="43">
        <f>(G11*4)</f>
        <v>376000</v>
      </c>
    </row>
    <row r="12" spans="2:8" ht="15" x14ac:dyDescent="0.25">
      <c r="B12" s="35" t="s">
        <v>6</v>
      </c>
      <c r="C12" s="36"/>
      <c r="D12" s="36"/>
      <c r="E12" s="36"/>
      <c r="F12" s="41"/>
      <c r="G12" s="41">
        <f>SUM(G7:G11)</f>
        <v>822000</v>
      </c>
      <c r="H12" s="41">
        <f>SUM(H7:H11)</f>
        <v>3288000</v>
      </c>
    </row>
    <row r="13" spans="2:8" ht="15" customHeight="1" x14ac:dyDescent="0.25">
      <c r="B13" s="62"/>
      <c r="C13" s="571" t="s">
        <v>50</v>
      </c>
      <c r="D13" s="572"/>
      <c r="E13" s="572"/>
      <c r="F13" s="572"/>
      <c r="G13" s="41"/>
      <c r="H13" s="41"/>
    </row>
    <row r="14" spans="2:8" ht="30" x14ac:dyDescent="0.2">
      <c r="B14" s="39" t="s">
        <v>68</v>
      </c>
      <c r="C14" s="39" t="s">
        <v>69</v>
      </c>
      <c r="D14" s="58" t="s">
        <v>28</v>
      </c>
      <c r="E14" s="37">
        <v>2</v>
      </c>
      <c r="F14" s="43">
        <f>+'RESUMEN INSUMOS'!F14</f>
        <v>18500</v>
      </c>
      <c r="G14" s="43">
        <f t="shared" ref="G14:G16" si="1">(F14*E14)</f>
        <v>37000</v>
      </c>
      <c r="H14" s="43">
        <f>(G14*4)</f>
        <v>148000</v>
      </c>
    </row>
    <row r="15" spans="2:8" ht="15" x14ac:dyDescent="0.2">
      <c r="B15" s="39" t="s">
        <v>72</v>
      </c>
      <c r="C15" s="39" t="s">
        <v>73</v>
      </c>
      <c r="D15" s="58" t="s">
        <v>28</v>
      </c>
      <c r="E15" s="37">
        <v>1</v>
      </c>
      <c r="F15" s="43">
        <f>+'RESUMEN INSUMOS'!F16</f>
        <v>41000</v>
      </c>
      <c r="G15" s="43">
        <f t="shared" si="1"/>
        <v>41000</v>
      </c>
      <c r="H15" s="43">
        <f>(G15*4)</f>
        <v>164000</v>
      </c>
    </row>
    <row r="16" spans="2:8" ht="15" x14ac:dyDescent="0.2">
      <c r="B16" s="39" t="s">
        <v>74</v>
      </c>
      <c r="C16" s="39" t="s">
        <v>75</v>
      </c>
      <c r="D16" s="58" t="s">
        <v>28</v>
      </c>
      <c r="E16" s="37">
        <v>1</v>
      </c>
      <c r="F16" s="43">
        <f>+'RESUMEN INSUMOS'!F17</f>
        <v>21000</v>
      </c>
      <c r="G16" s="43">
        <f t="shared" si="1"/>
        <v>21000</v>
      </c>
      <c r="H16" s="43">
        <f>(G16*4)</f>
        <v>84000</v>
      </c>
    </row>
    <row r="17" spans="2:8" ht="15" x14ac:dyDescent="0.25">
      <c r="B17" s="54" t="s">
        <v>6</v>
      </c>
      <c r="C17" s="51"/>
      <c r="D17" s="36"/>
      <c r="E17" s="36"/>
      <c r="F17" s="41"/>
      <c r="G17" s="41">
        <f>SUM(G14:G16)</f>
        <v>99000</v>
      </c>
      <c r="H17" s="41">
        <f>SUM(H14:H16)</f>
        <v>396000</v>
      </c>
    </row>
    <row r="18" spans="2:8" ht="15" x14ac:dyDescent="0.25">
      <c r="B18" s="62"/>
      <c r="C18" s="571" t="s">
        <v>64</v>
      </c>
      <c r="D18" s="572"/>
      <c r="E18" s="572"/>
      <c r="F18" s="572"/>
      <c r="G18" s="41"/>
      <c r="H18" s="41"/>
    </row>
    <row r="19" spans="2:8" ht="15" x14ac:dyDescent="0.2">
      <c r="B19" s="39" t="s">
        <v>121</v>
      </c>
      <c r="C19" s="39" t="s">
        <v>122</v>
      </c>
      <c r="D19" s="58" t="s">
        <v>29</v>
      </c>
      <c r="E19" s="37">
        <v>1</v>
      </c>
      <c r="F19" s="46">
        <f>+'RESUMEN INSUMOS'!F25</f>
        <v>43333.333333333336</v>
      </c>
      <c r="G19" s="43">
        <f t="shared" ref="G19:G21" si="2">(F19*E19)</f>
        <v>43333.333333333336</v>
      </c>
      <c r="H19" s="43">
        <f>(G19*4)</f>
        <v>173333.33333333334</v>
      </c>
    </row>
    <row r="20" spans="2:8" ht="15" x14ac:dyDescent="0.2">
      <c r="B20" s="39" t="s">
        <v>123</v>
      </c>
      <c r="C20" s="39" t="s">
        <v>124</v>
      </c>
      <c r="D20" s="58" t="s">
        <v>29</v>
      </c>
      <c r="E20" s="37">
        <v>1</v>
      </c>
      <c r="F20" s="46">
        <f>+'RESUMEN INSUMOS'!F26</f>
        <v>80000</v>
      </c>
      <c r="G20" s="43">
        <f t="shared" si="2"/>
        <v>80000</v>
      </c>
      <c r="H20" s="43">
        <f>(G20*4)</f>
        <v>320000</v>
      </c>
    </row>
    <row r="21" spans="2:8" ht="15" x14ac:dyDescent="0.2">
      <c r="B21" s="180" t="s">
        <v>368</v>
      </c>
      <c r="C21" s="39" t="s">
        <v>369</v>
      </c>
      <c r="D21" s="58" t="s">
        <v>33</v>
      </c>
      <c r="E21" s="37">
        <v>1</v>
      </c>
      <c r="F21" s="46">
        <v>26700</v>
      </c>
      <c r="G21" s="43">
        <f t="shared" si="2"/>
        <v>26700</v>
      </c>
      <c r="H21" s="43">
        <f>(G21*4)</f>
        <v>106800</v>
      </c>
    </row>
    <row r="22" spans="2:8" ht="15" x14ac:dyDescent="0.25">
      <c r="B22" s="35" t="s">
        <v>6</v>
      </c>
      <c r="C22" s="36"/>
      <c r="D22" s="36"/>
      <c r="E22" s="36"/>
      <c r="F22" s="41"/>
      <c r="G22" s="41">
        <f>SUM(G19:G21)</f>
        <v>150033.33333333334</v>
      </c>
      <c r="H22" s="41">
        <f>SUM(H19:H21)</f>
        <v>600133.33333333337</v>
      </c>
    </row>
    <row r="23" spans="2:8" ht="15" x14ac:dyDescent="0.25">
      <c r="B23" s="62"/>
      <c r="C23" s="571" t="s">
        <v>65</v>
      </c>
      <c r="D23" s="572"/>
      <c r="E23" s="572"/>
      <c r="F23" s="572"/>
      <c r="G23" s="41"/>
      <c r="H23" s="41"/>
    </row>
    <row r="24" spans="2:8" ht="15" x14ac:dyDescent="0.2">
      <c r="B24" s="39" t="s">
        <v>76</v>
      </c>
      <c r="C24" s="39" t="s">
        <v>77</v>
      </c>
      <c r="D24" s="58" t="s">
        <v>29</v>
      </c>
      <c r="E24" s="37">
        <v>1</v>
      </c>
      <c r="F24" s="46">
        <f>+'RESUMEN INSUMOS'!F29</f>
        <v>311666.66666666669</v>
      </c>
      <c r="G24" s="43">
        <f t="shared" ref="G24:G26" si="3">(F24*E24)</f>
        <v>311666.66666666669</v>
      </c>
      <c r="H24" s="43">
        <f>(G24*4)</f>
        <v>1246666.6666666667</v>
      </c>
    </row>
    <row r="25" spans="2:8" ht="15" x14ac:dyDescent="0.2">
      <c r="B25" s="181" t="s">
        <v>366</v>
      </c>
      <c r="C25" s="39" t="s">
        <v>367</v>
      </c>
      <c r="D25" s="175" t="s">
        <v>29</v>
      </c>
      <c r="E25" s="37">
        <v>1</v>
      </c>
      <c r="F25" s="46">
        <v>30000</v>
      </c>
      <c r="G25" s="43">
        <f t="shared" si="3"/>
        <v>30000</v>
      </c>
      <c r="H25" s="43">
        <f>(G25*4)</f>
        <v>120000</v>
      </c>
    </row>
    <row r="26" spans="2:8" ht="15" x14ac:dyDescent="0.2">
      <c r="B26" s="178" t="s">
        <v>364</v>
      </c>
      <c r="C26" s="39" t="s">
        <v>365</v>
      </c>
      <c r="D26" s="175" t="s">
        <v>29</v>
      </c>
      <c r="E26" s="37">
        <v>1</v>
      </c>
      <c r="F26" s="46">
        <v>42100</v>
      </c>
      <c r="G26" s="43">
        <f t="shared" si="3"/>
        <v>42100</v>
      </c>
      <c r="H26" s="43">
        <f>(G26*4)</f>
        <v>168400</v>
      </c>
    </row>
    <row r="27" spans="2:8" ht="15" x14ac:dyDescent="0.25">
      <c r="B27" s="54" t="s">
        <v>6</v>
      </c>
      <c r="C27" s="51"/>
      <c r="D27" s="36"/>
      <c r="E27" s="36"/>
      <c r="F27" s="41"/>
      <c r="G27" s="41">
        <f>SUM(G24:G26)</f>
        <v>383766.66666666669</v>
      </c>
      <c r="H27" s="41">
        <f>SUM(H24:H26)</f>
        <v>1535066.6666666667</v>
      </c>
    </row>
    <row r="28" spans="2:8" ht="15" x14ac:dyDescent="0.25">
      <c r="B28" s="62"/>
      <c r="C28" s="571" t="s">
        <v>82</v>
      </c>
      <c r="D28" s="572"/>
      <c r="E28" s="572"/>
      <c r="F28" s="572"/>
      <c r="G28" s="41"/>
      <c r="H28" s="41"/>
    </row>
    <row r="29" spans="2:8" ht="15" x14ac:dyDescent="0.2">
      <c r="B29" s="53" t="s">
        <v>83</v>
      </c>
      <c r="C29" s="53" t="s">
        <v>84</v>
      </c>
      <c r="D29" s="58" t="s">
        <v>89</v>
      </c>
      <c r="E29" s="37">
        <v>1</v>
      </c>
      <c r="F29" s="46">
        <f>+'RESUMEN INSUMOS'!F37</f>
        <v>72333.333333333328</v>
      </c>
      <c r="G29" s="43">
        <f t="shared" ref="G29:G32" si="4">(F29*E29)</f>
        <v>72333.333333333328</v>
      </c>
      <c r="H29" s="43">
        <f>(G29*4)</f>
        <v>289333.33333333331</v>
      </c>
    </row>
    <row r="30" spans="2:8" ht="15" x14ac:dyDescent="0.2">
      <c r="B30" s="53" t="s">
        <v>139</v>
      </c>
      <c r="C30" s="53" t="s">
        <v>140</v>
      </c>
      <c r="D30" s="58" t="s">
        <v>141</v>
      </c>
      <c r="E30" s="37">
        <v>1</v>
      </c>
      <c r="F30" s="46">
        <f>+'RESUMEN INSUMOS'!F41</f>
        <v>9333.3333333333339</v>
      </c>
      <c r="G30" s="43">
        <f t="shared" si="4"/>
        <v>9333.3333333333339</v>
      </c>
      <c r="H30" s="43">
        <f>(G30*4)</f>
        <v>37333.333333333336</v>
      </c>
    </row>
    <row r="31" spans="2:8" ht="21" customHeight="1" x14ac:dyDescent="0.2">
      <c r="B31" s="39" t="s">
        <v>85</v>
      </c>
      <c r="C31" s="39" t="s">
        <v>86</v>
      </c>
      <c r="D31" s="58" t="s">
        <v>29</v>
      </c>
      <c r="E31" s="37">
        <v>1</v>
      </c>
      <c r="F31" s="46">
        <f>+'RESUMEN INSUMOS'!F38</f>
        <v>38333.333333333336</v>
      </c>
      <c r="G31" s="43">
        <f t="shared" si="4"/>
        <v>38333.333333333336</v>
      </c>
      <c r="H31" s="43">
        <f>(G31*4)</f>
        <v>153333.33333333334</v>
      </c>
    </row>
    <row r="32" spans="2:8" ht="27" customHeight="1" x14ac:dyDescent="0.2">
      <c r="B32" s="39" t="s">
        <v>87</v>
      </c>
      <c r="C32" s="39" t="s">
        <v>88</v>
      </c>
      <c r="D32" s="58" t="s">
        <v>29</v>
      </c>
      <c r="E32" s="37">
        <v>1</v>
      </c>
      <c r="F32" s="43">
        <f>+'RESUMEN INSUMOS'!F39</f>
        <v>33333.333333333336</v>
      </c>
      <c r="G32" s="43">
        <f t="shared" si="4"/>
        <v>33333.333333333336</v>
      </c>
      <c r="H32" s="43">
        <f>(G32*4)</f>
        <v>133333.33333333334</v>
      </c>
    </row>
    <row r="33" spans="2:8" ht="15" x14ac:dyDescent="0.25">
      <c r="B33" s="54" t="s">
        <v>6</v>
      </c>
      <c r="C33" s="51"/>
      <c r="D33" s="36"/>
      <c r="E33" s="36"/>
      <c r="F33" s="41"/>
      <c r="G33" s="41">
        <f>SUM(G29:G32)</f>
        <v>153333.33333333334</v>
      </c>
      <c r="H33" s="41">
        <f>SUM(H29:H32)</f>
        <v>613333.33333333337</v>
      </c>
    </row>
    <row r="34" spans="2:8" ht="15" x14ac:dyDescent="0.25">
      <c r="B34" s="575" t="s">
        <v>0</v>
      </c>
      <c r="C34" s="575"/>
      <c r="D34" s="575"/>
      <c r="E34" s="575"/>
      <c r="F34" s="47"/>
      <c r="G34" s="47">
        <f>SUM(G33,G27,G22,G17,G12,G5)</f>
        <v>1708133.3333333335</v>
      </c>
      <c r="H34" s="47">
        <f>SUM(H33,H27,H22,H17,H12,H5)</f>
        <v>6832533.333333334</v>
      </c>
    </row>
  </sheetData>
  <mergeCells count="8">
    <mergeCell ref="C28:F28"/>
    <mergeCell ref="B34:E34"/>
    <mergeCell ref="B1:H1"/>
    <mergeCell ref="C3:F3"/>
    <mergeCell ref="C6:F6"/>
    <mergeCell ref="C13:F13"/>
    <mergeCell ref="C18:F18"/>
    <mergeCell ref="C23:F2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89"/>
  <sheetViews>
    <sheetView zoomScale="85" zoomScaleNormal="85" workbookViewId="0">
      <selection activeCell="G14" sqref="G14"/>
    </sheetView>
  </sheetViews>
  <sheetFormatPr baseColWidth="10" defaultRowHeight="15" x14ac:dyDescent="0.25"/>
  <cols>
    <col min="2" max="2" width="48.7109375" customWidth="1"/>
    <col min="3" max="3" width="15.42578125" style="231" customWidth="1"/>
    <col min="4" max="4" width="15.28515625" customWidth="1"/>
    <col min="5" max="5" width="14" customWidth="1"/>
    <col min="6" max="6" width="14.42578125" customWidth="1"/>
    <col min="7" max="7" width="17.85546875" customWidth="1"/>
    <col min="8" max="8" width="13.7109375" bestFit="1" customWidth="1"/>
    <col min="9" max="9" width="14.85546875" customWidth="1"/>
    <col min="11" max="11" width="17.140625" customWidth="1"/>
    <col min="12" max="12" width="19.85546875" customWidth="1"/>
    <col min="13" max="13" width="26.85546875" customWidth="1"/>
    <col min="14" max="14" width="19.140625" customWidth="1"/>
  </cols>
  <sheetData>
    <row r="1" spans="2:14" ht="55.5" customHeight="1" x14ac:dyDescent="0.25">
      <c r="B1" s="581" t="s">
        <v>234</v>
      </c>
      <c r="C1" s="581"/>
      <c r="D1" s="581"/>
      <c r="E1" s="581"/>
      <c r="F1" s="581"/>
      <c r="G1" s="581"/>
    </row>
    <row r="3" spans="2:14" ht="47.25" customHeight="1" x14ac:dyDescent="0.25">
      <c r="B3" s="590" t="s">
        <v>242</v>
      </c>
      <c r="C3" s="590"/>
      <c r="D3" s="590"/>
      <c r="E3" s="590"/>
      <c r="F3" s="590"/>
      <c r="G3" s="590"/>
    </row>
    <row r="4" spans="2:14" ht="8.25" customHeight="1" thickBot="1" x14ac:dyDescent="0.3"/>
    <row r="5" spans="2:14" ht="15.75" hidden="1" thickBot="1" x14ac:dyDescent="0.3"/>
    <row r="6" spans="2:14" ht="43.5" customHeight="1" thickBot="1" x14ac:dyDescent="0.3">
      <c r="B6" s="534" t="s">
        <v>226</v>
      </c>
      <c r="C6" s="582"/>
      <c r="D6" s="582"/>
      <c r="E6" s="582"/>
      <c r="F6" s="582"/>
      <c r="G6" s="582"/>
      <c r="K6" s="137" t="s">
        <v>281</v>
      </c>
      <c r="L6" s="138" t="s">
        <v>282</v>
      </c>
      <c r="M6" s="138" t="s">
        <v>283</v>
      </c>
      <c r="N6" s="138" t="s">
        <v>301</v>
      </c>
    </row>
    <row r="7" spans="2:14" ht="30.75" thickBot="1" x14ac:dyDescent="0.3">
      <c r="B7" s="20" t="s">
        <v>261</v>
      </c>
      <c r="C7" s="232" t="s">
        <v>227</v>
      </c>
      <c r="D7" s="20" t="s">
        <v>228</v>
      </c>
      <c r="E7" s="20" t="s">
        <v>8</v>
      </c>
      <c r="F7" s="20" t="s">
        <v>229</v>
      </c>
      <c r="G7" s="20" t="s">
        <v>230</v>
      </c>
      <c r="K7" s="139" t="s">
        <v>162</v>
      </c>
      <c r="L7" s="140" t="s">
        <v>284</v>
      </c>
      <c r="M7" s="140" t="s">
        <v>285</v>
      </c>
      <c r="N7" s="141">
        <v>31800000</v>
      </c>
    </row>
    <row r="8" spans="2:14" ht="15.75" thickBot="1" x14ac:dyDescent="0.3">
      <c r="B8" s="1" t="s">
        <v>255</v>
      </c>
      <c r="C8" s="227">
        <f>+C26</f>
        <v>37.503678026234439</v>
      </c>
      <c r="D8" s="1">
        <f>+D26</f>
        <v>60</v>
      </c>
      <c r="E8" s="197">
        <v>6</v>
      </c>
      <c r="F8" s="6">
        <f>+F18</f>
        <v>30723</v>
      </c>
      <c r="G8" s="2">
        <f>$G$26</f>
        <v>21200000.000000007</v>
      </c>
      <c r="H8" s="586"/>
      <c r="I8" s="587"/>
      <c r="J8" s="588"/>
      <c r="K8" s="139" t="s">
        <v>163</v>
      </c>
      <c r="L8" s="140" t="s">
        <v>286</v>
      </c>
      <c r="M8" s="140" t="s">
        <v>287</v>
      </c>
      <c r="N8" s="141">
        <v>10600000</v>
      </c>
    </row>
    <row r="9" spans="2:14" ht="15.75" thickBot="1" x14ac:dyDescent="0.3">
      <c r="B9" s="1" t="s">
        <v>256</v>
      </c>
      <c r="C9" s="227">
        <f>+C38</f>
        <v>37.503678026234411</v>
      </c>
      <c r="D9" s="1">
        <f>+D38</f>
        <v>60</v>
      </c>
      <c r="E9" s="197">
        <v>6</v>
      </c>
      <c r="F9" s="6">
        <f t="shared" ref="F9:F13" si="0">+F19</f>
        <v>30723</v>
      </c>
      <c r="G9" s="2">
        <f>$G$38</f>
        <v>21200000</v>
      </c>
      <c r="H9" s="586"/>
      <c r="I9" s="587"/>
      <c r="J9" s="588"/>
      <c r="K9" s="139" t="s">
        <v>163</v>
      </c>
      <c r="L9" s="140" t="s">
        <v>288</v>
      </c>
      <c r="M9" s="140" t="s">
        <v>289</v>
      </c>
      <c r="N9" s="141">
        <v>10600000</v>
      </c>
    </row>
    <row r="10" spans="2:14" ht="15.75" thickBot="1" x14ac:dyDescent="0.3">
      <c r="B10" s="1" t="s">
        <v>257</v>
      </c>
      <c r="C10" s="227">
        <f>+C50</f>
        <v>37.503678026234411</v>
      </c>
      <c r="D10" s="1">
        <f>+D50</f>
        <v>60</v>
      </c>
      <c r="E10" s="197">
        <v>6</v>
      </c>
      <c r="F10" s="6">
        <f t="shared" si="0"/>
        <v>30723</v>
      </c>
      <c r="G10" s="2">
        <f>$G$50</f>
        <v>21200000</v>
      </c>
      <c r="H10" s="586"/>
      <c r="I10" s="587"/>
      <c r="J10" s="588"/>
      <c r="K10" s="139" t="s">
        <v>163</v>
      </c>
      <c r="L10" s="140" t="s">
        <v>290</v>
      </c>
      <c r="M10" s="140" t="s">
        <v>291</v>
      </c>
      <c r="N10" s="141">
        <v>10600000</v>
      </c>
    </row>
    <row r="11" spans="2:14" ht="15.75" thickBot="1" x14ac:dyDescent="0.3">
      <c r="B11" s="1" t="s">
        <v>258</v>
      </c>
      <c r="C11" s="227">
        <f>+C62</f>
        <v>37.503678026234411</v>
      </c>
      <c r="D11" s="1">
        <f>+D62</f>
        <v>60</v>
      </c>
      <c r="E11" s="197">
        <v>6</v>
      </c>
      <c r="F11" s="6">
        <f t="shared" si="0"/>
        <v>30723</v>
      </c>
      <c r="G11" s="2">
        <f>$G$62</f>
        <v>21200000</v>
      </c>
      <c r="H11" s="586"/>
      <c r="I11" s="587"/>
      <c r="J11" s="588"/>
      <c r="K11" s="139" t="s">
        <v>164</v>
      </c>
      <c r="L11" s="140" t="s">
        <v>292</v>
      </c>
      <c r="M11" s="140" t="s">
        <v>293</v>
      </c>
      <c r="N11" s="141">
        <v>10600000</v>
      </c>
    </row>
    <row r="12" spans="2:14" ht="15.75" thickBot="1" x14ac:dyDescent="0.3">
      <c r="B12" s="1" t="s">
        <v>259</v>
      </c>
      <c r="C12" s="227">
        <f>+C74</f>
        <v>37.503678026234411</v>
      </c>
      <c r="D12" s="1">
        <f>+D74</f>
        <v>60</v>
      </c>
      <c r="E12" s="197">
        <v>6</v>
      </c>
      <c r="F12" s="6">
        <f t="shared" si="0"/>
        <v>30723</v>
      </c>
      <c r="G12" s="2">
        <f>$G$74</f>
        <v>21200000</v>
      </c>
      <c r="H12" s="586"/>
      <c r="I12" s="587"/>
      <c r="J12" s="588"/>
      <c r="K12" s="139" t="s">
        <v>164</v>
      </c>
      <c r="L12" s="140" t="s">
        <v>292</v>
      </c>
      <c r="M12" s="140" t="s">
        <v>294</v>
      </c>
      <c r="N12" s="141">
        <v>10600000</v>
      </c>
    </row>
    <row r="13" spans="2:14" ht="15.75" thickBot="1" x14ac:dyDescent="0.3">
      <c r="B13" s="1" t="s">
        <v>260</v>
      </c>
      <c r="C13" s="227">
        <f>+C86</f>
        <v>37.503678026234411</v>
      </c>
      <c r="D13" s="1">
        <f>+D86</f>
        <v>60</v>
      </c>
      <c r="E13" s="197">
        <v>6</v>
      </c>
      <c r="F13" s="6">
        <f t="shared" si="0"/>
        <v>30723</v>
      </c>
      <c r="G13" s="2">
        <f>$G$86</f>
        <v>21200000</v>
      </c>
      <c r="H13" s="586"/>
      <c r="I13" s="587"/>
      <c r="J13" s="588"/>
      <c r="K13" s="139" t="s">
        <v>164</v>
      </c>
      <c r="L13" s="140" t="s">
        <v>295</v>
      </c>
      <c r="M13" s="140" t="s">
        <v>296</v>
      </c>
      <c r="N13" s="141">
        <v>10600000</v>
      </c>
    </row>
    <row r="14" spans="2:14" ht="15.75" thickBot="1" x14ac:dyDescent="0.3">
      <c r="B14" s="104"/>
      <c r="C14" s="229">
        <f>SUM(C8:C13)</f>
        <v>225.02206815740649</v>
      </c>
      <c r="D14" s="105">
        <f t="shared" ref="D14:F14" si="1">SUM(D8:D13)</f>
        <v>360</v>
      </c>
      <c r="E14" s="105">
        <f t="shared" si="1"/>
        <v>36</v>
      </c>
      <c r="F14" s="106">
        <f t="shared" si="1"/>
        <v>184338</v>
      </c>
      <c r="G14" s="106">
        <f>SUM(G8:G13)</f>
        <v>127200000</v>
      </c>
      <c r="K14" s="139" t="s">
        <v>165</v>
      </c>
      <c r="L14" s="140" t="s">
        <v>297</v>
      </c>
      <c r="M14" s="140" t="s">
        <v>298</v>
      </c>
      <c r="N14" s="141">
        <v>15900000</v>
      </c>
    </row>
    <row r="15" spans="2:14" ht="15.75" thickBot="1" x14ac:dyDescent="0.3">
      <c r="K15" s="139" t="s">
        <v>165</v>
      </c>
      <c r="L15" s="140" t="s">
        <v>299</v>
      </c>
      <c r="M15" s="140" t="s">
        <v>300</v>
      </c>
      <c r="N15" s="141">
        <v>15900000</v>
      </c>
    </row>
    <row r="16" spans="2:14" ht="39.75" customHeight="1" thickBot="1" x14ac:dyDescent="0.3">
      <c r="B16" s="534" t="s">
        <v>262</v>
      </c>
      <c r="C16" s="582"/>
      <c r="D16" s="582"/>
      <c r="E16" s="582"/>
      <c r="F16" s="582"/>
      <c r="G16" s="582"/>
      <c r="K16" s="583" t="s">
        <v>0</v>
      </c>
      <c r="L16" s="584"/>
      <c r="M16" s="585"/>
      <c r="N16" s="142">
        <f>SUM(N7:N15)</f>
        <v>127200000</v>
      </c>
    </row>
    <row r="17" spans="2:10" ht="30" x14ac:dyDescent="0.25">
      <c r="B17" s="20" t="s">
        <v>2</v>
      </c>
      <c r="C17" s="232" t="s">
        <v>227</v>
      </c>
      <c r="D17" s="20" t="s">
        <v>228</v>
      </c>
      <c r="E17" s="20" t="s">
        <v>8</v>
      </c>
      <c r="F17" s="20" t="s">
        <v>229</v>
      </c>
      <c r="G17" s="20" t="s">
        <v>230</v>
      </c>
    </row>
    <row r="18" spans="2:10" ht="15" customHeight="1" x14ac:dyDescent="0.25">
      <c r="B18" s="1" t="s">
        <v>231</v>
      </c>
      <c r="C18" s="227">
        <v>4</v>
      </c>
      <c r="D18" s="1">
        <v>5</v>
      </c>
      <c r="E18" s="1">
        <v>1</v>
      </c>
      <c r="F18" s="2">
        <v>30723</v>
      </c>
      <c r="G18" s="2">
        <f>(C18*D18*E18*F18)</f>
        <v>614460</v>
      </c>
      <c r="H18" s="586"/>
      <c r="I18" s="589"/>
      <c r="J18" s="589"/>
    </row>
    <row r="19" spans="2:10" x14ac:dyDescent="0.25">
      <c r="B19" s="1" t="s">
        <v>232</v>
      </c>
      <c r="C19" s="227">
        <v>4</v>
      </c>
      <c r="D19" s="1">
        <v>5</v>
      </c>
      <c r="E19" s="1">
        <v>1</v>
      </c>
      <c r="F19" s="2">
        <v>30723</v>
      </c>
      <c r="G19" s="2">
        <f t="shared" ref="G19:G25" si="2">(C19*D19*E19*F19)</f>
        <v>614460</v>
      </c>
      <c r="H19" s="586"/>
      <c r="I19" s="589"/>
      <c r="J19" s="589"/>
    </row>
    <row r="20" spans="2:10" x14ac:dyDescent="0.25">
      <c r="B20" s="1" t="s">
        <v>235</v>
      </c>
      <c r="C20" s="227">
        <v>3</v>
      </c>
      <c r="D20" s="1">
        <v>5</v>
      </c>
      <c r="E20" s="1">
        <v>1</v>
      </c>
      <c r="F20" s="2">
        <v>30723</v>
      </c>
      <c r="G20" s="2">
        <f t="shared" si="2"/>
        <v>460845</v>
      </c>
      <c r="H20" s="586"/>
      <c r="I20" s="589"/>
      <c r="J20" s="589"/>
    </row>
    <row r="21" spans="2:10" x14ac:dyDescent="0.25">
      <c r="B21" s="1" t="s">
        <v>236</v>
      </c>
      <c r="C21" s="227">
        <v>5.5036780262344402</v>
      </c>
      <c r="D21" s="1">
        <v>5</v>
      </c>
      <c r="E21" s="1">
        <v>2</v>
      </c>
      <c r="F21" s="2">
        <v>30723</v>
      </c>
      <c r="G21" s="2">
        <f t="shared" si="2"/>
        <v>1690895.000000007</v>
      </c>
      <c r="H21" s="586"/>
      <c r="I21" s="589"/>
      <c r="J21" s="589"/>
    </row>
    <row r="22" spans="2:10" x14ac:dyDescent="0.25">
      <c r="B22" s="103" t="s">
        <v>243</v>
      </c>
      <c r="C22" s="227">
        <v>4</v>
      </c>
      <c r="D22" s="1">
        <v>10</v>
      </c>
      <c r="E22" s="1">
        <v>4</v>
      </c>
      <c r="F22" s="2">
        <v>30723</v>
      </c>
      <c r="G22" s="2">
        <f t="shared" si="2"/>
        <v>4915680</v>
      </c>
      <c r="H22" s="586"/>
      <c r="I22" s="589"/>
      <c r="J22" s="589"/>
    </row>
    <row r="23" spans="2:10" x14ac:dyDescent="0.25">
      <c r="B23" s="103" t="s">
        <v>247</v>
      </c>
      <c r="C23" s="227">
        <v>4</v>
      </c>
      <c r="D23" s="1">
        <v>10</v>
      </c>
      <c r="E23" s="1">
        <v>4</v>
      </c>
      <c r="F23" s="2">
        <v>30723</v>
      </c>
      <c r="G23" s="2">
        <f t="shared" si="2"/>
        <v>4915680</v>
      </c>
      <c r="H23" s="586"/>
      <c r="I23" s="589"/>
      <c r="J23" s="589"/>
    </row>
    <row r="24" spans="2:10" x14ac:dyDescent="0.25">
      <c r="B24" s="1" t="s">
        <v>241</v>
      </c>
      <c r="C24" s="227">
        <v>4</v>
      </c>
      <c r="D24" s="1">
        <v>10</v>
      </c>
      <c r="E24" s="1">
        <v>2</v>
      </c>
      <c r="F24" s="2">
        <v>30723</v>
      </c>
      <c r="G24" s="2">
        <f t="shared" si="2"/>
        <v>2457840</v>
      </c>
      <c r="H24" s="586"/>
      <c r="I24" s="589"/>
      <c r="J24" s="589"/>
    </row>
    <row r="25" spans="2:10" x14ac:dyDescent="0.25">
      <c r="B25" s="1" t="s">
        <v>233</v>
      </c>
      <c r="C25" s="227">
        <v>9</v>
      </c>
      <c r="D25" s="1">
        <v>10</v>
      </c>
      <c r="E25" s="1">
        <v>2</v>
      </c>
      <c r="F25" s="2">
        <v>30723</v>
      </c>
      <c r="G25" s="2">
        <f t="shared" si="2"/>
        <v>5530140</v>
      </c>
      <c r="H25" s="586"/>
      <c r="I25" s="589"/>
      <c r="J25" s="589"/>
    </row>
    <row r="26" spans="2:10" x14ac:dyDescent="0.25">
      <c r="B26" s="104"/>
      <c r="C26" s="228">
        <f>SUM(C18:C25)</f>
        <v>37.503678026234439</v>
      </c>
      <c r="D26" s="105">
        <f>SUM(D18:D25)</f>
        <v>60</v>
      </c>
      <c r="E26" s="105"/>
      <c r="F26" s="106"/>
      <c r="G26" s="106">
        <f>SUM(G18:G25)</f>
        <v>21200000.000000007</v>
      </c>
    </row>
    <row r="28" spans="2:10" ht="27" customHeight="1" x14ac:dyDescent="0.25">
      <c r="B28" s="534" t="s">
        <v>263</v>
      </c>
      <c r="C28" s="582"/>
      <c r="D28" s="582"/>
      <c r="E28" s="582"/>
      <c r="F28" s="582"/>
      <c r="G28" s="582"/>
    </row>
    <row r="29" spans="2:10" ht="30" x14ac:dyDescent="0.25">
      <c r="B29" s="20" t="s">
        <v>2</v>
      </c>
      <c r="C29" s="232" t="s">
        <v>227</v>
      </c>
      <c r="D29" s="20" t="s">
        <v>228</v>
      </c>
      <c r="E29" s="20" t="s">
        <v>8</v>
      </c>
      <c r="F29" s="20" t="s">
        <v>229</v>
      </c>
      <c r="G29" s="20" t="s">
        <v>230</v>
      </c>
    </row>
    <row r="30" spans="2:10" x14ac:dyDescent="0.25">
      <c r="B30" s="1" t="s">
        <v>231</v>
      </c>
      <c r="C30" s="227">
        <v>4</v>
      </c>
      <c r="D30" s="1">
        <v>5</v>
      </c>
      <c r="E30" s="1">
        <v>1</v>
      </c>
      <c r="F30" s="2">
        <v>30723</v>
      </c>
      <c r="G30" s="2">
        <f>(C30*D30*E30*F30)</f>
        <v>614460</v>
      </c>
      <c r="H30" s="586"/>
      <c r="I30" s="589"/>
      <c r="J30" s="589"/>
    </row>
    <row r="31" spans="2:10" x14ac:dyDescent="0.25">
      <c r="B31" s="1" t="s">
        <v>232</v>
      </c>
      <c r="C31" s="227">
        <v>4</v>
      </c>
      <c r="D31" s="1">
        <v>5</v>
      </c>
      <c r="E31" s="1">
        <v>1</v>
      </c>
      <c r="F31" s="2">
        <v>30723</v>
      </c>
      <c r="G31" s="2">
        <f t="shared" ref="G31:G37" si="3">(C31*D31*E31*F31)</f>
        <v>614460</v>
      </c>
      <c r="H31" s="586"/>
      <c r="I31" s="589"/>
      <c r="J31" s="589"/>
    </row>
    <row r="32" spans="2:10" x14ac:dyDescent="0.25">
      <c r="B32" s="1" t="s">
        <v>235</v>
      </c>
      <c r="C32" s="227">
        <v>3</v>
      </c>
      <c r="D32" s="1">
        <v>5</v>
      </c>
      <c r="E32" s="1">
        <v>1</v>
      </c>
      <c r="F32" s="2">
        <v>30723</v>
      </c>
      <c r="G32" s="2">
        <f t="shared" si="3"/>
        <v>460845</v>
      </c>
      <c r="H32" s="586"/>
      <c r="I32" s="589"/>
      <c r="J32" s="589"/>
    </row>
    <row r="33" spans="2:10" x14ac:dyDescent="0.25">
      <c r="B33" s="1" t="s">
        <v>237</v>
      </c>
      <c r="C33" s="227">
        <v>5.5036780262344154</v>
      </c>
      <c r="D33" s="1">
        <v>5</v>
      </c>
      <c r="E33" s="1">
        <v>2</v>
      </c>
      <c r="F33" s="2">
        <v>30723</v>
      </c>
      <c r="G33" s="2">
        <f t="shared" si="3"/>
        <v>1690894.9999999993</v>
      </c>
      <c r="H33" s="586"/>
      <c r="I33" s="589"/>
      <c r="J33" s="589"/>
    </row>
    <row r="34" spans="2:10" ht="30" x14ac:dyDescent="0.25">
      <c r="B34" s="103" t="s">
        <v>267</v>
      </c>
      <c r="C34" s="227">
        <v>4</v>
      </c>
      <c r="D34" s="1">
        <v>10</v>
      </c>
      <c r="E34" s="1">
        <v>4</v>
      </c>
      <c r="F34" s="2">
        <v>30723</v>
      </c>
      <c r="G34" s="2">
        <f t="shared" si="3"/>
        <v>4915680</v>
      </c>
      <c r="H34" s="586"/>
      <c r="I34" s="589"/>
      <c r="J34" s="589"/>
    </row>
    <row r="35" spans="2:10" x14ac:dyDescent="0.25">
      <c r="B35" s="103" t="s">
        <v>264</v>
      </c>
      <c r="C35" s="227">
        <v>4</v>
      </c>
      <c r="D35" s="1">
        <v>10</v>
      </c>
      <c r="E35" s="1">
        <v>4</v>
      </c>
      <c r="F35" s="2">
        <v>30723</v>
      </c>
      <c r="G35" s="2">
        <f t="shared" si="3"/>
        <v>4915680</v>
      </c>
      <c r="H35" s="586"/>
      <c r="I35" s="589"/>
      <c r="J35" s="589"/>
    </row>
    <row r="36" spans="2:10" x14ac:dyDescent="0.25">
      <c r="B36" s="1" t="s">
        <v>241</v>
      </c>
      <c r="C36" s="227">
        <v>4</v>
      </c>
      <c r="D36" s="1">
        <v>10</v>
      </c>
      <c r="E36" s="1">
        <v>2</v>
      </c>
      <c r="F36" s="2">
        <v>30723</v>
      </c>
      <c r="G36" s="2">
        <f t="shared" si="3"/>
        <v>2457840</v>
      </c>
      <c r="H36" s="586"/>
      <c r="I36" s="589"/>
      <c r="J36" s="589"/>
    </row>
    <row r="37" spans="2:10" x14ac:dyDescent="0.25">
      <c r="B37" s="1" t="s">
        <v>233</v>
      </c>
      <c r="C37" s="227">
        <v>9</v>
      </c>
      <c r="D37" s="1">
        <v>10</v>
      </c>
      <c r="E37" s="1">
        <v>2</v>
      </c>
      <c r="F37" s="2">
        <v>30723</v>
      </c>
      <c r="G37" s="2">
        <f t="shared" si="3"/>
        <v>5530140</v>
      </c>
      <c r="H37" s="586"/>
      <c r="I37" s="589"/>
      <c r="J37" s="589"/>
    </row>
    <row r="38" spans="2:10" x14ac:dyDescent="0.25">
      <c r="B38" s="104"/>
      <c r="C38" s="228">
        <f>SUM(C30:C37)</f>
        <v>37.503678026234411</v>
      </c>
      <c r="D38" s="105">
        <f>SUM(D30:D37)</f>
        <v>60</v>
      </c>
      <c r="E38" s="105"/>
      <c r="F38" s="106"/>
      <c r="G38" s="106">
        <f>SUM(G30:G37)</f>
        <v>21200000</v>
      </c>
    </row>
    <row r="40" spans="2:10" ht="31.5" customHeight="1" x14ac:dyDescent="0.25">
      <c r="B40" s="534" t="s">
        <v>265</v>
      </c>
      <c r="C40" s="582"/>
      <c r="D40" s="582"/>
      <c r="E40" s="582"/>
      <c r="F40" s="582"/>
      <c r="G40" s="582"/>
    </row>
    <row r="41" spans="2:10" ht="30" x14ac:dyDescent="0.25">
      <c r="B41" s="20" t="s">
        <v>2</v>
      </c>
      <c r="C41" s="232" t="s">
        <v>227</v>
      </c>
      <c r="D41" s="20" t="s">
        <v>228</v>
      </c>
      <c r="E41" s="20" t="s">
        <v>8</v>
      </c>
      <c r="F41" s="20" t="s">
        <v>229</v>
      </c>
      <c r="G41" s="20" t="s">
        <v>230</v>
      </c>
    </row>
    <row r="42" spans="2:10" x14ac:dyDescent="0.25">
      <c r="B42" s="1" t="s">
        <v>231</v>
      </c>
      <c r="C42" s="227">
        <v>4</v>
      </c>
      <c r="D42" s="1">
        <v>5</v>
      </c>
      <c r="E42" s="1">
        <v>1</v>
      </c>
      <c r="F42" s="2">
        <v>30723</v>
      </c>
      <c r="G42" s="2">
        <f>(C42*D42*E42*F42)</f>
        <v>614460</v>
      </c>
      <c r="H42" s="586"/>
      <c r="I42" s="589"/>
      <c r="J42" s="589"/>
    </row>
    <row r="43" spans="2:10" x14ac:dyDescent="0.25">
      <c r="B43" s="1" t="s">
        <v>232</v>
      </c>
      <c r="C43" s="227">
        <v>4</v>
      </c>
      <c r="D43" s="1">
        <v>5</v>
      </c>
      <c r="E43" s="1">
        <v>1</v>
      </c>
      <c r="F43" s="2">
        <v>30723</v>
      </c>
      <c r="G43" s="2">
        <f t="shared" ref="G43:G49" si="4">(C43*D43*E43*F43)</f>
        <v>614460</v>
      </c>
      <c r="H43" s="586"/>
      <c r="I43" s="589"/>
      <c r="J43" s="589"/>
    </row>
    <row r="44" spans="2:10" x14ac:dyDescent="0.25">
      <c r="B44" s="1" t="s">
        <v>235</v>
      </c>
      <c r="C44" s="227">
        <v>3</v>
      </c>
      <c r="D44" s="1">
        <v>5</v>
      </c>
      <c r="E44" s="1">
        <v>1</v>
      </c>
      <c r="F44" s="2">
        <v>30723</v>
      </c>
      <c r="G44" s="2">
        <f t="shared" si="4"/>
        <v>460845</v>
      </c>
      <c r="H44" s="586"/>
      <c r="I44" s="589"/>
      <c r="J44" s="589"/>
    </row>
    <row r="45" spans="2:10" x14ac:dyDescent="0.25">
      <c r="B45" s="1" t="s">
        <v>238</v>
      </c>
      <c r="C45" s="227">
        <v>5.5036780262344154</v>
      </c>
      <c r="D45" s="1">
        <v>5</v>
      </c>
      <c r="E45" s="1">
        <v>2</v>
      </c>
      <c r="F45" s="2">
        <v>30723</v>
      </c>
      <c r="G45" s="2">
        <f t="shared" si="4"/>
        <v>1690894.9999999993</v>
      </c>
      <c r="H45" s="586"/>
      <c r="I45" s="589"/>
      <c r="J45" s="589"/>
    </row>
    <row r="46" spans="2:10" x14ac:dyDescent="0.25">
      <c r="B46" s="103" t="s">
        <v>266</v>
      </c>
      <c r="C46" s="227">
        <v>4</v>
      </c>
      <c r="D46" s="1">
        <v>10</v>
      </c>
      <c r="E46" s="1">
        <v>4</v>
      </c>
      <c r="F46" s="2">
        <v>30723</v>
      </c>
      <c r="G46" s="2">
        <f t="shared" si="4"/>
        <v>4915680</v>
      </c>
      <c r="H46" s="586"/>
      <c r="I46" s="589"/>
      <c r="J46" s="589"/>
    </row>
    <row r="47" spans="2:10" x14ac:dyDescent="0.25">
      <c r="B47" s="103" t="s">
        <v>264</v>
      </c>
      <c r="C47" s="227">
        <v>4</v>
      </c>
      <c r="D47" s="1">
        <v>10</v>
      </c>
      <c r="E47" s="1">
        <v>4</v>
      </c>
      <c r="F47" s="2">
        <v>30723</v>
      </c>
      <c r="G47" s="2">
        <f t="shared" si="4"/>
        <v>4915680</v>
      </c>
      <c r="H47" s="586"/>
      <c r="I47" s="589"/>
      <c r="J47" s="589"/>
    </row>
    <row r="48" spans="2:10" x14ac:dyDescent="0.25">
      <c r="B48" s="1" t="s">
        <v>241</v>
      </c>
      <c r="C48" s="227">
        <v>4</v>
      </c>
      <c r="D48" s="1">
        <v>10</v>
      </c>
      <c r="E48" s="1">
        <v>2</v>
      </c>
      <c r="F48" s="2">
        <v>30723</v>
      </c>
      <c r="G48" s="2">
        <f t="shared" si="4"/>
        <v>2457840</v>
      </c>
      <c r="H48" s="586"/>
      <c r="I48" s="589"/>
      <c r="J48" s="589"/>
    </row>
    <row r="49" spans="2:10" x14ac:dyDescent="0.25">
      <c r="B49" s="1" t="s">
        <v>233</v>
      </c>
      <c r="C49" s="227">
        <v>9</v>
      </c>
      <c r="D49" s="1">
        <v>10</v>
      </c>
      <c r="E49" s="1">
        <v>2</v>
      </c>
      <c r="F49" s="2">
        <v>30723</v>
      </c>
      <c r="G49" s="2">
        <f t="shared" si="4"/>
        <v>5530140</v>
      </c>
      <c r="H49" s="586"/>
      <c r="I49" s="589"/>
      <c r="J49" s="589"/>
    </row>
    <row r="50" spans="2:10" x14ac:dyDescent="0.25">
      <c r="B50" s="104"/>
      <c r="C50" s="228">
        <f>SUM(C42:C49)</f>
        <v>37.503678026234411</v>
      </c>
      <c r="D50" s="105">
        <f>SUM(D42:D49)</f>
        <v>60</v>
      </c>
      <c r="E50" s="105"/>
      <c r="F50" s="106"/>
      <c r="G50" s="106">
        <f>SUM(G42:G49)</f>
        <v>21200000</v>
      </c>
    </row>
    <row r="52" spans="2:10" ht="36" customHeight="1" x14ac:dyDescent="0.25">
      <c r="B52" s="534" t="s">
        <v>268</v>
      </c>
      <c r="C52" s="582"/>
      <c r="D52" s="582"/>
      <c r="E52" s="582"/>
      <c r="F52" s="582"/>
      <c r="G52" s="582"/>
    </row>
    <row r="53" spans="2:10" ht="30" x14ac:dyDescent="0.25">
      <c r="B53" s="20" t="s">
        <v>2</v>
      </c>
      <c r="C53" s="232" t="s">
        <v>227</v>
      </c>
      <c r="D53" s="20" t="s">
        <v>228</v>
      </c>
      <c r="E53" s="20" t="s">
        <v>8</v>
      </c>
      <c r="F53" s="20" t="s">
        <v>229</v>
      </c>
      <c r="G53" s="20" t="s">
        <v>230</v>
      </c>
    </row>
    <row r="54" spans="2:10" x14ac:dyDescent="0.25">
      <c r="B54" s="1" t="s">
        <v>231</v>
      </c>
      <c r="C54" s="227">
        <v>4</v>
      </c>
      <c r="D54" s="1">
        <v>5</v>
      </c>
      <c r="E54" s="1">
        <v>1</v>
      </c>
      <c r="F54" s="2">
        <v>30723</v>
      </c>
      <c r="G54" s="2">
        <f>(C54*D54*E54*F54)</f>
        <v>614460</v>
      </c>
      <c r="H54" s="586"/>
      <c r="I54" s="589"/>
      <c r="J54" s="589"/>
    </row>
    <row r="55" spans="2:10" x14ac:dyDescent="0.25">
      <c r="B55" s="1" t="s">
        <v>232</v>
      </c>
      <c r="C55" s="227">
        <v>4</v>
      </c>
      <c r="D55" s="1">
        <v>5</v>
      </c>
      <c r="E55" s="1">
        <v>1</v>
      </c>
      <c r="F55" s="2">
        <v>30723</v>
      </c>
      <c r="G55" s="2">
        <f t="shared" ref="G55:G61" si="5">(C55*D55*E55*F55)</f>
        <v>614460</v>
      </c>
      <c r="H55" s="586"/>
      <c r="I55" s="589"/>
      <c r="J55" s="589"/>
    </row>
    <row r="56" spans="2:10" x14ac:dyDescent="0.25">
      <c r="B56" s="1" t="s">
        <v>235</v>
      </c>
      <c r="C56" s="227">
        <v>3</v>
      </c>
      <c r="D56" s="1">
        <v>5</v>
      </c>
      <c r="E56" s="1">
        <v>1</v>
      </c>
      <c r="F56" s="2">
        <v>30723</v>
      </c>
      <c r="G56" s="2">
        <f t="shared" si="5"/>
        <v>460845</v>
      </c>
      <c r="H56" s="586"/>
      <c r="I56" s="589"/>
      <c r="J56" s="589"/>
    </row>
    <row r="57" spans="2:10" x14ac:dyDescent="0.25">
      <c r="B57" s="1" t="s">
        <v>239</v>
      </c>
      <c r="C57" s="227">
        <v>5.5036780262344154</v>
      </c>
      <c r="D57" s="1">
        <v>5</v>
      </c>
      <c r="E57" s="1">
        <v>2</v>
      </c>
      <c r="F57" s="2">
        <v>30723</v>
      </c>
      <c r="G57" s="2">
        <f t="shared" si="5"/>
        <v>1690894.9999999993</v>
      </c>
      <c r="H57" s="586"/>
      <c r="I57" s="589"/>
      <c r="J57" s="589"/>
    </row>
    <row r="58" spans="2:10" x14ac:dyDescent="0.25">
      <c r="B58" s="103" t="s">
        <v>244</v>
      </c>
      <c r="C58" s="227">
        <v>4</v>
      </c>
      <c r="D58" s="1">
        <v>10</v>
      </c>
      <c r="E58" s="1">
        <v>4</v>
      </c>
      <c r="F58" s="2">
        <v>30723</v>
      </c>
      <c r="G58" s="2">
        <f t="shared" si="5"/>
        <v>4915680</v>
      </c>
      <c r="H58" s="586"/>
      <c r="I58" s="589"/>
      <c r="J58" s="589"/>
    </row>
    <row r="59" spans="2:10" x14ac:dyDescent="0.25">
      <c r="B59" s="103" t="s">
        <v>264</v>
      </c>
      <c r="C59" s="227">
        <v>4</v>
      </c>
      <c r="D59" s="1">
        <v>10</v>
      </c>
      <c r="E59" s="1">
        <v>4</v>
      </c>
      <c r="F59" s="2">
        <v>30723</v>
      </c>
      <c r="G59" s="2">
        <f t="shared" si="5"/>
        <v>4915680</v>
      </c>
      <c r="H59" s="586"/>
      <c r="I59" s="589"/>
      <c r="J59" s="589"/>
    </row>
    <row r="60" spans="2:10" x14ac:dyDescent="0.25">
      <c r="B60" s="1" t="s">
        <v>241</v>
      </c>
      <c r="C60" s="227">
        <v>4</v>
      </c>
      <c r="D60" s="1">
        <v>10</v>
      </c>
      <c r="E60" s="1">
        <v>2</v>
      </c>
      <c r="F60" s="2">
        <v>30723</v>
      </c>
      <c r="G60" s="2">
        <f t="shared" si="5"/>
        <v>2457840</v>
      </c>
      <c r="H60" s="586"/>
      <c r="I60" s="589"/>
      <c r="J60" s="589"/>
    </row>
    <row r="61" spans="2:10" x14ac:dyDescent="0.25">
      <c r="B61" s="1" t="s">
        <v>233</v>
      </c>
      <c r="C61" s="227">
        <v>9</v>
      </c>
      <c r="D61" s="1">
        <v>10</v>
      </c>
      <c r="E61" s="1">
        <v>2</v>
      </c>
      <c r="F61" s="2">
        <v>30723</v>
      </c>
      <c r="G61" s="2">
        <f t="shared" si="5"/>
        <v>5530140</v>
      </c>
      <c r="H61" s="586"/>
      <c r="I61" s="589"/>
      <c r="J61" s="589"/>
    </row>
    <row r="62" spans="2:10" x14ac:dyDescent="0.25">
      <c r="B62" s="104"/>
      <c r="C62" s="228">
        <f>SUM(C54:C61)</f>
        <v>37.503678026234411</v>
      </c>
      <c r="D62" s="105">
        <f>SUM(D54:D61)</f>
        <v>60</v>
      </c>
      <c r="E62" s="105"/>
      <c r="F62" s="106"/>
      <c r="G62" s="106">
        <f>SUM(G54:G61)</f>
        <v>21200000</v>
      </c>
    </row>
    <row r="64" spans="2:10" ht="31.5" customHeight="1" x14ac:dyDescent="0.25">
      <c r="B64" s="534" t="s">
        <v>269</v>
      </c>
      <c r="C64" s="582"/>
      <c r="D64" s="582"/>
      <c r="E64" s="582"/>
      <c r="F64" s="582"/>
      <c r="G64" s="582"/>
    </row>
    <row r="65" spans="2:10" ht="30" x14ac:dyDescent="0.25">
      <c r="B65" s="20" t="s">
        <v>2</v>
      </c>
      <c r="C65" s="232" t="s">
        <v>227</v>
      </c>
      <c r="D65" s="20" t="s">
        <v>228</v>
      </c>
      <c r="E65" s="20" t="s">
        <v>8</v>
      </c>
      <c r="F65" s="20" t="s">
        <v>229</v>
      </c>
      <c r="G65" s="20" t="s">
        <v>230</v>
      </c>
    </row>
    <row r="66" spans="2:10" x14ac:dyDescent="0.25">
      <c r="B66" s="1" t="s">
        <v>231</v>
      </c>
      <c r="C66" s="227">
        <v>4</v>
      </c>
      <c r="D66" s="1">
        <v>5</v>
      </c>
      <c r="E66" s="1">
        <v>1</v>
      </c>
      <c r="F66" s="2">
        <v>30723</v>
      </c>
      <c r="G66" s="2">
        <f>(C66*D66*E66*F66)</f>
        <v>614460</v>
      </c>
      <c r="H66" s="586"/>
      <c r="I66" s="589"/>
      <c r="J66" s="589"/>
    </row>
    <row r="67" spans="2:10" x14ac:dyDescent="0.25">
      <c r="B67" s="1" t="s">
        <v>232</v>
      </c>
      <c r="C67" s="227">
        <v>4</v>
      </c>
      <c r="D67" s="1">
        <v>5</v>
      </c>
      <c r="E67" s="1">
        <v>1</v>
      </c>
      <c r="F67" s="2">
        <v>30723</v>
      </c>
      <c r="G67" s="2">
        <f t="shared" ref="G67:G73" si="6">(C67*D67*E67*F67)</f>
        <v>614460</v>
      </c>
      <c r="H67" s="586"/>
      <c r="I67" s="589"/>
      <c r="J67" s="589"/>
    </row>
    <row r="68" spans="2:10" x14ac:dyDescent="0.25">
      <c r="B68" s="1" t="s">
        <v>235</v>
      </c>
      <c r="C68" s="227">
        <v>3</v>
      </c>
      <c r="D68" s="1">
        <v>5</v>
      </c>
      <c r="E68" s="1">
        <v>1</v>
      </c>
      <c r="F68" s="2">
        <v>30723</v>
      </c>
      <c r="G68" s="2">
        <f t="shared" si="6"/>
        <v>460845</v>
      </c>
      <c r="H68" s="586"/>
      <c r="I68" s="589"/>
      <c r="J68" s="589"/>
    </row>
    <row r="69" spans="2:10" x14ac:dyDescent="0.25">
      <c r="B69" s="1" t="s">
        <v>240</v>
      </c>
      <c r="C69" s="227">
        <v>5.5036780262344154</v>
      </c>
      <c r="D69" s="1">
        <v>5</v>
      </c>
      <c r="E69" s="1">
        <v>2</v>
      </c>
      <c r="F69" s="2">
        <v>30723</v>
      </c>
      <c r="G69" s="2">
        <f t="shared" si="6"/>
        <v>1690894.9999999993</v>
      </c>
      <c r="H69" s="586"/>
      <c r="I69" s="589"/>
      <c r="J69" s="589"/>
    </row>
    <row r="70" spans="2:10" x14ac:dyDescent="0.25">
      <c r="B70" s="103" t="s">
        <v>245</v>
      </c>
      <c r="C70" s="227">
        <v>4</v>
      </c>
      <c r="D70" s="1">
        <v>10</v>
      </c>
      <c r="E70" s="1">
        <v>4</v>
      </c>
      <c r="F70" s="2">
        <v>30723</v>
      </c>
      <c r="G70" s="2">
        <f t="shared" si="6"/>
        <v>4915680</v>
      </c>
      <c r="H70" s="586"/>
      <c r="I70" s="589"/>
      <c r="J70" s="589"/>
    </row>
    <row r="71" spans="2:10" x14ac:dyDescent="0.25">
      <c r="B71" s="103" t="s">
        <v>264</v>
      </c>
      <c r="C71" s="227">
        <v>4</v>
      </c>
      <c r="D71" s="1">
        <v>10</v>
      </c>
      <c r="E71" s="1">
        <v>4</v>
      </c>
      <c r="F71" s="2">
        <v>30723</v>
      </c>
      <c r="G71" s="2">
        <f t="shared" si="6"/>
        <v>4915680</v>
      </c>
      <c r="H71" s="586"/>
      <c r="I71" s="589"/>
      <c r="J71" s="589"/>
    </row>
    <row r="72" spans="2:10" x14ac:dyDescent="0.25">
      <c r="B72" s="1" t="s">
        <v>241</v>
      </c>
      <c r="C72" s="227">
        <v>4</v>
      </c>
      <c r="D72" s="1">
        <v>10</v>
      </c>
      <c r="E72" s="1">
        <v>2</v>
      </c>
      <c r="F72" s="2">
        <v>30723</v>
      </c>
      <c r="G72" s="2">
        <f t="shared" si="6"/>
        <v>2457840</v>
      </c>
      <c r="H72" s="586"/>
      <c r="I72" s="589"/>
      <c r="J72" s="589"/>
    </row>
    <row r="73" spans="2:10" x14ac:dyDescent="0.25">
      <c r="B73" s="1" t="s">
        <v>233</v>
      </c>
      <c r="C73" s="227">
        <v>9</v>
      </c>
      <c r="D73" s="1">
        <v>10</v>
      </c>
      <c r="E73" s="1">
        <v>2</v>
      </c>
      <c r="F73" s="2">
        <v>30723</v>
      </c>
      <c r="G73" s="2">
        <f t="shared" si="6"/>
        <v>5530140</v>
      </c>
      <c r="H73" s="586"/>
      <c r="I73" s="589"/>
      <c r="J73" s="589"/>
    </row>
    <row r="74" spans="2:10" x14ac:dyDescent="0.25">
      <c r="B74" s="104"/>
      <c r="C74" s="228">
        <f>SUM(C66:C73)</f>
        <v>37.503678026234411</v>
      </c>
      <c r="D74" s="105">
        <f>SUM(D66:D73)</f>
        <v>60</v>
      </c>
      <c r="E74" s="105"/>
      <c r="F74" s="106"/>
      <c r="G74" s="106">
        <f>SUM(G66:G73)</f>
        <v>21200000</v>
      </c>
    </row>
    <row r="76" spans="2:10" x14ac:dyDescent="0.25">
      <c r="B76" s="534" t="s">
        <v>270</v>
      </c>
      <c r="C76" s="582"/>
      <c r="D76" s="582"/>
      <c r="E76" s="582"/>
      <c r="F76" s="582"/>
      <c r="G76" s="582"/>
    </row>
    <row r="77" spans="2:10" ht="30" x14ac:dyDescent="0.25">
      <c r="B77" s="20" t="s">
        <v>2</v>
      </c>
      <c r="C77" s="232" t="s">
        <v>227</v>
      </c>
      <c r="D77" s="20" t="s">
        <v>228</v>
      </c>
      <c r="E77" s="20" t="s">
        <v>8</v>
      </c>
      <c r="F77" s="20" t="s">
        <v>229</v>
      </c>
      <c r="G77" s="20" t="s">
        <v>230</v>
      </c>
    </row>
    <row r="78" spans="2:10" x14ac:dyDescent="0.25">
      <c r="B78" s="1" t="s">
        <v>231</v>
      </c>
      <c r="C78" s="227">
        <v>4</v>
      </c>
      <c r="D78" s="1">
        <v>5</v>
      </c>
      <c r="E78" s="1">
        <v>1</v>
      </c>
      <c r="F78" s="2">
        <v>30723</v>
      </c>
      <c r="G78" s="2">
        <f>(C78*D78*E78*F78)</f>
        <v>614460</v>
      </c>
      <c r="H78" s="586"/>
      <c r="I78" s="589"/>
      <c r="J78" s="589"/>
    </row>
    <row r="79" spans="2:10" x14ac:dyDescent="0.25">
      <c r="B79" s="1" t="s">
        <v>232</v>
      </c>
      <c r="C79" s="227">
        <v>4</v>
      </c>
      <c r="D79" s="1">
        <v>5</v>
      </c>
      <c r="E79" s="1">
        <v>1</v>
      </c>
      <c r="F79" s="2">
        <v>30723</v>
      </c>
      <c r="G79" s="2">
        <f t="shared" ref="G79:G85" si="7">(C79*D79*E79*F79)</f>
        <v>614460</v>
      </c>
      <c r="H79" s="586"/>
      <c r="I79" s="589"/>
      <c r="J79" s="589"/>
    </row>
    <row r="80" spans="2:10" x14ac:dyDescent="0.25">
      <c r="B80" s="1" t="s">
        <v>235</v>
      </c>
      <c r="C80" s="227">
        <v>3</v>
      </c>
      <c r="D80" s="1">
        <v>5</v>
      </c>
      <c r="E80" s="1">
        <v>1</v>
      </c>
      <c r="F80" s="2">
        <v>30723</v>
      </c>
      <c r="G80" s="2">
        <f t="shared" si="7"/>
        <v>460845</v>
      </c>
      <c r="H80" s="586"/>
      <c r="I80" s="589"/>
      <c r="J80" s="589"/>
    </row>
    <row r="81" spans="2:10" x14ac:dyDescent="0.25">
      <c r="B81" s="1" t="s">
        <v>271</v>
      </c>
      <c r="C81" s="227">
        <v>5.5036780262344154</v>
      </c>
      <c r="D81" s="1">
        <v>5</v>
      </c>
      <c r="E81" s="1">
        <v>2</v>
      </c>
      <c r="F81" s="2">
        <v>30723</v>
      </c>
      <c r="G81" s="2">
        <f t="shared" si="7"/>
        <v>1690894.9999999993</v>
      </c>
      <c r="H81" s="586"/>
      <c r="I81" s="589"/>
      <c r="J81" s="589"/>
    </row>
    <row r="82" spans="2:10" ht="16.5" customHeight="1" x14ac:dyDescent="0.25">
      <c r="B82" s="103" t="s">
        <v>246</v>
      </c>
      <c r="C82" s="227">
        <v>4</v>
      </c>
      <c r="D82" s="1">
        <v>10</v>
      </c>
      <c r="E82" s="1">
        <v>4</v>
      </c>
      <c r="F82" s="2">
        <v>30723</v>
      </c>
      <c r="G82" s="2">
        <f t="shared" si="7"/>
        <v>4915680</v>
      </c>
      <c r="H82" s="586"/>
      <c r="I82" s="589"/>
      <c r="J82" s="589"/>
    </row>
    <row r="83" spans="2:10" x14ac:dyDescent="0.25">
      <c r="B83" s="103" t="s">
        <v>264</v>
      </c>
      <c r="C83" s="227">
        <v>4</v>
      </c>
      <c r="D83" s="1">
        <v>10</v>
      </c>
      <c r="E83" s="1">
        <v>4</v>
      </c>
      <c r="F83" s="2">
        <v>30723</v>
      </c>
      <c r="G83" s="2">
        <f t="shared" si="7"/>
        <v>4915680</v>
      </c>
      <c r="H83" s="586"/>
      <c r="I83" s="589"/>
      <c r="J83" s="589"/>
    </row>
    <row r="84" spans="2:10" x14ac:dyDescent="0.25">
      <c r="B84" s="1" t="s">
        <v>241</v>
      </c>
      <c r="C84" s="227">
        <v>4</v>
      </c>
      <c r="D84" s="1">
        <v>10</v>
      </c>
      <c r="E84" s="1">
        <v>2</v>
      </c>
      <c r="F84" s="2">
        <v>30723</v>
      </c>
      <c r="G84" s="2">
        <f t="shared" si="7"/>
        <v>2457840</v>
      </c>
      <c r="H84" s="586"/>
      <c r="I84" s="589"/>
      <c r="J84" s="589"/>
    </row>
    <row r="85" spans="2:10" x14ac:dyDescent="0.25">
      <c r="B85" s="1" t="s">
        <v>233</v>
      </c>
      <c r="C85" s="227">
        <v>9</v>
      </c>
      <c r="D85" s="1">
        <v>10</v>
      </c>
      <c r="E85" s="1">
        <v>2</v>
      </c>
      <c r="F85" s="2">
        <v>30723</v>
      </c>
      <c r="G85" s="2">
        <f t="shared" si="7"/>
        <v>5530140</v>
      </c>
      <c r="H85" s="586"/>
      <c r="I85" s="589"/>
      <c r="J85" s="589"/>
    </row>
    <row r="86" spans="2:10" x14ac:dyDescent="0.25">
      <c r="B86" s="104"/>
      <c r="C86" s="228">
        <f>SUM(C78:C85)</f>
        <v>37.503678026234411</v>
      </c>
      <c r="D86" s="105">
        <f>SUM(D78:D85)</f>
        <v>60</v>
      </c>
      <c r="E86" s="105"/>
      <c r="F86" s="106"/>
      <c r="G86" s="106">
        <f>SUM(G78:G85)</f>
        <v>21200000</v>
      </c>
    </row>
    <row r="89" spans="2:10" x14ac:dyDescent="0.25">
      <c r="G89" s="4"/>
    </row>
  </sheetData>
  <mergeCells count="17">
    <mergeCell ref="H30:J37"/>
    <mergeCell ref="H42:J49"/>
    <mergeCell ref="H54:J61"/>
    <mergeCell ref="H66:J73"/>
    <mergeCell ref="H78:J85"/>
    <mergeCell ref="B40:G40"/>
    <mergeCell ref="B52:G52"/>
    <mergeCell ref="B64:G64"/>
    <mergeCell ref="B76:G76"/>
    <mergeCell ref="B3:G3"/>
    <mergeCell ref="B1:G1"/>
    <mergeCell ref="B6:G6"/>
    <mergeCell ref="B16:G16"/>
    <mergeCell ref="B28:G28"/>
    <mergeCell ref="K16:M16"/>
    <mergeCell ref="H8:J13"/>
    <mergeCell ref="H18:J2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M34"/>
  <sheetViews>
    <sheetView topLeftCell="A22" workbookViewId="0">
      <selection activeCell="G11" sqref="G11"/>
    </sheetView>
  </sheetViews>
  <sheetFormatPr baseColWidth="10" defaultRowHeight="15" x14ac:dyDescent="0.25"/>
  <cols>
    <col min="2" max="2" width="30.5703125" customWidth="1"/>
    <col min="3" max="3" width="17.140625" customWidth="1"/>
    <col min="4" max="5" width="14" customWidth="1"/>
    <col min="6" max="6" width="42.5703125" customWidth="1"/>
    <col min="7" max="7" width="44.5703125" customWidth="1"/>
    <col min="8" max="8" width="13.28515625" customWidth="1"/>
    <col min="9" max="9" width="17.5703125" customWidth="1"/>
  </cols>
  <sheetData>
    <row r="1" spans="2:13" ht="15.75" customHeight="1" x14ac:dyDescent="0.25">
      <c r="B1" s="581" t="s">
        <v>234</v>
      </c>
      <c r="C1" s="581"/>
      <c r="D1" s="581"/>
      <c r="E1" s="581"/>
      <c r="F1" s="581"/>
      <c r="G1" s="581"/>
    </row>
    <row r="2" spans="2:13" ht="28.5" customHeight="1" x14ac:dyDescent="0.25">
      <c r="B2" s="581"/>
      <c r="C2" s="581"/>
      <c r="D2" s="581"/>
      <c r="E2" s="581"/>
      <c r="F2" s="581"/>
      <c r="G2" s="581"/>
    </row>
    <row r="3" spans="2:13" ht="15" customHeight="1" x14ac:dyDescent="0.25">
      <c r="B3" s="596" t="s">
        <v>254</v>
      </c>
      <c r="C3" s="596"/>
      <c r="D3" s="596"/>
      <c r="E3" s="596"/>
      <c r="F3" s="596"/>
      <c r="G3" s="596"/>
    </row>
    <row r="4" spans="2:13" ht="54" customHeight="1" x14ac:dyDescent="0.25">
      <c r="B4" s="590"/>
      <c r="C4" s="590"/>
      <c r="D4" s="590"/>
      <c r="E4" s="590"/>
      <c r="F4" s="590"/>
      <c r="G4" s="590"/>
    </row>
    <row r="5" spans="2:13" x14ac:dyDescent="0.25">
      <c r="B5" s="362" t="s">
        <v>4</v>
      </c>
      <c r="C5" s="597" t="s">
        <v>15</v>
      </c>
      <c r="D5" s="598"/>
      <c r="E5" s="599"/>
      <c r="F5" s="21" t="s">
        <v>16</v>
      </c>
      <c r="G5" s="21" t="s">
        <v>248</v>
      </c>
      <c r="H5" s="22" t="s">
        <v>17</v>
      </c>
      <c r="I5" s="362" t="s">
        <v>18</v>
      </c>
    </row>
    <row r="6" spans="2:13" ht="15" customHeight="1" x14ac:dyDescent="0.25">
      <c r="B6" s="391" t="s">
        <v>249</v>
      </c>
      <c r="C6" s="600">
        <v>965000</v>
      </c>
      <c r="D6" s="600"/>
      <c r="E6" s="600"/>
      <c r="F6" s="111">
        <v>1</v>
      </c>
      <c r="G6" s="15">
        <f>(C6*F6)</f>
        <v>965000</v>
      </c>
      <c r="H6" s="392">
        <v>4</v>
      </c>
      <c r="I6" s="393">
        <f>(C6*F6*H6)</f>
        <v>3860000</v>
      </c>
    </row>
    <row r="7" spans="2:13" x14ac:dyDescent="0.25">
      <c r="B7" s="145" t="s">
        <v>250</v>
      </c>
      <c r="C7" s="601">
        <v>930000</v>
      </c>
      <c r="D7" s="601"/>
      <c r="E7" s="601"/>
      <c r="F7" s="112">
        <v>6</v>
      </c>
      <c r="G7" s="15">
        <f>(C7*F7)</f>
        <v>5580000</v>
      </c>
      <c r="H7" s="24">
        <v>4</v>
      </c>
      <c r="I7" s="394">
        <f>(C7*F7*H7)</f>
        <v>22320000</v>
      </c>
    </row>
    <row r="8" spans="2:13" ht="15.75" x14ac:dyDescent="0.25">
      <c r="B8" s="107" t="s">
        <v>251</v>
      </c>
      <c r="C8" s="591">
        <v>152499.99999999764</v>
      </c>
      <c r="D8" s="591"/>
      <c r="E8" s="591"/>
      <c r="F8" s="113">
        <v>1</v>
      </c>
      <c r="G8" s="15">
        <f>(C8*F8)</f>
        <v>152499.99999999764</v>
      </c>
      <c r="H8" s="108">
        <v>4</v>
      </c>
      <c r="I8" s="394">
        <f>(C8*F8*H8)</f>
        <v>609999.99999999057</v>
      </c>
    </row>
    <row r="9" spans="2:13" ht="15.75" x14ac:dyDescent="0.25">
      <c r="B9" s="107" t="s">
        <v>252</v>
      </c>
      <c r="C9" s="591">
        <v>424100</v>
      </c>
      <c r="D9" s="591"/>
      <c r="E9" s="591"/>
      <c r="F9" s="113">
        <v>1</v>
      </c>
      <c r="G9" s="15">
        <f>(C9*F9)</f>
        <v>424100</v>
      </c>
      <c r="H9" s="108">
        <v>4</v>
      </c>
      <c r="I9" s="394">
        <f>(C9*F9*H9)</f>
        <v>1696400</v>
      </c>
    </row>
    <row r="10" spans="2:13" ht="15.75" x14ac:dyDescent="0.25">
      <c r="B10" s="244" t="s">
        <v>253</v>
      </c>
      <c r="C10" s="592">
        <v>981637</v>
      </c>
      <c r="D10" s="592"/>
      <c r="E10" s="592"/>
      <c r="F10" s="245">
        <v>1</v>
      </c>
      <c r="G10" s="246">
        <f>I10/4</f>
        <v>981637.25</v>
      </c>
      <c r="H10" s="247">
        <v>4</v>
      </c>
      <c r="I10" s="395">
        <v>3926549</v>
      </c>
    </row>
    <row r="11" spans="2:13" ht="102.75" customHeight="1" x14ac:dyDescent="0.25">
      <c r="B11" s="396" t="s">
        <v>527</v>
      </c>
      <c r="C11" s="397">
        <v>7508.9869281045803</v>
      </c>
      <c r="D11" s="397">
        <v>244.8</v>
      </c>
      <c r="E11" s="276">
        <f>+C11*D11</f>
        <v>1838200.0000000014</v>
      </c>
      <c r="F11" s="398">
        <v>3</v>
      </c>
      <c r="G11" s="399">
        <f>(E11*F11)</f>
        <v>5514600.0000000037</v>
      </c>
      <c r="H11" s="24">
        <v>4</v>
      </c>
      <c r="I11" s="400">
        <f>(E11*F11*H11)</f>
        <v>22058400.000000015</v>
      </c>
      <c r="J11" s="401"/>
      <c r="K11" s="402"/>
      <c r="M11" s="402"/>
    </row>
    <row r="12" spans="2:13" ht="15.75" x14ac:dyDescent="0.25">
      <c r="B12" s="109" t="s">
        <v>6</v>
      </c>
      <c r="C12" s="238"/>
      <c r="D12" s="238"/>
      <c r="E12" s="238"/>
      <c r="F12" s="110"/>
      <c r="G12" s="3">
        <f>SUM(G6:G11)</f>
        <v>13617837.25</v>
      </c>
      <c r="H12" s="33"/>
      <c r="I12" s="241">
        <f>SUM(I6:I11)</f>
        <v>54471349</v>
      </c>
    </row>
    <row r="13" spans="2:13" x14ac:dyDescent="0.25">
      <c r="H13" s="10"/>
    </row>
    <row r="16" spans="2:13" ht="30" x14ac:dyDescent="0.25">
      <c r="B16" s="362" t="s">
        <v>4</v>
      </c>
      <c r="C16" s="363" t="s">
        <v>15</v>
      </c>
      <c r="D16" s="21" t="s">
        <v>16</v>
      </c>
      <c r="E16" s="21" t="s">
        <v>248</v>
      </c>
      <c r="F16" s="21" t="s">
        <v>337</v>
      </c>
      <c r="G16" s="21" t="s">
        <v>338</v>
      </c>
    </row>
    <row r="17" spans="2:13" ht="70.5" customHeight="1" x14ac:dyDescent="0.25">
      <c r="B17" s="92" t="s">
        <v>249</v>
      </c>
      <c r="C17" s="403">
        <v>965000</v>
      </c>
      <c r="D17" s="404">
        <v>1</v>
      </c>
      <c r="E17" s="405">
        <f t="shared" ref="E17:E18" si="0">(C17*D17)</f>
        <v>965000</v>
      </c>
      <c r="F17" s="92" t="s">
        <v>339</v>
      </c>
      <c r="G17" s="92" t="s">
        <v>341</v>
      </c>
      <c r="H17" s="92"/>
    </row>
    <row r="18" spans="2:13" ht="60" x14ac:dyDescent="0.25">
      <c r="B18" s="364" t="s">
        <v>250</v>
      </c>
      <c r="C18" s="26">
        <v>930000</v>
      </c>
      <c r="D18" s="23">
        <v>6</v>
      </c>
      <c r="E18" s="23">
        <f t="shared" si="0"/>
        <v>5580000</v>
      </c>
      <c r="F18" s="92" t="s">
        <v>348</v>
      </c>
      <c r="G18" s="92" t="s">
        <v>341</v>
      </c>
    </row>
    <row r="19" spans="2:13" ht="60" x14ac:dyDescent="0.25">
      <c r="B19" s="237" t="s">
        <v>251</v>
      </c>
      <c r="C19" s="25">
        <f>+C8</f>
        <v>152499.99999999764</v>
      </c>
      <c r="D19" s="167">
        <f>+F8</f>
        <v>1</v>
      </c>
      <c r="E19" s="23">
        <f>+G8</f>
        <v>152499.99999999764</v>
      </c>
      <c r="F19" s="189" t="s">
        <v>440</v>
      </c>
      <c r="G19" s="92" t="s">
        <v>341</v>
      </c>
    </row>
    <row r="20" spans="2:13" ht="60" x14ac:dyDescent="0.25">
      <c r="B20" s="237" t="s">
        <v>252</v>
      </c>
      <c r="C20" s="25">
        <f>+C9</f>
        <v>424100</v>
      </c>
      <c r="D20" s="167">
        <f>+F9</f>
        <v>1</v>
      </c>
      <c r="E20" s="23">
        <f>+G9</f>
        <v>424100</v>
      </c>
      <c r="F20" s="189" t="s">
        <v>440</v>
      </c>
      <c r="G20" s="92" t="s">
        <v>341</v>
      </c>
      <c r="H20" s="189"/>
    </row>
    <row r="21" spans="2:13" ht="60" x14ac:dyDescent="0.25">
      <c r="B21" s="166" t="s">
        <v>253</v>
      </c>
      <c r="C21" s="25">
        <f>+C10</f>
        <v>981637</v>
      </c>
      <c r="D21" s="167">
        <v>1</v>
      </c>
      <c r="E21" s="23">
        <f>+G10</f>
        <v>981637.25</v>
      </c>
      <c r="F21" s="92" t="s">
        <v>340</v>
      </c>
      <c r="G21" s="92" t="s">
        <v>341</v>
      </c>
    </row>
    <row r="22" spans="2:13" ht="75" x14ac:dyDescent="0.25">
      <c r="B22" s="236" t="s">
        <v>393</v>
      </c>
      <c r="C22" s="25">
        <f>+E11</f>
        <v>1838200.0000000014</v>
      </c>
      <c r="D22" s="167">
        <f>+F11</f>
        <v>3</v>
      </c>
      <c r="E22" s="23">
        <f>+G11</f>
        <v>5514600.0000000037</v>
      </c>
      <c r="F22" s="189" t="s">
        <v>439</v>
      </c>
      <c r="G22" s="92" t="s">
        <v>438</v>
      </c>
      <c r="H22" s="593"/>
      <c r="I22" s="594"/>
      <c r="J22" s="594"/>
      <c r="K22" s="594"/>
      <c r="L22" s="594"/>
      <c r="M22" s="594"/>
    </row>
    <row r="23" spans="2:13" ht="15.75" x14ac:dyDescent="0.25">
      <c r="B23" s="109" t="s">
        <v>6</v>
      </c>
      <c r="C23" s="33"/>
      <c r="D23" s="110"/>
      <c r="E23" s="3">
        <f>SUM(E17:E22)</f>
        <v>13617837.25</v>
      </c>
      <c r="F23" s="33">
        <v>4</v>
      </c>
      <c r="G23" s="16">
        <f>(E23*F23)</f>
        <v>54471349</v>
      </c>
    </row>
    <row r="24" spans="2:13" x14ac:dyDescent="0.25">
      <c r="B24" s="1"/>
      <c r="C24" s="1"/>
      <c r="D24" s="1"/>
      <c r="E24" s="1"/>
      <c r="F24" s="1"/>
      <c r="G24" s="1"/>
    </row>
    <row r="25" spans="2:13" x14ac:dyDescent="0.25">
      <c r="G25">
        <f>+'PRESUPUESTO GENERAL'!E55</f>
        <v>0</v>
      </c>
    </row>
    <row r="26" spans="2:13" ht="15.75" x14ac:dyDescent="0.25">
      <c r="B26" s="595" t="s">
        <v>249</v>
      </c>
      <c r="C26" s="595"/>
      <c r="D26" s="595"/>
      <c r="E26" s="595"/>
      <c r="F26" s="595"/>
      <c r="G26" t="s">
        <v>374</v>
      </c>
    </row>
    <row r="27" spans="2:13" ht="30" x14ac:dyDescent="0.25">
      <c r="B27" s="363" t="s">
        <v>4</v>
      </c>
      <c r="C27" s="363" t="s">
        <v>19</v>
      </c>
      <c r="D27" s="363" t="s">
        <v>3</v>
      </c>
      <c r="E27" s="363" t="s">
        <v>15</v>
      </c>
      <c r="F27" s="363" t="s">
        <v>18</v>
      </c>
      <c r="G27" s="4">
        <f>+G23+G25</f>
        <v>54471349</v>
      </c>
    </row>
    <row r="28" spans="2:13" x14ac:dyDescent="0.25">
      <c r="B28" s="103" t="s">
        <v>343</v>
      </c>
      <c r="C28" s="165" t="s">
        <v>345</v>
      </c>
      <c r="D28" s="1">
        <v>10</v>
      </c>
      <c r="E28" s="406">
        <v>32000</v>
      </c>
      <c r="F28" s="2">
        <f>(E28*D28)</f>
        <v>320000</v>
      </c>
      <c r="G28" s="407"/>
    </row>
    <row r="29" spans="2:13" x14ac:dyDescent="0.25">
      <c r="B29" s="103" t="s">
        <v>357</v>
      </c>
      <c r="C29" s="108" t="s">
        <v>346</v>
      </c>
      <c r="D29" s="1">
        <v>7</v>
      </c>
      <c r="E29" s="406">
        <v>78000</v>
      </c>
      <c r="F29" s="2">
        <f t="shared" ref="F29:F32" si="1">(E29*D29)</f>
        <v>546000</v>
      </c>
      <c r="G29" s="407"/>
    </row>
    <row r="30" spans="2:13" x14ac:dyDescent="0.25">
      <c r="B30" s="1" t="s">
        <v>344</v>
      </c>
      <c r="C30" s="108" t="s">
        <v>147</v>
      </c>
      <c r="D30" s="1">
        <v>2</v>
      </c>
      <c r="E30" s="406">
        <v>4500</v>
      </c>
      <c r="F30" s="2">
        <f t="shared" si="1"/>
        <v>9000</v>
      </c>
      <c r="G30" s="407"/>
    </row>
    <row r="31" spans="2:13" x14ac:dyDescent="0.25">
      <c r="B31" s="1" t="s">
        <v>347</v>
      </c>
      <c r="C31" s="108" t="s">
        <v>345</v>
      </c>
      <c r="D31" s="1">
        <v>1</v>
      </c>
      <c r="E31" s="406">
        <v>10000</v>
      </c>
      <c r="F31" s="2">
        <f t="shared" si="1"/>
        <v>10000</v>
      </c>
      <c r="G31" s="407"/>
    </row>
    <row r="32" spans="2:13" x14ac:dyDescent="0.25">
      <c r="B32" s="1" t="s">
        <v>342</v>
      </c>
      <c r="C32" s="108" t="s">
        <v>104</v>
      </c>
      <c r="D32" s="1">
        <v>2</v>
      </c>
      <c r="E32" s="406">
        <v>40000</v>
      </c>
      <c r="F32" s="2">
        <f t="shared" si="1"/>
        <v>80000</v>
      </c>
      <c r="G32" s="407"/>
    </row>
    <row r="33" spans="2:7" x14ac:dyDescent="0.25">
      <c r="B33" s="169" t="s">
        <v>0</v>
      </c>
      <c r="C33" s="170"/>
      <c r="D33" s="170"/>
      <c r="E33" s="171"/>
      <c r="F33" s="168">
        <f>SUM(F28:F32)</f>
        <v>965000</v>
      </c>
      <c r="G33" s="407"/>
    </row>
    <row r="34" spans="2:7" x14ac:dyDescent="0.25">
      <c r="F34" s="7"/>
    </row>
  </sheetData>
  <mergeCells count="10">
    <mergeCell ref="C9:E9"/>
    <mergeCell ref="C10:E10"/>
    <mergeCell ref="H22:M22"/>
    <mergeCell ref="B26:F26"/>
    <mergeCell ref="B1:G2"/>
    <mergeCell ref="B3:G4"/>
    <mergeCell ref="C5:E5"/>
    <mergeCell ref="C6:E6"/>
    <mergeCell ref="C7:E7"/>
    <mergeCell ref="C8:E8"/>
  </mergeCells>
  <pageMargins left="0.7" right="0.7" top="0.75" bottom="0.75" header="0.3" footer="0.3"/>
  <pageSetup orientation="portrait" horizontalDpi="4294967293" verticalDpi="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6"/>
  <sheetViews>
    <sheetView zoomScale="70" zoomScaleNormal="70" workbookViewId="0">
      <selection activeCell="F26" sqref="F26"/>
    </sheetView>
  </sheetViews>
  <sheetFormatPr baseColWidth="10" defaultRowHeight="15" x14ac:dyDescent="0.25"/>
  <cols>
    <col min="1" max="1" width="4.5703125" bestFit="1" customWidth="1"/>
    <col min="2" max="2" width="34" bestFit="1" customWidth="1"/>
    <col min="3" max="3" width="21" bestFit="1" customWidth="1"/>
    <col min="4" max="4" width="16.28515625" bestFit="1" customWidth="1"/>
    <col min="5" max="5" width="18.28515625" bestFit="1" customWidth="1"/>
    <col min="6" max="6" width="24.28515625" bestFit="1" customWidth="1"/>
    <col min="7" max="7" width="15.28515625" bestFit="1" customWidth="1"/>
    <col min="8" max="8" width="19.28515625" bestFit="1" customWidth="1"/>
    <col min="9" max="9" width="16.5703125" customWidth="1"/>
    <col min="11" max="12" width="12.5703125" bestFit="1" customWidth="1"/>
    <col min="13" max="13" width="12.7109375" customWidth="1"/>
    <col min="14" max="14" width="17.85546875" bestFit="1" customWidth="1"/>
  </cols>
  <sheetData>
    <row r="2" spans="1:14" ht="36" customHeight="1" x14ac:dyDescent="0.25">
      <c r="A2" s="616" t="s">
        <v>150</v>
      </c>
      <c r="B2" s="616"/>
      <c r="C2" s="616"/>
      <c r="D2" s="616"/>
      <c r="E2" s="616"/>
      <c r="F2" s="616"/>
      <c r="G2" s="616"/>
      <c r="H2" s="616"/>
      <c r="I2" s="616"/>
      <c r="J2" s="27"/>
      <c r="K2" s="618" t="s">
        <v>151</v>
      </c>
      <c r="L2" s="618"/>
      <c r="M2" s="618"/>
      <c r="N2" s="618"/>
    </row>
    <row r="3" spans="1:14" ht="55.5" customHeight="1" x14ac:dyDescent="0.25">
      <c r="A3" s="602" t="s">
        <v>336</v>
      </c>
      <c r="B3" s="603"/>
      <c r="C3" s="603"/>
      <c r="D3" s="603"/>
      <c r="E3" s="603"/>
      <c r="F3" s="603"/>
      <c r="G3" s="603"/>
      <c r="H3" s="603"/>
      <c r="I3" s="604"/>
      <c r="J3" s="27"/>
      <c r="K3" s="619" t="s">
        <v>152</v>
      </c>
      <c r="L3" s="620"/>
      <c r="M3" s="620"/>
      <c r="N3" s="621"/>
    </row>
    <row r="4" spans="1:14" ht="30" x14ac:dyDescent="0.25">
      <c r="A4" s="31" t="s">
        <v>153</v>
      </c>
      <c r="B4" s="31" t="s">
        <v>154</v>
      </c>
      <c r="C4" s="67" t="s">
        <v>155</v>
      </c>
      <c r="D4" s="67" t="s">
        <v>8</v>
      </c>
      <c r="E4" s="67" t="s">
        <v>156</v>
      </c>
      <c r="F4" s="67" t="s">
        <v>157</v>
      </c>
      <c r="G4" s="67" t="s">
        <v>158</v>
      </c>
      <c r="H4" s="67" t="s">
        <v>159</v>
      </c>
      <c r="I4" s="67" t="s">
        <v>160</v>
      </c>
      <c r="J4" s="68"/>
      <c r="K4" s="67" t="s">
        <v>375</v>
      </c>
      <c r="L4" s="67" t="s">
        <v>376</v>
      </c>
      <c r="M4" s="67" t="s">
        <v>391</v>
      </c>
      <c r="N4" s="67" t="s">
        <v>0</v>
      </c>
    </row>
    <row r="5" spans="1:14" x14ac:dyDescent="0.25">
      <c r="A5" s="67">
        <v>1</v>
      </c>
      <c r="B5" s="69" t="s">
        <v>162</v>
      </c>
      <c r="C5" s="70">
        <v>1</v>
      </c>
      <c r="D5" s="70">
        <v>6</v>
      </c>
      <c r="E5" s="71">
        <v>2825568.9798974358</v>
      </c>
      <c r="F5" s="71">
        <v>320000</v>
      </c>
      <c r="G5" s="71">
        <f>(E5+F5)</f>
        <v>3145568.9798974358</v>
      </c>
      <c r="H5" s="71">
        <f>(C5*D5*G5)</f>
        <v>18873413.879384615</v>
      </c>
      <c r="I5" s="72">
        <v>1</v>
      </c>
      <c r="J5" s="34"/>
      <c r="K5" s="6">
        <f>(G5*40%)*12%</f>
        <v>150987.31103507694</v>
      </c>
      <c r="L5" s="6">
        <f>(E5*40%)*8.5%</f>
        <v>96069.345316512816</v>
      </c>
      <c r="M5" s="2">
        <f>(E5*40%)*6.96%</f>
        <v>78663.840400344605</v>
      </c>
      <c r="N5" s="73">
        <f>SUM(K5:M5)</f>
        <v>325720.49675193441</v>
      </c>
    </row>
    <row r="6" spans="1:14" x14ac:dyDescent="0.25">
      <c r="A6" s="67">
        <v>2</v>
      </c>
      <c r="B6" s="69" t="s">
        <v>163</v>
      </c>
      <c r="C6" s="70">
        <v>1</v>
      </c>
      <c r="D6" s="70">
        <v>6</v>
      </c>
      <c r="E6" s="71">
        <f>+E5</f>
        <v>2825568.9798974358</v>
      </c>
      <c r="F6" s="71">
        <v>320000</v>
      </c>
      <c r="G6" s="71">
        <f>(E6+F6)</f>
        <v>3145568.9798974358</v>
      </c>
      <c r="H6" s="71">
        <f>(C6*D6*G6)</f>
        <v>18873413.879384615</v>
      </c>
      <c r="I6" s="72">
        <v>1</v>
      </c>
      <c r="J6" s="34"/>
      <c r="K6" s="6">
        <f>(G6*40%)*12%</f>
        <v>150987.31103507694</v>
      </c>
      <c r="L6" s="6">
        <f>(E6*40%)*8.5%</f>
        <v>96069.345316512816</v>
      </c>
      <c r="M6" s="2">
        <f>(E6*40%)*6.96%</f>
        <v>78663.840400344605</v>
      </c>
      <c r="N6" s="73">
        <f>SUM(K6:M6)</f>
        <v>325720.49675193441</v>
      </c>
    </row>
    <row r="7" spans="1:14" x14ac:dyDescent="0.25">
      <c r="A7" s="31">
        <v>3</v>
      </c>
      <c r="B7" s="69" t="s">
        <v>164</v>
      </c>
      <c r="C7" s="70">
        <v>1</v>
      </c>
      <c r="D7" s="70">
        <v>6</v>
      </c>
      <c r="E7" s="71">
        <f>+E5</f>
        <v>2825568.9798974358</v>
      </c>
      <c r="F7" s="71">
        <v>320000</v>
      </c>
      <c r="G7" s="71">
        <f>(E7+F7)</f>
        <v>3145568.9798974358</v>
      </c>
      <c r="H7" s="71">
        <f>(C7*D7*G7)</f>
        <v>18873413.879384615</v>
      </c>
      <c r="I7" s="72">
        <v>1</v>
      </c>
      <c r="J7" s="34"/>
      <c r="K7" s="6">
        <f>(G7*40%)*12%</f>
        <v>150987.31103507694</v>
      </c>
      <c r="L7" s="6">
        <f>(E7*40%)*8.5%</f>
        <v>96069.345316512816</v>
      </c>
      <c r="M7" s="2">
        <f>(E7*40%)*6.96%</f>
        <v>78663.840400344605</v>
      </c>
      <c r="N7" s="73">
        <f>SUM(K7:M7)</f>
        <v>325720.49675193441</v>
      </c>
    </row>
    <row r="8" spans="1:14" x14ac:dyDescent="0.25">
      <c r="A8" s="67">
        <v>4</v>
      </c>
      <c r="B8" s="69" t="s">
        <v>165</v>
      </c>
      <c r="C8" s="70">
        <v>1</v>
      </c>
      <c r="D8" s="70">
        <v>6</v>
      </c>
      <c r="E8" s="71">
        <f>+E5</f>
        <v>2825568.9798974358</v>
      </c>
      <c r="F8" s="71">
        <v>320000</v>
      </c>
      <c r="G8" s="71">
        <f>(E8+F8)</f>
        <v>3145568.9798974358</v>
      </c>
      <c r="H8" s="71">
        <f>(C8*D8*G8)</f>
        <v>18873413.879384615</v>
      </c>
      <c r="I8" s="72">
        <v>1</v>
      </c>
      <c r="J8" s="34"/>
      <c r="K8" s="6">
        <f>(G8*40%)*12%</f>
        <v>150987.31103507694</v>
      </c>
      <c r="L8" s="6">
        <f>(E8*40%)*8.5%</f>
        <v>96069.345316512816</v>
      </c>
      <c r="M8" s="2">
        <f>(E8*40%)*6.96%</f>
        <v>78663.840400344605</v>
      </c>
      <c r="N8" s="73">
        <f>SUM(K8:M8)</f>
        <v>325720.49675193441</v>
      </c>
    </row>
    <row r="9" spans="1:14" x14ac:dyDescent="0.25">
      <c r="A9" s="608" t="s">
        <v>6</v>
      </c>
      <c r="B9" s="609"/>
      <c r="C9" s="74">
        <f>SUM(C5:C8)</f>
        <v>4</v>
      </c>
      <c r="D9" s="74">
        <f>SUM(D5:D8)</f>
        <v>24</v>
      </c>
      <c r="E9" s="75"/>
      <c r="F9" s="75">
        <f>SUM(F5:F8)</f>
        <v>1280000</v>
      </c>
      <c r="G9" s="75"/>
      <c r="H9" s="75">
        <f>SUM(H5:H8)</f>
        <v>75493655.517538458</v>
      </c>
      <c r="I9" s="76"/>
      <c r="J9" s="34"/>
      <c r="K9" s="77"/>
      <c r="L9" s="77"/>
      <c r="M9" s="77"/>
      <c r="N9" s="75">
        <f>SUM(N5:N8)</f>
        <v>1302881.9870077376</v>
      </c>
    </row>
    <row r="10" spans="1:14" x14ac:dyDescent="0.25">
      <c r="A10" s="610" t="s">
        <v>161</v>
      </c>
      <c r="B10" s="610"/>
      <c r="C10" s="611"/>
      <c r="D10" s="612"/>
      <c r="E10" s="612"/>
      <c r="F10" s="613"/>
      <c r="G10" s="614">
        <f>(H9)</f>
        <v>75493655.517538458</v>
      </c>
      <c r="H10" s="615"/>
      <c r="I10" s="76"/>
      <c r="J10" s="34"/>
      <c r="K10" s="77"/>
      <c r="L10" s="77"/>
      <c r="M10" s="77"/>
      <c r="N10" s="78"/>
    </row>
    <row r="13" spans="1:14" x14ac:dyDescent="0.25">
      <c r="G13" s="10"/>
    </row>
    <row r="14" spans="1:14" s="34" customFormat="1" ht="24" customHeight="1" x14ac:dyDescent="0.25">
      <c r="A14" s="616" t="s">
        <v>212</v>
      </c>
      <c r="B14" s="616"/>
      <c r="C14" s="616"/>
      <c r="D14" s="616"/>
      <c r="E14" s="616"/>
      <c r="F14" s="616"/>
      <c r="G14" s="616"/>
      <c r="H14" s="616"/>
      <c r="I14" s="616"/>
      <c r="K14" s="617" t="s">
        <v>151</v>
      </c>
      <c r="L14" s="617"/>
      <c r="M14" s="617"/>
      <c r="N14" s="617"/>
    </row>
    <row r="15" spans="1:14" s="34" customFormat="1" ht="45" customHeight="1" x14ac:dyDescent="0.25">
      <c r="A15" s="602" t="s">
        <v>213</v>
      </c>
      <c r="B15" s="603"/>
      <c r="C15" s="603"/>
      <c r="D15" s="603"/>
      <c r="E15" s="603"/>
      <c r="F15" s="603"/>
      <c r="G15" s="603"/>
      <c r="H15" s="603"/>
      <c r="I15" s="604"/>
      <c r="K15" s="605" t="s">
        <v>152</v>
      </c>
      <c r="L15" s="606"/>
      <c r="M15" s="606"/>
      <c r="N15" s="607"/>
    </row>
    <row r="16" spans="1:14" s="68" customFormat="1" ht="30" x14ac:dyDescent="0.25">
      <c r="A16" s="31" t="s">
        <v>153</v>
      </c>
      <c r="B16" s="31" t="s">
        <v>154</v>
      </c>
      <c r="C16" s="67" t="s">
        <v>155</v>
      </c>
      <c r="D16" s="67" t="s">
        <v>8</v>
      </c>
      <c r="E16" s="67" t="s">
        <v>156</v>
      </c>
      <c r="F16" s="67" t="s">
        <v>157</v>
      </c>
      <c r="G16" s="67" t="s">
        <v>158</v>
      </c>
      <c r="H16" s="67" t="s">
        <v>159</v>
      </c>
      <c r="I16" s="67" t="s">
        <v>160</v>
      </c>
      <c r="K16" s="67" t="s">
        <v>375</v>
      </c>
      <c r="L16" s="67" t="s">
        <v>376</v>
      </c>
      <c r="M16" s="67" t="s">
        <v>391</v>
      </c>
      <c r="N16" s="67" t="s">
        <v>0</v>
      </c>
    </row>
    <row r="17" spans="1:14" s="68" customFormat="1" ht="25.5" customHeight="1" x14ac:dyDescent="0.25">
      <c r="A17" s="67">
        <v>1</v>
      </c>
      <c r="B17" s="69" t="s">
        <v>221</v>
      </c>
      <c r="C17" s="70">
        <v>1</v>
      </c>
      <c r="D17" s="90">
        <v>1</v>
      </c>
      <c r="E17" s="71">
        <f>+E5</f>
        <v>2825568.9798974358</v>
      </c>
      <c r="F17" s="71">
        <v>320000</v>
      </c>
      <c r="G17" s="71">
        <f>(E17+F17)</f>
        <v>3145568.9798974358</v>
      </c>
      <c r="H17" s="71">
        <f>(C17*D17*G17)</f>
        <v>3145568.9798974358</v>
      </c>
      <c r="I17" s="72">
        <v>1</v>
      </c>
      <c r="K17" s="6">
        <f>(G17*40%)*16%</f>
        <v>201316.41471343592</v>
      </c>
      <c r="L17" s="6">
        <f>(E17*40%)*8.5%</f>
        <v>96069.345316512816</v>
      </c>
      <c r="M17" s="2">
        <f>(E17*40%)*6.96%</f>
        <v>78663.840400344605</v>
      </c>
      <c r="N17" s="73">
        <f>SUM(K17:M17)</f>
        <v>376049.60043029336</v>
      </c>
    </row>
    <row r="18" spans="1:14" s="68" customFormat="1" ht="24.75" customHeight="1" x14ac:dyDescent="0.25">
      <c r="A18" s="67">
        <v>2</v>
      </c>
      <c r="B18" s="69" t="s">
        <v>222</v>
      </c>
      <c r="C18" s="70">
        <v>1</v>
      </c>
      <c r="D18" s="90">
        <v>1</v>
      </c>
      <c r="E18" s="71">
        <f>+E17</f>
        <v>2825568.9798974358</v>
      </c>
      <c r="F18" s="71">
        <v>320000</v>
      </c>
      <c r="G18" s="71">
        <f>(E18+F18)</f>
        <v>3145568.9798974358</v>
      </c>
      <c r="H18" s="71">
        <f>(C18*D18*G18)</f>
        <v>3145568.9798974358</v>
      </c>
      <c r="I18" s="72">
        <v>1</v>
      </c>
      <c r="K18" s="6">
        <f>(G18*40%)*12%</f>
        <v>150987.31103507694</v>
      </c>
      <c r="L18" s="6">
        <f>(E18*40%)*8.5%</f>
        <v>96069.345316512816</v>
      </c>
      <c r="M18" s="2">
        <f>(E18*40%)*6.96%</f>
        <v>78663.840400344605</v>
      </c>
      <c r="N18" s="73">
        <f>SUM(K18:M18)</f>
        <v>325720.49675193441</v>
      </c>
    </row>
    <row r="19" spans="1:14" s="34" customFormat="1" x14ac:dyDescent="0.25">
      <c r="A19" s="608" t="s">
        <v>6</v>
      </c>
      <c r="B19" s="609"/>
      <c r="C19" s="91">
        <f>SUM(C17:C18)</f>
        <v>2</v>
      </c>
      <c r="D19" s="91">
        <f>SUM(D17:D18)</f>
        <v>2</v>
      </c>
      <c r="E19" s="75"/>
      <c r="F19" s="75"/>
      <c r="G19" s="75"/>
      <c r="H19" s="75">
        <f>SUM(H17:H18)</f>
        <v>6291137.9597948715</v>
      </c>
      <c r="I19" s="76"/>
      <c r="K19" s="77"/>
      <c r="L19" s="77"/>
      <c r="M19" s="77"/>
      <c r="N19" s="75">
        <f>SUM(N17:N18)</f>
        <v>701770.09718222776</v>
      </c>
    </row>
    <row r="20" spans="1:14" s="34" customFormat="1" x14ac:dyDescent="0.25">
      <c r="A20" s="610" t="s">
        <v>161</v>
      </c>
      <c r="B20" s="610"/>
      <c r="C20" s="611"/>
      <c r="D20" s="612"/>
      <c r="E20" s="612"/>
      <c r="F20" s="613"/>
      <c r="G20" s="614">
        <f>(H19)</f>
        <v>6291137.9597948715</v>
      </c>
      <c r="H20" s="615"/>
      <c r="I20" s="76"/>
      <c r="K20" s="77"/>
      <c r="L20" s="77"/>
      <c r="M20" s="77"/>
      <c r="N20" s="78"/>
    </row>
    <row r="21" spans="1:14" s="34" customFormat="1" x14ac:dyDescent="0.25"/>
    <row r="22" spans="1:14" s="34" customFormat="1" x14ac:dyDescent="0.25"/>
    <row r="23" spans="1:14" s="34" customFormat="1" ht="45" x14ac:dyDescent="0.25">
      <c r="B23" s="20" t="s">
        <v>214</v>
      </c>
      <c r="C23" s="20" t="s">
        <v>215</v>
      </c>
      <c r="D23" s="20" t="s">
        <v>216</v>
      </c>
      <c r="E23" s="20" t="s">
        <v>217</v>
      </c>
      <c r="F23" s="99" t="s">
        <v>218</v>
      </c>
      <c r="G23" s="100"/>
    </row>
    <row r="24" spans="1:14" s="34" customFormat="1" ht="27" customHeight="1" x14ac:dyDescent="0.25">
      <c r="B24" s="92" t="s">
        <v>223</v>
      </c>
      <c r="C24" s="24">
        <v>4</v>
      </c>
      <c r="D24" s="24">
        <v>6</v>
      </c>
      <c r="E24" s="24">
        <v>4</v>
      </c>
      <c r="F24" s="95">
        <f>$G$10</f>
        <v>75493655.517538458</v>
      </c>
      <c r="G24" s="101"/>
    </row>
    <row r="25" spans="1:14" s="34" customFormat="1" ht="33" customHeight="1" x14ac:dyDescent="0.25">
      <c r="B25" s="92" t="s">
        <v>219</v>
      </c>
      <c r="C25" s="93">
        <v>4</v>
      </c>
      <c r="D25" s="93">
        <v>1</v>
      </c>
      <c r="E25" s="24">
        <v>2</v>
      </c>
      <c r="F25" s="95">
        <f>$G$20</f>
        <v>6291137.9597948715</v>
      </c>
      <c r="G25" s="101"/>
    </row>
    <row r="26" spans="1:14" s="34" customFormat="1" ht="18.75" customHeight="1" x14ac:dyDescent="0.25">
      <c r="B26" s="96" t="s">
        <v>220</v>
      </c>
      <c r="C26" s="97"/>
      <c r="D26" s="94">
        <f>SUM(D24:D25)</f>
        <v>7</v>
      </c>
      <c r="E26" s="94">
        <f>SUM(E24:E25)</f>
        <v>6</v>
      </c>
      <c r="F26" s="98">
        <f>SUM(F24:F25)</f>
        <v>81784793.477333337</v>
      </c>
      <c r="G26" s="102"/>
    </row>
  </sheetData>
  <mergeCells count="16">
    <mergeCell ref="A2:I2"/>
    <mergeCell ref="K2:N2"/>
    <mergeCell ref="A3:I3"/>
    <mergeCell ref="K3:N3"/>
    <mergeCell ref="A9:B9"/>
    <mergeCell ref="A10:B10"/>
    <mergeCell ref="C10:F10"/>
    <mergeCell ref="G10:H10"/>
    <mergeCell ref="A14:I14"/>
    <mergeCell ref="K14:N14"/>
    <mergeCell ref="A15:I15"/>
    <mergeCell ref="K15:N15"/>
    <mergeCell ref="A19:B19"/>
    <mergeCell ref="A20:B20"/>
    <mergeCell ref="C20:F20"/>
    <mergeCell ref="G20:H20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59"/>
  <sheetViews>
    <sheetView topLeftCell="C19" zoomScale="60" zoomScaleNormal="60" workbookViewId="0">
      <selection activeCell="B6" sqref="B6:B29"/>
    </sheetView>
  </sheetViews>
  <sheetFormatPr baseColWidth="10" defaultRowHeight="15" x14ac:dyDescent="0.25"/>
  <cols>
    <col min="1" max="1" width="29.28515625" style="365" bestFit="1" customWidth="1"/>
    <col min="2" max="2" width="117.140625" style="365" customWidth="1"/>
    <col min="3" max="3" width="40.140625" style="365" customWidth="1"/>
    <col min="4" max="4" width="41.42578125" style="365" customWidth="1"/>
    <col min="5" max="5" width="40.28515625" style="365" customWidth="1"/>
    <col min="6" max="6" width="20.140625" style="365" bestFit="1" customWidth="1"/>
    <col min="7" max="7" width="35.140625" style="365" customWidth="1"/>
    <col min="8" max="8" width="19.28515625" style="365" customWidth="1"/>
    <col min="9" max="10" width="20.7109375" style="365" customWidth="1"/>
    <col min="11" max="11" width="23.7109375" style="365" customWidth="1"/>
    <col min="12" max="12" width="28.28515625" style="365" customWidth="1"/>
    <col min="13" max="13" width="27.5703125" style="365" customWidth="1"/>
    <col min="14" max="14" width="37" style="365" customWidth="1"/>
    <col min="15" max="15" width="30.42578125" style="365" customWidth="1"/>
    <col min="16" max="16384" width="11.42578125" style="365"/>
  </cols>
  <sheetData>
    <row r="3" spans="1:15" ht="23.25" customHeight="1" x14ac:dyDescent="0.25">
      <c r="A3" s="650" t="s">
        <v>314</v>
      </c>
      <c r="B3" s="651"/>
      <c r="C3" s="651"/>
      <c r="D3" s="651"/>
      <c r="E3" s="651"/>
      <c r="F3" s="651"/>
      <c r="G3" s="651"/>
    </row>
    <row r="4" spans="1:15" ht="15" customHeight="1" x14ac:dyDescent="0.25">
      <c r="A4" s="652" t="s">
        <v>6</v>
      </c>
      <c r="B4" s="652"/>
      <c r="C4" s="652"/>
      <c r="D4" s="151"/>
      <c r="E4" s="151"/>
      <c r="F4" s="151"/>
      <c r="G4" s="152"/>
      <c r="H4" s="641" t="s">
        <v>557</v>
      </c>
      <c r="I4" s="641"/>
      <c r="J4" s="641"/>
      <c r="K4" s="641"/>
      <c r="L4" s="623" t="s">
        <v>559</v>
      </c>
      <c r="M4" s="623" t="s">
        <v>560</v>
      </c>
      <c r="N4" s="623" t="s">
        <v>382</v>
      </c>
      <c r="O4" s="623" t="s">
        <v>383</v>
      </c>
    </row>
    <row r="5" spans="1:15" ht="15" customHeight="1" x14ac:dyDescent="0.25">
      <c r="D5" s="366" t="s">
        <v>410</v>
      </c>
      <c r="E5" s="366" t="s">
        <v>532</v>
      </c>
      <c r="F5" s="367" t="s">
        <v>533</v>
      </c>
      <c r="G5" s="367" t="s">
        <v>482</v>
      </c>
      <c r="H5" s="641"/>
      <c r="I5" s="641"/>
      <c r="J5" s="641"/>
      <c r="K5" s="641"/>
      <c r="L5" s="623"/>
      <c r="M5" s="623"/>
      <c r="N5" s="623"/>
      <c r="O5" s="623"/>
    </row>
    <row r="6" spans="1:15" ht="15" customHeight="1" x14ac:dyDescent="0.25">
      <c r="A6" s="653" t="s">
        <v>534</v>
      </c>
      <c r="B6" s="656" t="s">
        <v>535</v>
      </c>
      <c r="C6" s="653" t="s">
        <v>536</v>
      </c>
      <c r="D6" s="632" t="s">
        <v>537</v>
      </c>
      <c r="E6" s="633"/>
      <c r="F6" s="633"/>
      <c r="G6" s="634"/>
      <c r="H6" s="641"/>
      <c r="I6" s="641"/>
      <c r="J6" s="641"/>
      <c r="K6" s="641"/>
      <c r="L6" s="624">
        <v>1500</v>
      </c>
      <c r="M6" s="624">
        <v>4500</v>
      </c>
      <c r="N6" s="624">
        <v>3000</v>
      </c>
      <c r="O6" s="624">
        <v>7500</v>
      </c>
    </row>
    <row r="7" spans="1:15" ht="15" customHeight="1" x14ac:dyDescent="0.25">
      <c r="A7" s="654"/>
      <c r="B7" s="657"/>
      <c r="C7" s="654"/>
      <c r="D7" s="426" t="s">
        <v>538</v>
      </c>
      <c r="E7" s="369">
        <v>360</v>
      </c>
      <c r="F7" s="370">
        <v>4500</v>
      </c>
      <c r="G7" s="370">
        <f>+E7*F7</f>
        <v>1620000</v>
      </c>
      <c r="H7" s="641"/>
      <c r="I7" s="641"/>
      <c r="J7" s="641"/>
      <c r="K7" s="641"/>
      <c r="L7" s="624"/>
      <c r="M7" s="624"/>
      <c r="N7" s="624"/>
      <c r="O7" s="624"/>
    </row>
    <row r="8" spans="1:15" ht="15" customHeight="1" x14ac:dyDescent="0.25">
      <c r="A8" s="654"/>
      <c r="B8" s="657"/>
      <c r="C8" s="654"/>
      <c r="D8" s="368" t="s">
        <v>539</v>
      </c>
      <c r="E8" s="369">
        <v>360</v>
      </c>
      <c r="F8" s="370">
        <v>804</v>
      </c>
      <c r="G8" s="370">
        <f>+E8*F8</f>
        <v>289440</v>
      </c>
      <c r="H8" s="641"/>
      <c r="I8" s="641"/>
      <c r="J8" s="641"/>
      <c r="K8" s="641"/>
      <c r="L8" s="622" t="s">
        <v>530</v>
      </c>
      <c r="M8" s="625" t="s">
        <v>531</v>
      </c>
      <c r="N8" s="622" t="s">
        <v>335</v>
      </c>
      <c r="O8" s="622" t="s">
        <v>435</v>
      </c>
    </row>
    <row r="9" spans="1:15" ht="24.75" customHeight="1" x14ac:dyDescent="0.25">
      <c r="A9" s="654"/>
      <c r="B9" s="657"/>
      <c r="C9" s="654"/>
      <c r="D9" s="368" t="s">
        <v>540</v>
      </c>
      <c r="E9" s="369">
        <v>360</v>
      </c>
      <c r="F9" s="370">
        <v>2000</v>
      </c>
      <c r="G9" s="370">
        <f>+E9*F9</f>
        <v>720000</v>
      </c>
      <c r="H9" s="641"/>
      <c r="I9" s="641"/>
      <c r="J9" s="641"/>
      <c r="K9" s="641"/>
      <c r="L9" s="622"/>
      <c r="M9" s="625"/>
      <c r="N9" s="622"/>
      <c r="O9" s="622"/>
    </row>
    <row r="10" spans="1:15" x14ac:dyDescent="0.25">
      <c r="A10" s="654"/>
      <c r="B10" s="657"/>
      <c r="C10" s="654"/>
      <c r="D10" s="368"/>
      <c r="E10" s="369"/>
      <c r="F10" s="370" t="s">
        <v>0</v>
      </c>
      <c r="G10" s="380">
        <f>SUM(G7:G9)</f>
        <v>2629440</v>
      </c>
      <c r="H10" s="641"/>
      <c r="I10" s="641"/>
      <c r="J10" s="641"/>
      <c r="K10" s="641"/>
      <c r="L10" s="622"/>
      <c r="M10" s="625"/>
      <c r="N10" s="622"/>
      <c r="O10" s="622"/>
    </row>
    <row r="11" spans="1:15" ht="15" customHeight="1" x14ac:dyDescent="0.25">
      <c r="A11" s="654"/>
      <c r="B11" s="657"/>
      <c r="C11" s="654"/>
      <c r="D11" s="632" t="s">
        <v>545</v>
      </c>
      <c r="E11" s="633"/>
      <c r="F11" s="633"/>
      <c r="G11" s="634"/>
      <c r="H11" s="641" t="s">
        <v>556</v>
      </c>
      <c r="I11" s="641"/>
      <c r="J11" s="641"/>
      <c r="K11" s="641"/>
      <c r="L11" s="622"/>
      <c r="M11" s="625"/>
      <c r="N11" s="622"/>
      <c r="O11" s="622"/>
    </row>
    <row r="12" spans="1:15" ht="15" customHeight="1" x14ac:dyDescent="0.25">
      <c r="A12" s="654"/>
      <c r="B12" s="657"/>
      <c r="C12" s="654"/>
      <c r="D12" s="630" t="s">
        <v>543</v>
      </c>
      <c r="E12" s="369">
        <v>360</v>
      </c>
      <c r="F12" s="370">
        <v>3000</v>
      </c>
      <c r="G12" s="370">
        <f>+E12*F12</f>
        <v>1080000</v>
      </c>
      <c r="H12" s="641"/>
      <c r="I12" s="641"/>
      <c r="J12" s="641"/>
      <c r="K12" s="641"/>
      <c r="L12" s="622"/>
      <c r="M12" s="625"/>
      <c r="N12" s="622"/>
      <c r="O12" s="622"/>
    </row>
    <row r="13" spans="1:15" x14ac:dyDescent="0.25">
      <c r="A13" s="654"/>
      <c r="B13" s="657"/>
      <c r="C13" s="654"/>
      <c r="D13" s="631"/>
      <c r="E13" s="369"/>
      <c r="F13" s="370"/>
      <c r="G13" s="370"/>
      <c r="H13" s="641"/>
      <c r="I13" s="641"/>
      <c r="J13" s="641"/>
      <c r="K13" s="641"/>
      <c r="L13" s="622"/>
      <c r="M13" s="625"/>
      <c r="N13" s="622"/>
      <c r="O13" s="622"/>
    </row>
    <row r="14" spans="1:15" x14ac:dyDescent="0.25">
      <c r="A14" s="654"/>
      <c r="B14" s="657"/>
      <c r="C14" s="654"/>
      <c r="D14" s="631"/>
      <c r="E14" s="369"/>
      <c r="F14" s="370"/>
      <c r="G14" s="380">
        <f>SUM(G12:G13)</f>
        <v>1080000</v>
      </c>
      <c r="H14" s="641"/>
      <c r="I14" s="641"/>
      <c r="J14" s="641"/>
      <c r="K14" s="641"/>
      <c r="L14" s="622"/>
      <c r="M14" s="625"/>
      <c r="N14" s="622"/>
      <c r="O14" s="622"/>
    </row>
    <row r="15" spans="1:15" x14ac:dyDescent="0.25">
      <c r="A15" s="654"/>
      <c r="B15" s="657"/>
      <c r="C15" s="654"/>
      <c r="D15" s="632" t="s">
        <v>544</v>
      </c>
      <c r="E15" s="633"/>
      <c r="F15" s="633"/>
      <c r="G15" s="634"/>
      <c r="H15" s="641"/>
      <c r="I15" s="641"/>
      <c r="J15" s="641"/>
      <c r="K15" s="641"/>
      <c r="L15" s="622"/>
      <c r="M15" s="625"/>
      <c r="N15" s="622"/>
      <c r="O15" s="622"/>
    </row>
    <row r="16" spans="1:15" ht="15" customHeight="1" x14ac:dyDescent="0.25">
      <c r="A16" s="654"/>
      <c r="B16" s="657"/>
      <c r="C16" s="654"/>
      <c r="D16" s="387" t="s">
        <v>561</v>
      </c>
      <c r="E16" s="369">
        <v>360</v>
      </c>
      <c r="F16" s="370">
        <v>7500</v>
      </c>
      <c r="G16" s="370">
        <f>+E16*F16</f>
        <v>2700000</v>
      </c>
      <c r="H16" s="641"/>
      <c r="I16" s="641"/>
      <c r="J16" s="641"/>
      <c r="K16" s="641"/>
      <c r="L16" s="622"/>
      <c r="M16" s="625"/>
      <c r="N16" s="622"/>
      <c r="O16" s="622"/>
    </row>
    <row r="17" spans="1:11" x14ac:dyDescent="0.25">
      <c r="A17" s="654"/>
      <c r="B17" s="657"/>
      <c r="C17" s="654"/>
      <c r="D17" s="387" t="s">
        <v>164</v>
      </c>
      <c r="E17" s="369">
        <v>360</v>
      </c>
      <c r="F17" s="370">
        <v>7500</v>
      </c>
      <c r="G17" s="370">
        <f t="shared" ref="G17:G19" si="0">+E17*F17</f>
        <v>2700000</v>
      </c>
      <c r="H17" s="641"/>
      <c r="I17" s="641"/>
      <c r="J17" s="641"/>
      <c r="K17" s="641"/>
    </row>
    <row r="18" spans="1:11" x14ac:dyDescent="0.25">
      <c r="A18" s="654"/>
      <c r="B18" s="657"/>
      <c r="C18" s="654"/>
      <c r="D18" s="387" t="s">
        <v>163</v>
      </c>
      <c r="E18" s="369">
        <v>360</v>
      </c>
      <c r="F18" s="370">
        <v>7500</v>
      </c>
      <c r="G18" s="370">
        <f t="shared" si="0"/>
        <v>2700000</v>
      </c>
      <c r="H18" s="641"/>
      <c r="I18" s="641"/>
      <c r="J18" s="641"/>
      <c r="K18" s="641"/>
    </row>
    <row r="19" spans="1:11" x14ac:dyDescent="0.25">
      <c r="A19" s="654"/>
      <c r="B19" s="657"/>
      <c r="C19" s="654"/>
      <c r="D19" s="387" t="s">
        <v>162</v>
      </c>
      <c r="E19" s="369">
        <v>360</v>
      </c>
      <c r="F19" s="370">
        <v>7500</v>
      </c>
      <c r="G19" s="370">
        <f t="shared" si="0"/>
        <v>2700000</v>
      </c>
      <c r="H19" s="641"/>
      <c r="I19" s="641"/>
      <c r="J19" s="641"/>
      <c r="K19" s="641"/>
    </row>
    <row r="20" spans="1:11" x14ac:dyDescent="0.25">
      <c r="A20" s="654"/>
      <c r="B20" s="657"/>
      <c r="C20" s="654"/>
      <c r="D20" s="386"/>
      <c r="E20" s="369"/>
      <c r="F20" s="370"/>
      <c r="G20" s="380">
        <f>SUM(G16:G19)</f>
        <v>10800000</v>
      </c>
      <c r="H20" s="641"/>
      <c r="I20" s="641"/>
      <c r="J20" s="641"/>
      <c r="K20" s="641"/>
    </row>
    <row r="21" spans="1:11" ht="15" customHeight="1" x14ac:dyDescent="0.25">
      <c r="A21" s="654"/>
      <c r="B21" s="657"/>
      <c r="C21" s="654"/>
      <c r="D21" s="632" t="s">
        <v>542</v>
      </c>
      <c r="E21" s="633"/>
      <c r="F21" s="633"/>
      <c r="G21" s="634"/>
      <c r="H21" s="641" t="s">
        <v>558</v>
      </c>
      <c r="I21" s="641"/>
      <c r="J21" s="641"/>
      <c r="K21" s="641"/>
    </row>
    <row r="22" spans="1:11" ht="15" customHeight="1" x14ac:dyDescent="0.25">
      <c r="A22" s="654"/>
      <c r="B22" s="657"/>
      <c r="C22" s="654"/>
      <c r="D22" s="387" t="s">
        <v>561</v>
      </c>
      <c r="E22" s="369">
        <v>360</v>
      </c>
      <c r="F22" s="370">
        <v>3000</v>
      </c>
      <c r="G22" s="370">
        <f>+E22*F22</f>
        <v>1080000</v>
      </c>
      <c r="H22" s="641"/>
      <c r="I22" s="641"/>
      <c r="J22" s="641"/>
      <c r="K22" s="641"/>
    </row>
    <row r="23" spans="1:11" x14ac:dyDescent="0.25">
      <c r="A23" s="654"/>
      <c r="B23" s="657"/>
      <c r="C23" s="654"/>
      <c r="D23" s="387" t="s">
        <v>164</v>
      </c>
      <c r="E23" s="369">
        <v>360</v>
      </c>
      <c r="F23" s="370">
        <v>3000</v>
      </c>
      <c r="G23" s="370">
        <f t="shared" ref="G23:G25" si="1">+E23*F23</f>
        <v>1080000</v>
      </c>
      <c r="H23" s="641"/>
      <c r="I23" s="641"/>
      <c r="J23" s="641"/>
      <c r="K23" s="641"/>
    </row>
    <row r="24" spans="1:11" x14ac:dyDescent="0.25">
      <c r="A24" s="654"/>
      <c r="B24" s="657"/>
      <c r="C24" s="654"/>
      <c r="D24" s="387" t="s">
        <v>163</v>
      </c>
      <c r="E24" s="369">
        <v>360</v>
      </c>
      <c r="F24" s="370">
        <v>3000</v>
      </c>
      <c r="G24" s="370">
        <f t="shared" si="1"/>
        <v>1080000</v>
      </c>
      <c r="H24" s="641"/>
      <c r="I24" s="641"/>
      <c r="J24" s="641"/>
      <c r="K24" s="641"/>
    </row>
    <row r="25" spans="1:11" x14ac:dyDescent="0.25">
      <c r="A25" s="654"/>
      <c r="B25" s="657"/>
      <c r="C25" s="654"/>
      <c r="D25" s="387" t="s">
        <v>162</v>
      </c>
      <c r="E25" s="369">
        <v>360</v>
      </c>
      <c r="F25" s="370">
        <v>3000</v>
      </c>
      <c r="G25" s="370">
        <f t="shared" si="1"/>
        <v>1080000</v>
      </c>
      <c r="H25" s="641"/>
      <c r="I25" s="641"/>
      <c r="J25" s="641"/>
      <c r="K25" s="641"/>
    </row>
    <row r="26" spans="1:11" x14ac:dyDescent="0.25">
      <c r="A26" s="654"/>
      <c r="B26" s="657"/>
      <c r="C26" s="654"/>
      <c r="D26" s="385"/>
      <c r="E26" s="369"/>
      <c r="F26" s="370"/>
      <c r="G26" s="380">
        <f>SUM(G22:G25)</f>
        <v>4320000</v>
      </c>
      <c r="H26" s="641"/>
      <c r="I26" s="641"/>
      <c r="J26" s="641"/>
      <c r="K26" s="641"/>
    </row>
    <row r="27" spans="1:11" x14ac:dyDescent="0.25">
      <c r="A27" s="654"/>
      <c r="B27" s="657"/>
      <c r="C27" s="654"/>
      <c r="D27" s="632" t="s">
        <v>546</v>
      </c>
      <c r="E27" s="633"/>
      <c r="F27" s="633"/>
      <c r="G27" s="634"/>
      <c r="H27" s="641"/>
      <c r="I27" s="641"/>
      <c r="J27" s="641"/>
      <c r="K27" s="641"/>
    </row>
    <row r="28" spans="1:11" ht="15" customHeight="1" x14ac:dyDescent="0.25">
      <c r="A28" s="654"/>
      <c r="B28" s="657"/>
      <c r="C28" s="654"/>
      <c r="D28" s="630" t="s">
        <v>543</v>
      </c>
      <c r="E28" s="369">
        <v>360</v>
      </c>
      <c r="F28" s="370">
        <v>3000</v>
      </c>
      <c r="G28" s="370">
        <f>+E28*F28</f>
        <v>1080000</v>
      </c>
      <c r="H28" s="641"/>
      <c r="I28" s="641"/>
      <c r="J28" s="641"/>
      <c r="K28" s="641"/>
    </row>
    <row r="29" spans="1:11" x14ac:dyDescent="0.25">
      <c r="A29" s="655"/>
      <c r="B29" s="658"/>
      <c r="C29" s="655"/>
      <c r="D29" s="631"/>
      <c r="E29" s="369"/>
      <c r="F29" s="370"/>
      <c r="G29" s="370"/>
      <c r="H29" s="641"/>
      <c r="I29" s="641"/>
      <c r="J29" s="641"/>
      <c r="K29" s="641"/>
    </row>
    <row r="30" spans="1:11" x14ac:dyDescent="0.25">
      <c r="A30" s="372"/>
      <c r="B30" s="372"/>
      <c r="C30" s="372"/>
      <c r="D30" s="631"/>
      <c r="E30" s="369"/>
      <c r="F30" s="370"/>
      <c r="G30" s="380">
        <f>SUM(G28:G29)</f>
        <v>1080000</v>
      </c>
      <c r="H30" s="641"/>
      <c r="I30" s="641"/>
      <c r="J30" s="641"/>
      <c r="K30" s="641"/>
    </row>
    <row r="31" spans="1:11" ht="81.75" customHeight="1" x14ac:dyDescent="0.25">
      <c r="A31" s="381" t="s">
        <v>551</v>
      </c>
      <c r="B31" s="382" t="s">
        <v>552</v>
      </c>
      <c r="C31" s="383" t="s">
        <v>553</v>
      </c>
      <c r="D31" s="635" t="s">
        <v>541</v>
      </c>
      <c r="E31" s="636"/>
      <c r="F31" s="636"/>
      <c r="G31" s="637"/>
      <c r="H31" s="641" t="s">
        <v>529</v>
      </c>
      <c r="I31" s="641"/>
      <c r="J31" s="641"/>
      <c r="K31" s="641"/>
    </row>
    <row r="32" spans="1:11" ht="15" customHeight="1" x14ac:dyDescent="0.25">
      <c r="A32" s="659" t="s">
        <v>554</v>
      </c>
      <c r="B32" s="660" t="s">
        <v>555</v>
      </c>
      <c r="C32" s="640" t="s">
        <v>553</v>
      </c>
      <c r="D32" s="387" t="s">
        <v>561</v>
      </c>
      <c r="E32" s="369">
        <v>360</v>
      </c>
      <c r="F32" s="388">
        <v>1616</v>
      </c>
      <c r="G32" s="370">
        <f>+E32*F32</f>
        <v>581760</v>
      </c>
      <c r="H32" s="641"/>
      <c r="I32" s="641"/>
      <c r="J32" s="641"/>
      <c r="K32" s="641"/>
    </row>
    <row r="33" spans="1:13" x14ac:dyDescent="0.25">
      <c r="A33" s="659"/>
      <c r="B33" s="661"/>
      <c r="C33" s="640"/>
      <c r="D33" s="387" t="s">
        <v>164</v>
      </c>
      <c r="E33" s="369">
        <v>360</v>
      </c>
      <c r="F33" s="388">
        <f>+F32</f>
        <v>1616</v>
      </c>
      <c r="G33" s="370">
        <f t="shared" ref="G33:G35" si="2">+E33*F33</f>
        <v>581760</v>
      </c>
      <c r="H33" s="641"/>
      <c r="I33" s="641"/>
      <c r="J33" s="641"/>
      <c r="K33" s="641"/>
      <c r="L33" s="373"/>
      <c r="M33" s="373"/>
    </row>
    <row r="34" spans="1:13" x14ac:dyDescent="0.25">
      <c r="A34" s="659"/>
      <c r="B34" s="661"/>
      <c r="C34" s="640"/>
      <c r="D34" s="387" t="s">
        <v>163</v>
      </c>
      <c r="E34" s="369">
        <v>360</v>
      </c>
      <c r="F34" s="388">
        <f>+F32</f>
        <v>1616</v>
      </c>
      <c r="G34" s="370">
        <f t="shared" si="2"/>
        <v>581760</v>
      </c>
      <c r="H34" s="641"/>
      <c r="I34" s="641"/>
      <c r="J34" s="641"/>
      <c r="K34" s="641"/>
      <c r="L34" s="373"/>
      <c r="M34" s="373"/>
    </row>
    <row r="35" spans="1:13" x14ac:dyDescent="0.25">
      <c r="A35" s="659"/>
      <c r="B35" s="661"/>
      <c r="C35" s="640"/>
      <c r="D35" s="387" t="s">
        <v>162</v>
      </c>
      <c r="E35" s="369">
        <v>360</v>
      </c>
      <c r="F35" s="388">
        <f>+F32</f>
        <v>1616</v>
      </c>
      <c r="G35" s="370">
        <f t="shared" si="2"/>
        <v>581760</v>
      </c>
      <c r="H35" s="641"/>
      <c r="I35" s="641"/>
      <c r="J35" s="641"/>
      <c r="K35" s="641"/>
      <c r="L35" s="373"/>
      <c r="M35" s="373"/>
    </row>
    <row r="36" spans="1:13" x14ac:dyDescent="0.25">
      <c r="A36" s="659"/>
      <c r="B36" s="661"/>
      <c r="C36" s="640"/>
      <c r="D36" s="386"/>
      <c r="E36" s="369"/>
      <c r="F36" s="370"/>
      <c r="G36" s="380">
        <f>SUM(G32:G35)</f>
        <v>2327040</v>
      </c>
      <c r="H36" s="641"/>
      <c r="I36" s="641"/>
      <c r="J36" s="641"/>
      <c r="K36" s="641"/>
      <c r="L36" s="373"/>
      <c r="M36" s="373"/>
    </row>
    <row r="37" spans="1:13" ht="27.75" customHeight="1" x14ac:dyDescent="0.25">
      <c r="A37" s="372"/>
      <c r="B37" s="372"/>
      <c r="C37" s="372"/>
      <c r="D37" s="635" t="s">
        <v>547</v>
      </c>
      <c r="E37" s="636"/>
      <c r="F37" s="636"/>
      <c r="G37" s="637"/>
      <c r="H37" s="641"/>
      <c r="I37" s="641"/>
      <c r="J37" s="641"/>
      <c r="K37" s="641"/>
      <c r="L37" s="373"/>
      <c r="M37" s="373"/>
    </row>
    <row r="38" spans="1:13" ht="15" customHeight="1" x14ac:dyDescent="0.25">
      <c r="A38" s="372"/>
      <c r="B38" s="372"/>
      <c r="C38" s="372"/>
      <c r="D38" s="630" t="s">
        <v>543</v>
      </c>
      <c r="E38" s="369">
        <v>360</v>
      </c>
      <c r="F38" s="388">
        <f>+F32</f>
        <v>1616</v>
      </c>
      <c r="G38" s="370">
        <f>+E38*F38</f>
        <v>581760</v>
      </c>
      <c r="H38" s="373"/>
      <c r="I38" s="373"/>
      <c r="J38" s="373"/>
      <c r="K38" s="373"/>
      <c r="L38" s="373"/>
      <c r="M38" s="373"/>
    </row>
    <row r="39" spans="1:13" x14ac:dyDescent="0.25">
      <c r="A39" s="372"/>
      <c r="B39" s="372"/>
      <c r="C39" s="372"/>
      <c r="D39" s="638"/>
      <c r="E39" s="369"/>
      <c r="F39" s="370"/>
      <c r="G39" s="380">
        <f>SUM(G38)</f>
        <v>581760</v>
      </c>
      <c r="H39" s="373"/>
      <c r="I39" s="373"/>
      <c r="J39" s="373"/>
      <c r="K39" s="373"/>
      <c r="L39" s="373"/>
      <c r="M39" s="373"/>
    </row>
    <row r="40" spans="1:13" x14ac:dyDescent="0.25">
      <c r="D40" s="639" t="s">
        <v>548</v>
      </c>
      <c r="E40" s="639"/>
      <c r="F40" s="639"/>
      <c r="G40" s="639"/>
      <c r="H40" s="373"/>
      <c r="I40" s="373"/>
      <c r="J40" s="373"/>
      <c r="K40" s="373"/>
      <c r="L40" s="373"/>
      <c r="M40" s="373"/>
    </row>
    <row r="41" spans="1:13" x14ac:dyDescent="0.25">
      <c r="D41" s="379" t="s">
        <v>543</v>
      </c>
      <c r="E41" s="369">
        <v>360</v>
      </c>
      <c r="F41" s="388">
        <f>+F32</f>
        <v>1616</v>
      </c>
      <c r="G41" s="370">
        <f>+E41*F41</f>
        <v>581760</v>
      </c>
      <c r="H41" s="373"/>
      <c r="I41" s="373"/>
      <c r="J41" s="373"/>
      <c r="K41" s="373"/>
      <c r="L41" s="373"/>
      <c r="M41" s="373"/>
    </row>
    <row r="42" spans="1:13" x14ac:dyDescent="0.25">
      <c r="D42" s="370"/>
      <c r="E42" s="369"/>
      <c r="F42" s="370"/>
      <c r="G42" s="380">
        <f>SUM(G41)</f>
        <v>581760</v>
      </c>
      <c r="H42" s="373"/>
      <c r="I42" s="373"/>
      <c r="J42" s="373"/>
      <c r="K42" s="373"/>
      <c r="L42" s="373"/>
      <c r="M42" s="373"/>
    </row>
    <row r="43" spans="1:13" x14ac:dyDescent="0.25">
      <c r="D43" s="639" t="s">
        <v>550</v>
      </c>
      <c r="E43" s="639"/>
      <c r="F43" s="639"/>
      <c r="G43" s="639"/>
      <c r="H43" s="373"/>
      <c r="I43" s="373"/>
      <c r="J43" s="373"/>
      <c r="K43" s="373"/>
      <c r="L43" s="373"/>
      <c r="M43" s="373"/>
    </row>
    <row r="44" spans="1:13" ht="15" customHeight="1" x14ac:dyDescent="0.25">
      <c r="D44" s="630" t="s">
        <v>543</v>
      </c>
      <c r="E44" s="369">
        <v>360</v>
      </c>
      <c r="F44" s="370">
        <v>3000</v>
      </c>
      <c r="G44" s="370">
        <f>+E44*F44</f>
        <v>1080000</v>
      </c>
      <c r="H44" s="373"/>
      <c r="I44" s="373"/>
      <c r="J44" s="373"/>
      <c r="K44" s="373"/>
      <c r="L44" s="373"/>
      <c r="M44" s="373"/>
    </row>
    <row r="45" spans="1:13" x14ac:dyDescent="0.25">
      <c r="A45" s="372"/>
      <c r="B45" s="372"/>
      <c r="C45" s="372"/>
      <c r="D45" s="638"/>
      <c r="E45" s="369"/>
      <c r="F45" s="370"/>
      <c r="G45" s="380">
        <f>SUM(G44)</f>
        <v>1080000</v>
      </c>
      <c r="H45" s="373"/>
      <c r="I45" s="373"/>
      <c r="J45" s="373"/>
      <c r="K45" s="373"/>
      <c r="L45" s="373"/>
      <c r="M45" s="373"/>
    </row>
    <row r="46" spans="1:13" x14ac:dyDescent="0.25">
      <c r="A46" s="372"/>
      <c r="B46" s="372"/>
      <c r="C46" s="372"/>
      <c r="D46" s="639" t="s">
        <v>549</v>
      </c>
      <c r="E46" s="639"/>
      <c r="F46" s="639"/>
      <c r="G46" s="639"/>
      <c r="H46" s="373"/>
      <c r="I46" s="373"/>
      <c r="J46" s="373"/>
      <c r="K46" s="373"/>
      <c r="L46" s="373"/>
      <c r="M46" s="373"/>
    </row>
    <row r="47" spans="1:13" x14ac:dyDescent="0.25">
      <c r="A47" s="372"/>
      <c r="B47" s="372"/>
      <c r="C47" s="372"/>
      <c r="D47" s="379" t="s">
        <v>543</v>
      </c>
      <c r="E47" s="369">
        <v>360</v>
      </c>
      <c r="F47" s="370">
        <v>3000</v>
      </c>
      <c r="G47" s="370">
        <f>+E47*F47</f>
        <v>1080000</v>
      </c>
      <c r="H47" s="373"/>
      <c r="I47" s="373"/>
      <c r="J47" s="373"/>
      <c r="K47" s="373"/>
      <c r="L47" s="373"/>
      <c r="M47" s="373"/>
    </row>
    <row r="48" spans="1:13" x14ac:dyDescent="0.25">
      <c r="A48" s="372"/>
      <c r="B48" s="372"/>
      <c r="C48" s="372"/>
      <c r="D48" s="371"/>
      <c r="E48" s="369"/>
      <c r="F48" s="370"/>
      <c r="G48" s="380">
        <f>SUM(G47:G47)</f>
        <v>1080000</v>
      </c>
      <c r="H48" s="373"/>
      <c r="I48" s="373"/>
      <c r="J48" s="373"/>
      <c r="K48" s="373"/>
      <c r="L48" s="373"/>
      <c r="M48" s="373"/>
    </row>
    <row r="49" spans="1:13" x14ac:dyDescent="0.25">
      <c r="A49" s="372"/>
      <c r="B49" s="372"/>
      <c r="C49" s="372"/>
      <c r="D49" s="370"/>
      <c r="E49" s="369"/>
      <c r="F49" s="370"/>
      <c r="G49" s="378">
        <f>+G10+G14+G20+G26+G30+G36+G39+G42+G45+G48</f>
        <v>25560000</v>
      </c>
      <c r="H49" s="373"/>
      <c r="I49" s="373"/>
      <c r="J49" s="373"/>
      <c r="K49" s="373"/>
      <c r="L49" s="373"/>
      <c r="M49" s="373"/>
    </row>
    <row r="50" spans="1:13" s="374" customFormat="1" x14ac:dyDescent="0.25">
      <c r="D50" s="648"/>
      <c r="E50" s="648"/>
      <c r="F50" s="648"/>
      <c r="G50" s="375"/>
      <c r="H50" s="649"/>
      <c r="I50" s="648"/>
      <c r="J50" s="648"/>
      <c r="K50" s="648"/>
    </row>
    <row r="51" spans="1:13" x14ac:dyDescent="0.25">
      <c r="K51" s="390"/>
      <c r="L51" s="373"/>
      <c r="M51" s="390"/>
    </row>
    <row r="52" spans="1:13" x14ac:dyDescent="0.25">
      <c r="B52" s="602" t="s">
        <v>386</v>
      </c>
      <c r="C52" s="603"/>
      <c r="D52" s="603"/>
      <c r="E52" s="603"/>
      <c r="F52" s="603"/>
      <c r="G52" s="603"/>
      <c r="H52" s="603"/>
      <c r="I52" s="604"/>
      <c r="K52" s="280"/>
      <c r="L52" s="280"/>
      <c r="M52" s="280"/>
    </row>
    <row r="53" spans="1:13" ht="30" x14ac:dyDescent="0.25">
      <c r="B53" s="293" t="s">
        <v>4</v>
      </c>
      <c r="C53" s="293" t="s">
        <v>215</v>
      </c>
      <c r="D53" s="293" t="s">
        <v>384</v>
      </c>
      <c r="E53" s="293" t="s">
        <v>316</v>
      </c>
      <c r="F53" s="293" t="s">
        <v>317</v>
      </c>
      <c r="G53" s="293" t="s">
        <v>318</v>
      </c>
      <c r="H53" s="623" t="s">
        <v>319</v>
      </c>
      <c r="I53" s="623"/>
      <c r="K53" s="280"/>
      <c r="L53" s="280"/>
      <c r="M53" s="280"/>
    </row>
    <row r="54" spans="1:13" ht="24.75" customHeight="1" x14ac:dyDescent="0.25">
      <c r="B54" s="92" t="s">
        <v>320</v>
      </c>
      <c r="C54" s="24">
        <v>4</v>
      </c>
      <c r="D54" s="24">
        <v>30</v>
      </c>
      <c r="E54" s="24">
        <f>(C54*D54)</f>
        <v>120</v>
      </c>
      <c r="F54" s="24">
        <v>360</v>
      </c>
      <c r="G54" s="384">
        <f>+G10+G20+G26+G36</f>
        <v>20076480</v>
      </c>
      <c r="H54" s="642"/>
      <c r="I54" s="643"/>
      <c r="K54" s="280"/>
      <c r="L54" s="280"/>
      <c r="M54" s="280"/>
    </row>
    <row r="55" spans="1:13" ht="43.5" customHeight="1" x14ac:dyDescent="0.25">
      <c r="B55" s="92" t="s">
        <v>385</v>
      </c>
      <c r="C55" s="24">
        <v>4</v>
      </c>
      <c r="D55" s="24">
        <v>4</v>
      </c>
      <c r="E55" s="24">
        <f>(C55*D55)</f>
        <v>16</v>
      </c>
      <c r="F55" s="24">
        <v>360</v>
      </c>
      <c r="G55" s="150">
        <f>+G39+G42+G45+G48</f>
        <v>3323520</v>
      </c>
      <c r="H55" s="644"/>
      <c r="I55" s="645"/>
      <c r="K55" s="280"/>
      <c r="L55" s="280"/>
      <c r="M55" s="280"/>
    </row>
    <row r="56" spans="1:13" ht="27" customHeight="1" x14ac:dyDescent="0.25">
      <c r="B56" s="92" t="s">
        <v>321</v>
      </c>
      <c r="C56" s="24">
        <v>4</v>
      </c>
      <c r="D56" s="24">
        <v>1</v>
      </c>
      <c r="E56" s="24">
        <f>(C56*D56)</f>
        <v>4</v>
      </c>
      <c r="F56" s="24">
        <v>360</v>
      </c>
      <c r="G56" s="150">
        <f>+G14</f>
        <v>1080000</v>
      </c>
      <c r="H56" s="644"/>
      <c r="I56" s="645"/>
      <c r="K56" s="280"/>
      <c r="L56" s="280"/>
      <c r="M56" s="280"/>
    </row>
    <row r="57" spans="1:13" ht="36" customHeight="1" x14ac:dyDescent="0.25">
      <c r="B57" s="92" t="s">
        <v>322</v>
      </c>
      <c r="C57" s="24">
        <v>4</v>
      </c>
      <c r="D57" s="24">
        <v>1</v>
      </c>
      <c r="E57" s="24">
        <f>(C57*D57)</f>
        <v>4</v>
      </c>
      <c r="F57" s="24">
        <v>360</v>
      </c>
      <c r="G57" s="150">
        <f>+G30</f>
        <v>1080000</v>
      </c>
      <c r="H57" s="646"/>
      <c r="I57" s="647"/>
    </row>
    <row r="58" spans="1:13" ht="18.75" x14ac:dyDescent="0.25">
      <c r="B58" s="626" t="s">
        <v>220</v>
      </c>
      <c r="C58" s="627"/>
      <c r="D58" s="94"/>
      <c r="E58" s="94">
        <f>SUM(E54:E57)</f>
        <v>144</v>
      </c>
      <c r="F58" s="94"/>
      <c r="G58" s="94"/>
      <c r="H58" s="628">
        <f>SUM(G54:G57)</f>
        <v>25560000</v>
      </c>
      <c r="I58" s="629"/>
      <c r="J58" s="365" t="s">
        <v>381</v>
      </c>
    </row>
    <row r="59" spans="1:13" ht="18.75" x14ac:dyDescent="0.25">
      <c r="B59" s="376"/>
      <c r="C59" s="376"/>
      <c r="D59" s="377"/>
      <c r="E59" s="377"/>
      <c r="F59" s="377"/>
      <c r="G59" s="377"/>
      <c r="H59" s="377"/>
      <c r="I59" s="377"/>
    </row>
  </sheetData>
  <mergeCells count="45">
    <mergeCell ref="A32:A36"/>
    <mergeCell ref="B32:B36"/>
    <mergeCell ref="H21:K30"/>
    <mergeCell ref="H31:K37"/>
    <mergeCell ref="D43:G43"/>
    <mergeCell ref="A3:G3"/>
    <mergeCell ref="A4:C4"/>
    <mergeCell ref="A6:A29"/>
    <mergeCell ref="B6:B29"/>
    <mergeCell ref="C6:C29"/>
    <mergeCell ref="D6:G6"/>
    <mergeCell ref="D11:G11"/>
    <mergeCell ref="H4:K10"/>
    <mergeCell ref="H11:K20"/>
    <mergeCell ref="H54:I57"/>
    <mergeCell ref="D50:F50"/>
    <mergeCell ref="H50:K50"/>
    <mergeCell ref="D44:D45"/>
    <mergeCell ref="B58:C58"/>
    <mergeCell ref="H58:I58"/>
    <mergeCell ref="D12:D14"/>
    <mergeCell ref="D15:G15"/>
    <mergeCell ref="D21:G21"/>
    <mergeCell ref="D27:G27"/>
    <mergeCell ref="D28:D30"/>
    <mergeCell ref="D31:G31"/>
    <mergeCell ref="B52:I52"/>
    <mergeCell ref="D37:G37"/>
    <mergeCell ref="D38:D39"/>
    <mergeCell ref="D40:G40"/>
    <mergeCell ref="D46:G46"/>
    <mergeCell ref="C32:C36"/>
    <mergeCell ref="H53:I53"/>
    <mergeCell ref="N8:N16"/>
    <mergeCell ref="O8:O16"/>
    <mergeCell ref="O4:O5"/>
    <mergeCell ref="L6:L7"/>
    <mergeCell ref="M6:M7"/>
    <mergeCell ref="N6:N7"/>
    <mergeCell ref="O6:O7"/>
    <mergeCell ref="M4:M5"/>
    <mergeCell ref="N4:N5"/>
    <mergeCell ref="L4:L5"/>
    <mergeCell ref="M8:M16"/>
    <mergeCell ref="L8:L16"/>
  </mergeCells>
  <pageMargins left="0.7" right="0.7" top="0.75" bottom="0.75" header="0.3" footer="0.3"/>
  <pageSetup orientation="portrait" horizontalDpi="4294967292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37"/>
  <sheetViews>
    <sheetView topLeftCell="A13" zoomScale="80" zoomScaleNormal="80" workbookViewId="0">
      <selection activeCell="H8" sqref="H8"/>
    </sheetView>
  </sheetViews>
  <sheetFormatPr baseColWidth="10" defaultRowHeight="15" x14ac:dyDescent="0.25"/>
  <cols>
    <col min="1" max="1" width="14.42578125" style="149" customWidth="1"/>
    <col min="2" max="2" width="40.85546875" style="149" customWidth="1"/>
    <col min="3" max="3" width="32" style="149" customWidth="1"/>
    <col min="4" max="6" width="18.7109375" style="149" customWidth="1"/>
    <col min="7" max="7" width="25.85546875" style="149" bestFit="1" customWidth="1"/>
    <col min="8" max="8" width="23.140625" style="149" customWidth="1"/>
    <col min="9" max="10" width="19" style="149" customWidth="1"/>
    <col min="11" max="11" width="19.7109375" style="149" customWidth="1"/>
    <col min="12" max="12" width="19.140625" style="149" customWidth="1"/>
    <col min="13" max="13" width="15.140625" style="149" customWidth="1"/>
    <col min="14" max="14" width="14.42578125" style="149" customWidth="1"/>
    <col min="15" max="15" width="16.85546875" style="149" customWidth="1"/>
    <col min="16" max="16384" width="11.42578125" style="149"/>
  </cols>
  <sheetData>
    <row r="3" spans="2:15" ht="38.25" customHeight="1" x14ac:dyDescent="0.25">
      <c r="B3" s="602" t="s">
        <v>324</v>
      </c>
      <c r="C3" s="603"/>
      <c r="D3" s="603"/>
      <c r="E3" s="603"/>
      <c r="F3" s="603"/>
      <c r="G3" s="603"/>
      <c r="H3" s="603"/>
      <c r="I3" s="603"/>
      <c r="J3" s="604"/>
      <c r="K3" s="153"/>
      <c r="L3" s="667" t="s">
        <v>325</v>
      </c>
      <c r="M3" s="668"/>
      <c r="N3" s="668"/>
      <c r="O3" s="669"/>
    </row>
    <row r="4" spans="2:15" s="34" customFormat="1" ht="30" x14ac:dyDescent="0.25">
      <c r="B4" s="20" t="s">
        <v>326</v>
      </c>
      <c r="C4" s="148" t="s">
        <v>327</v>
      </c>
      <c r="D4" s="20" t="s">
        <v>323</v>
      </c>
      <c r="E4" s="20" t="s">
        <v>3</v>
      </c>
      <c r="F4" s="20" t="s">
        <v>328</v>
      </c>
      <c r="G4" s="20" t="s">
        <v>329</v>
      </c>
      <c r="H4" s="20" t="s">
        <v>158</v>
      </c>
      <c r="I4" s="20" t="s">
        <v>330</v>
      </c>
      <c r="J4" s="20" t="s">
        <v>160</v>
      </c>
      <c r="K4" s="153"/>
      <c r="L4" s="67" t="s">
        <v>375</v>
      </c>
      <c r="M4" s="67" t="s">
        <v>376</v>
      </c>
      <c r="N4" s="154" t="s">
        <v>391</v>
      </c>
      <c r="O4" s="154" t="s">
        <v>0</v>
      </c>
    </row>
    <row r="5" spans="2:15" s="34" customFormat="1" ht="112.5" customHeight="1" x14ac:dyDescent="0.25">
      <c r="B5" s="155" t="s">
        <v>436</v>
      </c>
      <c r="C5" s="156" t="s">
        <v>331</v>
      </c>
      <c r="D5" s="157">
        <v>8</v>
      </c>
      <c r="E5" s="158">
        <v>1</v>
      </c>
      <c r="F5" s="500">
        <v>3411200</v>
      </c>
      <c r="G5" s="25">
        <v>500000</v>
      </c>
      <c r="H5" s="500">
        <f>(F5+G5)</f>
        <v>3911200</v>
      </c>
      <c r="I5" s="500">
        <f>(H5*D5)</f>
        <v>31289600</v>
      </c>
      <c r="J5" s="72">
        <v>1</v>
      </c>
      <c r="K5" s="159"/>
      <c r="L5" s="26">
        <f>(H5*40%)*12%</f>
        <v>187737.60000000001</v>
      </c>
      <c r="M5" s="26">
        <f>(H5*40%)*8.5%</f>
        <v>132980.80000000002</v>
      </c>
      <c r="N5" s="25">
        <f>(H5*40%)*6.96%</f>
        <v>108887.80799999999</v>
      </c>
      <c r="O5" s="150">
        <f>SUM(L5:N5)</f>
        <v>429606.20799999998</v>
      </c>
    </row>
    <row r="6" spans="2:15" s="34" customFormat="1" ht="68.25" customHeight="1" x14ac:dyDescent="0.25">
      <c r="B6" s="155" t="s">
        <v>332</v>
      </c>
      <c r="C6" s="160" t="s">
        <v>333</v>
      </c>
      <c r="D6" s="157">
        <v>8</v>
      </c>
      <c r="E6" s="158">
        <v>1</v>
      </c>
      <c r="F6" s="500">
        <v>1400000</v>
      </c>
      <c r="G6" s="212">
        <v>0</v>
      </c>
      <c r="H6" s="500">
        <f>(F6+G6)</f>
        <v>1400000</v>
      </c>
      <c r="I6" s="500">
        <f>(H6*D6)</f>
        <v>11200000</v>
      </c>
      <c r="J6" s="72">
        <v>0.5</v>
      </c>
      <c r="K6" s="159"/>
      <c r="L6" s="26">
        <f>(H6*40%)*12%</f>
        <v>67200</v>
      </c>
      <c r="M6" s="26">
        <f>(H6*40%)*8.5%</f>
        <v>47600</v>
      </c>
      <c r="N6" s="25">
        <f>(F6*40%)*6.96%</f>
        <v>38976</v>
      </c>
      <c r="O6" s="150">
        <f>SUM(L6:N6)</f>
        <v>153776</v>
      </c>
    </row>
    <row r="7" spans="2:15" s="34" customFormat="1" ht="93" customHeight="1" x14ac:dyDescent="0.25">
      <c r="B7" s="155" t="s">
        <v>359</v>
      </c>
      <c r="C7" s="156" t="s">
        <v>358</v>
      </c>
      <c r="D7" s="157">
        <v>8</v>
      </c>
      <c r="E7" s="158">
        <v>1</v>
      </c>
      <c r="F7" s="500">
        <f>+F6</f>
        <v>1400000</v>
      </c>
      <c r="G7" s="212">
        <v>0</v>
      </c>
      <c r="H7" s="500">
        <f>+H6</f>
        <v>1400000</v>
      </c>
      <c r="I7" s="500">
        <f>(H7*D7)</f>
        <v>11200000</v>
      </c>
      <c r="J7" s="72">
        <v>0.5</v>
      </c>
      <c r="K7" s="159"/>
      <c r="L7" s="26">
        <f>(H7*40%)*12%</f>
        <v>67200</v>
      </c>
      <c r="M7" s="26">
        <f>(H7*40%)*8.5%</f>
        <v>47600</v>
      </c>
      <c r="N7" s="25">
        <f>(F7*40%)*6.96%</f>
        <v>38976</v>
      </c>
      <c r="O7" s="150">
        <f>SUM(L7:N7)</f>
        <v>153776</v>
      </c>
    </row>
    <row r="8" spans="2:15" s="34" customFormat="1" x14ac:dyDescent="0.25">
      <c r="B8" s="670"/>
      <c r="C8" s="670"/>
      <c r="D8" s="161" t="s">
        <v>334</v>
      </c>
      <c r="E8" s="161"/>
      <c r="F8" s="162"/>
      <c r="G8" s="162"/>
      <c r="H8" s="501">
        <f>SUM(H5:H7)</f>
        <v>6711200</v>
      </c>
      <c r="I8" s="501">
        <f>SUM(I5:I7)</f>
        <v>53689600</v>
      </c>
      <c r="J8" s="163"/>
      <c r="K8" s="34" t="s">
        <v>381</v>
      </c>
      <c r="L8" s="77"/>
      <c r="M8" s="77"/>
      <c r="N8" s="77"/>
      <c r="O8" s="75">
        <f>SUM(O5:O7)</f>
        <v>737158.20799999998</v>
      </c>
    </row>
    <row r="9" spans="2:15" s="34" customFormat="1" x14ac:dyDescent="0.25">
      <c r="L9" s="77"/>
      <c r="M9" s="77"/>
      <c r="N9" s="77"/>
      <c r="O9" s="78"/>
    </row>
    <row r="10" spans="2:15" x14ac:dyDescent="0.25">
      <c r="B10" s="672" t="s">
        <v>441</v>
      </c>
      <c r="C10" s="673"/>
      <c r="D10" s="673"/>
      <c r="E10" s="673"/>
      <c r="F10" s="673"/>
      <c r="G10" s="674"/>
      <c r="H10" s="294">
        <v>527916180</v>
      </c>
    </row>
    <row r="11" spans="2:15" x14ac:dyDescent="0.25">
      <c r="B11" s="671" t="s">
        <v>443</v>
      </c>
      <c r="C11" s="671"/>
      <c r="D11" s="671"/>
      <c r="E11" s="671"/>
      <c r="F11" s="671"/>
      <c r="G11" s="671"/>
      <c r="H11" s="671"/>
    </row>
    <row r="12" spans="2:15" x14ac:dyDescent="0.25">
      <c r="B12" s="663" t="s">
        <v>4</v>
      </c>
      <c r="C12" s="663" t="s">
        <v>3</v>
      </c>
      <c r="D12" s="681" t="s">
        <v>8</v>
      </c>
      <c r="E12" s="681"/>
      <c r="F12" s="681" t="s">
        <v>442</v>
      </c>
      <c r="G12" s="681"/>
      <c r="H12" s="662" t="s">
        <v>6</v>
      </c>
    </row>
    <row r="13" spans="2:15" x14ac:dyDescent="0.25">
      <c r="B13" s="681"/>
      <c r="C13" s="681"/>
      <c r="D13" s="681"/>
      <c r="E13" s="681"/>
      <c r="F13" s="681"/>
      <c r="G13" s="681"/>
      <c r="H13" s="663"/>
    </row>
    <row r="14" spans="2:15" ht="30" x14ac:dyDescent="0.25">
      <c r="B14" s="295" t="s">
        <v>444</v>
      </c>
      <c r="C14" s="296">
        <v>1</v>
      </c>
      <c r="D14" s="664">
        <v>8</v>
      </c>
      <c r="E14" s="664"/>
      <c r="F14" s="665">
        <v>400000</v>
      </c>
      <c r="G14" s="665"/>
      <c r="H14" s="299">
        <f>+F14*D14*C14</f>
        <v>3200000</v>
      </c>
    </row>
    <row r="15" spans="2:15" ht="30" x14ac:dyDescent="0.25">
      <c r="B15" s="295" t="s">
        <v>445</v>
      </c>
      <c r="C15" s="296">
        <v>1</v>
      </c>
      <c r="D15" s="664">
        <v>8</v>
      </c>
      <c r="E15" s="664"/>
      <c r="F15" s="666">
        <v>250000</v>
      </c>
      <c r="G15" s="666"/>
      <c r="H15" s="299">
        <f>+F15*D15*C15</f>
        <v>2000000</v>
      </c>
    </row>
    <row r="16" spans="2:15" x14ac:dyDescent="0.25">
      <c r="B16" s="295" t="s">
        <v>446</v>
      </c>
      <c r="C16" s="296">
        <v>1</v>
      </c>
      <c r="D16" s="664">
        <v>8</v>
      </c>
      <c r="E16" s="664"/>
      <c r="F16" s="666">
        <v>300000</v>
      </c>
      <c r="G16" s="666"/>
      <c r="H16" s="299">
        <f>+F16*D16*C16</f>
        <v>2400000</v>
      </c>
    </row>
    <row r="17" spans="2:8" ht="24.75" customHeight="1" x14ac:dyDescent="0.25">
      <c r="B17" s="682" t="s">
        <v>447</v>
      </c>
      <c r="C17" s="682"/>
      <c r="D17" s="682"/>
      <c r="E17" s="682"/>
      <c r="F17" s="682"/>
      <c r="G17" s="682"/>
      <c r="H17" s="300">
        <f>SUM(H14:H16)</f>
        <v>7600000</v>
      </c>
    </row>
    <row r="18" spans="2:8" x14ac:dyDescent="0.25">
      <c r="B18" s="671" t="s">
        <v>448</v>
      </c>
      <c r="C18" s="671"/>
      <c r="D18" s="671"/>
      <c r="E18" s="671"/>
      <c r="F18" s="671"/>
      <c r="G18" s="671"/>
      <c r="H18" s="671"/>
    </row>
    <row r="19" spans="2:8" x14ac:dyDescent="0.25">
      <c r="B19" s="675" t="s">
        <v>449</v>
      </c>
      <c r="C19" s="675"/>
      <c r="D19" s="675"/>
      <c r="E19" s="675"/>
      <c r="F19" s="675"/>
      <c r="G19" s="297">
        <v>0.02</v>
      </c>
      <c r="H19" s="301">
        <f>+G19*H10</f>
        <v>10558323.6</v>
      </c>
    </row>
    <row r="20" spans="2:8" x14ac:dyDescent="0.25">
      <c r="B20" s="675" t="s">
        <v>450</v>
      </c>
      <c r="C20" s="675"/>
      <c r="D20" s="675"/>
      <c r="E20" s="675"/>
      <c r="F20" s="675"/>
      <c r="G20" s="297">
        <v>5.0000000000000001E-3</v>
      </c>
      <c r="H20" s="301">
        <f>+G20*H10</f>
        <v>2639580.9</v>
      </c>
    </row>
    <row r="21" spans="2:8" x14ac:dyDescent="0.25">
      <c r="B21" s="675" t="s">
        <v>451</v>
      </c>
      <c r="C21" s="675"/>
      <c r="D21" s="675"/>
      <c r="E21" s="675"/>
      <c r="F21" s="675"/>
      <c r="G21" s="297">
        <v>0.02</v>
      </c>
      <c r="H21" s="301">
        <f>+G21*H10</f>
        <v>10558323.6</v>
      </c>
    </row>
    <row r="22" spans="2:8" x14ac:dyDescent="0.25">
      <c r="B22" s="677"/>
      <c r="C22" s="678"/>
      <c r="D22" s="678"/>
      <c r="E22" s="678"/>
      <c r="F22" s="679"/>
      <c r="G22" s="298"/>
      <c r="H22" s="301"/>
    </row>
    <row r="23" spans="2:8" x14ac:dyDescent="0.25">
      <c r="B23" s="677" t="s">
        <v>387</v>
      </c>
      <c r="C23" s="678"/>
      <c r="D23" s="678"/>
      <c r="E23" s="678"/>
      <c r="F23" s="679"/>
      <c r="G23" s="298">
        <v>1E-3</v>
      </c>
      <c r="H23" s="301">
        <f>+G23*H10</f>
        <v>527916.18000000005</v>
      </c>
    </row>
    <row r="24" spans="2:8" x14ac:dyDescent="0.25">
      <c r="B24" s="677" t="s">
        <v>388</v>
      </c>
      <c r="C24" s="678"/>
      <c r="D24" s="678"/>
      <c r="E24" s="678"/>
      <c r="F24" s="679"/>
      <c r="G24" s="298">
        <v>2E-3</v>
      </c>
      <c r="H24" s="301">
        <f>+G24*H10</f>
        <v>1055832.3600000001</v>
      </c>
    </row>
    <row r="25" spans="2:8" x14ac:dyDescent="0.25">
      <c r="B25" s="680" t="s">
        <v>452</v>
      </c>
      <c r="C25" s="680"/>
      <c r="D25" s="680"/>
      <c r="E25" s="680"/>
      <c r="F25" s="680"/>
      <c r="G25" s="680"/>
      <c r="H25" s="302">
        <f>SUM(H19:H24)</f>
        <v>25339976.640000001</v>
      </c>
    </row>
    <row r="26" spans="2:8" x14ac:dyDescent="0.25">
      <c r="B26" s="676" t="s">
        <v>453</v>
      </c>
      <c r="C26" s="676"/>
      <c r="D26" s="676"/>
      <c r="E26" s="676"/>
      <c r="F26" s="676"/>
      <c r="G26" s="676"/>
      <c r="H26" s="303">
        <f>H17+H25</f>
        <v>32939976.640000001</v>
      </c>
    </row>
    <row r="27" spans="2:8" x14ac:dyDescent="0.25">
      <c r="H27" s="304"/>
    </row>
    <row r="28" spans="2:8" x14ac:dyDescent="0.25">
      <c r="H28" s="304"/>
    </row>
    <row r="29" spans="2:8" x14ac:dyDescent="0.25">
      <c r="B29" s="676" t="s">
        <v>453</v>
      </c>
      <c r="C29" s="676"/>
      <c r="D29" s="676"/>
      <c r="E29" s="676"/>
      <c r="F29" s="676"/>
      <c r="G29" s="676"/>
      <c r="H29" s="502">
        <f>+I8+H26</f>
        <v>86629576.640000001</v>
      </c>
    </row>
    <row r="34" spans="9:9" x14ac:dyDescent="0.25">
      <c r="I34" s="164"/>
    </row>
    <row r="35" spans="9:9" x14ac:dyDescent="0.25">
      <c r="I35" s="25"/>
    </row>
    <row r="36" spans="9:9" x14ac:dyDescent="0.25">
      <c r="I36" s="25"/>
    </row>
    <row r="37" spans="9:9" x14ac:dyDescent="0.25">
      <c r="I37" s="164"/>
    </row>
  </sheetData>
  <mergeCells count="27">
    <mergeCell ref="B12:B13"/>
    <mergeCell ref="C12:C13"/>
    <mergeCell ref="D12:E13"/>
    <mergeCell ref="F12:G13"/>
    <mergeCell ref="B17:G17"/>
    <mergeCell ref="D16:E16"/>
    <mergeCell ref="F16:G16"/>
    <mergeCell ref="B18:H18"/>
    <mergeCell ref="B19:F19"/>
    <mergeCell ref="B20:F20"/>
    <mergeCell ref="B21:F21"/>
    <mergeCell ref="B29:G29"/>
    <mergeCell ref="B22:F22"/>
    <mergeCell ref="B23:F23"/>
    <mergeCell ref="B24:F24"/>
    <mergeCell ref="B25:G25"/>
    <mergeCell ref="B26:G26"/>
    <mergeCell ref="B3:J3"/>
    <mergeCell ref="L3:O3"/>
    <mergeCell ref="B8:C8"/>
    <mergeCell ref="B11:H11"/>
    <mergeCell ref="B10:G10"/>
    <mergeCell ref="H12:H13"/>
    <mergeCell ref="D14:E14"/>
    <mergeCell ref="F14:G14"/>
    <mergeCell ref="D15:E15"/>
    <mergeCell ref="F15:G15"/>
  </mergeCells>
  <pageMargins left="0.7" right="0.7" top="0.75" bottom="0.75" header="0.3" footer="0.3"/>
  <pageSetup orientation="portrait" horizontalDpi="4294967292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19" workbookViewId="0">
      <selection activeCell="I11" sqref="I11"/>
    </sheetView>
  </sheetViews>
  <sheetFormatPr baseColWidth="10" defaultRowHeight="15" x14ac:dyDescent="0.25"/>
  <cols>
    <col min="1" max="1" width="49.42578125" customWidth="1"/>
    <col min="2" max="3" width="20.42578125" customWidth="1"/>
    <col min="4" max="4" width="12.28515625" customWidth="1"/>
    <col min="5" max="5" width="16.85546875" bestFit="1" customWidth="1"/>
    <col min="6" max="6" width="19.42578125" customWidth="1"/>
  </cols>
  <sheetData>
    <row r="1" spans="1:6" x14ac:dyDescent="0.25">
      <c r="A1" s="686" t="s">
        <v>454</v>
      </c>
      <c r="B1" s="687"/>
      <c r="C1" s="687"/>
      <c r="D1" s="687"/>
      <c r="E1" s="687"/>
      <c r="F1" s="688"/>
    </row>
    <row r="2" spans="1:6" x14ac:dyDescent="0.25">
      <c r="A2" s="689"/>
      <c r="B2" s="690"/>
      <c r="C2" s="690"/>
      <c r="D2" s="690"/>
      <c r="E2" s="690"/>
      <c r="F2" s="691"/>
    </row>
    <row r="3" spans="1:6" x14ac:dyDescent="0.25">
      <c r="A3" s="686" t="s">
        <v>455</v>
      </c>
      <c r="B3" s="687"/>
      <c r="C3" s="687"/>
      <c r="D3" s="687"/>
      <c r="E3" s="687"/>
      <c r="F3" s="688"/>
    </row>
    <row r="4" spans="1:6" x14ac:dyDescent="0.25">
      <c r="A4" s="689"/>
      <c r="B4" s="690"/>
      <c r="C4" s="690"/>
      <c r="D4" s="690"/>
      <c r="E4" s="690"/>
      <c r="F4" s="691"/>
    </row>
    <row r="5" spans="1:6" x14ac:dyDescent="0.25">
      <c r="A5" s="686" t="s">
        <v>456</v>
      </c>
      <c r="B5" s="687"/>
      <c r="C5" s="687"/>
      <c r="D5" s="687"/>
      <c r="E5" s="687"/>
      <c r="F5" s="688"/>
    </row>
    <row r="6" spans="1:6" x14ac:dyDescent="0.25">
      <c r="A6" s="689"/>
      <c r="B6" s="690"/>
      <c r="C6" s="690"/>
      <c r="D6" s="690"/>
      <c r="E6" s="690"/>
      <c r="F6" s="691"/>
    </row>
    <row r="7" spans="1:6" ht="15" customHeight="1" x14ac:dyDescent="0.25">
      <c r="A7" s="692" t="s">
        <v>457</v>
      </c>
      <c r="B7" s="693"/>
      <c r="C7" s="693"/>
      <c r="D7" s="693"/>
      <c r="E7" s="693"/>
      <c r="F7" s="694"/>
    </row>
    <row r="8" spans="1:6" ht="15" customHeight="1" x14ac:dyDescent="0.25">
      <c r="A8" s="695" t="s">
        <v>458</v>
      </c>
      <c r="B8" s="696"/>
      <c r="C8" s="696"/>
      <c r="D8" s="696"/>
      <c r="E8" s="696"/>
      <c r="F8" s="697"/>
    </row>
    <row r="9" spans="1:6" x14ac:dyDescent="0.25">
      <c r="A9" s="683" t="s">
        <v>459</v>
      </c>
      <c r="B9" s="305" t="s">
        <v>460</v>
      </c>
      <c r="C9" s="305" t="s">
        <v>3</v>
      </c>
      <c r="D9" s="305" t="s">
        <v>461</v>
      </c>
      <c r="E9" s="305" t="s">
        <v>462</v>
      </c>
      <c r="F9" s="305" t="s">
        <v>463</v>
      </c>
    </row>
    <row r="10" spans="1:6" x14ac:dyDescent="0.25">
      <c r="A10" s="684"/>
      <c r="B10" s="306" t="s">
        <v>464</v>
      </c>
      <c r="C10" s="306" t="s">
        <v>465</v>
      </c>
      <c r="D10" s="306" t="s">
        <v>466</v>
      </c>
      <c r="E10" s="306" t="s">
        <v>467</v>
      </c>
      <c r="F10" s="306" t="s">
        <v>468</v>
      </c>
    </row>
    <row r="11" spans="1:6" x14ac:dyDescent="0.25">
      <c r="A11" s="685"/>
      <c r="B11" s="307" t="s">
        <v>469</v>
      </c>
      <c r="C11" s="307" t="s">
        <v>470</v>
      </c>
      <c r="D11" s="307" t="s">
        <v>471</v>
      </c>
      <c r="E11" s="308" t="s">
        <v>472</v>
      </c>
      <c r="F11" s="307" t="s">
        <v>473</v>
      </c>
    </row>
    <row r="12" spans="1:6" ht="15.75" x14ac:dyDescent="0.3">
      <c r="A12" s="309" t="s">
        <v>474</v>
      </c>
      <c r="B12" s="310"/>
      <c r="C12" s="310"/>
      <c r="D12" s="310"/>
      <c r="E12" s="310"/>
      <c r="F12" s="311"/>
    </row>
    <row r="13" spans="1:6" x14ac:dyDescent="0.25">
      <c r="A13" s="312" t="s">
        <v>475</v>
      </c>
      <c r="B13" s="313"/>
      <c r="C13" s="313"/>
      <c r="D13" s="313"/>
      <c r="E13" s="314"/>
      <c r="F13" s="315"/>
    </row>
    <row r="14" spans="1:6" x14ac:dyDescent="0.25">
      <c r="A14" s="316" t="s">
        <v>476</v>
      </c>
      <c r="B14" s="317">
        <v>0</v>
      </c>
      <c r="C14" s="318">
        <v>0</v>
      </c>
      <c r="D14" s="319">
        <v>0</v>
      </c>
      <c r="E14" s="318">
        <v>1</v>
      </c>
      <c r="F14" s="320">
        <f>ROUND(B14*C14*D14*E14,2)</f>
        <v>0</v>
      </c>
    </row>
    <row r="15" spans="1:6" x14ac:dyDescent="0.25">
      <c r="A15" s="701" t="s">
        <v>477</v>
      </c>
      <c r="B15" s="702"/>
      <c r="C15" s="702"/>
      <c r="D15" s="702"/>
      <c r="E15" s="703"/>
      <c r="F15" s="321">
        <f>SUM(F14)</f>
        <v>0</v>
      </c>
    </row>
    <row r="16" spans="1:6" x14ac:dyDescent="0.25">
      <c r="A16" s="701" t="s">
        <v>478</v>
      </c>
      <c r="B16" s="702"/>
      <c r="C16" s="702"/>
      <c r="D16" s="702"/>
      <c r="E16" s="703"/>
      <c r="F16" s="322">
        <v>0</v>
      </c>
    </row>
    <row r="17" spans="1:6" x14ac:dyDescent="0.25">
      <c r="A17" s="704" t="s">
        <v>479</v>
      </c>
      <c r="B17" s="705"/>
      <c r="C17" s="705"/>
      <c r="D17" s="705"/>
      <c r="E17" s="706"/>
      <c r="F17" s="323">
        <f>ROUND(F15*F16,2)</f>
        <v>0</v>
      </c>
    </row>
    <row r="18" spans="1:6" x14ac:dyDescent="0.25">
      <c r="A18" s="324"/>
      <c r="B18" s="325"/>
      <c r="C18" s="325"/>
      <c r="D18" s="325"/>
      <c r="E18" s="325"/>
      <c r="F18" s="326"/>
    </row>
    <row r="19" spans="1:6" x14ac:dyDescent="0.25">
      <c r="A19" s="707" t="s">
        <v>480</v>
      </c>
      <c r="B19" s="708"/>
      <c r="C19" s="708"/>
      <c r="D19" s="708"/>
      <c r="E19" s="708"/>
      <c r="F19" s="709"/>
    </row>
    <row r="20" spans="1:6" x14ac:dyDescent="0.25">
      <c r="A20" s="698" t="s">
        <v>481</v>
      </c>
      <c r="B20" s="699"/>
      <c r="C20" s="699"/>
      <c r="D20" s="699"/>
      <c r="E20" s="699"/>
      <c r="F20" s="700"/>
    </row>
    <row r="21" spans="1:6" x14ac:dyDescent="0.25">
      <c r="A21" s="710" t="s">
        <v>410</v>
      </c>
      <c r="B21" s="710" t="s">
        <v>19</v>
      </c>
      <c r="C21" s="327" t="s">
        <v>3</v>
      </c>
      <c r="D21" s="712" t="s">
        <v>315</v>
      </c>
      <c r="E21" s="713"/>
      <c r="F21" s="327" t="s">
        <v>482</v>
      </c>
    </row>
    <row r="22" spans="1:6" x14ac:dyDescent="0.25">
      <c r="A22" s="711"/>
      <c r="B22" s="711"/>
      <c r="C22" s="328" t="s">
        <v>483</v>
      </c>
      <c r="D22" s="714" t="s">
        <v>484</v>
      </c>
      <c r="E22" s="715"/>
      <c r="F22" s="328" t="s">
        <v>485</v>
      </c>
    </row>
    <row r="23" spans="1:6" x14ac:dyDescent="0.25">
      <c r="A23" s="716" t="s">
        <v>486</v>
      </c>
      <c r="B23" s="718" t="s">
        <v>487</v>
      </c>
      <c r="C23" s="720">
        <v>8</v>
      </c>
      <c r="D23" s="722">
        <f>F47</f>
        <v>299790.65000000002</v>
      </c>
      <c r="E23" s="723"/>
      <c r="F23" s="726">
        <f>C23*D23</f>
        <v>2398325.2000000002</v>
      </c>
    </row>
    <row r="24" spans="1:6" x14ac:dyDescent="0.25">
      <c r="A24" s="717"/>
      <c r="B24" s="719"/>
      <c r="C24" s="721"/>
      <c r="D24" s="724"/>
      <c r="E24" s="725"/>
      <c r="F24" s="727"/>
    </row>
    <row r="25" spans="1:6" x14ac:dyDescent="0.25">
      <c r="A25" s="698" t="s">
        <v>488</v>
      </c>
      <c r="B25" s="699"/>
      <c r="C25" s="699"/>
      <c r="D25" s="699"/>
      <c r="E25" s="700"/>
      <c r="F25" s="329">
        <f>F23</f>
        <v>2398325.2000000002</v>
      </c>
    </row>
    <row r="26" spans="1:6" x14ac:dyDescent="0.25">
      <c r="A26" s="731" t="s">
        <v>489</v>
      </c>
      <c r="B26" s="732"/>
      <c r="C26" s="732"/>
      <c r="D26" s="732"/>
      <c r="E26" s="733"/>
      <c r="F26" s="329">
        <f>F17+F25</f>
        <v>2398325.2000000002</v>
      </c>
    </row>
    <row r="27" spans="1:6" x14ac:dyDescent="0.25">
      <c r="A27" s="330" t="s">
        <v>490</v>
      </c>
      <c r="B27" s="330"/>
      <c r="C27" s="330"/>
      <c r="D27" s="734">
        <v>3.2000000000000001E-2</v>
      </c>
      <c r="E27" s="735"/>
      <c r="F27" s="329"/>
    </row>
    <row r="28" spans="1:6" x14ac:dyDescent="0.25">
      <c r="A28" s="330" t="s">
        <v>520</v>
      </c>
      <c r="B28" s="330"/>
      <c r="C28" s="330"/>
      <c r="D28" s="734">
        <f>+D29+D30+D31+D32+D33+D34</f>
        <v>4.8000000000000001E-2</v>
      </c>
      <c r="E28" s="735"/>
      <c r="F28" s="329"/>
    </row>
    <row r="29" spans="1:6" x14ac:dyDescent="0.25">
      <c r="A29" s="331" t="s">
        <v>491</v>
      </c>
      <c r="B29" s="330"/>
      <c r="C29" s="330"/>
      <c r="D29" s="736">
        <v>0</v>
      </c>
      <c r="E29" s="737"/>
      <c r="F29" s="329"/>
    </row>
    <row r="30" spans="1:6" x14ac:dyDescent="0.25">
      <c r="A30" s="331" t="s">
        <v>492</v>
      </c>
      <c r="B30" s="330"/>
      <c r="C30" s="330"/>
      <c r="D30" s="736">
        <v>0.02</v>
      </c>
      <c r="E30" s="737"/>
      <c r="F30" s="329"/>
    </row>
    <row r="31" spans="1:6" x14ac:dyDescent="0.25">
      <c r="A31" s="331" t="s">
        <v>493</v>
      </c>
      <c r="B31" s="330"/>
      <c r="C31" s="330"/>
      <c r="D31" s="736">
        <v>0.02</v>
      </c>
      <c r="E31" s="737"/>
      <c r="F31" s="329"/>
    </row>
    <row r="32" spans="1:6" x14ac:dyDescent="0.25">
      <c r="A32" s="331" t="s">
        <v>494</v>
      </c>
      <c r="B32" s="330"/>
      <c r="C32" s="330"/>
      <c r="D32" s="736">
        <v>5.0000000000000001E-3</v>
      </c>
      <c r="E32" s="737"/>
      <c r="F32" s="329"/>
    </row>
    <row r="33" spans="1:6" x14ac:dyDescent="0.25">
      <c r="A33" s="331" t="s">
        <v>495</v>
      </c>
      <c r="B33" s="330"/>
      <c r="C33" s="330"/>
      <c r="D33" s="736">
        <v>0</v>
      </c>
      <c r="E33" s="737"/>
      <c r="F33" s="329"/>
    </row>
    <row r="34" spans="1:6" x14ac:dyDescent="0.25">
      <c r="A34" s="331" t="s">
        <v>496</v>
      </c>
      <c r="B34" s="330"/>
      <c r="C34" s="330"/>
      <c r="D34" s="736">
        <v>3.0000000000000001E-3</v>
      </c>
      <c r="E34" s="737"/>
      <c r="F34" s="329"/>
    </row>
    <row r="35" spans="1:6" x14ac:dyDescent="0.25">
      <c r="A35" s="698" t="s">
        <v>497</v>
      </c>
      <c r="B35" s="699"/>
      <c r="C35" s="700"/>
      <c r="D35" s="738">
        <f>D27+D28</f>
        <v>0.08</v>
      </c>
      <c r="E35" s="739"/>
      <c r="F35" s="329">
        <f>F26*D35</f>
        <v>191866.01600000003</v>
      </c>
    </row>
    <row r="36" spans="1:6" x14ac:dyDescent="0.25">
      <c r="A36" s="728" t="s">
        <v>498</v>
      </c>
      <c r="B36" s="729"/>
      <c r="C36" s="729"/>
      <c r="D36" s="729"/>
      <c r="E36" s="730"/>
      <c r="F36" s="332">
        <f>F26+F35</f>
        <v>2590191.216</v>
      </c>
    </row>
    <row r="37" spans="1:6" x14ac:dyDescent="0.25">
      <c r="A37" s="333"/>
      <c r="B37" s="334"/>
      <c r="C37" s="334"/>
      <c r="D37" s="334"/>
      <c r="E37" s="334"/>
      <c r="F37" s="335"/>
    </row>
    <row r="38" spans="1:6" x14ac:dyDescent="0.25">
      <c r="A38" s="695" t="s">
        <v>499</v>
      </c>
      <c r="B38" s="696"/>
      <c r="C38" s="696"/>
      <c r="D38" s="696"/>
      <c r="E38" s="696"/>
      <c r="F38" s="697"/>
    </row>
    <row r="39" spans="1:6" ht="25.5" x14ac:dyDescent="0.25">
      <c r="A39" s="743" t="s">
        <v>500</v>
      </c>
      <c r="B39" s="745" t="s">
        <v>19</v>
      </c>
      <c r="C39" s="747" t="s">
        <v>501</v>
      </c>
      <c r="D39" s="336" t="s">
        <v>502</v>
      </c>
      <c r="E39" s="336" t="s">
        <v>503</v>
      </c>
      <c r="F39" s="337" t="s">
        <v>380</v>
      </c>
    </row>
    <row r="40" spans="1:6" x14ac:dyDescent="0.25">
      <c r="A40" s="744"/>
      <c r="B40" s="746"/>
      <c r="C40" s="748"/>
      <c r="D40" s="338" t="str">
        <f>"(11)"</f>
        <v>(11)</v>
      </c>
      <c r="E40" s="338" t="str">
        <f>"(12)"</f>
        <v>(12)</v>
      </c>
      <c r="F40" s="338" t="str">
        <f>"(11)*(12)=(13)"</f>
        <v>(11)*(12)=(13)</v>
      </c>
    </row>
    <row r="41" spans="1:6" ht="40.5" x14ac:dyDescent="0.25">
      <c r="A41" s="339" t="s">
        <v>504</v>
      </c>
      <c r="B41" s="340" t="s">
        <v>63</v>
      </c>
      <c r="C41" s="341" t="s">
        <v>505</v>
      </c>
      <c r="D41" s="342">
        <f>ROUND(0.006*30*8,2)</f>
        <v>1.44</v>
      </c>
      <c r="E41" s="343">
        <v>9714.39</v>
      </c>
      <c r="F41" s="344">
        <f>ROUND(D41*E41,2)</f>
        <v>13988.72</v>
      </c>
    </row>
    <row r="42" spans="1:6" ht="67.5" x14ac:dyDescent="0.25">
      <c r="A42" s="345" t="s">
        <v>506</v>
      </c>
      <c r="B42" s="340" t="s">
        <v>63</v>
      </c>
      <c r="C42" s="346" t="s">
        <v>507</v>
      </c>
      <c r="D42" s="342">
        <f>ROUND(0.003*30*8,2)</f>
        <v>0.72</v>
      </c>
      <c r="E42" s="343">
        <v>13020.43</v>
      </c>
      <c r="F42" s="344">
        <f t="shared" ref="F42:F46" si="0">ROUND(D42*E42,2)</f>
        <v>9374.7099999999991</v>
      </c>
    </row>
    <row r="43" spans="1:6" ht="27" x14ac:dyDescent="0.25">
      <c r="A43" s="345" t="s">
        <v>508</v>
      </c>
      <c r="B43" s="340" t="s">
        <v>63</v>
      </c>
      <c r="C43" s="346" t="s">
        <v>509</v>
      </c>
      <c r="D43" s="342">
        <f>ROUND(0.005*30*8,2)</f>
        <v>1.2</v>
      </c>
      <c r="E43" s="343">
        <v>6624.92</v>
      </c>
      <c r="F43" s="344">
        <f t="shared" si="0"/>
        <v>7949.9</v>
      </c>
    </row>
    <row r="44" spans="1:6" ht="54" x14ac:dyDescent="0.25">
      <c r="A44" s="345" t="s">
        <v>510</v>
      </c>
      <c r="B44" s="340" t="s">
        <v>63</v>
      </c>
      <c r="C44" s="346" t="s">
        <v>511</v>
      </c>
      <c r="D44" s="342">
        <f>ROUND(0.05*30*8,2)</f>
        <v>12</v>
      </c>
      <c r="E44" s="343">
        <v>2631.51</v>
      </c>
      <c r="F44" s="344">
        <f t="shared" si="0"/>
        <v>31578.12</v>
      </c>
    </row>
    <row r="45" spans="1:6" ht="54" x14ac:dyDescent="0.25">
      <c r="A45" s="345" t="s">
        <v>512</v>
      </c>
      <c r="B45" s="340" t="s">
        <v>513</v>
      </c>
      <c r="C45" s="346" t="s">
        <v>514</v>
      </c>
      <c r="D45" s="342">
        <f>ROUND(4*8,2)</f>
        <v>32</v>
      </c>
      <c r="E45" s="343">
        <v>3802.5</v>
      </c>
      <c r="F45" s="344">
        <f t="shared" si="0"/>
        <v>121680</v>
      </c>
    </row>
    <row r="46" spans="1:6" ht="27" x14ac:dyDescent="0.25">
      <c r="A46" s="345" t="s">
        <v>515</v>
      </c>
      <c r="B46" s="340" t="s">
        <v>513</v>
      </c>
      <c r="C46" s="346" t="s">
        <v>516</v>
      </c>
      <c r="D46" s="342">
        <f>ROUND(4*30*8,2)</f>
        <v>960</v>
      </c>
      <c r="E46" s="343">
        <v>120.02</v>
      </c>
      <c r="F46" s="344">
        <f t="shared" si="0"/>
        <v>115219.2</v>
      </c>
    </row>
    <row r="47" spans="1:6" x14ac:dyDescent="0.25">
      <c r="A47" s="749" t="s">
        <v>517</v>
      </c>
      <c r="B47" s="750"/>
      <c r="C47" s="750"/>
      <c r="D47" s="750"/>
      <c r="E47" s="751"/>
      <c r="F47" s="347">
        <f>SUM(F41:F46)</f>
        <v>299790.65000000002</v>
      </c>
    </row>
    <row r="48" spans="1:6" x14ac:dyDescent="0.25">
      <c r="A48" s="348"/>
      <c r="B48" s="349"/>
      <c r="C48" s="349"/>
      <c r="D48" s="349"/>
      <c r="E48" s="349"/>
      <c r="F48" s="350"/>
    </row>
    <row r="49" spans="1:6" x14ac:dyDescent="0.25">
      <c r="A49" s="752" t="s">
        <v>518</v>
      </c>
      <c r="B49" s="753"/>
      <c r="C49" s="753"/>
      <c r="D49" s="753"/>
      <c r="E49" s="753"/>
      <c r="F49" s="754"/>
    </row>
    <row r="50" spans="1:6" x14ac:dyDescent="0.25">
      <c r="A50" s="755"/>
      <c r="B50" s="756"/>
      <c r="C50" s="756"/>
      <c r="D50" s="756"/>
      <c r="E50" s="756"/>
      <c r="F50" s="757"/>
    </row>
    <row r="51" spans="1:6" x14ac:dyDescent="0.25">
      <c r="A51" s="758"/>
      <c r="B51" s="759"/>
      <c r="C51" s="759"/>
      <c r="D51" s="759"/>
      <c r="E51" s="759"/>
      <c r="F51" s="760"/>
    </row>
    <row r="52" spans="1:6" x14ac:dyDescent="0.25">
      <c r="A52" s="348"/>
      <c r="B52" s="349"/>
      <c r="C52" s="349"/>
      <c r="D52" s="349"/>
      <c r="E52" s="349"/>
      <c r="F52" s="350"/>
    </row>
    <row r="53" spans="1:6" ht="41.25" customHeight="1" x14ac:dyDescent="0.25">
      <c r="A53" s="740" t="s">
        <v>519</v>
      </c>
      <c r="B53" s="741"/>
      <c r="C53" s="741"/>
      <c r="D53" s="741"/>
      <c r="E53" s="741"/>
      <c r="F53" s="742"/>
    </row>
  </sheetData>
  <mergeCells count="40">
    <mergeCell ref="A53:F53"/>
    <mergeCell ref="A38:F38"/>
    <mergeCell ref="A39:A40"/>
    <mergeCell ref="B39:B40"/>
    <mergeCell ref="C39:C40"/>
    <mergeCell ref="A47:E47"/>
    <mergeCell ref="A49:F51"/>
    <mergeCell ref="A36:E36"/>
    <mergeCell ref="A26:E26"/>
    <mergeCell ref="D27:E27"/>
    <mergeCell ref="D28:E28"/>
    <mergeCell ref="D29:E29"/>
    <mergeCell ref="D30:E30"/>
    <mergeCell ref="D31:E31"/>
    <mergeCell ref="D32:E32"/>
    <mergeCell ref="D33:E33"/>
    <mergeCell ref="D34:E34"/>
    <mergeCell ref="A35:C35"/>
    <mergeCell ref="D35:E35"/>
    <mergeCell ref="A25:E25"/>
    <mergeCell ref="A15:E15"/>
    <mergeCell ref="A16:E16"/>
    <mergeCell ref="A17:E17"/>
    <mergeCell ref="A19:F19"/>
    <mergeCell ref="A20:F20"/>
    <mergeCell ref="A21:A22"/>
    <mergeCell ref="B21:B22"/>
    <mergeCell ref="D21:E21"/>
    <mergeCell ref="D22:E22"/>
    <mergeCell ref="A23:A24"/>
    <mergeCell ref="B23:B24"/>
    <mergeCell ref="C23:C24"/>
    <mergeCell ref="D23:E24"/>
    <mergeCell ref="F23:F24"/>
    <mergeCell ref="A9:A11"/>
    <mergeCell ref="A1:F2"/>
    <mergeCell ref="A3:F4"/>
    <mergeCell ref="A5:F6"/>
    <mergeCell ref="A7:F7"/>
    <mergeCell ref="A8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17</vt:i4>
      </vt:variant>
    </vt:vector>
  </HeadingPairs>
  <TitlesOfParts>
    <vt:vector size="17" baseType="lpstr">
      <vt:lpstr>RESUMEN</vt:lpstr>
      <vt:lpstr>CROMOGRAMA</vt:lpstr>
      <vt:lpstr>PRESUPUESTO GENERAL</vt:lpstr>
      <vt:lpstr>Cuadro comparativo precios</vt:lpstr>
      <vt:lpstr>RESUMEN INSUMOS</vt:lpstr>
      <vt:lpstr>IN. PAPA.</vt:lpstr>
      <vt:lpstr>IN. CEBOLLA B. </vt:lpstr>
      <vt:lpstr>IN. MAIZ.</vt:lpstr>
      <vt:lpstr>IN. CEBADA.</vt:lpstr>
      <vt:lpstr>IN. TRIGO.</vt:lpstr>
      <vt:lpstr>IN. FORRAJE.</vt:lpstr>
      <vt:lpstr>CONT. ORGANIZACIONES</vt:lpstr>
      <vt:lpstr>CONT. ALCALDIAS</vt:lpstr>
      <vt:lpstr>MANO DE OBRA CALIFICADA</vt:lpstr>
      <vt:lpstr>ECAS</vt:lpstr>
      <vt:lpstr>GASTOS_ADMIN</vt:lpstr>
      <vt:lpstr>Protocolo de Bioseguridad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</dc:creator>
  <cp:lastModifiedBy>Windows User</cp:lastModifiedBy>
  <dcterms:created xsi:type="dcterms:W3CDTF">2018-10-11T15:13:12Z</dcterms:created>
  <dcterms:modified xsi:type="dcterms:W3CDTF">2021-10-11T14:29:22Z</dcterms:modified>
</cp:coreProperties>
</file>